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935" windowHeight="8010" tabRatio="920"/>
  </bookViews>
  <sheets>
    <sheet name="Contents" sheetId="41" r:id="rId1"/>
    <sheet name="Summary tables" sheetId="33" r:id="rId2"/>
    <sheet name="Efficiency Estimates" sheetId="47" r:id="rId3"/>
    <sheet name="base OPEX" sheetId="32" r:id="rId4"/>
    <sheet name="Subtransmission - Select firm" sheetId="30" r:id="rId5"/>
    <sheet name="Subtransmission Calcs" sheetId="15" r:id="rId6"/>
    <sheet name="Licence conditions" sheetId="45" r:id="rId7"/>
    <sheet name="Overhead" sheetId="48" r:id="rId8"/>
    <sheet name="Underground" sheetId="49" r:id="rId9"/>
    <sheet name="ERG Cyclones" sheetId="34" r:id="rId10"/>
    <sheet name="Levies" sheetId="40" r:id="rId11"/>
    <sheet name="Termites" sheetId="38" r:id="rId12"/>
    <sheet name="CPI-master"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localSheetId="10" hidden="1">[1]PCOR00!#REF!</definedName>
    <definedName name="_BQ4.1" hidden="1">[1]PCOR00!#REF!</definedName>
    <definedName name="_BQ4.5" localSheetId="2" hidden="1">#REF!</definedName>
    <definedName name="_BQ4.5" localSheetId="10" hidden="1">#REF!</definedName>
    <definedName name="_BQ4.5" hidden="1">#REF!</definedName>
    <definedName name="_BQ4.6" localSheetId="2" hidden="1">#REF!</definedName>
    <definedName name="_BQ4.6" localSheetId="10" hidden="1">#REF!</definedName>
    <definedName name="_BQ4.6" hidden="1">#REF!</definedName>
    <definedName name="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2"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hgrr">'[8]07ESS'!#REF!</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rghr">'[8]07ESS'!#REF!</definedName>
    <definedName name="argrga">'[8]07ESS'!#REF!</definedName>
    <definedName name="argrgr">'[8]07ESS'!#REF!</definedName>
    <definedName name="as" localSheetId="2" hidden="1">{#N/A,#N/A,FALSE,"SUM QTR 3";#N/A,#N/A,FALSE,"Detail QTR 3 (w_o ly)"}</definedName>
    <definedName name="as" localSheetId="10" hidden="1">{#N/A,#N/A,FALSE,"SUM QTR 3";#N/A,#N/A,FALSE,"Detail QTR 3 (w_o ly)"}</definedName>
    <definedName name="as" hidden="1">{#N/A,#N/A,FALSE,"SUM QTR 3";#N/A,#N/A,FALSE,"Detail QTR 3 (w_o ly)"}</definedName>
    <definedName name="asd">'[9]Business &amp; other details'!$C$44</definedName>
    <definedName name="asdas">'[10]Business &amp; other details'!$D$45</definedName>
    <definedName name="asdasd">'[11]Business &amp; other details'!$C$44</definedName>
    <definedName name="asdasf">'[12]1.0 Business &amp; other details'!$C$43</definedName>
    <definedName name="asdfasf">'[13]1.0 Business &amp; other details'!$C$43</definedName>
    <definedName name="asfaef">'[14]1.0 Business &amp; other details'!$C$43</definedName>
    <definedName name="asfaf">'[15]1.0 Business &amp; other details'!$C$35</definedName>
    <definedName name="awdfaf">'[14]1.0 Business &amp; other details'!$C$43</definedName>
    <definedName name="b" localSheetId="2"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'[16]Reco Sheet for Fcast'!$I$9:$J$9</definedName>
    <definedName name="BEx001CNWHJ5RULCSFM36ZCGJ1UH" hidden="1">'[16]Reco Sheet for Fcast'!$F$11:$G$11</definedName>
    <definedName name="BEx004791UAJIJSN57OT7YBLNP82" hidden="1">'[16]Reco Sheet for Fcast'!$H$2:$I$2</definedName>
    <definedName name="BEx008P2NVFDLBHL7IZ5WTMVOQ1F" localSheetId="2" hidden="1">'[17]AMI P &amp; L'!#REF!</definedName>
    <definedName name="BEx008P2NVFDLBHL7IZ5WTMVOQ1F" localSheetId="10" hidden="1">'[17]AMI P &amp; L'!#REF!</definedName>
    <definedName name="BEx008P2NVFDLBHL7IZ5WTMVOQ1F" hidden="1">'[17]AMI P &amp; L'!#REF!</definedName>
    <definedName name="BEx009G00IN0JUIAQ4WE9NHTMQE2" hidden="1">'[16]Reco Sheet for Fcast'!$I$8:$J$8</definedName>
    <definedName name="BEx00DXTY2JDVGWQKV8H7FG4SV30" hidden="1">'[16]Reco Sheet for Fcast'!$F$11:$G$11</definedName>
    <definedName name="BEx00GHLTYRH5N2S6P78YW1CD30N" hidden="1">'[16]Reco Sheet for Fcast'!$F$11:$G$11</definedName>
    <definedName name="BEx00JC31DY11L45SEU4B10BIN6W" hidden="1">'[16]Reco Sheet for Fcast'!$K$2</definedName>
    <definedName name="BEx00KZHZBHP3TDV1YMX4B19B95O" localSheetId="2" hidden="1">'[17]AMI P &amp; L'!#REF!</definedName>
    <definedName name="BEx00KZHZBHP3TDV1YMX4B19B95O" localSheetId="10" hidden="1">'[17]AMI P &amp; L'!#REF!</definedName>
    <definedName name="BEx00KZHZBHP3TDV1YMX4B19B95O" hidden="1">'[17]AMI P &amp; L'!#REF!</definedName>
    <definedName name="BEx00WOACHDXJ6I70WQ2OGP79902" localSheetId="2" hidden="1">#REF!</definedName>
    <definedName name="BEx00WOACHDXJ6I70WQ2OGP79902" localSheetId="10" hidden="1">#REF!</definedName>
    <definedName name="BEx00WOACHDXJ6I70WQ2OGP79902" hidden="1">#REF!</definedName>
    <definedName name="BEx01DAZE5WX4UTU2TLKODE60MKZ" hidden="1">'[16]Reco Sheet for Fcast'!$F$6:$G$6</definedName>
    <definedName name="BEx01HY6E3GJ66ABU5ABN26V6Q13" hidden="1">'[16]Reco Sheet for Fcast'!$G$2</definedName>
    <definedName name="BEx01PW5YQKEGAR8JDDI5OARYXDF" hidden="1">'[16]Reco Sheet for Fcast'!$F$9:$G$9</definedName>
    <definedName name="BEx01XJ94SHJ1YQ7ORPW0RQGKI2H" hidden="1">'[16]Reco Sheet for Fcast'!$F$11:$G$11</definedName>
    <definedName name="BEx02Q08R9G839Q4RFGG9026C7PX" localSheetId="2" hidden="1">'[17]AMI P &amp; L'!#REF!</definedName>
    <definedName name="BEx02Q08R9G839Q4RFGG9026C7PX" localSheetId="10" hidden="1">'[17]AMI P &amp; L'!#REF!</definedName>
    <definedName name="BEx02Q08R9G839Q4RFGG9026C7PX" hidden="1">'[17]AMI P &amp; L'!#REF!</definedName>
    <definedName name="BEx02SEL3Z1QWGAHXDPUA9WLTTPS" hidden="1">'[16]Reco Sheet for Fcast'!$F$11:$G$11</definedName>
    <definedName name="BEx02Y3KJZH5BGDM9QEZ1PVVI114" hidden="1">'[16]Reco Sheet for Fcast'!$F$8:$G$8</definedName>
    <definedName name="BEx0313GRLLASDTVPW5DHTXHE74M" hidden="1">'[16]Reco Sheet for Fcast'!$I$6:$J$6</definedName>
    <definedName name="BEx1F0SOZ3H5XUHXD7O01TCR8T6J" hidden="1">'[16]Reco Sheet for Fcast'!$F$10:$G$10</definedName>
    <definedName name="BEx1F9HL824UCNCVZ2U62J4KZCX8" hidden="1">'[16]Reco Sheet for Fcast'!$F$7:$G$7</definedName>
    <definedName name="BEx1FEVSJKTI1Q1Z874QZVFSJSVA" hidden="1">'[16]Reco Sheet for Fcast'!$I$6:$J$6</definedName>
    <definedName name="BEx1FGDRUHHLI1GBHELT4PK0LY4V" hidden="1">'[16]Reco Sheet for Fcast'!$I$9:$J$9</definedName>
    <definedName name="BEx1FJZ7GKO99IYTP6GGGF7EUL3Z" hidden="1">'[16]Reco Sheet for Fcast'!$I$7:$J$7</definedName>
    <definedName name="BEx1FSDBU7WQN41S8RKJEK69AVRU" hidden="1">'[16]Reco Sheet for Fcast'!$F$6:$G$6</definedName>
    <definedName name="BEx1FZV2CM77TBH1R6YYV9P06KA2" hidden="1">'[16]Reco Sheet for Fcast'!$F$9:$G$9</definedName>
    <definedName name="BEx1G59AY8195JTUM6P18VXUFJ3E" hidden="1">'[16]Reco Sheet for Fcast'!$F$9:$G$9</definedName>
    <definedName name="BEx1GVBYVO13O10BPURJQKD3L4DD" hidden="1">'[18]Bud Mth'!$I$8:$J$8</definedName>
    <definedName name="BEx1GVMRHFXUP6XYYY9NR12PV5TF" hidden="1">'[16]Reco Sheet for Fcast'!$F$8:$G$8</definedName>
    <definedName name="BEx1H6KIT7BHUH6MDDWC935V9N47" hidden="1">'[16]Reco Sheet for Fcast'!$I$8:$J$8</definedName>
    <definedName name="BEx1H8YTIDTTO90YLC2ZSSNJ7TNN" localSheetId="2" hidden="1">'[19]Capital orders'!#REF!</definedName>
    <definedName name="BEx1H8YTIDTTO90YLC2ZSSNJ7TNN" localSheetId="10" hidden="1">'[19]Capital orders'!#REF!</definedName>
    <definedName name="BEx1H8YTIDTTO90YLC2ZSSNJ7TNN" hidden="1">'[19]Capital orders'!#REF!</definedName>
    <definedName name="BEx1HDGOOJ3SKHYMWUZJ1P0RQZ9N" hidden="1">'[16]Reco Sheet for Fcast'!$H$2:$I$2</definedName>
    <definedName name="BEx1HDM5ZXSJG6JQEMSFV52PZ10V" hidden="1">'[16]Reco Sheet for Fcast'!$I$9:$J$9</definedName>
    <definedName name="BEx1HETBBZVN5F43LKOFMC4QB0CR" hidden="1">'[16]Reco Sheet for Fcast'!$F$9:$G$9</definedName>
    <definedName name="BEx1HGWNWPLNXICOTP90TKQVVE4E" hidden="1">'[16]Reco Sheet for Fcast'!$H$2:$I$2</definedName>
    <definedName name="BEx1HH266WCSRYYOY23LANSAM8Z1" localSheetId="2" hidden="1">#REF!</definedName>
    <definedName name="BEx1HH266WCSRYYOY23LANSAM8Z1" localSheetId="10" hidden="1">#REF!</definedName>
    <definedName name="BEx1HH266WCSRYYOY23LANSAM8Z1" hidden="1">#REF!</definedName>
    <definedName name="BEx1HIPLJZABY0EMUOTZN0EQMDPU" hidden="1">'[16]Reco Sheet for Fcast'!$F$7:$G$7</definedName>
    <definedName name="BEx1HO94JIRX219MPWMB5E5XZ04X" hidden="1">'[16]Reco Sheet for Fcast'!$F$10:$G$10</definedName>
    <definedName name="BEx1HQNF6KHM21E3XLW0NMSSEI9S" hidden="1">'[16]Reco Sheet for Fcast'!$F$9:$G$9</definedName>
    <definedName name="BEx1HSLNWIW4S97ZBYY7I7M5YVH4" hidden="1">'[16]Reco Sheet for Fcast'!$I$8:$J$8</definedName>
    <definedName name="BEx1I4L21EMOYZ97EOEQ30N9KV83" localSheetId="2" hidden="1">#REF!</definedName>
    <definedName name="BEx1I4L21EMOYZ97EOEQ30N9KV83" localSheetId="10" hidden="1">#REF!</definedName>
    <definedName name="BEx1I4L21EMOYZ97EOEQ30N9KV83" hidden="1">#REF!</definedName>
    <definedName name="BEx1I4QKTILCKZUSOJCVZN7SNHL5" hidden="1">'[16]Reco Sheet for Fcast'!$F$6:$G$6</definedName>
    <definedName name="BEx1IE0ZP7RIFM9FI24S9I6AAJ14" hidden="1">'[16]Reco Sheet for Fcast'!$F$15</definedName>
    <definedName name="BEx1IGQ5B697MNDOE06MVSR0H58E" hidden="1">'[16]Reco Sheet for Fcast'!$F$11:$G$11</definedName>
    <definedName name="BEx1IKRPW8MLB9Y485M1TL2IT9SH" hidden="1">'[16]Reco Sheet for Fcast'!$F$15</definedName>
    <definedName name="BEx1J0CSSHDJGBJUHVOEMCF2P4DL" hidden="1">'[16]Reco Sheet for Fcast'!$I$9:$J$9</definedName>
    <definedName name="BEx1J6NC9DE7CANGLXQGIAHI2C92" hidden="1">'[16]Reco Sheet for Fcast'!$I$8:$J$8</definedName>
    <definedName name="BEx1J7E8VCGLPYU82QXVUG5N3ZAI" localSheetId="2" hidden="1">'[17]AMI P &amp; L'!#REF!</definedName>
    <definedName name="BEx1J7E8VCGLPYU82QXVUG5N3ZAI" localSheetId="10" hidden="1">'[17]AMI P &amp; L'!#REF!</definedName>
    <definedName name="BEx1J7E8VCGLPYU82QXVUG5N3ZAI" hidden="1">'[17]AMI P &amp; L'!#REF!</definedName>
    <definedName name="BEx1JGE2YQWH8S25USOY08XVGO0D" hidden="1">'[16]Reco Sheet for Fcast'!$I$10:$J$10</definedName>
    <definedName name="BEx1JJJC9T1W7HY4V7HP1S1W4JO1" hidden="1">'[16]Reco Sheet for Fcast'!$F$10:$G$10</definedName>
    <definedName name="BEx1JKKZSJ7DI4PTFVI9VVFMB1X2" hidden="1">'[16]Reco Sheet for Fcast'!$F$6:$G$6</definedName>
    <definedName name="BEx1JPJ2JSOQN114PESLM5AHS817" localSheetId="2" hidden="1">#REF!</definedName>
    <definedName name="BEx1JPJ2JSOQN114PESLM5AHS817" localSheetId="10" hidden="1">#REF!</definedName>
    <definedName name="BEx1JPJ2JSOQN114PESLM5AHS817" hidden="1">#REF!</definedName>
    <definedName name="BEx1JUBQFRVMASSFK4B3V0AD7YP9" hidden="1">'[16]Reco Sheet for Fcast'!$I$7:$J$7</definedName>
    <definedName name="BEx1JXBM5W4YRWNQ0P95QQS6JWD6" hidden="1">'[16]Reco Sheet for Fcast'!$I$6:$J$6</definedName>
    <definedName name="BEx1KGY9QEHZ9QSARMQUTQKRK4UX" hidden="1">'[16]Reco Sheet for Fcast'!$I$8:$J$8</definedName>
    <definedName name="BEx1KKP1ELIF2UII2FWVGL7M1X7J" hidden="1">'[16]Reco Sheet for Fcast'!$F$10:$G$10</definedName>
    <definedName name="BEx1KUVWMB0QCWA3RBE4CADFVRIS" hidden="1">'[16]Reco Sheet for Fcast'!$F$15</definedName>
    <definedName name="BEx1KZZC3KMOCVC65KUPQLQG4VI6" localSheetId="2" hidden="1">'[19]Capital orders'!#REF!</definedName>
    <definedName name="BEx1KZZC3KMOCVC65KUPQLQG4VI6" localSheetId="10" hidden="1">'[19]Capital orders'!#REF!</definedName>
    <definedName name="BEx1KZZC3KMOCVC65KUPQLQG4VI6" hidden="1">'[19]Capital orders'!#REF!</definedName>
    <definedName name="BEx1L2OG1SDFK2TPXELJ77YP4NI2" hidden="1">'[16]Reco Sheet for Fcast'!$I$7:$J$7</definedName>
    <definedName name="BEx1L6Q60MWRDJB4L20LK0XPA0Z2" hidden="1">'[16]Reco Sheet for Fcast'!$I$9:$J$9</definedName>
    <definedName name="BEx1LD63FP2Z4BR9TKSHOZW9KKZ5" hidden="1">'[16]Reco Sheet for Fcast'!$G$2</definedName>
    <definedName name="BEx1LDMB9RW982DUILM2WPT5VWQ3" hidden="1">'[16]Reco Sheet for Fcast'!$H$2:$I$2</definedName>
    <definedName name="BEx1LRPGDQCOEMW8YT80J1XCDCIV" hidden="1">'[16]Reco Sheet for Fcast'!$F$6:$G$6</definedName>
    <definedName name="BEx1LRUSJW4JG54X07QWD9R27WV9" localSheetId="2" hidden="1">'[17]AMI P &amp; L'!#REF!</definedName>
    <definedName name="BEx1LRUSJW4JG54X07QWD9R27WV9" localSheetId="10" hidden="1">'[17]AMI P &amp; L'!#REF!</definedName>
    <definedName name="BEx1LRUSJW4JG54X07QWD9R27WV9" hidden="1">'[17]AMI P &amp; L'!#REF!</definedName>
    <definedName name="BEx1M1WBK5T0LP1AK2JYV6W87ID6" hidden="1">'[16]Reco Sheet for Fcast'!$F$10:$G$10</definedName>
    <definedName name="BEx1M2CEKIG7U2M98E8QT7PXKFJI" localSheetId="2" hidden="1">#REF!</definedName>
    <definedName name="BEx1M2CEKIG7U2M98E8QT7PXKFJI" localSheetId="10" hidden="1">#REF!</definedName>
    <definedName name="BEx1M2CEKIG7U2M98E8QT7PXKFJI" hidden="1">#REF!</definedName>
    <definedName name="BEx1M51HHDYGIT8PON7U8ICL2S95" hidden="1">'[16]Reco Sheet for Fcast'!$F$10:$G$10</definedName>
    <definedName name="BEx1M9DVXW1QKW4BT3H733BJ74CE" localSheetId="2" hidden="1">#REF!</definedName>
    <definedName name="BEx1M9DVXW1QKW4BT3H733BJ74CE" localSheetId="10" hidden="1">#REF!</definedName>
    <definedName name="BEx1M9DVXW1QKW4BT3H733BJ74CE" hidden="1">#REF!</definedName>
    <definedName name="BEx1MJVIWNE5X8L7TRVWT9WWEUBJ" localSheetId="2" hidden="1">#REF!</definedName>
    <definedName name="BEx1MJVIWNE5X8L7TRVWT9WWEUBJ" localSheetId="10" hidden="1">#REF!</definedName>
    <definedName name="BEx1MJVIWNE5X8L7TRVWT9WWEUBJ" hidden="1">#REF!</definedName>
    <definedName name="BEx1MMFAHNWB5B2QUWBELI39PCEY" hidden="1">'[18]Bud Mth'!$C$15:$D$29</definedName>
    <definedName name="BEx1MTRKKVCHOZ0YGID6HZ49LJTO" localSheetId="2" hidden="1">'[17]AMI P &amp; L'!#REF!</definedName>
    <definedName name="BEx1MTRKKVCHOZ0YGID6HZ49LJTO" localSheetId="10" hidden="1">'[17]AMI P &amp; L'!#REF!</definedName>
    <definedName name="BEx1MTRKKVCHOZ0YGID6HZ49LJTO" hidden="1">'[17]AMI P &amp; L'!#REF!</definedName>
    <definedName name="BEx1N0CYK8OCCI654CPSXGPO2B4B" localSheetId="2" hidden="1">#REF!</definedName>
    <definedName name="BEx1N0CYK8OCCI654CPSXGPO2B4B" localSheetId="10" hidden="1">#REF!</definedName>
    <definedName name="BEx1N0CYK8OCCI654CPSXGPO2B4B" hidden="1">#REF!</definedName>
    <definedName name="BEx1N3CUJ3UX61X38ZAJVPEN4KMC" hidden="1">'[16]Reco Sheet for Fcast'!$K$2</definedName>
    <definedName name="BEx1NM34KQTO1LDNSAFD1L82UZFG" hidden="1">'[16]Reco Sheet for Fcast'!$F$15</definedName>
    <definedName name="BEx1NO6TXZVOGCUWCCRTXRXWW0XL" hidden="1">'[16]Reco Sheet for Fcast'!$I$10:$J$10</definedName>
    <definedName name="BEx1NS8EU5P9FQV3S0WRTXI5L361" hidden="1">'[16]Reco Sheet for Fcast'!$F$7:$G$7</definedName>
    <definedName name="BEx1NUBX5VUYZFKQH69FN6BTLWCR" hidden="1">'[16]Reco Sheet for Fcast'!$I$7:$J$7</definedName>
    <definedName name="BEx1NZ4K1L8UON80Y2A4RASKWGNP" hidden="1">'[16]Reco Sheet for Fcast'!$F$15:$G$16</definedName>
    <definedName name="BEx1OLAZ915OGYWP0QP1QQWDLCRX" hidden="1">'[16]Reco Sheet for Fcast'!$I$6:$J$6</definedName>
    <definedName name="BEx1OO5ER042IS6IC4TLDI75JNVH" hidden="1">'[16]Reco Sheet for Fcast'!$G$2</definedName>
    <definedName name="BEx1ORG3LGKCPSRMVQ2O9REG2US8" localSheetId="2" hidden="1">#REF!</definedName>
    <definedName name="BEx1ORG3LGKCPSRMVQ2O9REG2US8" localSheetId="10" hidden="1">#REF!</definedName>
    <definedName name="BEx1ORG3LGKCPSRMVQ2O9REG2US8" hidden="1">#REF!</definedName>
    <definedName name="BEx1OTE54CBSUT8FWKRALEDCUWN4" hidden="1">'[16]Reco Sheet for Fcast'!$F$11:$G$11</definedName>
    <definedName name="BEx1OVSMPADTX95QUOX34KZQ8EDY" hidden="1">'[16]Reco Sheet for Fcast'!$I$11:$J$11</definedName>
    <definedName name="BEx1OX544IO9FQJI7YYQGZCEHB3O" hidden="1">'[16]Reco Sheet for Fcast'!$I$8:$J$8</definedName>
    <definedName name="BEx1OY6SVEUT2EQ26P7EKEND342G" hidden="1">'[16]Reco Sheet for Fcast'!$I$9:$J$9</definedName>
    <definedName name="BEx1OYN1LPIPI12O9G6F7QAOS9T4" hidden="1">'[16]Reco Sheet for Fcast'!$I$7:$J$7</definedName>
    <definedName name="BEx1P1HHKJA799O3YZXQAX6KFH58" hidden="1">'[16]Reco Sheet for Fcast'!$F$6:$G$6</definedName>
    <definedName name="BEx1P34W467WGPOXPK292QFJIPHJ" hidden="1">'[16]Reco Sheet for Fcast'!$H$2:$I$2</definedName>
    <definedName name="BEx1P34WRUTVZPX177UUQ9BT3Q9X" localSheetId="2" hidden="1">'[19]Capital orders'!#REF!</definedName>
    <definedName name="BEx1P34WRUTVZPX177UUQ9BT3Q9X" localSheetId="10" hidden="1">'[19]Capital orders'!#REF!</definedName>
    <definedName name="BEx1P34WRUTVZPX177UUQ9BT3Q9X" hidden="1">'[19]Capital orders'!#REF!</definedName>
    <definedName name="BEx1P7S1J4TKGVJ43C2Q2R3M9WRB" hidden="1">'[16]Reco Sheet for Fcast'!$I$6:$J$6</definedName>
    <definedName name="BEx1PA11BLPVZM8RC5BL46WX8YB5" hidden="1">'[16]Reco Sheet for Fcast'!$F$8:$G$8</definedName>
    <definedName name="BEx1PBZ4BEFIPGMQXT9T8S4PZ2IM" hidden="1">'[16]Reco Sheet for Fcast'!$F$10:$G$10</definedName>
    <definedName name="BEx1PLF2CFSXBZPVI6CJ534EIJDN" hidden="1">'[16]Reco Sheet for Fcast'!$I$8:$J$8</definedName>
    <definedName name="BEx1PMWZB2DO6EM9BKLUICZJ65HD" hidden="1">'[16]Reco Sheet for Fcast'!$I$10:$J$10</definedName>
    <definedName name="BEx1QA54J2A4I7IBQR19BTY28ZMR" hidden="1">'[16]Reco Sheet for Fcast'!$I$10:$J$10</definedName>
    <definedName name="BEx1QM4PKKBHXHR5BZ2NON028UYL" localSheetId="2" hidden="1">#REF!</definedName>
    <definedName name="BEx1QM4PKKBHXHR5BZ2NON028UYL" localSheetId="10" hidden="1">#REF!</definedName>
    <definedName name="BEx1QM4PKKBHXHR5BZ2NON028UYL" hidden="1">#REF!</definedName>
    <definedName name="BEx1QMQAHG3KQUK59DVM68SWKZIZ" hidden="1">'[16]Reco Sheet for Fcast'!$I$10:$J$10</definedName>
    <definedName name="BEx1R9YFKJCMSEST8OVCAO5E47FO" hidden="1">'[16]Reco Sheet for Fcast'!$F$9:$G$9</definedName>
    <definedName name="BEx1RBGC06B3T52OIC0EQ1KGVP1I" hidden="1">'[16]Reco Sheet for Fcast'!$F$10:$G$10</definedName>
    <definedName name="BEx1RHLLW599ZLQG0S5YT7QI63BA" localSheetId="2" hidden="1">'[19]Capital orders'!#REF!</definedName>
    <definedName name="BEx1RHLLW599ZLQG0S5YT7QI63BA" localSheetId="10" hidden="1">'[19]Capital orders'!#REF!</definedName>
    <definedName name="BEx1RHLLW599ZLQG0S5YT7QI63BA" hidden="1">'[19]Capital orders'!#REF!</definedName>
    <definedName name="BEx1RRC7X4NI1CU4EO5XYE2GVARJ" hidden="1">'[16]Reco Sheet for Fcast'!$I$11:$J$11</definedName>
    <definedName name="BEx1RZA1NCGT832L7EMR7GMF588W" hidden="1">'[16]Reco Sheet for Fcast'!$I$10:$J$10</definedName>
    <definedName name="BEx1S0XGIPUSZQUCSGWSK10GKW7Y" hidden="1">'[16]Reco Sheet for Fcast'!$F$8:$G$8</definedName>
    <definedName name="BEx1S3BSDAKCI9LVFYLTM3MJY3BE" localSheetId="2" hidden="1">'[19]Capital orders'!#REF!</definedName>
    <definedName name="BEx1S3BSDAKCI9LVFYLTM3MJY3BE" localSheetId="10" hidden="1">'[19]Capital orders'!#REF!</definedName>
    <definedName name="BEx1S3BSDAKCI9LVFYLTM3MJY3BE" hidden="1">'[19]Capital orders'!#REF!</definedName>
    <definedName name="BEx1S5VFNKIXHTTCWSV60UC50EZ8" hidden="1">'[16]Reco Sheet for Fcast'!$I$7:$J$7</definedName>
    <definedName name="BEx1SEKAWOQJB87D3XQKKK1S7Q7X" localSheetId="2" hidden="1">#REF!</definedName>
    <definedName name="BEx1SEKAWOQJB87D3XQKKK1S7Q7X" localSheetId="10" hidden="1">#REF!</definedName>
    <definedName name="BEx1SEKAWOQJB87D3XQKKK1S7Q7X" hidden="1">#REF!</definedName>
    <definedName name="BEx1SK3U02H0RGKEYXW7ZMCEOF3V" hidden="1">'[16]Reco Sheet for Fcast'!$E$2:$F$2</definedName>
    <definedName name="BEx1SSNEZINBJT29QVS62VS1THT4" hidden="1">'[16]Reco Sheet for Fcast'!$F$9:$G$9</definedName>
    <definedName name="BEx1STULPAG4G6PQYHP3DRYTPCHJ" localSheetId="2" hidden="1">'[19]Capital orders'!#REF!</definedName>
    <definedName name="BEx1STULPAG4G6PQYHP3DRYTPCHJ" localSheetId="10" hidden="1">'[19]Capital orders'!#REF!</definedName>
    <definedName name="BEx1STULPAG4G6PQYHP3DRYTPCHJ" hidden="1">'[19]Capital orders'!#REF!</definedName>
    <definedName name="BEx1SVNCHNANBJIDIQVB8AFK4HAN" localSheetId="2" hidden="1">'[17]AMI P &amp; L'!#REF!</definedName>
    <definedName name="BEx1SVNCHNANBJIDIQVB8AFK4HAN" localSheetId="10" hidden="1">'[17]AMI P &amp; L'!#REF!</definedName>
    <definedName name="BEx1SVNCHNANBJIDIQVB8AFK4HAN" hidden="1">'[17]AMI P &amp; L'!#REF!</definedName>
    <definedName name="BEx1TJ0WLS9O7KNSGIPWTYHDYI1D" localSheetId="2" hidden="1">'[17]AMI P &amp; L'!#REF!</definedName>
    <definedName name="BEx1TJ0WLS9O7KNSGIPWTYHDYI1D" localSheetId="10" hidden="1">'[17]AMI P &amp; L'!#REF!</definedName>
    <definedName name="BEx1TJ0WLS9O7KNSGIPWTYHDYI1D" hidden="1">'[17]AMI P &amp; L'!#REF!</definedName>
    <definedName name="BEx1TYR9YIVMD6E36LEX70E5H1UT" localSheetId="2" hidden="1">#REF!</definedName>
    <definedName name="BEx1TYR9YIVMD6E36LEX70E5H1UT" localSheetId="10" hidden="1">#REF!</definedName>
    <definedName name="BEx1TYR9YIVMD6E36LEX70E5H1UT" hidden="1">#REF!</definedName>
    <definedName name="BEx1U7WFO8OZKB1EBF4H386JW91L" hidden="1">'[16]Reco Sheet for Fcast'!$I$9:$J$9</definedName>
    <definedName name="BEx1U87938YR9N6HYI24KVBKLOS3" hidden="1">'[16]Reco Sheet for Fcast'!$G$2</definedName>
    <definedName name="BEx1UESH4KDWHYESQU2IE55RS3LI" hidden="1">'[16]Reco Sheet for Fcast'!$F$11:$G$11</definedName>
    <definedName name="BEx1UI8N9KTCPSOJ7RDW0T8UEBNP" hidden="1">'[16]Reco Sheet for Fcast'!$F$10:$G$10</definedName>
    <definedName name="BEx1UML0HHJFHA5TBOYQ24I3RV1W" hidden="1">'[16]Reco Sheet for Fcast'!$F$6:$G$6</definedName>
    <definedName name="BEx1UOOOMCXM376QJ65W95MJ4RT3" localSheetId="2" hidden="1">'[19]Capital orders'!#REF!</definedName>
    <definedName name="BEx1UOOOMCXM376QJ65W95MJ4RT3" localSheetId="10" hidden="1">'[19]Capital orders'!#REF!</definedName>
    <definedName name="BEx1UOOOMCXM376QJ65W95MJ4RT3" hidden="1">'[19]Capital orders'!#REF!</definedName>
    <definedName name="BEx1UUDIQPZ23XQ79GUL0RAWRSCK" hidden="1">'[16]Reco Sheet for Fcast'!$I$7:$J$7</definedName>
    <definedName name="BEx1V50N55N07Q5LD91VS9QF1WB6" localSheetId="2" hidden="1">#REF!</definedName>
    <definedName name="BEx1V50N55N07Q5LD91VS9QF1WB6" localSheetId="10" hidden="1">#REF!</definedName>
    <definedName name="BEx1V50N55N07Q5LD91VS9QF1WB6" hidden="1">#REF!</definedName>
    <definedName name="BEx1V67SEV778NVW68J8W5SND1J7" hidden="1">'[16]Reco Sheet for Fcast'!$I$9:$J$9</definedName>
    <definedName name="BEx1VIY9SQLRESD11CC4PHYT0XSG" hidden="1">'[16]Reco Sheet for Fcast'!$H$2:$I$2</definedName>
    <definedName name="BEx1WC67EH10SC38QWX3WEA5KH3A" hidden="1">'[16]Reco Sheet for Fcast'!$F$10:$G$10</definedName>
    <definedName name="BEx1WGYTKZZIPM1577W5FEYKFH3V" hidden="1">'[16]Reco Sheet for Fcast'!$F$15:$J$123</definedName>
    <definedName name="BEx1WHPURIV3D3PTJJ359H1OP7ZV" localSheetId="2" hidden="1">'[17]AMI P &amp; L'!#REF!</definedName>
    <definedName name="BEx1WHPURIV3D3PTJJ359H1OP7ZV" localSheetId="10" hidden="1">'[17]AMI P &amp; L'!#REF!</definedName>
    <definedName name="BEx1WHPURIV3D3PTJJ359H1OP7ZV" hidden="1">'[17]AMI P &amp; L'!#REF!</definedName>
    <definedName name="BEx1WLWY2CR1WRD694JJSWSDFAIR" hidden="1">'[16]Reco Sheet for Fcast'!$I$7:$J$7</definedName>
    <definedName name="BEx1WMD1LWPWRIK6GGAJRJAHJM8I" hidden="1">'[16]Reco Sheet for Fcast'!$I$10:$J$10</definedName>
    <definedName name="BEx1WR0D41MR174LBF3P9E3K0J51" hidden="1">'[16]Reco Sheet for Fcast'!$F$7:$G$7</definedName>
    <definedName name="BEx1WUB1FAS5PHU33TJ60SUHR618" hidden="1">'[16]Reco Sheet for Fcast'!$I$8:$J$8</definedName>
    <definedName name="BEx1WX04G0INSPPG9NTNR3DYR6PZ" hidden="1">'[16]Reco Sheet for Fcast'!$I$11:$J$11</definedName>
    <definedName name="BEx1X3LHU9DPG01VWX2IF65TRATF" hidden="1">'[16]Reco Sheet for Fcast'!$F$8:$G$8</definedName>
    <definedName name="BEx1XK8AAMO0AH0Z1OUKW30CA7EQ" hidden="1">'[16]Reco Sheet for Fcast'!$H$2:$I$2</definedName>
    <definedName name="BEx1XL4MZ7C80495GHQRWOBS16PQ" hidden="1">'[16]Reco Sheet for Fcast'!$F$6:$G$6</definedName>
    <definedName name="BEx1XYBEF60AUNIQ381B562NLYEL" localSheetId="2" hidden="1">#REF!</definedName>
    <definedName name="BEx1XYBEF60AUNIQ381B562NLYEL" localSheetId="10" hidden="1">#REF!</definedName>
    <definedName name="BEx1XYBEF60AUNIQ381B562NLYEL" hidden="1">#REF!</definedName>
    <definedName name="BEx1Y2IGS2K95E1M51PEF9KJZ0KB" hidden="1">'[16]Reco Sheet for Fcast'!$F$15</definedName>
    <definedName name="BEx1Y3PKK83X2FN9SAALFHOWKMRQ" hidden="1">'[16]Reco Sheet for Fcast'!$F$9:$G$9</definedName>
    <definedName name="BEx1YL3DJ7Y4AZ01ERCOGW0FJ26T" localSheetId="2" hidden="1">'[17]AMI P &amp; L'!#REF!</definedName>
    <definedName name="BEx1YL3DJ7Y4AZ01ERCOGW0FJ26T" localSheetId="10" hidden="1">'[17]AMI P &amp; L'!#REF!</definedName>
    <definedName name="BEx1YL3DJ7Y4AZ01ERCOGW0FJ26T" hidden="1">'[17]AMI P &amp; L'!#REF!</definedName>
    <definedName name="BEx1Z2RYHSVD1H37817SN93VMURZ" hidden="1">'[16]Reco Sheet for Fcast'!$F$7:$G$7</definedName>
    <definedName name="BEx3AMAKWI6458B67VKZO56MCNJW" hidden="1">'[16]Reco Sheet for Fcast'!$H$2:$I$2</definedName>
    <definedName name="BEx3AOOVM42G82TNF53W0EKXLUSI" localSheetId="2" hidden="1">'[17]AMI P &amp; L'!#REF!</definedName>
    <definedName name="BEx3AOOVM42G82TNF53W0EKXLUSI" localSheetId="10" hidden="1">'[17]AMI P &amp; L'!#REF!</definedName>
    <definedName name="BEx3AOOVM42G82TNF53W0EKXLUSI" hidden="1">'[17]AMI P &amp; L'!#REF!</definedName>
    <definedName name="BEx3APL8D18BCFDD4AZK12WFXA67" hidden="1">'[16]Reco Sheet for Fcast'!$G$2:$H$2</definedName>
    <definedName name="BEx3AZH9W4SUFCAHNDOQ728R9V4L" hidden="1">'[16]Reco Sheet for Fcast'!$F$6:$G$6</definedName>
    <definedName name="BEx3BNR9ES4KY7Q1DK83KC5NDGL8" hidden="1">'[16]Reco Sheet for Fcast'!$E$2:$F$2</definedName>
    <definedName name="BEx3BQR5VZXNQ4H949ORM8ESU3B3" localSheetId="2" hidden="1">'[17]AMI P &amp; L'!#REF!</definedName>
    <definedName name="BEx3BQR5VZXNQ4H949ORM8ESU3B3" localSheetId="10" hidden="1">'[17]AMI P &amp; L'!#REF!</definedName>
    <definedName name="BEx3BQR5VZXNQ4H949ORM8ESU3B3" hidden="1">'[17]AMI P &amp; L'!#REF!</definedName>
    <definedName name="BEx3BTLL3ASJN134DLEQTQM70VZM" hidden="1">'[16]Reco Sheet for Fcast'!$F$6:$G$6</definedName>
    <definedName name="BEx3BW5CTV0DJU5AQS3ZQFK2VLF3" hidden="1">'[16]Reco Sheet for Fcast'!$I$8:$J$8</definedName>
    <definedName name="BEx3BYP0FG369M7G3JEFLMMXAKTS" hidden="1">'[16]Reco Sheet for Fcast'!$F$9:$G$9</definedName>
    <definedName name="BEx3C2QR0WUD19QSVO8EMIPNQJKH" hidden="1">'[16]Reco Sheet for Fcast'!$F$7:$G$7</definedName>
    <definedName name="BEx3CKFCCPZZ6ROLAT5C1DZNIC1U" hidden="1">'[16]Reco Sheet for Fcast'!$H$2:$I$2</definedName>
    <definedName name="BEx3CO0SVO4WLH0DO43DCHYDTH1P" hidden="1">'[16]Reco Sheet for Fcast'!$F$15</definedName>
    <definedName name="BEx3CP7ZOFGLSCYTIG9VMZOBZ5BQ" localSheetId="2" hidden="1">#REF!</definedName>
    <definedName name="BEx3CP7ZOFGLSCYTIG9VMZOBZ5BQ" localSheetId="10" hidden="1">#REF!</definedName>
    <definedName name="BEx3CP7ZOFGLSCYTIG9VMZOBZ5BQ" hidden="1">#REF!</definedName>
    <definedName name="BEx3D9G6QTSPF9UYI4X0XY0VE896" hidden="1">'[16]Reco Sheet for Fcast'!$F$6:$G$6</definedName>
    <definedName name="BEx3DCQU9PBRXIMLO62KS5RLH447" hidden="1">'[16]Reco Sheet for Fcast'!$I$11:$J$11</definedName>
    <definedName name="BEx3DZDFGLYD8RLUYGMKDC4PRP04" hidden="1">'[16]Reco Sheet for Fcast'!$G$2:$H$2</definedName>
    <definedName name="BEx3EF99FD6QNNCNOKDEE67JHTUJ" hidden="1">'[16]Reco Sheet for Fcast'!$I$9:$J$9</definedName>
    <definedName name="BEx3EHCSERZ2O2OAG8Y95UPG2IY9" localSheetId="2" hidden="1">'[17]AMI P &amp; L'!#REF!</definedName>
    <definedName name="BEx3EHCSERZ2O2OAG8Y95UPG2IY9" localSheetId="10" hidden="1">'[17]AMI P &amp; L'!#REF!</definedName>
    <definedName name="BEx3EHCSERZ2O2OAG8Y95UPG2IY9" hidden="1">'[17]AMI P &amp; L'!#REF!</definedName>
    <definedName name="BEx3EJR3TCJDYS7ZXNDS5N9KTGIK" hidden="1">'[16]Reco Sheet for Fcast'!$F$8:$G$8</definedName>
    <definedName name="BEx3ELJTTBS6P05CNISMGOJOA60V" hidden="1">'[16]Reco Sheet for Fcast'!$I$9:$J$9</definedName>
    <definedName name="BEx3EQSLJBDDJRHNX19PBFCKNY2I" hidden="1">'[16]Reco Sheet for Fcast'!$F$11:$G$11</definedName>
    <definedName name="BEx3EUUAX947Q5N6MY6W0KSNY78Y" hidden="1">'[16]Reco Sheet for Fcast'!$I$7:$J$7</definedName>
    <definedName name="BEx3FERRE7HC84YCYRFTW3IGBJS0" localSheetId="2" hidden="1">#REF!</definedName>
    <definedName name="BEx3FERRE7HC84YCYRFTW3IGBJS0" localSheetId="10" hidden="1">#REF!</definedName>
    <definedName name="BEx3FERRE7HC84YCYRFTW3IGBJS0" hidden="1">#REF!</definedName>
    <definedName name="BEx3FHMD1P5XBCH23ZKIFO6ZTCNB" hidden="1">'[16]Reco Sheet for Fcast'!$I$6:$J$6</definedName>
    <definedName name="BEx3FI2G3YYIACQHXNXEA15M8ZK5" hidden="1">'[16]Reco Sheet for Fcast'!$F$11:$G$11</definedName>
    <definedName name="BEx3FJ9MHSLDK8W91GO85FX1GX57" hidden="1">'[16]Reco Sheet for Fcast'!$F$8:$G$8</definedName>
    <definedName name="BEx3FR251HFU7A33PU01SJUENL2B" hidden="1">'[16]Reco Sheet for Fcast'!$K$2</definedName>
    <definedName name="BEx3FX7EJL47JSLSWP3EOC265WAE" localSheetId="2" hidden="1">'[17]AMI P &amp; L'!#REF!</definedName>
    <definedName name="BEx3FX7EJL47JSLSWP3EOC265WAE" localSheetId="10" hidden="1">'[17]AMI P &amp; L'!#REF!</definedName>
    <definedName name="BEx3FX7EJL47JSLSWP3EOC265WAE" hidden="1">'[17]AMI P &amp; L'!#REF!</definedName>
    <definedName name="BEx3FZG91H1CY5ASLHP4YHKREYG9" localSheetId="2" hidden="1">#REF!</definedName>
    <definedName name="BEx3FZG91H1CY5ASLHP4YHKREYG9" localSheetId="10" hidden="1">#REF!</definedName>
    <definedName name="BEx3FZG91H1CY5ASLHP4YHKREYG9" hidden="1">#REF!</definedName>
    <definedName name="BEx3G201R8NLJ6FIHO2QS0SW9QVV" hidden="1">'[16]Reco Sheet for Fcast'!$H$2:$I$2</definedName>
    <definedName name="BEx3G2LL2II66XY5YCDPG4JE13A3" hidden="1">'[16]Reco Sheet for Fcast'!$F$9:$G$9</definedName>
    <definedName name="BEx3G2WA0DTYY9D8AGHHOBTPE2B2" hidden="1">'[16]Reco Sheet for Fcast'!$F$7:$G$7</definedName>
    <definedName name="BEx3GCXR6IAS0B6WJ03GJVH7CO52" hidden="1">'[16]Reco Sheet for Fcast'!$F$15</definedName>
    <definedName name="BEx3GEVV18SEQDI1JGY7EN6D1GT1" localSheetId="2" hidden="1">'[17]AMI P &amp; L'!#REF!</definedName>
    <definedName name="BEx3GEVV18SEQDI1JGY7EN6D1GT1" localSheetId="10" hidden="1">'[17]AMI P &amp; L'!#REF!</definedName>
    <definedName name="BEx3GEVV18SEQDI1JGY7EN6D1GT1" hidden="1">'[17]AMI P &amp; L'!#REF!</definedName>
    <definedName name="BEx3GKFH64MKQX61S7DYTZ15JCPY" hidden="1">'[16]Reco Sheet for Fcast'!$G$2</definedName>
    <definedName name="BEx3GMJ1Y6UU02DLRL0QXCEKDA6C" localSheetId="2" hidden="1">'[17]AMI P &amp; L'!#REF!</definedName>
    <definedName name="BEx3GMJ1Y6UU02DLRL0QXCEKDA6C" localSheetId="10" hidden="1">'[17]AMI P &amp; L'!#REF!</definedName>
    <definedName name="BEx3GMJ1Y6UU02DLRL0QXCEKDA6C" hidden="1">'[17]AMI P &amp; L'!#REF!</definedName>
    <definedName name="BEx3GN4LY0135CBDIN1TU2UEODGF" hidden="1">'[16]Reco Sheet for Fcast'!$I$10:$J$10</definedName>
    <definedName name="BEx3GPDH2AH4QKT4OOSN563XUHBD" hidden="1">'[16]Reco Sheet for Fcast'!$I$9:$J$9</definedName>
    <definedName name="BEx3H0RFPKED2NN6LBYFK5P5HLK6" hidden="1">'[16]Reco Sheet for Fcast'!$I$6:$J$6</definedName>
    <definedName name="BEx3H5UX2GZFZZT657YR76RHW5I6" localSheetId="2" hidden="1">'[17]AMI P &amp; L'!#REF!</definedName>
    <definedName name="BEx3H5UX2GZFZZT657YR76RHW5I6" localSheetId="10" hidden="1">'[17]AMI P &amp; L'!#REF!</definedName>
    <definedName name="BEx3H5UX2GZFZZT657YR76RHW5I6" hidden="1">'[17]AMI P &amp; L'!#REF!</definedName>
    <definedName name="BEx3HA1YAMCT0GK89031ZWXQ3VK3" localSheetId="2" hidden="1">#REF!</definedName>
    <definedName name="BEx3HA1YAMCT0GK89031ZWXQ3VK3" localSheetId="10" hidden="1">#REF!</definedName>
    <definedName name="BEx3HA1YAMCT0GK89031ZWXQ3VK3" hidden="1">#REF!</definedName>
    <definedName name="BEx3HJ1MIYFNI7Y25LLE6AGZ52U2" localSheetId="2" hidden="1">'[19]Capital orders'!#REF!</definedName>
    <definedName name="BEx3HJ1MIYFNI7Y25LLE6AGZ52U2" localSheetId="10" hidden="1">'[19]Capital orders'!#REF!</definedName>
    <definedName name="BEx3HJ1MIYFNI7Y25LLE6AGZ52U2" hidden="1">'[19]Capital orders'!#REF!</definedName>
    <definedName name="BEx3HMN4HBR0MZ546XIBTOE5PHAT" localSheetId="2" hidden="1">'[19]Capital orders'!#REF!</definedName>
    <definedName name="BEx3HMN4HBR0MZ546XIBTOE5PHAT" localSheetId="10" hidden="1">'[19]Capital orders'!#REF!</definedName>
    <definedName name="BEx3HMN4HBR0MZ546XIBTOE5PHAT" hidden="1">'[19]Capital orders'!#REF!</definedName>
    <definedName name="BEx3HMSEFOP6DBM4R97XA6B7NFG6" hidden="1">'[16]Reco Sheet for Fcast'!$F$8:$G$8</definedName>
    <definedName name="BEx3HOQN57QKFWCTSFFBV19FE17U" localSheetId="2" hidden="1">'[19]Capital orders'!#REF!</definedName>
    <definedName name="BEx3HOQN57QKFWCTSFFBV19FE17U" localSheetId="10" hidden="1">'[19]Capital orders'!#REF!</definedName>
    <definedName name="BEx3HOQN57QKFWCTSFFBV19FE17U" hidden="1">'[19]Capital orders'!#REF!</definedName>
    <definedName name="BEx3HWJ5SQSD2CVCQNR183X44FR8" hidden="1">'[16]Reco Sheet for Fcast'!$H$2:$I$2</definedName>
    <definedName name="BEx3I09YVXO0G4X7KGSA4WGORM35" hidden="1">'[16]Reco Sheet for Fcast'!$F$6:$G$6</definedName>
    <definedName name="BEx3ICF1GY8HQEBIU9S43PDJ90BX" hidden="1">'[16]Reco Sheet for Fcast'!$F$6:$G$6</definedName>
    <definedName name="BEx3IYAH2DEBFWO8F94H4MXE3RLY" localSheetId="2" hidden="1">'[17]AMI P &amp; L'!#REF!</definedName>
    <definedName name="BEx3IYAH2DEBFWO8F94H4MXE3RLY" localSheetId="10" hidden="1">'[17]AMI P &amp; L'!#REF!</definedName>
    <definedName name="BEx3IYAH2DEBFWO8F94H4MXE3RLY" hidden="1">'[17]AMI P &amp; L'!#REF!</definedName>
    <definedName name="BEx3IZXXSYEW50379N2EAFWO8DZV" localSheetId="2" hidden="1">'[17]AMI P &amp; L'!#REF!</definedName>
    <definedName name="BEx3IZXXSYEW50379N2EAFWO8DZV" localSheetId="10" hidden="1">'[17]AMI P &amp; L'!#REF!</definedName>
    <definedName name="BEx3IZXXSYEW50379N2EAFWO8DZV" hidden="1">'[17]AMI P &amp; L'!#REF!</definedName>
    <definedName name="BEx3J1VZVGTKT4ATPO9O5JCSFTTR" hidden="1">'[16]Reco Sheet for Fcast'!$I$9:$J$9</definedName>
    <definedName name="BEx3JC2TY7JNAAC3L7QHVPQXLGQ8" hidden="1">'[16]Reco Sheet for Fcast'!$I$11:$J$11</definedName>
    <definedName name="BEx3JIYZIVBGXQG29MDJG53D99D8" hidden="1">'[16]Reco Sheet for Fcast'!$L$6:$M$10</definedName>
    <definedName name="BEx3JX23SYDIGOGM4Y0CQFBW8ZBV" hidden="1">'[16]Reco Sheet for Fcast'!$F$8:$G$8</definedName>
    <definedName name="BEx3JXCXCVBZJGV5VEG9MJEI01AL" hidden="1">'[16]Reco Sheet for Fcast'!$I$7:$J$7</definedName>
    <definedName name="BEx3JYK2N7X59TPJSKYZ77ENY8SS" hidden="1">'[16]Reco Sheet for Fcast'!$I$6:$J$6</definedName>
    <definedName name="BEx3K4EII7GU1CG0BN7UL15M6J8Z" localSheetId="2" hidden="1">'[17]AMI P &amp; L'!#REF!</definedName>
    <definedName name="BEx3K4EII7GU1CG0BN7UL15M6J8Z" localSheetId="10" hidden="1">'[17]AMI P &amp; L'!#REF!</definedName>
    <definedName name="BEx3K4EII7GU1CG0BN7UL15M6J8Z" hidden="1">'[17]AMI P &amp; L'!#REF!</definedName>
    <definedName name="BEx3K4ZXQUQ2KYZF74B84SO48XMW" hidden="1">'[16]Reco Sheet for Fcast'!$I$9:$J$9</definedName>
    <definedName name="BEx3KEFXUCVNVPH7KSEGAZYX13B5" hidden="1">'[16]Reco Sheet for Fcast'!$F$6:$G$6</definedName>
    <definedName name="BEx3KFXUAF6YXAA47B7Q6X9B3VGB" hidden="1">'[16]Reco Sheet for Fcast'!$I$10:$J$10</definedName>
    <definedName name="BEx3KHFTUPUPZJH4ER0RQ5CMQ7ZC" localSheetId="2" hidden="1">#REF!</definedName>
    <definedName name="BEx3KHFTUPUPZJH4ER0RQ5CMQ7ZC" localSheetId="10" hidden="1">#REF!</definedName>
    <definedName name="BEx3KHFTUPUPZJH4ER0RQ5CMQ7ZC" hidden="1">#REF!</definedName>
    <definedName name="BEx3KIXQYOGMPK4WJJAVBRX4NR28" localSheetId="2" hidden="1">'[17]AMI P &amp; L'!#REF!</definedName>
    <definedName name="BEx3KIXQYOGMPK4WJJAVBRX4NR28" localSheetId="10" hidden="1">'[17]AMI P &amp; L'!#REF!</definedName>
    <definedName name="BEx3KIXQYOGMPK4WJJAVBRX4NR28" hidden="1">'[17]AMI P &amp; L'!#REF!</definedName>
    <definedName name="BEx3KJOMVOSFZVJUL3GKCNP6DQDS" hidden="1">'[16]Reco Sheet for Fcast'!$F$6:$G$6</definedName>
    <definedName name="BEx3KP2VRBMORK0QEAZUYCXL3DHJ" hidden="1">'[16]Reco Sheet for Fcast'!$I$6:$J$6</definedName>
    <definedName name="BEx3L4IN3LI4C26SITKTGAH27CDU" hidden="1">'[16]Reco Sheet for Fcast'!$F$15</definedName>
    <definedName name="BEx3L4YQ0J7ZU0M5QM6YIPCEYC9K" localSheetId="2" hidden="1">'[17]AMI P &amp; L'!#REF!</definedName>
    <definedName name="BEx3L4YQ0J7ZU0M5QM6YIPCEYC9K" localSheetId="10" hidden="1">'[17]AMI P &amp; L'!#REF!</definedName>
    <definedName name="BEx3L4YQ0J7ZU0M5QM6YIPCEYC9K" hidden="1">'[17]AMI P &amp; L'!#REF!</definedName>
    <definedName name="BEx3L60DJOR7NQN42G7YSAODP1EX" hidden="1">'[16]Reco Sheet for Fcast'!$I$7:$J$7</definedName>
    <definedName name="BEx3L7D0PI38HWZ7VADU16C9E33D" hidden="1">'[16]Reco Sheet for Fcast'!$I$7:$J$7</definedName>
    <definedName name="BEx3LLANOTINBHAJ3AOID9T7Y05X" localSheetId="2" hidden="1">#REF!</definedName>
    <definedName name="BEx3LLANOTINBHAJ3AOID9T7Y05X" localSheetId="10" hidden="1">#REF!</definedName>
    <definedName name="BEx3LLANOTINBHAJ3AOID9T7Y05X" hidden="1">#REF!</definedName>
    <definedName name="BEx3LM1PR4Y7KINKMTMKR984GX8Q" hidden="1">'[16]Reco Sheet for Fcast'!$I$8:$J$8</definedName>
    <definedName name="BEx3LPCEZ1C0XEKNCM3YT09JWCUO" hidden="1">'[16]Reco Sheet for Fcast'!$I$10:$J$10</definedName>
    <definedName name="BEx3M1BZ3GQC6D7YTGDIT0JUJ9EC" localSheetId="2" hidden="1">#REF!</definedName>
    <definedName name="BEx3M1BZ3GQC6D7YTGDIT0JUJ9EC" localSheetId="10" hidden="1">#REF!</definedName>
    <definedName name="BEx3M1BZ3GQC6D7YTGDIT0JUJ9EC" hidden="1">#REF!</definedName>
    <definedName name="BEx3M1MR1K1NQD03H74BFWOK4MWQ" hidden="1">'[16]Reco Sheet for Fcast'!$F$15</definedName>
    <definedName name="BEx3M4H77MYUKOOD31H9F80NMVK8" hidden="1">'[16]Reco Sheet for Fcast'!$H$2:$I$2</definedName>
    <definedName name="BEx3M9VFX329PZWYC4DMZ6P3W9R2" hidden="1">'[16]Reco Sheet for Fcast'!$F$8:$G$8</definedName>
    <definedName name="BEx3MCQ0VEBV0CZXDS505L38EQ8N" hidden="1">'[16]Reco Sheet for Fcast'!$I$11:$J$11</definedName>
    <definedName name="BEx3MEYV5LQY0BAL7V3CFAFVOM3T" hidden="1">'[16]Reco Sheet for Fcast'!$I$9:$J$9</definedName>
    <definedName name="BEx3MREOFWJQEYMCMBL7ZE06NBN6" hidden="1">'[16]Reco Sheet for Fcast'!$G$2</definedName>
    <definedName name="BEx3MSAX474ABZKYQ7WBYQI19FN1" localSheetId="2" hidden="1">#REF!</definedName>
    <definedName name="BEx3MSAX474ABZKYQ7WBYQI19FN1" localSheetId="10" hidden="1">#REF!</definedName>
    <definedName name="BEx3MSAX474ABZKYQ7WBYQI19FN1" hidden="1">#REF!</definedName>
    <definedName name="BEx3N9JDP50MA4MMRXI6DO38SIEQ" localSheetId="2" hidden="1">#REF!</definedName>
    <definedName name="BEx3N9JDP50MA4MMRXI6DO38SIEQ" localSheetId="10" hidden="1">#REF!</definedName>
    <definedName name="BEx3N9JDP50MA4MMRXI6DO38SIEQ" hidden="1">#REF!</definedName>
    <definedName name="BEx3NBS83TP04EO9LQWM9XWO1JEV" localSheetId="2" hidden="1">'[19]Capital orders'!#REF!</definedName>
    <definedName name="BEx3NBS83TP04EO9LQWM9XWO1JEV" localSheetId="10" hidden="1">'[19]Capital orders'!#REF!</definedName>
    <definedName name="BEx3NBS83TP04EO9LQWM9XWO1JEV" hidden="1">'[19]Capital orders'!#REF!</definedName>
    <definedName name="BEx3NLIZ7PHF2XE59ECZ3MD04ZG1" hidden="1">'[16]Reco Sheet for Fcast'!$F$6:$G$6</definedName>
    <definedName name="BEx3NMQ4BVC94728AUM7CCX7UHTU" hidden="1">'[16]Reco Sheet for Fcast'!$F$15</definedName>
    <definedName name="BEx3NR2I4OUFP3Z2QZEDU2PIFIDI" hidden="1">'[16]Reco Sheet for Fcast'!$F$10:$G$10</definedName>
    <definedName name="BEx3O19B8FTTAPVT5DZXQGQXWFR8" hidden="1">'[16]Reco Sheet for Fcast'!$F$15</definedName>
    <definedName name="BEx3O37KIVMTEXDNBMSQLK0KFCF6" localSheetId="2" hidden="1">#REF!</definedName>
    <definedName name="BEx3O37KIVMTEXDNBMSQLK0KFCF6" localSheetId="10" hidden="1">#REF!</definedName>
    <definedName name="BEx3O37KIVMTEXDNBMSQLK0KFCF6" hidden="1">#REF!</definedName>
    <definedName name="BEx3O85IKWARA6NCJOLRBRJFMEWW" localSheetId="2" hidden="1">'[17]AMI P &amp; L'!#REF!</definedName>
    <definedName name="BEx3O85IKWARA6NCJOLRBRJFMEWW" localSheetId="10" hidden="1">'[17]AMI P &amp; L'!#REF!</definedName>
    <definedName name="BEx3O85IKWARA6NCJOLRBRJFMEWW" hidden="1">'[17]AMI P &amp; L'!#REF!</definedName>
    <definedName name="BEx3OJZSCGFRW7SVGBFI0X9DNVMM" hidden="1">'[16]Reco Sheet for Fcast'!$H$2:$I$2</definedName>
    <definedName name="BEx3ORSBUXAF21MKEY90YJV9AY9A" hidden="1">'[16]Reco Sheet for Fcast'!$G$2:$H$2</definedName>
    <definedName name="BEx3OV8BH6PYNZT7C246LOAU9SVX" hidden="1">'[16]Reco Sheet for Fcast'!$F$9:$G$9</definedName>
    <definedName name="BEx3OVDR9BY1SBRX3I92LJ228GPZ" localSheetId="2" hidden="1">#REF!</definedName>
    <definedName name="BEx3OVDR9BY1SBRX3I92LJ228GPZ" localSheetId="10" hidden="1">#REF!</definedName>
    <definedName name="BEx3OVDR9BY1SBRX3I92LJ228GPZ" hidden="1">#REF!</definedName>
    <definedName name="BEx3OXRYJZUEY6E72UJU0PHLMYAR" hidden="1">'[16]Reco Sheet for Fcast'!$F$7:$G$7</definedName>
    <definedName name="BEx3P59TTRSGQY888P5C1O7M2PQT" hidden="1">'[16]Reco Sheet for Fcast'!$F$7:$G$7</definedName>
    <definedName name="BEx3PDNRRNKD5GOUBUQFXAHIXLD9" hidden="1">'[16]Reco Sheet for Fcast'!$I$6:$J$6</definedName>
    <definedName name="BEx3PDT8GNPWLLN02IH1XPV90XYK" hidden="1">'[16]Reco Sheet for Fcast'!$F$7:$G$7</definedName>
    <definedName name="BEx3PKEMDW8KZEP11IL927C5O7I2" hidden="1">'[16]Reco Sheet for Fcast'!$F$15</definedName>
    <definedName name="BEx3PKJZ1Z7L9S6KV8KXVS6B2FX4" hidden="1">'[16]Reco Sheet for Fcast'!$I$10:$J$10</definedName>
    <definedName name="BEx3PMNG53Z5HY138H99QOMTX8W3" hidden="1">'[16]Reco Sheet for Fcast'!$I$6:$J$6</definedName>
    <definedName name="BEx3PP1RRSFZ8UC0JC9R91W6LNKW" hidden="1">'[16]Reco Sheet for Fcast'!$I$7:$J$7</definedName>
    <definedName name="BEx3PVXYZC8WB9ZJE7OCKUXZ46EA" hidden="1">'[16]Reco Sheet for Fcast'!$H$2:$I$2</definedName>
    <definedName name="BEx3Q0VWPU5EQECK7MQ47TYJ3SWW" hidden="1">'[16]Reco Sheet for Fcast'!$F$15</definedName>
    <definedName name="BEx3Q5U1E8DSCYITLNZG4FG813OR" localSheetId="2" hidden="1">'[19]Capital orders'!#REF!</definedName>
    <definedName name="BEx3Q5U1E8DSCYITLNZG4FG813OR" localSheetId="10" hidden="1">'[19]Capital orders'!#REF!</definedName>
    <definedName name="BEx3Q5U1E8DSCYITLNZG4FG813OR" hidden="1">'[19]Capital orders'!#REF!</definedName>
    <definedName name="BEx3Q7BZ9PUXK2RLIOFSIS9AHU1B" hidden="1">'[16]Reco Sheet for Fcast'!$F$9:$G$9</definedName>
    <definedName name="BEx3Q8J42S9VU6EAN2Y28MR6DF88" hidden="1">'[16]Reco Sheet for Fcast'!$I$9:$J$9</definedName>
    <definedName name="BEx3QEDFOYFY5NBTININ5W4RLD4Q" hidden="1">'[16]Reco Sheet for Fcast'!$F$11:$G$11</definedName>
    <definedName name="BEx3QIKJ3U962US1Q564NZDLU8LD" hidden="1">'[16]Reco Sheet for Fcast'!$F$6:$G$6</definedName>
    <definedName name="BEx3QOEY7IL4PZNO1XW0Q5KZ3BPA" hidden="1">'[16]Reco Sheet for Fcast'!$O$6:$P$10</definedName>
    <definedName name="BEx3QPGNBFAPHNWN14HP5HGBZUHY" localSheetId="2" hidden="1">#REF!</definedName>
    <definedName name="BEx3QPGNBFAPHNWN14HP5HGBZUHY" localSheetId="10" hidden="1">#REF!</definedName>
    <definedName name="BEx3QPGNBFAPHNWN14HP5HGBZUHY" hidden="1">#REF!</definedName>
    <definedName name="BEx3QR9D45DHW50VQ7Y3Q1AXPOB9" hidden="1">'[16]Reco Sheet for Fcast'!$F$10:$G$10</definedName>
    <definedName name="BEx3QSWT2S5KWG6U2V9711IYDQBM" hidden="1">'[16]Reco Sheet for Fcast'!$K$2</definedName>
    <definedName name="BEx3QVGG7Q2X4HZHJAM35A8T3VR7" hidden="1">'[16]Reco Sheet for Fcast'!$I$9:$J$9</definedName>
    <definedName name="BEx3R0JUB9YN8PHPPQTAMIT1IHWK" hidden="1">'[16]Reco Sheet for Fcast'!$F$10:$G$10</definedName>
    <definedName name="BEx3R6JNDZ5SKLXPE4E8AGJCT6XV" hidden="1">'[18]Bud Mth'!$I$10:$J$10</definedName>
    <definedName name="BEx3R81NFRO7M81VHVKOBFT0QBIL" hidden="1">'[16]Reco Sheet for Fcast'!$I$11:$J$11</definedName>
    <definedName name="BEx3RHC2ZD5UFS6QD4OPFCNNMWH1" localSheetId="2" hidden="1">'[17]AMI P &amp; L'!#REF!</definedName>
    <definedName name="BEx3RHC2ZD5UFS6QD4OPFCNNMWH1" localSheetId="10" hidden="1">'[17]AMI P &amp; L'!#REF!</definedName>
    <definedName name="BEx3RHC2ZD5UFS6QD4OPFCNNMWH1" hidden="1">'[17]AMI P &amp; L'!#REF!</definedName>
    <definedName name="BEx3RQ10QIWBAPHALAA91BUUCM2X" hidden="1">'[16]Reco Sheet for Fcast'!$H$2:$I$2</definedName>
    <definedName name="BEx3RV4E1WT43SZBUN09RTB8EK1O" hidden="1">'[16]Reco Sheet for Fcast'!$F$6:$G$6</definedName>
    <definedName name="BEx3RXYU0QLFXSFTM5EB20GD03W5" hidden="1">'[16]Reco Sheet for Fcast'!$I$6:$J$6</definedName>
    <definedName name="BEx3RYKLC3QQO3XTUN7BEW2AQL98" hidden="1">'[16]Reco Sheet for Fcast'!$F$6:$G$6</definedName>
    <definedName name="BEx3S6YJ4FSE6L232EC7JMBHL9LG" localSheetId="2" hidden="1">'[19]Capital orders'!#REF!</definedName>
    <definedName name="BEx3S6YJ4FSE6L232EC7JMBHL9LG" localSheetId="10" hidden="1">'[19]Capital orders'!#REF!</definedName>
    <definedName name="BEx3S6YJ4FSE6L232EC7JMBHL9LG" hidden="1">'[19]Capital orders'!#REF!</definedName>
    <definedName name="BEx3SICJ45BYT6FHBER86PJT25FC" hidden="1">'[16]Reco Sheet for Fcast'!$I$11:$J$11</definedName>
    <definedName name="BEx3SMUCMJVGQ2H4EHQI5ZFHEF0P" hidden="1">'[16]Reco Sheet for Fcast'!$F$7:$G$7</definedName>
    <definedName name="BEx3SN56F03CPDRDA7LZ763V0N4I" hidden="1">'[16]Reco Sheet for Fcast'!$F$10:$G$10</definedName>
    <definedName name="BEx3SPE6N1ORXPRCDL3JPZD73Z9F" hidden="1">'[16]Reco Sheet for Fcast'!$F$10:$G$10</definedName>
    <definedName name="BEx3T29ZTULQE0OMSMWUMZDU9ZZ0" hidden="1">'[16]Reco Sheet for Fcast'!$F$9:$G$9</definedName>
    <definedName name="BEx3T2FG1ZY4WZBQSPCTC91YU2YJ" localSheetId="2" hidden="1">#REF!</definedName>
    <definedName name="BEx3T2FG1ZY4WZBQSPCTC91YU2YJ" localSheetId="10" hidden="1">#REF!</definedName>
    <definedName name="BEx3T2FG1ZY4WZBQSPCTC91YU2YJ" hidden="1">#REF!</definedName>
    <definedName name="BEx3T6H1GANMM2I05ZEVPCP6MRU2" localSheetId="2" hidden="1">'[19]Capital orders'!#REF!</definedName>
    <definedName name="BEx3T6H1GANMM2I05ZEVPCP6MRU2" localSheetId="10" hidden="1">'[19]Capital orders'!#REF!</definedName>
    <definedName name="BEx3T6H1GANMM2I05ZEVPCP6MRU2" hidden="1">'[19]Capital orders'!#REF!</definedName>
    <definedName name="BEx3T6MJ1QDJ929WMUDVZ0O3UW0Y" hidden="1">'[16]Reco Sheet for Fcast'!$K$2</definedName>
    <definedName name="BEx3TL0EBCEEUJ1A7EWNJRIN2795" localSheetId="2" hidden="1">'[19]Capital orders'!#REF!</definedName>
    <definedName name="BEx3TL0EBCEEUJ1A7EWNJRIN2795" localSheetId="10" hidden="1">'[19]Capital orders'!#REF!</definedName>
    <definedName name="BEx3TL0EBCEEUJ1A7EWNJRIN2795" hidden="1">'[19]Capital orders'!#REF!</definedName>
    <definedName name="BEx3TPCSI16OAB2L9M9IULQMQ9J9" hidden="1">'[16]Reco Sheet for Fcast'!$F$7:$G$7</definedName>
    <definedName name="BEx3U64YUOZ419BAJS2W78UMATAW" hidden="1">'[16]Reco Sheet for Fcast'!$I$7:$J$7</definedName>
    <definedName name="BEx3U94WCEA5DKMWBEX1GU0LKYG2" hidden="1">'[16]Reco Sheet for Fcast'!$I$9:$J$9</definedName>
    <definedName name="BEx3U9VZ8SQVYS6ZA038J7AP7ZGW" hidden="1">'[16]Reco Sheet for Fcast'!$F$9:$G$9</definedName>
    <definedName name="BEx3UIQ5WRJBGNTFCCLOR4N7B1OQ" hidden="1">'[16]Reco Sheet for Fcast'!$H$2:$I$2</definedName>
    <definedName name="BEx3UJMIX2NUSSWGMSI25A5DM4CH" hidden="1">'[16]Reco Sheet for Fcast'!$I$7:$J$7</definedName>
    <definedName name="BEx3UKOCOQG7S1YQ436S997K1KWV" hidden="1">'[16]Reco Sheet for Fcast'!$I$6:$J$6</definedName>
    <definedName name="BEx3UM0THK7XHBY53ADQX650TQR3" localSheetId="2" hidden="1">'[19]Capital orders'!#REF!</definedName>
    <definedName name="BEx3UM0THK7XHBY53ADQX650TQR3" localSheetId="10" hidden="1">'[19]Capital orders'!#REF!</definedName>
    <definedName name="BEx3UM0THK7XHBY53ADQX650TQR3" hidden="1">'[19]Capital orders'!#REF!</definedName>
    <definedName name="BEx3UO4CSA2W3UIZSAB83N5MOYUI" localSheetId="2" hidden="1">#REF!</definedName>
    <definedName name="BEx3UO4CSA2W3UIZSAB83N5MOYUI" localSheetId="10" hidden="1">#REF!</definedName>
    <definedName name="BEx3UO4CSA2W3UIZSAB83N5MOYUI" hidden="1">#REF!</definedName>
    <definedName name="BEx3UYM19VIXLA0EU7LB9NHA77PB" hidden="1">'[16]Reco Sheet for Fcast'!$F$6:$G$6</definedName>
    <definedName name="BEx3VML7CG70HPISMVYIUEN3711Q" hidden="1">'[16]Reco Sheet for Fcast'!$H$2:$I$2</definedName>
    <definedName name="BEx56ZID5H04P9AIYLP1OASFGV56" hidden="1">'[16]Reco Sheet for Fcast'!$F$11:$G$11</definedName>
    <definedName name="BEx587EYSS57E3PI8DT973HLJM9E" hidden="1">'[16]Reco Sheet for Fcast'!$I$11:$J$11</definedName>
    <definedName name="BEx587KFQ3VKCOCY1SA5F24PQGUI" hidden="1">'[16]Reco Sheet for Fcast'!$F$11:$G$11</definedName>
    <definedName name="BEx589O00VWB2CRMRCLO3I5IX5HO" localSheetId="2" hidden="1">#REF!</definedName>
    <definedName name="BEx589O00VWB2CRMRCLO3I5IX5HO" localSheetId="10" hidden="1">#REF!</definedName>
    <definedName name="BEx589O00VWB2CRMRCLO3I5IX5HO" hidden="1">#REF!</definedName>
    <definedName name="BEx58O780PQ05NF0Z1SKKRB3N099" hidden="1">'[16]Reco Sheet for Fcast'!$F$7:$G$7</definedName>
    <definedName name="BEx58XHO7ZULLF2EUD7YIS0MGQJ5" localSheetId="2" hidden="1">'[17]AMI P &amp; L'!#REF!</definedName>
    <definedName name="BEx58XHO7ZULLF2EUD7YIS0MGQJ5" localSheetId="10" hidden="1">'[17]AMI P &amp; L'!#REF!</definedName>
    <definedName name="BEx58XHO7ZULLF2EUD7YIS0MGQJ5" hidden="1">'[17]AMI P &amp; L'!#REF!</definedName>
    <definedName name="BEx58ZW0HAIGIPEX9CVA1PQQTR6X" hidden="1">'[16]Reco Sheet for Fcast'!$I$7:$J$7</definedName>
    <definedName name="BEx59AZ7IMWYQU6DW5MVTLDMFU8X" localSheetId="2" hidden="1">#REF!</definedName>
    <definedName name="BEx59AZ7IMWYQU6DW5MVTLDMFU8X" localSheetId="10" hidden="1">#REF!</definedName>
    <definedName name="BEx59AZ7IMWYQU6DW5MVTLDMFU8X" hidden="1">#REF!</definedName>
    <definedName name="BEx59BA1KH3RG6K1LHL7YS2VB79N" hidden="1">'[16]Reco Sheet for Fcast'!$F$11:$G$11</definedName>
    <definedName name="BEx59E9WABJP2TN71QAIKK79HPK9" hidden="1">'[16]Reco Sheet for Fcast'!$I$8:$J$8</definedName>
    <definedName name="BEx59P7MAPNU129ZTC5H3EH892G1" hidden="1">'[16]Reco Sheet for Fcast'!$F$15</definedName>
    <definedName name="BEx5A11WZRQSIE089QE119AOX9ZG" hidden="1">'[16]Reco Sheet for Fcast'!$I$7:$J$7</definedName>
    <definedName name="BEx5A7CIGCOTHJKHGUBDZG91JGPZ" hidden="1">'[16]Reco Sheet for Fcast'!$F$11:$G$11</definedName>
    <definedName name="BEx5A8UFLT2SWVSG5COFA9B8P376" hidden="1">'[16]Reco Sheet for Fcast'!$F$10:$G$10</definedName>
    <definedName name="BEx5AFFTN3IXIBHDKM0FYC4OFL1S" hidden="1">'[16]Reco Sheet for Fcast'!$G$2</definedName>
    <definedName name="BEx5AOFIO8KVRHIZ1RII337AA8ML" hidden="1">'[16]Reco Sheet for Fcast'!$I$7:$J$7</definedName>
    <definedName name="BEx5APRZ66L5BWHFE8E4YYNEDTI4" hidden="1">'[16]Reco Sheet for Fcast'!$G$2</definedName>
    <definedName name="BEx5B4RHHX0J1BF2FZKEA0SPP29O" hidden="1">'[16]Reco Sheet for Fcast'!$I$8:$J$8</definedName>
    <definedName name="BEx5B5YMSWP0OVI5CIQRP5V18D0C" hidden="1">'[16]Reco Sheet for Fcast'!$I$8:$J$8</definedName>
    <definedName name="BEx5B825RW35M5H0UB2IZGGRS4ER" hidden="1">'[16]Reco Sheet for Fcast'!$F$15</definedName>
    <definedName name="BEx5BAWPMY0TL684WDXX6KKJLRCN" hidden="1">'[16]Reco Sheet for Fcast'!$F$10:$G$10</definedName>
    <definedName name="BEx5BBI61U4Y65GD0ARMTALPP7SJ" hidden="1">'[16]Reco Sheet for Fcast'!$F$9:$G$9</definedName>
    <definedName name="BEx5BDR56MEV4IHY6CIH2SVNG1UB" hidden="1">'[16]Reco Sheet for Fcast'!$F$8:$G$8</definedName>
    <definedName name="BEx5BESZC5H329SKHGJOHZFILYJJ" hidden="1">'[16]Reco Sheet for Fcast'!$I$6:$J$6</definedName>
    <definedName name="BEx5BHSQ42B50IU1TEQFUXFX9XQD" localSheetId="2" hidden="1">'[17]AMI P &amp; L'!#REF!</definedName>
    <definedName name="BEx5BHSQ42B50IU1TEQFUXFX9XQD" localSheetId="10" hidden="1">'[17]AMI P &amp; L'!#REF!</definedName>
    <definedName name="BEx5BHSQ42B50IU1TEQFUXFX9XQD" hidden="1">'[17]AMI P &amp; L'!#REF!</definedName>
    <definedName name="BEx5BKSM4UN4C1DM3EYKM79MRC5K" hidden="1">'[16]Reco Sheet for Fcast'!$F$6:$G$6</definedName>
    <definedName name="BEx5BNN8NPH9KVOBARB9CDD9WLB6" hidden="1">'[16]Reco Sheet for Fcast'!$F$9:$G$9</definedName>
    <definedName name="BEx5BYFMZ80TDDN2EZO8CF39AIAC" hidden="1">'[16]Reco Sheet for Fcast'!$F$15</definedName>
    <definedName name="BEx5C2BWFW6SHZBFDEISKGXHZCQW" hidden="1">'[16]Reco Sheet for Fcast'!$I$8:$J$8</definedName>
    <definedName name="BEx5C49ZFH8TO9ZU55729C3F7XG7" hidden="1">'[16]Reco Sheet for Fcast'!$F$9:$G$9</definedName>
    <definedName name="BEx5C8GZQK13G60ZM70P63I5OS0L" hidden="1">'[16]Reco Sheet for Fcast'!$F$10:$G$10</definedName>
    <definedName name="BEx5CAPTVN2NBT3UOMA1UFAL1C2R" hidden="1">'[16]Reco Sheet for Fcast'!$I$6:$J$6</definedName>
    <definedName name="BEx5CEM3SYF9XP0ZZVE0GEPCLV3F" hidden="1">'[16]Reco Sheet for Fcast'!$I$10:$J$10</definedName>
    <definedName name="BEx5CFYQ0F1Z6P8SCVJ0I3UPVFE4" localSheetId="2" hidden="1">'[17]AMI P &amp; L'!#REF!</definedName>
    <definedName name="BEx5CFYQ0F1Z6P8SCVJ0I3UPVFE4" localSheetId="10" hidden="1">'[17]AMI P &amp; L'!#REF!</definedName>
    <definedName name="BEx5CFYQ0F1Z6P8SCVJ0I3UPVFE4" hidden="1">'[17]AMI P &amp; L'!#REF!</definedName>
    <definedName name="BEx5CKWQHHP966IXELUOVK2L3J48" localSheetId="2" hidden="1">'[19]Capital orders'!#REF!</definedName>
    <definedName name="BEx5CKWQHHP966IXELUOVK2L3J48" localSheetId="10" hidden="1">'[19]Capital orders'!#REF!</definedName>
    <definedName name="BEx5CKWQHHP966IXELUOVK2L3J48" hidden="1">'[19]Capital orders'!#REF!</definedName>
    <definedName name="BEx5CPEKNSJORIPFQC2E1LTRYY8L" hidden="1">'[16]Reco Sheet for Fcast'!$I$7:$J$7</definedName>
    <definedName name="BEx5CSUOL05D8PAM2TRDA9VRJT1O" hidden="1">'[16]Reco Sheet for Fcast'!$I$10:$J$10</definedName>
    <definedName name="BEx5CUNFOO4YDFJ22HCMI2QKIGKM" hidden="1">'[16]Reco Sheet for Fcast'!$F$10:$G$10</definedName>
    <definedName name="BEx5CWLOBFBDZZLDMZV6E0Z1VJA6" hidden="1">'[16]Reco Sheet for Fcast'!$F$10:$G$10</definedName>
    <definedName name="BEx5D7U7MZFE0E9SNH9NX01XLKLP" localSheetId="2" hidden="1">#REF!</definedName>
    <definedName name="BEx5D7U7MZFE0E9SNH9NX01XLKLP" localSheetId="10" hidden="1">#REF!</definedName>
    <definedName name="BEx5D7U7MZFE0E9SNH9NX01XLKLP" hidden="1">#REF!</definedName>
    <definedName name="BEx5D8L47OF0WHBPFWXGZINZWUBZ" hidden="1">'[16]Reco Sheet for Fcast'!$I$10:$J$10</definedName>
    <definedName name="BEx5DAJAHQ2SKUPCKSCR3PYML67L" hidden="1">'[16]Reco Sheet for Fcast'!$I$8:$J$8</definedName>
    <definedName name="BEx5DAZEGUTH4C1FCHVO3EWOQDU3" localSheetId="2" hidden="1">#REF!</definedName>
    <definedName name="BEx5DAZEGUTH4C1FCHVO3EWOQDU3" localSheetId="10" hidden="1">#REF!</definedName>
    <definedName name="BEx5DAZEGUTH4C1FCHVO3EWOQDU3" hidden="1">#REF!</definedName>
    <definedName name="BEx5DC18JM1KJCV44PF18E0LNRKA" hidden="1">'[16]Reco Sheet for Fcast'!$F$8:$G$8</definedName>
    <definedName name="BEx5DJIZBTNS011R9IIG2OQ2L6ZX" hidden="1">'[16]Reco Sheet for Fcast'!$H$2:$I$2</definedName>
    <definedName name="BEx5E123OLO9WQUOIRIDJ967KAGK" hidden="1">'[16]Reco Sheet for Fcast'!$F$15</definedName>
    <definedName name="BEx5E2UU5NES6W779W2OZTZOB4O7" hidden="1">'[16]Reco Sheet for Fcast'!$I$10:$J$10</definedName>
    <definedName name="BEx5ELQL9B0VR6UT18KP11DHOTFX" hidden="1">'[16]Reco Sheet for Fcast'!$I$10:$J$10</definedName>
    <definedName name="BEx5ER4TJTFPN7IB1MNEB1ZFR5M6" hidden="1">'[16]Reco Sheet for Fcast'!$H$2:$I$2</definedName>
    <definedName name="BEx5ERQE4JE8890QDCQFB0IMTC4I" localSheetId="2" hidden="1">'[19]Capital orders'!#REF!</definedName>
    <definedName name="BEx5ERQE4JE8890QDCQFB0IMTC4I" localSheetId="10" hidden="1">'[19]Capital orders'!#REF!</definedName>
    <definedName name="BEx5ERQE4JE8890QDCQFB0IMTC4I" hidden="1">'[19]Capital orders'!#REF!</definedName>
    <definedName name="BEx5F6V72QTCK7O39Y59R0EVM6CW" hidden="1">'[16]Reco Sheet for Fcast'!$I$8:$J$8</definedName>
    <definedName name="BEx5FGLQVACD5F5YZG4DGSCHCGO2" hidden="1">'[16]Reco Sheet for Fcast'!$H$2:$I$2</definedName>
    <definedName name="BEx5FLJWHLW3BTZILDPN5NMA449V" hidden="1">'[16]Reco Sheet for Fcast'!$I$6:$J$6</definedName>
    <definedName name="BEx5FNI2O10YN2SI1NO4X5GP3GTF" hidden="1">'[16]Reco Sheet for Fcast'!$F$10:$G$10</definedName>
    <definedName name="BEx5FO8YRFSZCG3L608EHIHIHFY4" localSheetId="2" hidden="1">'[17]AMI P &amp; L'!#REF!</definedName>
    <definedName name="BEx5FO8YRFSZCG3L608EHIHIHFY4" localSheetId="10" hidden="1">'[17]AMI P &amp; L'!#REF!</definedName>
    <definedName name="BEx5FO8YRFSZCG3L608EHIHIHFY4" hidden="1">'[17]AMI P &amp; L'!#REF!</definedName>
    <definedName name="BEx5FQNA6V4CNYSH013K45RI4BCV" hidden="1">'[16]Reco Sheet for Fcast'!$F$8:$G$8</definedName>
    <definedName name="BEx5FVQPPEU32CPNV9RRQ9MNLLVE" hidden="1">'[16]Reco Sheet for Fcast'!$H$2:$I$2</definedName>
    <definedName name="BEx5G08KGMG5X2AQKDGPFYG5GH94" hidden="1">'[16]Reco Sheet for Fcast'!$I$6:$J$6</definedName>
    <definedName name="BEx5G1A8TFN4C4QII35U9DKYNIS8" localSheetId="2" hidden="1">'[17]AMI P &amp; L'!#REF!</definedName>
    <definedName name="BEx5G1A8TFN4C4QII35U9DKYNIS8" localSheetId="10" hidden="1">'[17]AMI P &amp; L'!#REF!</definedName>
    <definedName name="BEx5G1A8TFN4C4QII35U9DKYNIS8" hidden="1">'[17]AMI P &amp; L'!#REF!</definedName>
    <definedName name="BEx5G1L0QO91KEPDMV1D8OT4BT73" hidden="1">'[16]Reco Sheet for Fcast'!$I$6:$J$6</definedName>
    <definedName name="BEx5G86DZL1VYUX6KWODAP3WFAWP" hidden="1">'[16]Reco Sheet for Fcast'!$E$2:$F$2</definedName>
    <definedName name="BEx5G8BV2GIOCM3C7IUFK8L04A6M" hidden="1">'[16]Reco Sheet for Fcast'!$I$11:$J$11</definedName>
    <definedName name="BEx5GAVIL220VIPAKH02UYIUB7EU" localSheetId="2" hidden="1">'[19]Capital orders'!#REF!</definedName>
    <definedName name="BEx5GAVIL220VIPAKH02UYIUB7EU" localSheetId="10" hidden="1">'[19]Capital orders'!#REF!</definedName>
    <definedName name="BEx5GAVIL220VIPAKH02UYIUB7EU" hidden="1">'[19]Capital orders'!#REF!</definedName>
    <definedName name="BEx5GID9MVBUPFFT9M8K8B5MO9NV" hidden="1">'[16]Reco Sheet for Fcast'!$F$15:$G$16</definedName>
    <definedName name="BEx5GLD6CMDEYT8QI3HVPGEES2A5" localSheetId="2" hidden="1">#REF!</definedName>
    <definedName name="BEx5GLD6CMDEYT8QI3HVPGEES2A5" localSheetId="10" hidden="1">#REF!</definedName>
    <definedName name="BEx5GLD6CMDEYT8QI3HVPGEES2A5" hidden="1">#REF!</definedName>
    <definedName name="BEx5GN0EWA9SCQDPQ7NTUQH82QVK" hidden="1">'[16]Reco Sheet for Fcast'!$F$6:$G$6</definedName>
    <definedName name="BEx5GNBCU4WZ74I0UXFL9ZG2XSGJ" hidden="1">'[16]Reco Sheet for Fcast'!$F$6:$G$6</definedName>
    <definedName name="BEx5GUCTYC7QCWGWU5BTO7Y7HDZX" hidden="1">'[16]Reco Sheet for Fcast'!$I$6:$J$6</definedName>
    <definedName name="BEx5GYUPJULJQ624TEESYFG1NFOH" hidden="1">'[16]Reco Sheet for Fcast'!$I$9:$J$9</definedName>
    <definedName name="BEx5H0NEE0AIN5E2UHJ9J9ISU9N1" hidden="1">'[16]Reco Sheet for Fcast'!$F$8:$G$8</definedName>
    <definedName name="BEx5H1UJSEUQM2K8QHQXO5THVHSO" hidden="1">'[16]Reco Sheet for Fcast'!$F$9:$G$9</definedName>
    <definedName name="BEx5HAOT9XWUF7XIFRZZS8B9F5TZ" hidden="1">'[16]Reco Sheet for Fcast'!$K$2</definedName>
    <definedName name="BEx5HE4XRF9BUY04MENWY9CHHN5H" hidden="1">'[16]Reco Sheet for Fcast'!$I$11:$J$11</definedName>
    <definedName name="BEx5HFHMABAT0H9KKS754X4T304E" hidden="1">'[16]Reco Sheet for Fcast'!$I$11:$J$11</definedName>
    <definedName name="BEx5HGDZ7MX1S3KNXLRL9WU565V4" hidden="1">'[16]Reco Sheet for Fcast'!$F$11:$G$11</definedName>
    <definedName name="BEx5HJZ9FAVNZSSBTAYRPZDYM9NU" hidden="1">'[16]Reco Sheet for Fcast'!$F$8:$G$8</definedName>
    <definedName name="BEx5HZ9JMKHNLFWLVUB1WP5B39BL" hidden="1">'[16]Reco Sheet for Fcast'!$F$10:$G$10</definedName>
    <definedName name="BEx5HZV4KY20K2E2E581QT80KGFL" localSheetId="2" hidden="1">'[19]Capital orders'!#REF!</definedName>
    <definedName name="BEx5HZV4KY20K2E2E581QT80KGFL" localSheetId="10" hidden="1">'[19]Capital orders'!#REF!</definedName>
    <definedName name="BEx5HZV4KY20K2E2E581QT80KGFL" hidden="1">'[19]Capital orders'!#REF!</definedName>
    <definedName name="BEx5I244LQHZTF3XI66J8705R9XX" localSheetId="2" hidden="1">'[17]AMI P &amp; L'!#REF!</definedName>
    <definedName name="BEx5I244LQHZTF3XI66J8705R9XX" localSheetId="10" hidden="1">'[17]AMI P &amp; L'!#REF!</definedName>
    <definedName name="BEx5I244LQHZTF3XI66J8705R9XX" hidden="1">'[17]AMI P &amp; L'!#REF!</definedName>
    <definedName name="BEx5I8PBP4LIXDGID5BP0THLO0AQ" localSheetId="2" hidden="1">'[17]AMI P &amp; L'!#REF!</definedName>
    <definedName name="BEx5I8PBP4LIXDGID5BP0THLO0AQ" localSheetId="10" hidden="1">'[17]AMI P &amp; L'!#REF!</definedName>
    <definedName name="BEx5I8PBP4LIXDGID5BP0THLO0AQ" hidden="1">'[17]AMI P &amp; L'!#REF!</definedName>
    <definedName name="BEx5I8USVUB3JP4S9OXGMZVMOQXR" hidden="1">'[16]Reco Sheet for Fcast'!$G$2</definedName>
    <definedName name="BEx5I9GDQSYIAL65UQNDMNFQCS9Y" hidden="1">'[16]Reco Sheet for Fcast'!$I$11:$J$11</definedName>
    <definedName name="BEx5IBUPG9AWNW5PK7JGRGEJ4OLM" hidden="1">'[16]Reco Sheet for Fcast'!$H$2:$I$2</definedName>
    <definedName name="BEx5IC06RVN8BSAEPREVKHKLCJ2L" hidden="1">'[16]Reco Sheet for Fcast'!$I$8:$J$8</definedName>
    <definedName name="BEx5IFLNF3FADLCRC1334L3LVOSY" localSheetId="2" hidden="1">'[19]Capital orders'!#REF!</definedName>
    <definedName name="BEx5IFLNF3FADLCRC1334L3LVOSY" localSheetId="10" hidden="1">'[19]Capital orders'!#REF!</definedName>
    <definedName name="BEx5IFLNF3FADLCRC1334L3LVOSY" hidden="1">'[19]Capital orders'!#REF!</definedName>
    <definedName name="BEx5J0FFP1KS4NGY20AEJI8VREEA" hidden="1">'[16]Reco Sheet for Fcast'!$I$9:$J$9</definedName>
    <definedName name="BEx5JF3ZXLDIS8VNKDCY7ZI7H1CI" hidden="1">'[16]Reco Sheet for Fcast'!$F$11:$G$11</definedName>
    <definedName name="BEx5JHCZJ8G6OOOW6EF3GABXKH6F" localSheetId="2" hidden="1">'[17]AMI P &amp; L'!#REF!</definedName>
    <definedName name="BEx5JHCZJ8G6OOOW6EF3GABXKH6F" localSheetId="10" hidden="1">'[17]AMI P &amp; L'!#REF!</definedName>
    <definedName name="BEx5JHCZJ8G6OOOW6EF3GABXKH6F" hidden="1">'[17]AMI P &amp; L'!#REF!</definedName>
    <definedName name="BEx5JJB6W446THXQCRUKD3I7RKLP" hidden="1">'[16]Reco Sheet for Fcast'!$F$8:$G$8</definedName>
    <definedName name="BEx5JNCT8Z7XSSPD5EMNAJELCU2V" localSheetId="2" hidden="1">'[17]AMI P &amp; L'!#REF!</definedName>
    <definedName name="BEx5JNCT8Z7XSSPD5EMNAJELCU2V" localSheetId="10" hidden="1">'[17]AMI P &amp; L'!#REF!</definedName>
    <definedName name="BEx5JNCT8Z7XSSPD5EMNAJELCU2V" hidden="1">'[17]AMI P &amp; L'!#REF!</definedName>
    <definedName name="BEx5JQCNT9Y4RM306CHC8IPY3HBZ" hidden="1">'[16]Reco Sheet for Fcast'!$F$15</definedName>
    <definedName name="BEx5K08PYKE6JOKBYIB006TX619P" hidden="1">'[16]Reco Sheet for Fcast'!$F$9:$G$9</definedName>
    <definedName name="BEx5K51DSERT1TR7B4A29R41W4NX" hidden="1">'[16]Reco Sheet for Fcast'!$I$7:$J$7</definedName>
    <definedName name="BEx5K7A7V5B87CW37IBINCOQ134P" localSheetId="2" hidden="1">#REF!</definedName>
    <definedName name="BEx5K7A7V5B87CW37IBINCOQ134P" localSheetId="10" hidden="1">#REF!</definedName>
    <definedName name="BEx5K7A7V5B87CW37IBINCOQ134P" hidden="1">#REF!</definedName>
    <definedName name="BEx5KYER580I4T7WTLMUN7NLNP5K" hidden="1">'[16]Reco Sheet for Fcast'!$F$10:$G$10</definedName>
    <definedName name="BEx5L4UOHIBIXCOOD5809ABRZ9A8" hidden="1">'[16]Reco Sheet for Fcast'!$I$11:$J$11</definedName>
    <definedName name="BEx5LHLB3M6K4ZKY2F42QBZT30ZH" hidden="1">'[16]Reco Sheet for Fcast'!$I$9:$J$9</definedName>
    <definedName name="BEx5LRMNU3HXIE1BUMDHRU31F7JJ" hidden="1">'[16]Reco Sheet for Fcast'!$F$6:$G$6</definedName>
    <definedName name="BEx5LSJ1LPUAX3ENSPECWPG4J7D1" localSheetId="2" hidden="1">'[17]AMI P &amp; L'!#REF!</definedName>
    <definedName name="BEx5LSJ1LPUAX3ENSPECWPG4J7D1" localSheetId="10" hidden="1">'[17]AMI P &amp; L'!#REF!</definedName>
    <definedName name="BEx5LSJ1LPUAX3ENSPECWPG4J7D1" hidden="1">'[17]AMI P &amp; L'!#REF!</definedName>
    <definedName name="BEx5LTKQ8RQWJE4BC88OP928893U" localSheetId="2" hidden="1">'[17]AMI P &amp; L'!#REF!</definedName>
    <definedName name="BEx5LTKQ8RQWJE4BC88OP928893U" localSheetId="10" hidden="1">'[17]AMI P &amp; L'!#REF!</definedName>
    <definedName name="BEx5LTKQ8RQWJE4BC88OP928893U" hidden="1">'[17]AMI P &amp; L'!#REF!</definedName>
    <definedName name="BEx5MB9BR71LZDG7XXQ2EO58JC5F" hidden="1">'[16]Reco Sheet for Fcast'!$H$2:$I$2</definedName>
    <definedName name="BEx5MLQZM68YQSKARVWTTPINFQ2C" localSheetId="2" hidden="1">'[17]AMI P &amp; L'!#REF!</definedName>
    <definedName name="BEx5MLQZM68YQSKARVWTTPINFQ2C" localSheetId="10" hidden="1">'[17]AMI P &amp; L'!#REF!</definedName>
    <definedName name="BEx5MLQZM68YQSKARVWTTPINFQ2C" hidden="1">'[17]AMI P &amp; L'!#REF!</definedName>
    <definedName name="BEx5MVHOG4GCI4HKTOTP194VMNRA" localSheetId="2" hidden="1">#REF!</definedName>
    <definedName name="BEx5MVHOG4GCI4HKTOTP194VMNRA" localSheetId="10" hidden="1">#REF!</definedName>
    <definedName name="BEx5MVHOG4GCI4HKTOTP194VMNRA" hidden="1">#REF!</definedName>
    <definedName name="BEx5MVXTKNBXHNWTL43C670E4KXC" hidden="1">'[16]Reco Sheet for Fcast'!$F$15</definedName>
    <definedName name="BEx5N4XI4PWB1W9PMZ4O5R0HWTYD" hidden="1">'[16]Reco Sheet for Fcast'!$I$8:$J$8</definedName>
    <definedName name="BEx5NA68N6FJFX9UJXK4M14U487F" hidden="1">'[16]Reco Sheet for Fcast'!$F$6:$G$6</definedName>
    <definedName name="BEx5NIKBG2GDJOYGE3WCXKU7YY51" hidden="1">'[16]Reco Sheet for Fcast'!$I$6:$J$6</definedName>
    <definedName name="BEx5NV06L5J5IMKGOMGKGJ4PBZCD" localSheetId="2" hidden="1">'[17]AMI P &amp; L'!#REF!</definedName>
    <definedName name="BEx5NV06L5J5IMKGOMGKGJ4PBZCD" localSheetId="10" hidden="1">'[17]AMI P &amp; L'!#REF!</definedName>
    <definedName name="BEx5NV06L5J5IMKGOMGKGJ4PBZCD" hidden="1">'[17]AMI P &amp; L'!#REF!</definedName>
    <definedName name="BEx5NZSSQ6PY99ZX2D7Q9IGOR34W" hidden="1">'[16]Reco Sheet for Fcast'!$F$10:$G$10</definedName>
    <definedName name="BEx5O3ZUQ2OARA1CDOZ3NC4UE5AA" hidden="1">'[16]Reco Sheet for Fcast'!$F$11:$G$11</definedName>
    <definedName name="BEx5O8N0SPY10WRHN2NNGU5BUWPZ" localSheetId="2" hidden="1">#REF!</definedName>
    <definedName name="BEx5O8N0SPY10WRHN2NNGU5BUWPZ" localSheetId="10" hidden="1">#REF!</definedName>
    <definedName name="BEx5O8N0SPY10WRHN2NNGU5BUWPZ" hidden="1">#REF!</definedName>
    <definedName name="BEx5OAFS0NJ2CB86A02E1JYHMLQ1" hidden="1">'[16]Reco Sheet for Fcast'!$I$6:$J$6</definedName>
    <definedName name="BEx5OG4RPU8W1ETWDWM234NYYYEN" hidden="1">'[16]Reco Sheet for Fcast'!$F$8:$G$8</definedName>
    <definedName name="BEx5OP9Y43F99O2IT69MKCCXGL61" hidden="1">'[16]Reco Sheet for Fcast'!$F$9:$G$9</definedName>
    <definedName name="BEx5P9Y9RDXNUAJ6CZ2LHMM8IM7T" hidden="1">'[16]Reco Sheet for Fcast'!$F$8:$G$8</definedName>
    <definedName name="BEx5PHWB2C0D5QLP3BZIP3UO7DIZ" hidden="1">'[16]Reco Sheet for Fcast'!$I$6:$J$6</definedName>
    <definedName name="BEx5PJP02W68K2E46L5C5YBSNU6T" hidden="1">'[16]Reco Sheet for Fcast'!$H$2:$I$2</definedName>
    <definedName name="BEx5PLCA8DOMAU315YCS5275L2HS" hidden="1">'[16]Reco Sheet for Fcast'!$I$11:$J$11</definedName>
    <definedName name="BEx5PRXMZ5M65Z732WNNGV564C2J" hidden="1">'[16]Reco Sheet for Fcast'!$I$9:$J$9</definedName>
    <definedName name="BEx5QPSW4IPLH50WSR87HRER05RF" hidden="1">'[16]Reco Sheet for Fcast'!$F$10:$G$10</definedName>
    <definedName name="BEx73V0EP8EMNRC3EZJJKKVKWQVB" hidden="1">'[16]Reco Sheet for Fcast'!$I$7:$J$7</definedName>
    <definedName name="BEx741WJHIJVXUX131SBXTVW8D71" hidden="1">'[16]Reco Sheet for Fcast'!$G$2</definedName>
    <definedName name="BEx74FOW04FOAHD3W8FOXUQCGEE0" hidden="1">'[18]Bud Mth'!$C$15:$D$29</definedName>
    <definedName name="BEx74Q6H3O7133AWQXWC21MI2UFT" hidden="1">'[16]Reco Sheet for Fcast'!$I$6:$J$6</definedName>
    <definedName name="BEx74SQ5R0VH9X24PI4DADFFLZ9N" localSheetId="2" hidden="1">#REF!</definedName>
    <definedName name="BEx74SQ5R0VH9X24PI4DADFFLZ9N" localSheetId="10" hidden="1">#REF!</definedName>
    <definedName name="BEx74SQ5R0VH9X24PI4DADFFLZ9N" hidden="1">#REF!</definedName>
    <definedName name="BEx74W6BJ8ENO3J25WNM5H5APKA3" localSheetId="2" hidden="1">'[17]AMI P &amp; L'!#REF!</definedName>
    <definedName name="BEx74W6BJ8ENO3J25WNM5H5APKA3" localSheetId="10" hidden="1">'[17]AMI P &amp; L'!#REF!</definedName>
    <definedName name="BEx74W6BJ8ENO3J25WNM5H5APKA3" hidden="1">'[17]AMI P &amp; L'!#REF!</definedName>
    <definedName name="BEx755GRRD9BL27YHLH5QWIYLWB7" hidden="1">'[16]Reco Sheet for Fcast'!$F$7:$G$7</definedName>
    <definedName name="BEx759D1D5SXS5ELLZVBI0SXYUNF" hidden="1">'[16]Reco Sheet for Fcast'!$I$10:$J$10</definedName>
    <definedName name="BEx75GJZSZHUDN6OOAGQYFUDA2LP" hidden="1">'[16]Reco Sheet for Fcast'!$F$11:$G$11</definedName>
    <definedName name="BEx75HGCCV5K4UCJWYV8EV9AG5YT" hidden="1">'[16]Reco Sheet for Fcast'!$F$8:$G$8</definedName>
    <definedName name="BEx75M8YU9VISUVICOSCP5YAMZPI" localSheetId="2" hidden="1">#REF!</definedName>
    <definedName name="BEx75M8YU9VISUVICOSCP5YAMZPI" localSheetId="10" hidden="1">#REF!</definedName>
    <definedName name="BEx75M8YU9VISUVICOSCP5YAMZPI" hidden="1">#REF!</definedName>
    <definedName name="BEx75PZT8TY5P13U978NVBUXKHT4" hidden="1">'[16]Reco Sheet for Fcast'!$F$8:$G$8</definedName>
    <definedName name="BEx75T55F7GML8V1DMWL26WRT006" hidden="1">'[16]Reco Sheet for Fcast'!$F$10:$G$10</definedName>
    <definedName name="BEx75VJGR07JY6UUWURQ4PJ29UKC" hidden="1">'[16]Reco Sheet for Fcast'!$F$6:$G$6</definedName>
    <definedName name="BEx76SNOC6R18OVRQYBQ0JGPW2Z7" localSheetId="2" hidden="1">#REF!</definedName>
    <definedName name="BEx76SNOC6R18OVRQYBQ0JGPW2Z7" localSheetId="10" hidden="1">#REF!</definedName>
    <definedName name="BEx76SNOC6R18OVRQYBQ0JGPW2Z7" hidden="1">#REF!</definedName>
    <definedName name="BEx771SMWJDAFC6Y4FKDDGEFBQ4W" localSheetId="2" hidden="1">'[19]Capital orders'!#REF!</definedName>
    <definedName name="BEx771SMWJDAFC6Y4FKDDGEFBQ4W" localSheetId="10" hidden="1">'[19]Capital orders'!#REF!</definedName>
    <definedName name="BEx771SMWJDAFC6Y4FKDDGEFBQ4W" hidden="1">'[19]Capital orders'!#REF!</definedName>
    <definedName name="BEx7741OUGLA0WJQLQRUJSL4DE00" hidden="1">'[16]Reco Sheet for Fcast'!$F$6:$G$6</definedName>
    <definedName name="BEx774N83DXLJZ54Q42PWIJZ2DN1" hidden="1">'[16]Reco Sheet for Fcast'!$F$15</definedName>
    <definedName name="BEx779QNIY3061ZV9BR462WKEGRW" hidden="1">'[16]Reco Sheet for Fcast'!$H$2:$I$2</definedName>
    <definedName name="BEx77G19QU9A95CNHE6QMVSQR2T3" hidden="1">'[16]Reco Sheet for Fcast'!$F$9:$G$9</definedName>
    <definedName name="BEx77KOE3LX3JOLFV1E0VZZVCULJ" localSheetId="2" hidden="1">#REF!</definedName>
    <definedName name="BEx77KOE3LX3JOLFV1E0VZZVCULJ" localSheetId="10" hidden="1">#REF!</definedName>
    <definedName name="BEx77KOE3LX3JOLFV1E0VZZVCULJ" hidden="1">#REF!</definedName>
    <definedName name="BEx77P0S3GVMS7BJUL9OWUGJ1B02" hidden="1">'[16]Reco Sheet for Fcast'!$I$6:$J$6</definedName>
    <definedName name="BEx77QDESURI6WW5582YXSK3A972" hidden="1">'[16]Reco Sheet for Fcast'!$I$11:$J$11</definedName>
    <definedName name="BEx77VBI9XOPFHKEWU5EHQ9J675Y" hidden="1">'[16]Reco Sheet for Fcast'!$I$11:$J$11</definedName>
    <definedName name="BEx7809GQOCLHSNH95VOYIX7P1TV" hidden="1">'[16]Reco Sheet for Fcast'!$I$11:$J$11</definedName>
    <definedName name="BEx780K8XAXUHGVZGZWQ74DK4CI3" hidden="1">'[16]Reco Sheet for Fcast'!$I$11:$J$11</definedName>
    <definedName name="BEx78226TN58UE0CTY98YEDU0LSL" hidden="1">'[16]Reco Sheet for Fcast'!$F$15</definedName>
    <definedName name="BEx7881ZZBWHRAX6W2GY19J8MGEQ" hidden="1">'[16]Reco Sheet for Fcast'!$I$9:$J$9</definedName>
    <definedName name="BEx78HHRIWDLHQX2LG0HWFRYEL1T" hidden="1">'[16]Reco Sheet for Fcast'!$H$2:$I$2</definedName>
    <definedName name="BEx78QMXZ2P1ZB3HJ9O50DWHCMXR" hidden="1">'[16]Reco Sheet for Fcast'!$F$7:$G$7</definedName>
    <definedName name="BEx78SFO5VR28677DWZEMDN7G86X" hidden="1">'[16]Reco Sheet for Fcast'!$K$2</definedName>
    <definedName name="BEx78SFOYH1Z0ZDTO47W2M60TW6K" hidden="1">'[16]Reco Sheet for Fcast'!$I$10:$J$10</definedName>
    <definedName name="BEx79JK3E6JO8MX4O35A5G8NZCC8" hidden="1">'[16]Reco Sheet for Fcast'!$I$8:$J$8</definedName>
    <definedName name="BEx79LCTDQFKD1KV7R8NW15KLAFT" localSheetId="2" hidden="1">#REF!</definedName>
    <definedName name="BEx79LCTDQFKD1KV7R8NW15KLAFT" localSheetId="10" hidden="1">#REF!</definedName>
    <definedName name="BEx79LCTDQFKD1KV7R8NW15KLAFT" hidden="1">#REF!</definedName>
    <definedName name="BEx79OCP4HQ6XP8EWNGEUDLOZBBS" hidden="1">'[16]Reco Sheet for Fcast'!$F$15</definedName>
    <definedName name="BEx79SEAYKUZB0H4LYBCD6WWJBG2" hidden="1">'[16]Reco Sheet for Fcast'!$I$11:$J$11</definedName>
    <definedName name="BEx79SJRHTLS9PYM69O9BWW1FMJK" hidden="1">'[16]Reco Sheet for Fcast'!$F$7:$G$7</definedName>
    <definedName name="BEx79YJJLBELICW9F9FRYSCQ101L" localSheetId="2" hidden="1">'[17]AMI P &amp; L'!#REF!</definedName>
    <definedName name="BEx79YJJLBELICW9F9FRYSCQ101L" localSheetId="10" hidden="1">'[17]AMI P &amp; L'!#REF!</definedName>
    <definedName name="BEx79YJJLBELICW9F9FRYSCQ101L" hidden="1">'[17]AMI P &amp; L'!#REF!</definedName>
    <definedName name="BEx79YUC7B0V77FSBGIRCY1BR4VK" hidden="1">'[16]Reco Sheet for Fcast'!$F$6:$G$6</definedName>
    <definedName name="BEx7A06T3RC2891FUX05G3QPRAUE" localSheetId="2" hidden="1">'[17]AMI P &amp; L'!#REF!</definedName>
    <definedName name="BEx7A06T3RC2891FUX05G3QPRAUE" localSheetId="10" hidden="1">'[17]AMI P &amp; L'!#REF!</definedName>
    <definedName name="BEx7A06T3RC2891FUX05G3QPRAUE" hidden="1">'[17]AMI P &amp; L'!#REF!</definedName>
    <definedName name="BEx7A4ZGTC3XLZR6M7XK0UX2T49X" localSheetId="2" hidden="1">#REF!</definedName>
    <definedName name="BEx7A4ZGTC3XLZR6M7XK0UX2T49X" localSheetId="10" hidden="1">#REF!</definedName>
    <definedName name="BEx7A4ZGTC3XLZR6M7XK0UX2T49X" hidden="1">#REF!</definedName>
    <definedName name="BEx7A9S3JA1X7FH4CFSQLTZC4691" hidden="1">'[16]Reco Sheet for Fcast'!$H$2:$I$2</definedName>
    <definedName name="BEx7ABA2C9IWH5VSLVLLLCY62161" hidden="1">'[16]Reco Sheet for Fcast'!$F$15</definedName>
    <definedName name="BEx7ABKU462F6424CGX2QB38TAZN" hidden="1">'[18]Bud Mth'!$J$2:$K$2</definedName>
    <definedName name="BEx7AE4LPLX8N85BYB0WCO5S7ZPV" hidden="1">'[16]Reco Sheet for Fcast'!$F$7:$G$7</definedName>
    <definedName name="BEx7ASD1I654MEDCO6GGWA95PXSC" localSheetId="2" hidden="1">'[17]AMI P &amp; L'!#REF!</definedName>
    <definedName name="BEx7ASD1I654MEDCO6GGWA95PXSC" localSheetId="10" hidden="1">'[17]AMI P &amp; L'!#REF!</definedName>
    <definedName name="BEx7ASD1I654MEDCO6GGWA95PXSC" hidden="1">'[17]AMI P &amp; L'!#REF!</definedName>
    <definedName name="BEx7AVCX9S5RJP3NSZ4QM4E6ERDT" localSheetId="2" hidden="1">'[17]AMI P &amp; L'!#REF!</definedName>
    <definedName name="BEx7AVCX9S5RJP3NSZ4QM4E6ERDT" localSheetId="10" hidden="1">'[17]AMI P &amp; L'!#REF!</definedName>
    <definedName name="BEx7AVCX9S5RJP3NSZ4QM4E6ERDT" hidden="1">'[17]AMI P &amp; L'!#REF!</definedName>
    <definedName name="BEx7AVYIGP0930MV5JEBWRYCJN68" hidden="1">'[16]Reco Sheet for Fcast'!$I$7:$J$7</definedName>
    <definedName name="BEx7B6LH6917TXOSAAQ6U7HVF018" hidden="1">'[16]Reco Sheet for Fcast'!$F$15</definedName>
    <definedName name="BEx7BPXFZXJ79FQ0E8AQE21PGVHA" hidden="1">'[16]Reco Sheet for Fcast'!$I$11:$J$11</definedName>
    <definedName name="BEx7C04AM39DQMC1TIX7CFZ2ADHX" hidden="1">'[16]Reco Sheet for Fcast'!$F$9:$G$9</definedName>
    <definedName name="BEx7C40F0PQURHPI6YQ39NFIR86Z" hidden="1">'[16]Reco Sheet for Fcast'!$I$10:$J$10</definedName>
    <definedName name="BEx7C93VR7SYRIJS1JO8YZKSFAW9" hidden="1">'[16]Reco Sheet for Fcast'!$I$9:$J$9</definedName>
    <definedName name="BEx7CCPC6R1KQQZ2JQU6EFI1G0RM" hidden="1">'[16]Reco Sheet for Fcast'!$I$7:$J$7</definedName>
    <definedName name="BEx7CIJST9GLS2QD383UK7VUDTGL" hidden="1">'[16]Reco Sheet for Fcast'!$G$2</definedName>
    <definedName name="BEx7CO8T2XKC7GHDSYNAWTZ9L7YR" localSheetId="2" hidden="1">'[17]AMI P &amp; L'!#REF!</definedName>
    <definedName name="BEx7CO8T2XKC7GHDSYNAWTZ9L7YR" localSheetId="10" hidden="1">'[17]AMI P &amp; L'!#REF!</definedName>
    <definedName name="BEx7CO8T2XKC7GHDSYNAWTZ9L7YR" hidden="1">'[17]AMI P &amp; L'!#REF!</definedName>
    <definedName name="BEx7CW1CF00DO8A36UNC2X7K65C2" hidden="1">'[16]Reco Sheet for Fcast'!$G$2</definedName>
    <definedName name="BEx7CW6NFRL2P4XWP0MWHIYA97KF" hidden="1">'[16]Reco Sheet for Fcast'!$I$11:$J$11</definedName>
    <definedName name="BEx7D5RWKRS4W71J4NZ6ZSFHPKFT" hidden="1">'[16]Reco Sheet for Fcast'!$F$15</definedName>
    <definedName name="BEx7D8H1TPOX1UN17QZYEV7Q58GA" hidden="1">'[16]Reco Sheet for Fcast'!$I$6:$J$6</definedName>
    <definedName name="BEx7DGF13H2074LRWFZQ45PZ6JPX" hidden="1">'[16]Reco Sheet for Fcast'!$I$9:$J$9</definedName>
    <definedName name="BEx7DKWUXEDIISSX4GDD4YYT887F" hidden="1">'[16]Reco Sheet for Fcast'!$I$8:$J$8</definedName>
    <definedName name="BEx7DMUYR2HC26WW7AOB1TULERMB" hidden="1">'[16]Reco Sheet for Fcast'!$I$12:$J$13</definedName>
    <definedName name="BEx7DVJTRV44IMJIBFXELE67SZ7S" hidden="1">'[16]Reco Sheet for Fcast'!$F$15</definedName>
    <definedName name="BEx7DVUMFCI5INHMVFIJ44RTTSTT" hidden="1">'[16]Reco Sheet for Fcast'!$F$7:$G$7</definedName>
    <definedName name="BEx7E2QT2U8THYOKBPXONB1B47WH" localSheetId="2" hidden="1">'[17]AMI P &amp; L'!#REF!</definedName>
    <definedName name="BEx7E2QT2U8THYOKBPXONB1B47WH" localSheetId="10" hidden="1">'[17]AMI P &amp; L'!#REF!</definedName>
    <definedName name="BEx7E2QT2U8THYOKBPXONB1B47WH" hidden="1">'[17]AMI P &amp; L'!#REF!</definedName>
    <definedName name="BEx7E5QP7W6UKO74F5Y0VJ741HS5" hidden="1">'[16]Reco Sheet for Fcast'!$I$11:$J$11</definedName>
    <definedName name="BEx7E66XF797M3VAMVIZK8WXZGRE" localSheetId="2" hidden="1">#REF!</definedName>
    <definedName name="BEx7E66XF797M3VAMVIZK8WXZGRE" localSheetId="10" hidden="1">#REF!</definedName>
    <definedName name="BEx7E66XF797M3VAMVIZK8WXZGRE" hidden="1">#REF!</definedName>
    <definedName name="BEx7E6N29HGH3I47AFB2DCS6MVS6" hidden="1">'[16]Reco Sheet for Fcast'!$G$2</definedName>
    <definedName name="BEx7EBA8IYHQKT7IQAOAML660SYA" hidden="1">'[16]Reco Sheet for Fcast'!$I$9:$J$9</definedName>
    <definedName name="BEx7EI6C8MCRZFEQYUBE5FSUTIHK" hidden="1">'[16]Reco Sheet for Fcast'!$F$8:$G$8</definedName>
    <definedName name="BEx7EI6DL1Z6UWLFBXAKVGZTKHWJ" localSheetId="2" hidden="1">'[17]AMI P &amp; L'!#REF!</definedName>
    <definedName name="BEx7EI6DL1Z6UWLFBXAKVGZTKHWJ" localSheetId="10" hidden="1">'[17]AMI P &amp; L'!#REF!</definedName>
    <definedName name="BEx7EI6DL1Z6UWLFBXAKVGZTKHWJ" hidden="1">'[17]AMI P &amp; L'!#REF!</definedName>
    <definedName name="BEx7EQKHX7GZYOLXRDU534TT4H64" hidden="1">'[16]Reco Sheet for Fcast'!$F$9:$G$9</definedName>
    <definedName name="BEx7ERM6499BJKCAJ9DPN8MU140B" hidden="1">'[18]Bud Mth'!$F$10:$G$10</definedName>
    <definedName name="BEx7ETV6L1TM7JSXJIGK3FC6RVZW" hidden="1">'[16]Reco Sheet for Fcast'!$F$11:$G$11</definedName>
    <definedName name="BEx7EYYLHMBYQTH6I377FCQS7CSX" hidden="1">'[16]Reco Sheet for Fcast'!$I$6:$J$6</definedName>
    <definedName name="BEx7FCLG1RYI2SNOU1Y2GQZNZSWA" hidden="1">'[16]Reco Sheet for Fcast'!$I$8:$J$8</definedName>
    <definedName name="BEx7FD1P2YDISQM4TTRYZB37K00O" hidden="1">'[18]Bud Mth'!$I$7:$J$7</definedName>
    <definedName name="BEx7FN32ZGWOAA4TTH79KINTDWR9" hidden="1">'[16]Reco Sheet for Fcast'!$F$9:$G$9</definedName>
    <definedName name="BEx7FOFQ7MR21UZFTP7X4HI7UWRR" localSheetId="2" hidden="1">#REF!</definedName>
    <definedName name="BEx7FOFQ7MR21UZFTP7X4HI7UWRR" localSheetId="10" hidden="1">#REF!</definedName>
    <definedName name="BEx7FOFQ7MR21UZFTP7X4HI7UWRR" hidden="1">#REF!</definedName>
    <definedName name="BEx7G82CKM3NIY1PHNFK28M09PCH" hidden="1">'[16]Reco Sheet for Fcast'!$I$7:$J$7</definedName>
    <definedName name="BEx7GR3ENYWRXXS5IT0UMEGOLGUH" hidden="1">'[16]Reco Sheet for Fcast'!$F$15</definedName>
    <definedName name="BEx7GSAL6P7TASL8MB63RFST1LJL" hidden="1">'[16]Reco Sheet for Fcast'!$I$10:$J$10</definedName>
    <definedName name="BEx7GTN79OJWGSCA62UELE41F0A6" hidden="1">'[16]Reco Sheet for Fcast'!$E$1</definedName>
    <definedName name="BEx7H0JD6I5I8WQLLWOYWY5YWPQE" hidden="1">'[16]Reco Sheet for Fcast'!$I$11:$J$11</definedName>
    <definedName name="BEx7H14XCXH7WEXEY1HVO53A6AGH" hidden="1">'[16]Reco Sheet for Fcast'!$F$15</definedName>
    <definedName name="BEx7HGVBEF4LEIF6RC14N3PSU461" hidden="1">'[16]Reco Sheet for Fcast'!$I$10:$J$10</definedName>
    <definedName name="BEx7HL7W9TZ7FC8JOMGNE06BJAQG" localSheetId="2" hidden="1">#REF!</definedName>
    <definedName name="BEx7HL7W9TZ7FC8JOMGNE06BJAQG" localSheetId="10" hidden="1">#REF!</definedName>
    <definedName name="BEx7HL7W9TZ7FC8JOMGNE06BJAQG" hidden="1">#REF!</definedName>
    <definedName name="BEx7HQ5T9FZ42QWS09UO4DT42Y0R" hidden="1">'[16]Reco Sheet for Fcast'!$I$11:$J$11</definedName>
    <definedName name="BEx7HRCZE3CVGON1HV07MT5MNDZ3" hidden="1">'[16]Reco Sheet for Fcast'!$F$9:$G$9</definedName>
    <definedName name="BEx7HWGE2CANG5M17X4C8YNC3N8F" hidden="1">'[16]Reco Sheet for Fcast'!$I$6:$J$6</definedName>
    <definedName name="BEx7IBVYN47SFZIA0K4MDKQZNN9V" hidden="1">'[16]Reco Sheet for Fcast'!$I$8:$J$8</definedName>
    <definedName name="BEx7IV2IJ5WT7UC0UG7WP0WF2JZI" hidden="1">'[16]Reco Sheet for Fcast'!$F$10:$G$10</definedName>
    <definedName name="BEx7IXGU74GE5E4S6W4Z13AR092Y" hidden="1">'[16]Reco Sheet for Fcast'!$G$2</definedName>
    <definedName name="BEx7J4YL8Q3BI1MLH16YYQ18IJRD" hidden="1">'[16]Reco Sheet for Fcast'!$H$2:$I$2</definedName>
    <definedName name="BEx7JH3HGBPI07OHZ5LFYK0UFZQR" hidden="1">'[16]Reco Sheet for Fcast'!$I$8:$J$8</definedName>
    <definedName name="BEx7JV194190CNM6WWGQ3UBJ3CHH" hidden="1">'[16]Reco Sheet for Fcast'!$I$9:$J$9</definedName>
    <definedName name="BEx7JW2YB57L6MPYI5CXCAC5VO24" localSheetId="2" hidden="1">#REF!</definedName>
    <definedName name="BEx7JW2YB57L6MPYI5CXCAC5VO24" localSheetId="10" hidden="1">#REF!</definedName>
    <definedName name="BEx7JW2YB57L6MPYI5CXCAC5VO24" hidden="1">#REF!</definedName>
    <definedName name="BEx7K7GZ607XQOGB81A1HINBTGOZ" hidden="1">'[16]Reco Sheet for Fcast'!$I$8:$J$8</definedName>
    <definedName name="BEx7KEYPBDXSNROH8M6CDCBN6B50" hidden="1">'[16]Reco Sheet for Fcast'!$I$2</definedName>
    <definedName name="BEx7KSAS8BZT6H8OQCZ5DNSTMO07" hidden="1">'[16]Reco Sheet for Fcast'!$K$2</definedName>
    <definedName name="BEx7KWHTBD21COXVI4HNEQH0Z3L8" hidden="1">'[16]Reco Sheet for Fcast'!$I$8:$J$8</definedName>
    <definedName name="BEx7KXUGRMRSUXCM97Z7VRZQ9JH2" hidden="1">'[16]Reco Sheet for Fcast'!$F$9:$G$9</definedName>
    <definedName name="BEx7L5C6U8MP6IZ67BD649WQYJEK" hidden="1">'[16]Reco Sheet for Fcast'!$F$6:$G$6</definedName>
    <definedName name="BEx7L8HEYEVTATR0OG5JJO647KNI" hidden="1">'[16]Reco Sheet for Fcast'!$F$10:$G$10</definedName>
    <definedName name="BEx7L8XOV64OMS15ZFURFEUXLMWF" hidden="1">'[16]Reco Sheet for Fcast'!$F$15</definedName>
    <definedName name="BEx7LRNWHYRP8KY04FDJ7BHTLOMC" localSheetId="2" hidden="1">#REF!</definedName>
    <definedName name="BEx7LRNWHYRP8KY04FDJ7BHTLOMC" localSheetId="10" hidden="1">#REF!</definedName>
    <definedName name="BEx7LRNWHYRP8KY04FDJ7BHTLOMC" hidden="1">#REF!</definedName>
    <definedName name="BEx7MAUI1JJFDIJGDW4RWY5384LY" hidden="1">'[16]Reco Sheet for Fcast'!$G$2</definedName>
    <definedName name="BEx7MJZO3UKAMJ53UWOJ5ZD4GGMQ" hidden="1">'[16]Reco Sheet for Fcast'!$I$11:$J$11</definedName>
    <definedName name="BEx7MT4MFNXIVQGAT6D971GZW7CA" hidden="1">'[16]Reco Sheet for Fcast'!$I$8:$J$8</definedName>
    <definedName name="BEx7NFB22WBK00BOG2H7GYRN05R1" hidden="1">'[18]Bud Mth'!$F$9:$G$9</definedName>
    <definedName name="BEx7NI062THZAM6I8AJWTFJL91CS" hidden="1">'[16]Reco Sheet for Fcast'!$F$8:$G$8</definedName>
    <definedName name="BEx8ZRLGUR6D7DSDJNOT3MGNPIHT" localSheetId="2" hidden="1">'[19]Capital orders'!#REF!</definedName>
    <definedName name="BEx8ZRLGUR6D7DSDJNOT3MGNPIHT" localSheetId="10" hidden="1">'[19]Capital orders'!#REF!</definedName>
    <definedName name="BEx8ZRLGUR6D7DSDJNOT3MGNPIHT" hidden="1">'[19]Capital orders'!#REF!</definedName>
    <definedName name="BEx900ACZ0V1VYSC0W43QEUHOVZS" hidden="1">'[16]Reco Sheet for Fcast'!$F$10:$G$10</definedName>
    <definedName name="BEx904S75BPRYMHF0083JF7ES4NG" hidden="1">'[16]Reco Sheet for Fcast'!$I$11:$J$11</definedName>
    <definedName name="BEx90HDD4RWF7JZGA8GCGG7D63MG" hidden="1">'[16]Reco Sheet for Fcast'!$I$7:$J$7</definedName>
    <definedName name="BEx90LPR7EPY9B2HQPUT8UY7S0EO" hidden="1">'[16]Reco Sheet for Fcast'!$F$11:$G$11</definedName>
    <definedName name="BEx90VGH5H09ON2QXYC9WIIEU98T" hidden="1">'[16]Reco Sheet for Fcast'!$H$2:$I$2</definedName>
    <definedName name="BEx9175B70QXYAU5A8DJPGZQ46L9" hidden="1">'[16]Reco Sheet for Fcast'!$F$10:$G$10</definedName>
    <definedName name="BEx91AQQRTV87AO27VWHSFZAD4ZR" hidden="1">'[16]Reco Sheet for Fcast'!$F$10:$G$10</definedName>
    <definedName name="BEx91L8FLL5CWLA2CDHKCOMGVDZN" hidden="1">'[16]Reco Sheet for Fcast'!$H$2:$I$2</definedName>
    <definedName name="BEx91OTVH9ZDBC3QTORU8RZX4EOC" hidden="1">'[16]Reco Sheet for Fcast'!$I$7:$J$7</definedName>
    <definedName name="BEx91QH5JRZKQP1GPN2SQMR3CKAG" localSheetId="2" hidden="1">'[17]AMI P &amp; L'!#REF!</definedName>
    <definedName name="BEx91QH5JRZKQP1GPN2SQMR3CKAG" localSheetId="10" hidden="1">'[17]AMI P &amp; L'!#REF!</definedName>
    <definedName name="BEx91QH5JRZKQP1GPN2SQMR3CKAG" hidden="1">'[17]AMI P &amp; L'!#REF!</definedName>
    <definedName name="BEx91ROALDNHO7FI4X8L61RH4UJE" localSheetId="2" hidden="1">'[17]AMI P &amp; L'!#REF!</definedName>
    <definedName name="BEx91ROALDNHO7FI4X8L61RH4UJE" localSheetId="10" hidden="1">'[17]AMI P &amp; L'!#REF!</definedName>
    <definedName name="BEx91ROALDNHO7FI4X8L61RH4UJE" hidden="1">'[17]AMI P &amp; L'!#REF!</definedName>
    <definedName name="BEx91TMID71GVYH0U16QM1RV3PX0" hidden="1">'[16]Reco Sheet for Fcast'!$I$9:$J$9</definedName>
    <definedName name="BEx91VF2D78PAF337E3L2L81K9W2" hidden="1">'[16]Reco Sheet for Fcast'!$H$2:$I$2</definedName>
    <definedName name="BEx921PNZ46VORG2VRMWREWIC0SE" hidden="1">'[16]Reco Sheet for Fcast'!$I$8:$J$8</definedName>
    <definedName name="BEx926YKM8TTG7PUO1UYIDCBXTWU" localSheetId="2" hidden="1">#REF!</definedName>
    <definedName name="BEx926YKM8TTG7PUO1UYIDCBXTWU" localSheetId="10" hidden="1">#REF!</definedName>
    <definedName name="BEx926YKM8TTG7PUO1UYIDCBXTWU" hidden="1">#REF!</definedName>
    <definedName name="BEx92DPEKL5WM5A3CN8674JI0PR3" hidden="1">'[16]Reco Sheet for Fcast'!$F$8:$G$8</definedName>
    <definedName name="BEx92ER2RMY93TZK0D9L9T3H0GI5" hidden="1">'[16]Reco Sheet for Fcast'!$K$2</definedName>
    <definedName name="BEx92FI04PJT4LI23KKIHRXWJDTT" hidden="1">'[16]Reco Sheet for Fcast'!$F$9:$G$9</definedName>
    <definedName name="BEx92HR14HQ9D5JXCSPA4SS4RT62" hidden="1">'[16]Reco Sheet for Fcast'!$F$11:$G$11</definedName>
    <definedName name="BEx92HWA2D6A5EX9MFG68G0NOMSN" hidden="1">'[16]Reco Sheet for Fcast'!$I$10:$J$10</definedName>
    <definedName name="BEx92JZTWI2NV5R3DXEP4NS1NVLT" hidden="1">'[16]Reco Sheet for Fcast'!$I$11:$J$11</definedName>
    <definedName name="BEx92PUBDIXAU1FW5ZAXECMAU0LN" hidden="1">'[16]Reco Sheet for Fcast'!$K$2</definedName>
    <definedName name="BEx92S8MHFFIVRQ2YSHZNQGOFUHD" hidden="1">'[16]Reco Sheet for Fcast'!$F$15</definedName>
    <definedName name="BEx92VOMR5U4BPW19GODTNNQPLQS" localSheetId="2" hidden="1">#REF!</definedName>
    <definedName name="BEx92VOMR5U4BPW19GODTNNQPLQS" localSheetId="10" hidden="1">#REF!</definedName>
    <definedName name="BEx92VOMR5U4BPW19GODTNNQPLQS" hidden="1">#REF!</definedName>
    <definedName name="BEx92YOIWN6IEUE1U85XCO40QLR1" localSheetId="2" hidden="1">'[19]Capital orders'!#REF!</definedName>
    <definedName name="BEx92YOIWN6IEUE1U85XCO40QLR1" localSheetId="10" hidden="1">'[19]Capital orders'!#REF!</definedName>
    <definedName name="BEx92YOIWN6IEUE1U85XCO40QLR1" hidden="1">'[19]Capital orders'!#REF!</definedName>
    <definedName name="BEx93B9OULL2YGC896XXYAAJSTRK" hidden="1">'[16]Reco Sheet for Fcast'!$H$2:$I$2</definedName>
    <definedName name="BEx93FRKF99NRT3LH99UTIH7AAYF" hidden="1">'[16]Reco Sheet for Fcast'!$F$6:$G$6</definedName>
    <definedName name="BEx93M7FSHP50OG34A4W8W8DF12U" hidden="1">'[16]Reco Sheet for Fcast'!$I$10:$J$10</definedName>
    <definedName name="BEx93OLWY2O3PRA74U41VG5RXT4Q" hidden="1">'[16]Reco Sheet for Fcast'!$I$7:$J$7</definedName>
    <definedName name="BEx93RWFAF6YJGYUTITVM445C02U" hidden="1">'[16]Reco Sheet for Fcast'!$H$2:$I$2</definedName>
    <definedName name="BEx93SY9RWG3HUV4YXQKXJH9FH14" hidden="1">'[16]Reco Sheet for Fcast'!$F$15</definedName>
    <definedName name="BEx93TJUX3U0FJDBG6DDSNQ91R5J" hidden="1">'[16]Reco Sheet for Fcast'!$I$9:$J$9</definedName>
    <definedName name="BEx93YY393Z5DLMHRK8KZL5903S3" localSheetId="2" hidden="1">#REF!</definedName>
    <definedName name="BEx93YY393Z5DLMHRK8KZL5903S3" localSheetId="10" hidden="1">#REF!</definedName>
    <definedName name="BEx93YY393Z5DLMHRK8KZL5903S3" hidden="1">#REF!</definedName>
    <definedName name="BEx942UCRHMI4B0US31HO95GSC2X" hidden="1">'[16]Reco Sheet for Fcast'!$I$7:$J$7</definedName>
    <definedName name="BEx948ZFFQWVIDNG4AZAUGGGEB5U" hidden="1">'[16]Reco Sheet for Fcast'!$F$6:$G$6</definedName>
    <definedName name="BEx94CKXG92OMURH41SNU6IOHK4J" localSheetId="2" hidden="1">'[17]AMI P &amp; L'!#REF!</definedName>
    <definedName name="BEx94CKXG92OMURH41SNU6IOHK4J" localSheetId="10" hidden="1">'[17]AMI P &amp; L'!#REF!</definedName>
    <definedName name="BEx94CKXG92OMURH41SNU6IOHK4J" hidden="1">'[17]AMI P &amp; L'!#REF!</definedName>
    <definedName name="BEx94GXG30CIVB6ZQN3X3IK6BZXQ" localSheetId="2" hidden="1">'[17]AMI P &amp; L'!#REF!</definedName>
    <definedName name="BEx94GXG30CIVB6ZQN3X3IK6BZXQ" localSheetId="10" hidden="1">'[17]AMI P &amp; L'!#REF!</definedName>
    <definedName name="BEx94GXG30CIVB6ZQN3X3IK6BZXQ" hidden="1">'[17]AMI P &amp; L'!#REF!</definedName>
    <definedName name="BEx94HZ5LURYM9ST744ALV6ZCKYP" localSheetId="2" hidden="1">'[17]AMI P &amp; L'!#REF!</definedName>
    <definedName name="BEx94HZ5LURYM9ST744ALV6ZCKYP" localSheetId="10" hidden="1">'[17]AMI P &amp; L'!#REF!</definedName>
    <definedName name="BEx94HZ5LURYM9ST744ALV6ZCKYP" hidden="1">'[17]AMI P &amp; L'!#REF!</definedName>
    <definedName name="BEx94IQ75E90YUMWJ9N591LR7DQQ" localSheetId="2" hidden="1">'[17]AMI P &amp; L'!#REF!</definedName>
    <definedName name="BEx94IQ75E90YUMWJ9N591LR7DQQ" localSheetId="10" hidden="1">'[17]AMI P &amp; L'!#REF!</definedName>
    <definedName name="BEx94IQ75E90YUMWJ9N591LR7DQQ" hidden="1">'[17]AMI P &amp; L'!#REF!</definedName>
    <definedName name="BEx94N7W5T3U7UOE97D6OVIBUCXS" hidden="1">'[16]Reco Sheet for Fcast'!$I$6:$J$6</definedName>
    <definedName name="BEx94XK7HTOCAI9XPVFSIIW2YKUT" localSheetId="2" hidden="1">#REF!</definedName>
    <definedName name="BEx94XK7HTOCAI9XPVFSIIW2YKUT" localSheetId="10" hidden="1">#REF!</definedName>
    <definedName name="BEx94XK7HTOCAI9XPVFSIIW2YKUT" hidden="1">#REF!</definedName>
    <definedName name="BEx955NIAWX5OLAHMTV6QFUZPR30" localSheetId="2" hidden="1">'[17]AMI P &amp; L'!#REF!</definedName>
    <definedName name="BEx955NIAWX5OLAHMTV6QFUZPR30" localSheetId="10" hidden="1">'[17]AMI P &amp; L'!#REF!</definedName>
    <definedName name="BEx955NIAWX5OLAHMTV6QFUZPR30" hidden="1">'[17]AMI P &amp; L'!#REF!</definedName>
    <definedName name="BEx9581TYVI2M5TT4ISDAJV4W7Z6" hidden="1">'[16]Reco Sheet for Fcast'!$I$10:$J$10</definedName>
    <definedName name="BEx95NHF4RVUE0YDOAFZEIVBYJXD" hidden="1">'[16]Reco Sheet for Fcast'!$I$6:$J$6</definedName>
    <definedName name="BEx95QBZMG0E2KQ9BERJ861QLYN3" hidden="1">'[16]Reco Sheet for Fcast'!$F$6:$G$6</definedName>
    <definedName name="BEx95QHBVDN795UNQJLRXG3RDU49" hidden="1">'[16]Reco Sheet for Fcast'!$I$6:$J$6</definedName>
    <definedName name="BEx95TBVUWV7L7OMFMZDQEXGVHU6" hidden="1">'[16]Reco Sheet for Fcast'!$F$9:$G$9</definedName>
    <definedName name="BEx95U89DZZSVO39TGS62CX8G9N4" hidden="1">'[16]Reco Sheet for Fcast'!$F$11:$G$11</definedName>
    <definedName name="BEx9602K2GHNBUEUVT9ONRQU1GMD" hidden="1">'[16]Reco Sheet for Fcast'!$F$9:$G$9</definedName>
    <definedName name="BEx962BL3Y4LA53EBYI64ZYMZE8U" hidden="1">'[16]Reco Sheet for Fcast'!$F$7:$G$7</definedName>
    <definedName name="BEx96DPEANYPFX7M8LZ2UWJN17P5" localSheetId="2" hidden="1">'[19]Capital orders'!#REF!</definedName>
    <definedName name="BEx96DPEANYPFX7M8LZ2UWJN17P5" localSheetId="10" hidden="1">'[19]Capital orders'!#REF!</definedName>
    <definedName name="BEx96DPEANYPFX7M8LZ2UWJN17P5" hidden="1">'[19]Capital orders'!#REF!</definedName>
    <definedName name="BEx96JP7X7K0JLFXG5H49RXRME5R" localSheetId="2" hidden="1">#REF!</definedName>
    <definedName name="BEx96JP7X7K0JLFXG5H49RXRME5R" localSheetId="10" hidden="1">#REF!</definedName>
    <definedName name="BEx96JP7X7K0JLFXG5H49RXRME5R" hidden="1">#REF!</definedName>
    <definedName name="BEx96KR21O7H9R29TN0S45Y3QPUK" hidden="1">'[16]Reco Sheet for Fcast'!$I$9:$J$9</definedName>
    <definedName name="BEx96SUFKHHFE8XQ6UUO6ILDOXHO" hidden="1">'[16]Reco Sheet for Fcast'!$I$11:$J$11</definedName>
    <definedName name="BEx96UN4YWXBDEZ1U1ZUIPP41Z7I" hidden="1">'[16]Reco Sheet for Fcast'!$H$2:$I$2</definedName>
    <definedName name="BEx978KSD61YJH3S9DGO050R2EHA" hidden="1">'[16]Reco Sheet for Fcast'!$F$7:$G$7</definedName>
    <definedName name="BEx97H9O1NAKAPK4MX4PKO34ICL5" hidden="1">'[16]Reco Sheet for Fcast'!$F$11:$G$11</definedName>
    <definedName name="BEx97MNUZQ1Z0AO2FL7XQYVNCPR7" hidden="1">'[16]Reco Sheet for Fcast'!$I$8:$J$8</definedName>
    <definedName name="BEx97NPQBACJVD9K1YXI08RTW9E2" localSheetId="2" hidden="1">'[17]AMI P &amp; L'!#REF!</definedName>
    <definedName name="BEx97NPQBACJVD9K1YXI08RTW9E2" localSheetId="10" hidden="1">'[17]AMI P &amp; L'!#REF!</definedName>
    <definedName name="BEx97NPQBACJVD9K1YXI08RTW9E2" hidden="1">'[17]AMI P &amp; L'!#REF!</definedName>
    <definedName name="BEx97O0DV0K9YPP91QBJAT6MS3RD" localSheetId="2" hidden="1">#REF!</definedName>
    <definedName name="BEx97O0DV0K9YPP91QBJAT6MS3RD" localSheetId="10" hidden="1">#REF!</definedName>
    <definedName name="BEx97O0DV0K9YPP91QBJAT6MS3RD" hidden="1">#REF!</definedName>
    <definedName name="BEx97RWQLXS0OORDCN69IGA58CWU" hidden="1">'[16]Reco Sheet for Fcast'!$F$6:$G$6</definedName>
    <definedName name="BEx97YNGGDFIXHTMGFL2IHAQX9MI" hidden="1">'[16]Reco Sheet for Fcast'!$F$8:$G$8</definedName>
    <definedName name="BEx980G6OO93SXIQ4H0NMENRJJHQ" hidden="1">'[16]Reco Sheet for Fcast'!$I$9:$J$9</definedName>
    <definedName name="BEx981HW73BUZWT14TBTZHC0ZTJ4" hidden="1">'[16]Reco Sheet for Fcast'!$F$7:$G$7</definedName>
    <definedName name="BEx9871KU0N99P0900EAK69VFYT2" hidden="1">'[16]Reco Sheet for Fcast'!$F$15</definedName>
    <definedName name="BEx98IFKNJFGZFLID1YTRFEG1SXY" hidden="1">'[16]Reco Sheet for Fcast'!$F$9:$G$9</definedName>
    <definedName name="BEx98KZ7LNKCVOT9D2LOYY4QBVY3" localSheetId="2" hidden="1">#REF!</definedName>
    <definedName name="BEx98KZ7LNKCVOT9D2LOYY4QBVY3" localSheetId="10" hidden="1">#REF!</definedName>
    <definedName name="BEx98KZ7LNKCVOT9D2LOYY4QBVY3" hidden="1">#REF!</definedName>
    <definedName name="BEx98VGU9QUYP1365CXZRT20O3L4" localSheetId="2" hidden="1">'[19]Capital orders'!#REF!</definedName>
    <definedName name="BEx98VGU9QUYP1365CXZRT20O3L4" localSheetId="10" hidden="1">'[19]Capital orders'!#REF!</definedName>
    <definedName name="BEx98VGU9QUYP1365CXZRT20O3L4" hidden="1">'[19]Capital orders'!#REF!</definedName>
    <definedName name="BEx9915UVD4G7RA3IMLFZ0LG3UA2" hidden="1">'[16]Reco Sheet for Fcast'!$F$7:$G$7</definedName>
    <definedName name="BEx992CZON8AO7U7V88VN1JBO0MG" hidden="1">'[16]Reco Sheet for Fcast'!$I$8:$J$8</definedName>
    <definedName name="BEx9952469XMFGSPXL7CMXHPJF90" hidden="1">'[16]Reco Sheet for Fcast'!$I$9:$J$9</definedName>
    <definedName name="BEx99B77I7TUSHRR4HIZ9FU2EIUT" hidden="1">'[16]Reco Sheet for Fcast'!$F$11:$G$11</definedName>
    <definedName name="BEx99Q6PH5F3OQKCCAAO75PYDEFN" hidden="1">'[16]Reco Sheet for Fcast'!$G$2</definedName>
    <definedName name="BEx99UDROAK28GWTG7FXE0N78XYN" hidden="1">'[16]Reco Sheet for Fcast'!$I$11:$J$11</definedName>
    <definedName name="BEx99WBYT2D6UUC1PT7A40ENYID4" hidden="1">'[16]Reco Sheet for Fcast'!$I$11:$J$11</definedName>
    <definedName name="BEx99ZRZ4I7FHDPGRAT5VW7NVBPU" hidden="1">'[16]Reco Sheet for Fcast'!$I$7:$J$7</definedName>
    <definedName name="BEx9AT5E3ZSHKSOL35O38L8HF9TH" hidden="1">'[16]Reco Sheet for Fcast'!$I$9:$J$9</definedName>
    <definedName name="BEx9AV8W1FAWF5BHATYEN47X12JN" hidden="1">'[16]Reco Sheet for Fcast'!$F$15</definedName>
    <definedName name="BEx9B8A5186FNTQQNLIO5LK02ABI" localSheetId="2" hidden="1">'[17]AMI P &amp; L'!#REF!</definedName>
    <definedName name="BEx9B8A5186FNTQQNLIO5LK02ABI" localSheetId="10" hidden="1">'[17]AMI P &amp; L'!#REF!</definedName>
    <definedName name="BEx9B8A5186FNTQQNLIO5LK02ABI" hidden="1">'[17]AMI P &amp; L'!#REF!</definedName>
    <definedName name="BEx9B8VR20E2CILU4CDQUQQ9ONXK" hidden="1">'[16]Reco Sheet for Fcast'!$G$2</definedName>
    <definedName name="BEx9B917EUP13X6FQ3NPQL76XM5V" hidden="1">'[16]Reco Sheet for Fcast'!$F$11:$G$11</definedName>
    <definedName name="BEx9BAJ5WYEQ623HUT9NNCMP3RUG" hidden="1">'[16]Reco Sheet for Fcast'!$I$11:$J$11</definedName>
    <definedName name="BEx9BAOHDIFZFPSM1WYA3RHQ0G9I" localSheetId="2" hidden="1">'[19]Capital orders'!#REF!</definedName>
    <definedName name="BEx9BAOHDIFZFPSM1WYA3RHQ0G9I" localSheetId="10" hidden="1">'[19]Capital orders'!#REF!</definedName>
    <definedName name="BEx9BAOHDIFZFPSM1WYA3RHQ0G9I" hidden="1">'[19]Capital orders'!#REF!</definedName>
    <definedName name="BEx9BYSYW7QCPXS2NAVLFAU5Y2Z2" hidden="1">'[16]Reco Sheet for Fcast'!$I$6:$J$6</definedName>
    <definedName name="BEx9C590HJ2O31IWJB73C1HR74AI" hidden="1">'[16]Reco Sheet for Fcast'!$I$11:$J$11</definedName>
    <definedName name="BEx9CCQRMYYOGIOYTOM73VKDIPS1" hidden="1">'[16]Reco Sheet for Fcast'!$I$6:$J$6</definedName>
    <definedName name="BEx9D1BC9FT19KY0INAABNDBAMR1" hidden="1">'[16]Reco Sheet for Fcast'!$I$10:$J$10</definedName>
    <definedName name="BEx9DN6ZMF18Q39MPMXSDJTZQNJ3" hidden="1">'[16]Reco Sheet for Fcast'!$F$10:$G$10</definedName>
    <definedName name="BEx9E14TDNSEMI784W0OTIEQMWN6" hidden="1">'[16]Reco Sheet for Fcast'!$K$2</definedName>
    <definedName name="BEx9E2BZ2B1R41FMGJCJ7JLGLUAJ" hidden="1">'[16]Reco Sheet for Fcast'!$F$15:$G$16</definedName>
    <definedName name="BEx9EG9KBJ77M8LEOR9ITOKN5KXY" hidden="1">'[16]Reco Sheet for Fcast'!$I$7:$J$7</definedName>
    <definedName name="BEx9ELT9J5NDVVY4N2UDXPELXQC3" hidden="1">'[18]Bud Mth'!$F$9:$G$9</definedName>
    <definedName name="BEx9EMK6HAJJMVYZTN5AUIV7O1E6" hidden="1">'[16]Reco Sheet for Fcast'!$I$11:$J$11</definedName>
    <definedName name="BEx9EQLVZHYQ1TPX7WH3SOWXCZLE" hidden="1">'[16]Reco Sheet for Fcast'!$I$6:$J$6</definedName>
    <definedName name="BEx9ETLU0EK5LGEM1QCNYN2S8O5F" hidden="1">'[16]Reco Sheet for Fcast'!$F$7:$G$7</definedName>
    <definedName name="BEx9F0Y2ESUNE3U7TQDLMPE9BO67" hidden="1">'[16]Reco Sheet for Fcast'!$I$10:$J$10</definedName>
    <definedName name="BEx9F5W18ZGFOKGRE8PR6T1MO6GT" hidden="1">'[16]Reco Sheet for Fcast'!$I$11:$J$11</definedName>
    <definedName name="BEx9F78N4HY0XFGBQ4UJRD52L1EI" hidden="1">'[16]Reco Sheet for Fcast'!$K$2</definedName>
    <definedName name="BEx9FF16LOQP5QIR4UHW5EIFGQB8" hidden="1">'[16]Reco Sheet for Fcast'!$G$2</definedName>
    <definedName name="BEx9FJTSRCZ3ZXT3QVBJT5NF8T7V" hidden="1">'[16]Reco Sheet for Fcast'!$K$2</definedName>
    <definedName name="BEx9FRBEEYPS5HLS3XT34AKZN94G" hidden="1">'[16]Reco Sheet for Fcast'!$F$7:$G$7</definedName>
    <definedName name="BEx9GDY4D8ZPQJCYFIMYM0V0C51Y" hidden="1">'[16]Reco Sheet for Fcast'!$F$8:$G$8</definedName>
    <definedName name="BEx9GGY04V0ZWI6O9KZH4KSBB389" hidden="1">'[16]Reco Sheet for Fcast'!$I$11:$J$11</definedName>
    <definedName name="BEx9GNOPB6OZ2RH3FCDNJR38RJOS" hidden="1">'[16]Reco Sheet for Fcast'!$F$9:$G$9</definedName>
    <definedName name="BEx9GOA9AZX8DJGLEVWAJIIXRVFO" hidden="1">'[16]Reco Sheet for Fcast'!$F$9:$G$9</definedName>
    <definedName name="BEx9GTJ6YTNR09A1J3DJOTVV6SGI" hidden="1">'[16]Reco Sheet for Fcast'!$G$2:$H$2</definedName>
    <definedName name="BEx9GUQALUWCD30UKUQGSWW8KBQ7" hidden="1">'[16]Reco Sheet for Fcast'!$I$6:$J$6</definedName>
    <definedName name="BEx9GY6BVFQGCLMOWVT6PIC9WP5X" hidden="1">'[16]Reco Sheet for Fcast'!$F$15</definedName>
    <definedName name="BEx9GZ2P3FDHKXEBXX2VS0BG2NP2" hidden="1">'[16]Reco Sheet for Fcast'!$F$6:$G$6</definedName>
    <definedName name="BEx9H04IB14E1437FF2OIRRWBSD7" hidden="1">'[16]Reco Sheet for Fcast'!$F$15</definedName>
    <definedName name="BEx9H5O1KDZJCW91Q29VRPY5YS6P" hidden="1">'[16]Reco Sheet for Fcast'!$I$9:$J$9</definedName>
    <definedName name="BEx9H8YR0E906F1JXZMBX3LNT004" hidden="1">'[16]Reco Sheet for Fcast'!$F$9:$G$9</definedName>
    <definedName name="BEx9HLP8FC22WFQ6C2PNR5A9187F" localSheetId="2" hidden="1">'[19]Capital orders'!#REF!</definedName>
    <definedName name="BEx9HLP8FC22WFQ6C2PNR5A9187F" localSheetId="10" hidden="1">'[19]Capital orders'!#REF!</definedName>
    <definedName name="BEx9HLP8FC22WFQ6C2PNR5A9187F" hidden="1">'[19]Capital orders'!#REF!</definedName>
    <definedName name="BEx9HZ1G1J0CB5PC45ZW4S9Q4EFY" localSheetId="2" hidden="1">#REF!</definedName>
    <definedName name="BEx9HZ1G1J0CB5PC45ZW4S9Q4EFY" localSheetId="10" hidden="1">#REF!</definedName>
    <definedName name="BEx9HZ1G1J0CB5PC45ZW4S9Q4EFY" hidden="1">#REF!</definedName>
    <definedName name="BEx9I8XIG7E5NB48QQHXP23FIN60" hidden="1">'[16]Reco Sheet for Fcast'!$I$10:$J$10</definedName>
    <definedName name="BEx9IQRF01ATLVK0YE60ARKQJ68L" hidden="1">'[16]Reco Sheet for Fcast'!$I$8:$J$8</definedName>
    <definedName name="BEx9IT5QNZWKM6YQ5WER0DC2PMMU" hidden="1">'[16]Reco Sheet for Fcast'!$I$9:$J$9</definedName>
    <definedName name="BEx9IW5MFLXTVCJHVUZTUH93AXOS" localSheetId="2" hidden="1">'[17]AMI P &amp; L'!#REF!</definedName>
    <definedName name="BEx9IW5MFLXTVCJHVUZTUH93AXOS" localSheetId="10" hidden="1">'[17]AMI P &amp; L'!#REF!</definedName>
    <definedName name="BEx9IW5MFLXTVCJHVUZTUH93AXOS" hidden="1">'[17]AMI P &amp; L'!#REF!</definedName>
    <definedName name="BEx9IXCSPSZC80YZUPRCYTG326KV" hidden="1">'[16]Reco Sheet for Fcast'!$I$10:$J$10</definedName>
    <definedName name="BEx9IZR39NHDGOM97H4E6F81RTQW" hidden="1">'[16]Reco Sheet for Fcast'!$F$6:$G$6</definedName>
    <definedName name="BEx9J6CH5E7YZPER7HXEIOIKGPCA" localSheetId="2" hidden="1">'[17]AMI P &amp; L'!#REF!</definedName>
    <definedName name="BEx9J6CH5E7YZPER7HXEIOIKGPCA" localSheetId="10" hidden="1">'[17]AMI P &amp; L'!#REF!</definedName>
    <definedName name="BEx9J6CH5E7YZPER7HXEIOIKGPCA" hidden="1">'[17]AMI P &amp; L'!#REF!</definedName>
    <definedName name="BEx9JJTZKVUJAVPTRE0RAVTEH41G" hidden="1">'[16]Reco Sheet for Fcast'!$I$11:$J$11</definedName>
    <definedName name="BEx9JLBYK239B3F841C7YG1GT7ST" localSheetId="2" hidden="1">'[17]AMI P &amp; L'!#REF!</definedName>
    <definedName name="BEx9JLBYK239B3F841C7YG1GT7ST" localSheetId="10" hidden="1">'[17]AMI P &amp; L'!#REF!</definedName>
    <definedName name="BEx9JLBYK239B3F841C7YG1GT7ST" hidden="1">'[17]AMI P &amp; L'!#REF!</definedName>
    <definedName name="BEx9KLW9GH3AS7L6X2QVYRX4MP47" localSheetId="2" hidden="1">#REF!</definedName>
    <definedName name="BEx9KLW9GH3AS7L6X2QVYRX4MP47" localSheetId="10" hidden="1">#REF!</definedName>
    <definedName name="BEx9KLW9GH3AS7L6X2QVYRX4MP47" hidden="1">#REF!</definedName>
    <definedName name="BExAW4IIW5D0MDY6TJ3G4FOLPYIR" hidden="1">'[16]Reco Sheet for Fcast'!$H$2:$I$2</definedName>
    <definedName name="BExAWEPCKLF5GHCVH6O4GKOE0SW1" hidden="1">'[16]Reco Sheet for Fcast'!$F$10:$G$10</definedName>
    <definedName name="BExAX28937OH2SJJ980WOFXSWR07" hidden="1">'[16]Reco Sheet for Fcast'!$F$7:$G$7</definedName>
    <definedName name="BExAX410NB4F2XOB84OR2197H8M5" localSheetId="2" hidden="1">'[17]AMI P &amp; L'!#REF!</definedName>
    <definedName name="BExAX410NB4F2XOB84OR2197H8M5" localSheetId="10" hidden="1">'[17]AMI P &amp; L'!#REF!</definedName>
    <definedName name="BExAX410NB4F2XOB84OR2197H8M5" hidden="1">'[17]AMI P &amp; L'!#REF!</definedName>
    <definedName name="BExAX8TNG8LQ5Q4904SAYQIPGBSV" hidden="1">'[16]Reco Sheet for Fcast'!$I$7:$J$7</definedName>
    <definedName name="BExAXH2FJ8S1SX2XRI17ZABSFERB" localSheetId="2" hidden="1">#REF!</definedName>
    <definedName name="BExAXH2FJ8S1SX2XRI17ZABSFERB" localSheetId="10" hidden="1">#REF!</definedName>
    <definedName name="BExAXH2FJ8S1SX2XRI17ZABSFERB" hidden="1">#REF!</definedName>
    <definedName name="BExAY0EAT2LXR5MFGM0DLIB45PLO" hidden="1">'[16]Reco Sheet for Fcast'!$F$6:$G$6</definedName>
    <definedName name="BExAYDA8H0HQ51AQDS0QEQS4IUSJ" localSheetId="2" hidden="1">'[19]Capital orders'!#REF!</definedName>
    <definedName name="BExAYDA8H0HQ51AQDS0QEQS4IUSJ" localSheetId="10" hidden="1">'[19]Capital orders'!#REF!</definedName>
    <definedName name="BExAYDA8H0HQ51AQDS0QEQS4IUSJ" hidden="1">'[19]Capital orders'!#REF!</definedName>
    <definedName name="BExAYE6LNIEBR9DSNI5JGNITGKIT" hidden="1">'[16]Reco Sheet for Fcast'!$I$7:$J$7</definedName>
    <definedName name="BExAYHMLXGGO25P8HYB2S75DEB4F" hidden="1">'[16]Reco Sheet for Fcast'!$F$10:$G$10</definedName>
    <definedName name="BExAYHXJ3CVLPZX5R6UR0U1MNDXJ" hidden="1">'[16]Reco Sheet for Fcast'!$C$15:$D$23</definedName>
    <definedName name="BExAYKXAUWGDOPG952TEJ2UKZKWN" hidden="1">'[16]Reco Sheet for Fcast'!$F$8:$G$8</definedName>
    <definedName name="BExAYP9TDTI2MBP6EYE0H39CPMXN" hidden="1">'[16]Reco Sheet for Fcast'!$F$9:$G$9</definedName>
    <definedName name="BExAYPPWJPWDKU59O051WMGB7O0J" hidden="1">'[16]Reco Sheet for Fcast'!$F$11:$G$11</definedName>
    <definedName name="BExAYR2JZCJBUH6F1LZC2A7JIVRJ" hidden="1">'[16]Reco Sheet for Fcast'!$F$7:$G$7</definedName>
    <definedName name="BExAYTGVRD3DLKO75RFPMBKCIWB8" hidden="1">'[16]Reco Sheet for Fcast'!$F$8:$G$8</definedName>
    <definedName name="BExAYY9H9COOT46HJLPVDLTO12UL" hidden="1">'[16]Reco Sheet for Fcast'!$I$11:$J$11</definedName>
    <definedName name="BExAZCNEGB4JYHC8CZ51KTN890US" hidden="1">'[16]Reco Sheet for Fcast'!$F$9:$G$9</definedName>
    <definedName name="BExAZFCI302YFYRDJYQDWQQL0Q0O" hidden="1">'[16]Reco Sheet for Fcast'!$I$7:$J$7</definedName>
    <definedName name="BExAZLHLST9OP89R1HJMC1POQG8H" hidden="1">'[16]Reco Sheet for Fcast'!$F$10:$G$10</definedName>
    <definedName name="BExAZMDYMIAA7RX1BMCKU1VLBRGY" hidden="1">'[16]Reco Sheet for Fcast'!$F$6:$G$6</definedName>
    <definedName name="BExAZNL6BHI8DCQWXOX4I2P839UX" hidden="1">'[16]Reco Sheet for Fcast'!$I$2:$J$2</definedName>
    <definedName name="BExAZRMWSONMCG9KDUM4KAQ7BONM" hidden="1">'[16]Reco Sheet for Fcast'!$H$2:$I$2</definedName>
    <definedName name="BExAZTFG4SJRG4TW6JXRF7N08JFI" hidden="1">'[16]Reco Sheet for Fcast'!$I$10:$J$10</definedName>
    <definedName name="BExAZUS4A8OHDZK0MWAOCCCKTH73" hidden="1">'[16]Reco Sheet for Fcast'!$F$8:$G$8</definedName>
    <definedName name="BExAZX6FECVK3E07KXM2XPYKGM6U" hidden="1">'[16]Reco Sheet for Fcast'!$G$2</definedName>
    <definedName name="BExB012NJ8GASTNNPBRRFTLHIOC9" hidden="1">'[16]Reco Sheet for Fcast'!$F$9:$G$9</definedName>
    <definedName name="BExB072HHXVMUC0VYNGG48GRSH5Q" localSheetId="2" hidden="1">'[17]AMI P &amp; L'!#REF!</definedName>
    <definedName name="BExB072HHXVMUC0VYNGG48GRSH5Q" localSheetId="10" hidden="1">'[17]AMI P &amp; L'!#REF!</definedName>
    <definedName name="BExB072HHXVMUC0VYNGG48GRSH5Q" hidden="1">'[17]AMI P &amp; L'!#REF!</definedName>
    <definedName name="BExB0FRDEYDEUEAB1W8KD6D965XA" hidden="1">'[16]Reco Sheet for Fcast'!$K$2</definedName>
    <definedName name="BExB0KPCN7YJORQAYUCF4YKIKPMC" hidden="1">'[16]Reco Sheet for Fcast'!$I$11:$J$11</definedName>
    <definedName name="BExB0WE4PI3NOBXXVO9CTEN4DIU2" hidden="1">'[16]Reco Sheet for Fcast'!$G$2</definedName>
    <definedName name="BExB10QNIVITUYS55OAEKK3VLJFE" hidden="1">'[16]Reco Sheet for Fcast'!$G$2</definedName>
    <definedName name="BExB15ZDRY4CIJ911DONP0KCY9KU" hidden="1">'[16]Reco Sheet for Fcast'!$F$6:$G$6</definedName>
    <definedName name="BExB16VQY0O0RLZYJFU3OFEONVTE" hidden="1">'[16]Reco Sheet for Fcast'!$I$6:$J$6</definedName>
    <definedName name="BExB1713OG4CGOEQ7O0FXSI2FQWZ" localSheetId="2" hidden="1">#REF!</definedName>
    <definedName name="BExB1713OG4CGOEQ7O0FXSI2FQWZ" localSheetId="10" hidden="1">#REF!</definedName>
    <definedName name="BExB1713OG4CGOEQ7O0FXSI2FQWZ" hidden="1">#REF!</definedName>
    <definedName name="BExB1FKNY2UO4W5FUGFHJOA2WFGG" localSheetId="2" hidden="1">'[17]AMI P &amp; L'!#REF!</definedName>
    <definedName name="BExB1FKNY2UO4W5FUGFHJOA2WFGG" localSheetId="10" hidden="1">'[17]AMI P &amp; L'!#REF!</definedName>
    <definedName name="BExB1FKNY2UO4W5FUGFHJOA2WFGG" hidden="1">'[17]AMI P &amp; L'!#REF!</definedName>
    <definedName name="BExB1GMD0PIDGTFBGQOPRWQSP9I4" localSheetId="2" hidden="1">'[17]AMI P &amp; L'!#REF!</definedName>
    <definedName name="BExB1GMD0PIDGTFBGQOPRWQSP9I4" hidden="1">'[17]AMI P &amp; L'!#REF!</definedName>
    <definedName name="BExB1PWZDAO1V9N18MU22F75P6Y5" hidden="1">'[16]Reco Sheet for Fcast'!$I$6:$J$6</definedName>
    <definedName name="BExB1Q29OO6LNFNT1EQLA3KYE7MX" hidden="1">'[16]Reco Sheet for Fcast'!$F$7:$G$7</definedName>
    <definedName name="BExB1TNRV5EBWZEHYLHI76T0FVA7" hidden="1">'[16]Reco Sheet for Fcast'!$I$9:$J$9</definedName>
    <definedName name="BExB1WI6M8I0EEP1ANUQZCFY24EV" localSheetId="2" hidden="1">'[17]AMI P &amp; L'!#REF!</definedName>
    <definedName name="BExB1WI6M8I0EEP1ANUQZCFY24EV" localSheetId="10" hidden="1">'[17]AMI P &amp; L'!#REF!</definedName>
    <definedName name="BExB1WI6M8I0EEP1ANUQZCFY24EV" hidden="1">'[17]AMI P &amp; L'!#REF!</definedName>
    <definedName name="BExB1Z7GTT7CR0FJMG7GTKH7A4KN" hidden="1">'[16]Reco Sheet for Fcast'!$O$6:$P$10</definedName>
    <definedName name="BExB203OWC9QZA3BYOKQ18L4FUJE" hidden="1">'[16]Reco Sheet for Fcast'!$F$9:$G$9</definedName>
    <definedName name="BExB2CJHTU7C591BR4WRL5L2F2K6" hidden="1">'[16]Reco Sheet for Fcast'!$I$9:$J$9</definedName>
    <definedName name="BExB2K1AV4PGNS1O6C7D7AO411AX" hidden="1">'[16]Reco Sheet for Fcast'!$F$11:$G$11</definedName>
    <definedName name="BExB2O2UYHKI324YE324E1N7FVIB" hidden="1">'[16]Reco Sheet for Fcast'!$I$10:$J$10</definedName>
    <definedName name="BExB2Q0VJ0MU2URO3JOVUAVHEI3V" localSheetId="2" hidden="1">'[17]AMI P &amp; L'!#REF!</definedName>
    <definedName name="BExB2Q0VJ0MU2URO3JOVUAVHEI3V" localSheetId="10" hidden="1">'[17]AMI P &amp; L'!#REF!</definedName>
    <definedName name="BExB2Q0VJ0MU2URO3JOVUAVHEI3V" hidden="1">'[17]AMI P &amp; L'!#REF!</definedName>
    <definedName name="BExB2TBPD6APUT2TO3BGE6IU9G7C" hidden="1">'[18]Bud Mth'!$I$11:$J$11</definedName>
    <definedName name="BExB2TRVKQUUYWEZA4GM0V7NE7IX" localSheetId="2" hidden="1">'[19]Capital orders'!#REF!</definedName>
    <definedName name="BExB2TRVKQUUYWEZA4GM0V7NE7IX" localSheetId="10" hidden="1">'[19]Capital orders'!#REF!</definedName>
    <definedName name="BExB2TRVKQUUYWEZA4GM0V7NE7IX" hidden="1">'[19]Capital orders'!#REF!</definedName>
    <definedName name="BExB30IP1DNKNQ6PZ5ERUGR5MK4Z" hidden="1">'[16]Reco Sheet for Fcast'!$I$11:$J$11</definedName>
    <definedName name="BExB42VLHX3FLYCON9QDRE70MBLO" localSheetId="2" hidden="1">#REF!</definedName>
    <definedName name="BExB42VLHX3FLYCON9QDRE70MBLO" localSheetId="10" hidden="1">#REF!</definedName>
    <definedName name="BExB42VLHX3FLYCON9QDRE70MBLO" hidden="1">#REF!</definedName>
    <definedName name="BExB442RX0T3L6HUL6X5T21CENW6" localSheetId="2" hidden="1">'[17]AMI P &amp; L'!#REF!</definedName>
    <definedName name="BExB442RX0T3L6HUL6X5T21CENW6" localSheetId="10" hidden="1">'[17]AMI P &amp; L'!#REF!</definedName>
    <definedName name="BExB442RX0T3L6HUL6X5T21CENW6" hidden="1">'[17]AMI P &amp; L'!#REF!</definedName>
    <definedName name="BExB4ADD0L7417CII901XTFKXD1J" hidden="1">'[16]Reco Sheet for Fcast'!$I$7:$J$7</definedName>
    <definedName name="BExB4DYU06HCGRIPBSWRCXK804UM" hidden="1">'[16]Reco Sheet for Fcast'!$F$11:$G$11</definedName>
    <definedName name="BExB4KEQ72L2ONQ7IFMYZAK0153C" hidden="1">'[16]Reco Sheet for Fcast'!$F$11:$G$11</definedName>
    <definedName name="BExB4M24SMODJ32BDKDH2DWLGTXO" localSheetId="2" hidden="1">#REF!</definedName>
    <definedName name="BExB4M24SMODJ32BDKDH2DWLGTXO" localSheetId="10" hidden="1">#REF!</definedName>
    <definedName name="BExB4M24SMODJ32BDKDH2DWLGTXO" hidden="1">#REF!</definedName>
    <definedName name="BExB4Z3EZBGYYI33U0KQ8NEIH8PY" hidden="1">'[16]Reco Sheet for Fcast'!$I$8:$J$8</definedName>
    <definedName name="BExB55368XW7UX657ZSPC6BFE92S" hidden="1">'[16]Reco Sheet for Fcast'!$I$8:$J$8</definedName>
    <definedName name="BExB57MZEPL2SA2ONPK66YFLZWJU" hidden="1">'[16]Reco Sheet for Fcast'!$I$8:$J$8</definedName>
    <definedName name="BExB5833OAOJ22VK1YK47FHUSVK2" localSheetId="2" hidden="1">'[17]AMI P &amp; L'!#REF!</definedName>
    <definedName name="BExB5833OAOJ22VK1YK47FHUSVK2" localSheetId="10" hidden="1">'[17]AMI P &amp; L'!#REF!</definedName>
    <definedName name="BExB5833OAOJ22VK1YK47FHUSVK2" hidden="1">'[17]AMI P &amp; L'!#REF!</definedName>
    <definedName name="BExB58JDIHS42JZT9DJJMKA8QFCO" hidden="1">'[16]Reco Sheet for Fcast'!$I$11:$J$11</definedName>
    <definedName name="BExB58U5FQC5JWV9CGC83HLLZUZI" hidden="1">'[16]Reco Sheet for Fcast'!$F$7:$G$7</definedName>
    <definedName name="BExB5EDO9XUKHF74X3HAU2WPPHZH" hidden="1">'[16]Reco Sheet for Fcast'!$I$6:$J$6</definedName>
    <definedName name="BExB5G6EH68AYEP1UT0GHUEL3SLN" hidden="1">'[16]Reco Sheet for Fcast'!$F$11:$G$11</definedName>
    <definedName name="BExB5QYVEZWFE5DQVHAM760EV05X" hidden="1">'[16]Reco Sheet for Fcast'!$I$7:$J$7</definedName>
    <definedName name="BExB5U9IRH14EMOE0YGIE3WIVLFS" hidden="1">'[16]Reco Sheet for Fcast'!$I$6:$J$6</definedName>
    <definedName name="BExB5VWYMOV6BAIH7XUBBVPU7MMD" hidden="1">'[16]Reco Sheet for Fcast'!$F$9:$G$9</definedName>
    <definedName name="BExB610DZWIJP1B72U9QM42COH2B" hidden="1">'[16]Reco Sheet for Fcast'!$F$9:$G$9</definedName>
    <definedName name="BExB6C3FUAKK9ML5T767NMWGA9YB" hidden="1">'[16]Reco Sheet for Fcast'!$F$7:$G$7</definedName>
    <definedName name="BExB6C8X6JYRLKZKK17VE3QUNL3D" hidden="1">'[16]Reco Sheet for Fcast'!$G$2</definedName>
    <definedName name="BExB6HN3QRFPXM71MDUK21BKM7PF" hidden="1">'[16]Reco Sheet for Fcast'!$F$11:$G$11</definedName>
    <definedName name="BExB6IZMHCZ3LB7N73KD90YB1HBZ" hidden="1">'[16]Reco Sheet for Fcast'!$F$9:$G$9</definedName>
    <definedName name="BExB719SGNX4Y8NE6JEXC555K596" hidden="1">'[16]Reco Sheet for Fcast'!$F$10:$G$10</definedName>
    <definedName name="BExB7265DCHKS7V2OWRBXCZTEIW9" hidden="1">'[16]Reco Sheet for Fcast'!$F$6:$G$6</definedName>
    <definedName name="BExB74PS5P9G0P09Y6DZSCX0FLTJ" hidden="1">'[16]Reco Sheet for Fcast'!$I$6:$J$6</definedName>
    <definedName name="BExB78RH79J0MIF7H8CAZ0CFE88Q" localSheetId="2" hidden="1">'[17]AMI P &amp; L'!#REF!</definedName>
    <definedName name="BExB78RH79J0MIF7H8CAZ0CFE88Q" localSheetId="10" hidden="1">'[17]AMI P &amp; L'!#REF!</definedName>
    <definedName name="BExB78RH79J0MIF7H8CAZ0CFE88Q" hidden="1">'[17]AMI P &amp; L'!#REF!</definedName>
    <definedName name="BExB7ELT09HGDVO5BJC1ZY9D09GZ" hidden="1">'[16]Reco Sheet for Fcast'!$H$2:$I$2</definedName>
    <definedName name="BExB806PAXX70XUTA3ZI7OORD78R" hidden="1">'[16]Reco Sheet for Fcast'!$F$15</definedName>
    <definedName name="BExB8HF4UBVZKQCSRFRUQL2EE6VL" hidden="1">'[16]Reco Sheet for Fcast'!$F$8:$G$8</definedName>
    <definedName name="BExB8HKHKZ1ORJZUYGG2M4VSCC39" hidden="1">'[16]Reco Sheet for Fcast'!$F$9:$G$9</definedName>
    <definedName name="BExB8K9L3ECVVHYODX1ITUTEHJTR" hidden="1">'[16]Reco Sheet for Fcast'!$L$6:$M$10</definedName>
    <definedName name="BExB8QPH8DC5BESEVPSMBCWVN6PO" hidden="1">'[16]Reco Sheet for Fcast'!$F$6:$G$6</definedName>
    <definedName name="BExB8U5N0D85YR8APKN3PPKG0FWP" localSheetId="2" hidden="1">'[17]AMI P &amp; L'!#REF!</definedName>
    <definedName name="BExB8U5N0D85YR8APKN3PPKG0FWP" localSheetId="10" hidden="1">'[17]AMI P &amp; L'!#REF!</definedName>
    <definedName name="BExB8U5N0D85YR8APKN3PPKG0FWP" hidden="1">'[17]AMI P &amp; L'!#REF!</definedName>
    <definedName name="BExB8WJYEQ55LDAYQH0NXEDCQOVD" localSheetId="2" hidden="1">#REF!</definedName>
    <definedName name="BExB8WJYEQ55LDAYQH0NXEDCQOVD" localSheetId="10" hidden="1">#REF!</definedName>
    <definedName name="BExB8WJYEQ55LDAYQH0NXEDCQOVD" hidden="1">#REF!</definedName>
    <definedName name="BExB9AXUUDDTRDLVSC7REODDIYJ2" localSheetId="2" hidden="1">#REF!</definedName>
    <definedName name="BExB9AXUUDDTRDLVSC7REODDIYJ2" localSheetId="10" hidden="1">#REF!</definedName>
    <definedName name="BExB9AXUUDDTRDLVSC7REODDIYJ2" hidden="1">#REF!</definedName>
    <definedName name="BExB9DHI5I2TJ2LXYPM98EE81L27" hidden="1">'[16]Reco Sheet for Fcast'!$I$9:$J$9</definedName>
    <definedName name="BExB9Q2MZZHBGW8QQKVEYIMJBPIE" localSheetId="2" hidden="1">'[17]AMI P &amp; L'!#REF!</definedName>
    <definedName name="BExB9Q2MZZHBGW8QQKVEYIMJBPIE" localSheetId="10" hidden="1">'[17]AMI P &amp; L'!#REF!</definedName>
    <definedName name="BExB9Q2MZZHBGW8QQKVEYIMJBPIE" hidden="1">'[17]AMI P &amp; L'!#REF!</definedName>
    <definedName name="BExB9R4HYJ83UNLFWKDKDJ31E2DS" localSheetId="2" hidden="1">'[19]Capital orders'!#REF!</definedName>
    <definedName name="BExB9R4HYJ83UNLFWKDKDJ31E2DS" localSheetId="10" hidden="1">'[19]Capital orders'!#REF!</definedName>
    <definedName name="BExB9R4HYJ83UNLFWKDKDJ31E2DS" hidden="1">'[19]Capital orders'!#REF!</definedName>
    <definedName name="BExBA1GON0EZRJ20UYPILAPLNQWM" hidden="1">'[16]Reco Sheet for Fcast'!$I$7:$J$7</definedName>
    <definedName name="BExBA69ASGYRZW1G1DYIS9QRRTBN" hidden="1">'[16]Reco Sheet for Fcast'!$F$9:$G$9</definedName>
    <definedName name="BExBA6K42582A14WFFWQ3Q8QQWB6" hidden="1">'[16]Reco Sheet for Fcast'!$I$7:$J$7</definedName>
    <definedName name="BExBA8I5D4R8R2PYQ1K16TWGTOEP" hidden="1">'[16]Reco Sheet for Fcast'!$I$7:$J$7</definedName>
    <definedName name="BExBA93PE0DGUUTA7LLSIGBIXWE5" hidden="1">'[16]Reco Sheet for Fcast'!$I$7:$J$7</definedName>
    <definedName name="BExBAAGDKQLBSZJAFZFOCDTVS99P" localSheetId="2" hidden="1">'[17]AMI P &amp; L'!#REF!</definedName>
    <definedName name="BExBAAGDKQLBSZJAFZFOCDTVS99P" localSheetId="10" hidden="1">'[17]AMI P &amp; L'!#REF!</definedName>
    <definedName name="BExBAAGDKQLBSZJAFZFOCDTVS99P" hidden="1">'[17]AMI P &amp; L'!#REF!</definedName>
    <definedName name="BExBAI8X0FKDQJ6YZJQDTTG4ZCWY" hidden="1">'[16]Reco Sheet for Fcast'!$I$7:$J$7</definedName>
    <definedName name="BExBAKN7XIBAXCF9PCNVS038PCQO" hidden="1">'[16]Reco Sheet for Fcast'!$F$11:$G$11</definedName>
    <definedName name="BExBAKXZ7PBW3DDKKA5MWC1ZUC7O" hidden="1">'[16]Reco Sheet for Fcast'!$I$8:$J$8</definedName>
    <definedName name="BExBAO8NLXZXHO6KCIECSFCH3RR0" hidden="1">'[16]Reco Sheet for Fcast'!$I$9:$J$9</definedName>
    <definedName name="BExBAOOT1KBSIEISN1ADL4RMY879" hidden="1">'[16]Reco Sheet for Fcast'!$G$2</definedName>
    <definedName name="BExBAVKX8Q09370X1GCZWJ4E91YJ" hidden="1">'[16]Reco Sheet for Fcast'!$I$8:$J$8</definedName>
    <definedName name="BExBAX2X2ENJYO4QTR5VAIQ86L7B" hidden="1">'[16]Reco Sheet for Fcast'!$F$8:$G$8</definedName>
    <definedName name="BExBAZ13D3F1DVJQ6YJ8JGUYEYJE" hidden="1">'[16]Reco Sheet for Fcast'!$I$11:$J$11</definedName>
    <definedName name="BExBBUCJQRR74Q7GPWDEZXYK2KJL" hidden="1">'[16]Reco Sheet for Fcast'!$I$11:$J$11</definedName>
    <definedName name="BExBBV8XVMD9CKZY711T0BN7H3PM" hidden="1">'[16]Reco Sheet for Fcast'!$F$15</definedName>
    <definedName name="BExBC78HXWXHO3XAB6E8NVTBGLJS" hidden="1">'[16]Reco Sheet for Fcast'!$F$10:$G$10</definedName>
    <definedName name="BExBCKKJTIRKC1RZJRTK65HHLX4W" hidden="1">'[16]Reco Sheet for Fcast'!$I$9:$J$9</definedName>
    <definedName name="BExBCLMEPAN3XXX174TU8SS0627Q" localSheetId="2" hidden="1">'[17]AMI P &amp; L'!#REF!</definedName>
    <definedName name="BExBCLMEPAN3XXX174TU8SS0627Q" localSheetId="10" hidden="1">'[17]AMI P &amp; L'!#REF!</definedName>
    <definedName name="BExBCLMEPAN3XXX174TU8SS0627Q" hidden="1">'[17]AMI P &amp; L'!#REF!</definedName>
    <definedName name="BExBCRBEYR2KZ8FAQFZ2NHY13WIY" hidden="1">'[16]Reco Sheet for Fcast'!$F$15</definedName>
    <definedName name="BExBD4I559NXSV6J07Q343TKYMVJ" hidden="1">'[16]Reco Sheet for Fcast'!$G$2</definedName>
    <definedName name="BExBD77362J9OENRUETJ6CVQYGZ1" localSheetId="2" hidden="1">'[19]Capital orders'!#REF!</definedName>
    <definedName name="BExBD77362J9OENRUETJ6CVQYGZ1" localSheetId="10" hidden="1">'[19]Capital orders'!#REF!</definedName>
    <definedName name="BExBD77362J9OENRUETJ6CVQYGZ1" hidden="1">'[19]Capital orders'!#REF!</definedName>
    <definedName name="BExBDBZQLTX3OGFYGULQFK5WEZU5" hidden="1">'[16]Reco Sheet for Fcast'!$F$7:$G$7</definedName>
    <definedName name="BExBDJS9TUEU8Z84IV59E5V4T8K6" localSheetId="2" hidden="1">'[17]AMI P &amp; L'!#REF!</definedName>
    <definedName name="BExBDJS9TUEU8Z84IV59E5V4T8K6" localSheetId="10" hidden="1">'[17]AMI P &amp; L'!#REF!</definedName>
    <definedName name="BExBDJS9TUEU8Z84IV59E5V4T8K6" hidden="1">'[17]AMI P &amp; L'!#REF!</definedName>
    <definedName name="BExBDKOMSVH4XMH52CFJ3F028I9R" hidden="1">'[16]Reco Sheet for Fcast'!$G$2</definedName>
    <definedName name="BExBDSRXVZQ0W5WXQMP5XD00GRRL" hidden="1">'[16]Reco Sheet for Fcast'!$I$8:$J$8</definedName>
    <definedName name="BExBDT2QTPSTYED3RWGES5QGI7VV" localSheetId="2" hidden="1">#REF!</definedName>
    <definedName name="BExBDT2QTPSTYED3RWGES5QGI7VV" localSheetId="10" hidden="1">#REF!</definedName>
    <definedName name="BExBDT2QTPSTYED3RWGES5QGI7VV" hidden="1">#REF!</definedName>
    <definedName name="BExBDUVGK3E1J4JY9ZYTS7V14BLY" hidden="1">'[16]Reco Sheet for Fcast'!$G$2</definedName>
    <definedName name="BExBE162OSBKD30I7T1DKKPT3I9I" hidden="1">'[16]Reco Sheet for Fcast'!$I$10:$J$10</definedName>
    <definedName name="BExBEC9ATLQZF86W1M3APSM4HEOH" hidden="1">'[16]Reco Sheet for Fcast'!$I$6:$J$6</definedName>
    <definedName name="BExBEF3VXW3Y3SZ6RC9PX7QEB12Y" hidden="1">'[16]Reco Sheet for Fcast'!$F$15</definedName>
    <definedName name="BExBEJG7L9BDVH7L2B9YXRV84GFT" localSheetId="2" hidden="1">'[19]Capital orders'!#REF!</definedName>
    <definedName name="BExBEJG7L9BDVH7L2B9YXRV84GFT" localSheetId="10" hidden="1">'[19]Capital orders'!#REF!</definedName>
    <definedName name="BExBEJG7L9BDVH7L2B9YXRV84GFT" hidden="1">'[19]Capital orders'!#REF!</definedName>
    <definedName name="BExBEYFQJE9YK12A6JBMRFKEC7RN" hidden="1">'[16]Reco Sheet for Fcast'!$I$6:$J$6</definedName>
    <definedName name="BExBG1ED81J2O4A2S5F5Y3BPHMCR" hidden="1">'[16]Reco Sheet for Fcast'!$I$8:$J$8</definedName>
    <definedName name="BExCRLIHS7466WFJ3RPIUGGXYESZ" hidden="1">'[16]Reco Sheet for Fcast'!$I$9:$J$9</definedName>
    <definedName name="BExCRQWQFIEUV7HE228YUBUUJA9K" hidden="1">'[16]Reco Sheet for Fcast'!$F$15:$AI$18</definedName>
    <definedName name="BExCS1EDDUEAEWHVYXHIP9I1WCJH" hidden="1">'[16]Reco Sheet for Fcast'!$I$10:$J$10</definedName>
    <definedName name="BExCS4E9E7CKF2RTM6INK6MAILOV" localSheetId="2" hidden="1">#REF!</definedName>
    <definedName name="BExCS4E9E7CKF2RTM6INK6MAILOV" localSheetId="10" hidden="1">#REF!</definedName>
    <definedName name="BExCS4E9E7CKF2RTM6INK6MAILOV" hidden="1">#REF!</definedName>
    <definedName name="BExCS7ZPMHFJ4UJDAL8CQOLSZ13B" localSheetId="2" hidden="1">'[17]AMI P &amp; L'!#REF!</definedName>
    <definedName name="BExCS7ZPMHFJ4UJDAL8CQOLSZ13B" localSheetId="10" hidden="1">'[17]AMI P &amp; L'!#REF!</definedName>
    <definedName name="BExCS7ZPMHFJ4UJDAL8CQOLSZ13B" hidden="1">'[17]AMI P &amp; L'!#REF!</definedName>
    <definedName name="BExCS8W4NJUZH9S1CYB6XSDLEPBW" hidden="1">'[16]Reco Sheet for Fcast'!$I$2:$J$2</definedName>
    <definedName name="BExCSAE1M6G20R41J0Y24YNN0YC1" hidden="1">'[16]Reco Sheet for Fcast'!$I$6:$J$6</definedName>
    <definedName name="BExCSAOUZOYKHN7HV511TO8VDJ02" hidden="1">'[16]Reco Sheet for Fcast'!$I$8:$J$8</definedName>
    <definedName name="BExCSMOFTXSUEC1T46LR1UPYRCX5" hidden="1">'[16]Reco Sheet for Fcast'!$G$2</definedName>
    <definedName name="BExCSSDG3TM6TPKS19E9QYJEELZ6" localSheetId="2" hidden="1">'[17]AMI P &amp; L'!#REF!</definedName>
    <definedName name="BExCSSDG3TM6TPKS19E9QYJEELZ6" localSheetId="10" hidden="1">'[17]AMI P &amp; L'!#REF!</definedName>
    <definedName name="BExCSSDG3TM6TPKS19E9QYJEELZ6" hidden="1">'[17]AMI P &amp; L'!#REF!</definedName>
    <definedName name="BExCSZV7U67UWXL2HKJNM5W1E4OO" hidden="1">'[16]Reco Sheet for Fcast'!$I$7:$J$7</definedName>
    <definedName name="BExCT4NSDT61OCH04Y2QIFIOP75H" localSheetId="2" hidden="1">'[17]AMI P &amp; L'!#REF!</definedName>
    <definedName name="BExCT4NSDT61OCH04Y2QIFIOP75H" localSheetId="10" hidden="1">'[17]AMI P &amp; L'!#REF!</definedName>
    <definedName name="BExCT4NSDT61OCH04Y2QIFIOP75H" hidden="1">'[17]AMI P &amp; L'!#REF!</definedName>
    <definedName name="BExCTW8G3VCZ55S09HTUGXKB1P2M" hidden="1">'[16]Reco Sheet for Fcast'!$F$11:$G$11</definedName>
    <definedName name="BExCTYS2KX0QANOLT8LGZ9WV3S3T" hidden="1">'[16]Reco Sheet for Fcast'!$F$15</definedName>
    <definedName name="BExCTZZ9JNES4EDHW97NP0EGQALX" hidden="1">'[16]Reco Sheet for Fcast'!$G$2</definedName>
    <definedName name="BExCU0A1V6NMZQ9ASYJ8QIVQ5UR2" localSheetId="2" hidden="1">'[17]AMI P &amp; L'!#REF!</definedName>
    <definedName name="BExCU0A1V6NMZQ9ASYJ8QIVQ5UR2" localSheetId="10" hidden="1">'[17]AMI P &amp; L'!#REF!</definedName>
    <definedName name="BExCU0A1V6NMZQ9ASYJ8QIVQ5UR2" hidden="1">'[17]AMI P &amp; L'!#REF!</definedName>
    <definedName name="BExCU2834920JBHSPCRC4UF80OLL" hidden="1">'[16]Reco Sheet for Fcast'!$F$11:$G$11</definedName>
    <definedName name="BExCU8O54I3P3WRYWY1CRP3S78QY" hidden="1">'[16]Reco Sheet for Fcast'!$G$2</definedName>
    <definedName name="BExCUDRJO23YOKT8GPWOVQ4XEHF5" hidden="1">'[16]Reco Sheet for Fcast'!$F$6:$G$6</definedName>
    <definedName name="BExCUPAXFR16YMWL30ME3F3BSRDZ" hidden="1">'[16]Reco Sheet for Fcast'!$F$8:$G$8</definedName>
    <definedName name="BExCUR94DHCE47PUUWEMT5QZOYR2" hidden="1">'[16]Reco Sheet for Fcast'!$H$2:$I$2</definedName>
    <definedName name="BExCV634L7SVHGB0UDDTRRQ2Q72H" hidden="1">'[16]Reco Sheet for Fcast'!$I$7:$J$7</definedName>
    <definedName name="BExCVBXGSXT9FWJRG62PX9S1RK83" hidden="1">'[16]Reco Sheet for Fcast'!$I$8:$J$8</definedName>
    <definedName name="BExCVHBNLOHNFS0JAV3I1XGPNH9W" hidden="1">'[16]Reco Sheet for Fcast'!$F$15</definedName>
    <definedName name="BExCVI86R31A2IOZIEBY1FJLVILD" hidden="1">'[16]Reco Sheet for Fcast'!$I$10:$J$10</definedName>
    <definedName name="BExCVKGZXE0I9EIXKBZVSGSEY2RR" hidden="1">'[16]Reco Sheet for Fcast'!$F$9:$G$9</definedName>
    <definedName name="BExCVV44WY5807WGMTGKPW0GT256" hidden="1">'[16]Reco Sheet for Fcast'!$I$7:$J$7</definedName>
    <definedName name="BExCVVK8GI44DNT5MTM7AOS4U9N8" hidden="1">'[16]Reco Sheet for Fcast'!$I$7:$J$7</definedName>
    <definedName name="BExCVZ5PN4V6MRBZ04PZJW3GEF8S" localSheetId="2" hidden="1">'[17]AMI P &amp; L'!#REF!</definedName>
    <definedName name="BExCVZ5PN4V6MRBZ04PZJW3GEF8S" localSheetId="10" hidden="1">'[17]AMI P &amp; L'!#REF!</definedName>
    <definedName name="BExCVZ5PN4V6MRBZ04PZJW3GEF8S" hidden="1">'[17]AMI P &amp; L'!#REF!</definedName>
    <definedName name="BExCW13R0GWJYGXZBNCPAHQN4NR2" hidden="1">'[16]Reco Sheet for Fcast'!$I$10:$J$10</definedName>
    <definedName name="BExCW9Y5HWU4RJTNX74O6L24VGCK" hidden="1">'[16]Reco Sheet for Fcast'!$H$2:$I$2</definedName>
    <definedName name="BExCWMJAP755C7AV2QKTWYDPDSSV" hidden="1">'[16]Reco Sheet for Fcast'!$F$8:$G$8</definedName>
    <definedName name="BExCWPDPESGZS07QGBLSBWDNVJLZ" hidden="1">'[16]Reco Sheet for Fcast'!$F$7:$G$7</definedName>
    <definedName name="BExCWSDLJ7DJX3139FQJM3LND72J" hidden="1">'[16]Reco Sheet for Fcast'!$O$6:$P$10</definedName>
    <definedName name="BExCWTVKHIVCRHF8GC39KI58YM5K" hidden="1">'[16]Reco Sheet for Fcast'!$G$2</definedName>
    <definedName name="BExCX2KGRZBRVLZNM8SUSIE6A0RL" localSheetId="2" hidden="1">'[17]AMI P &amp; L'!#REF!</definedName>
    <definedName name="BExCX2KGRZBRVLZNM8SUSIE6A0RL" localSheetId="10" hidden="1">'[17]AMI P &amp; L'!#REF!</definedName>
    <definedName name="BExCX2KGRZBRVLZNM8SUSIE6A0RL" hidden="1">'[17]AMI P &amp; L'!#REF!</definedName>
    <definedName name="BExCX3X451T70LZ1VF95L7W4Y4TM" hidden="1">'[16]Reco Sheet for Fcast'!$F$10:$G$10</definedName>
    <definedName name="BExCX4NZ2N1OUGXM7EV0U7VULJMM" hidden="1">'[16]Reco Sheet for Fcast'!$F$7:$G$7</definedName>
    <definedName name="BExCXILMURGYMAH6N5LF5DV6K3GM" hidden="1">'[16]Reco Sheet for Fcast'!$I$9:$J$9</definedName>
    <definedName name="BExCXK3M8NPWOZZALA6L6RUCBB2J" localSheetId="2" hidden="1">#REF!</definedName>
    <definedName name="BExCXK3M8NPWOZZALA6L6RUCBB2J" localSheetId="10" hidden="1">#REF!</definedName>
    <definedName name="BExCXK3M8NPWOZZALA6L6RUCBB2J" hidden="1">#REF!</definedName>
    <definedName name="BExCXKZZ6U10NBCECNUV9U56FB6V" localSheetId="2" hidden="1">#REF!</definedName>
    <definedName name="BExCXKZZ6U10NBCECNUV9U56FB6V" localSheetId="10" hidden="1">#REF!</definedName>
    <definedName name="BExCXKZZ6U10NBCECNUV9U56FB6V" hidden="1">#REF!</definedName>
    <definedName name="BExCXQUFBMXQ1650735H48B1AZT3" hidden="1">'[16]Reco Sheet for Fcast'!$F$15</definedName>
    <definedName name="BExCY2DQO9VLA77Q7EG3T0XNXX4F" hidden="1">'[16]Reco Sheet for Fcast'!$F$11:$G$11</definedName>
    <definedName name="BExCY6VMJ68MX3C981R5Q0BX5791" hidden="1">'[16]Reco Sheet for Fcast'!$I$9:$J$9</definedName>
    <definedName name="BExCYAH2SAZCPW6XCB7V7PMMCAWO" hidden="1">'[16]Reco Sheet for Fcast'!$I$6:$J$6</definedName>
    <definedName name="BExCYFV9Z4OENTUNF9IWT6ELMRCL" hidden="1">'[16]Reco Sheet for Fcast'!$I$7:$J$7</definedName>
    <definedName name="BExCYPRC5HJE6N2XQTHCT6NXGP8N" hidden="1">'[16]Reco Sheet for Fcast'!$I$11:$J$11</definedName>
    <definedName name="BExCYUK0I3UEXZNFDW71G6Z6D8XR" localSheetId="2" hidden="1">'[17]AMI P &amp; L'!#REF!</definedName>
    <definedName name="BExCYUK0I3UEXZNFDW71G6Z6D8XR" localSheetId="10" hidden="1">'[17]AMI P &amp; L'!#REF!</definedName>
    <definedName name="BExCYUK0I3UEXZNFDW71G6Z6D8XR" hidden="1">'[17]AMI P &amp; L'!#REF!</definedName>
    <definedName name="BExCZ4QTDJA3L8AGID0HLSLRVP6A" localSheetId="2" hidden="1">'[19]Capital orders'!#REF!</definedName>
    <definedName name="BExCZ4QTDJA3L8AGID0HLSLRVP6A" localSheetId="10" hidden="1">'[19]Capital orders'!#REF!</definedName>
    <definedName name="BExCZ4QTDJA3L8AGID0HLSLRVP6A" hidden="1">'[19]Capital orders'!#REF!</definedName>
    <definedName name="BExCZFZCXMLY5DWESYJ9NGTJYQ8M" hidden="1">'[16]Reco Sheet for Fcast'!$I$11:$J$11</definedName>
    <definedName name="BExCZJ4P8WS0BDT31WDXI0ROE7D6" hidden="1">'[16]Reco Sheet for Fcast'!$F$6:$G$6</definedName>
    <definedName name="BExCZKH6NI0EE02L995IFVBD1J59" hidden="1">'[16]Reco Sheet for Fcast'!$I$8:$J$8</definedName>
    <definedName name="BExCZU7T2KCK97JI9FE1XITCRE8U" localSheetId="2" hidden="1">#REF!</definedName>
    <definedName name="BExCZU7T2KCK97JI9FE1XITCRE8U" localSheetId="10" hidden="1">#REF!</definedName>
    <definedName name="BExCZU7T2KCK97JI9FE1XITCRE8U" hidden="1">#REF!</definedName>
    <definedName name="BExCZUD9FEOJBKDJ51Z3JON9LKJ8" hidden="1">'[16]Reco Sheet for Fcast'!$G$2</definedName>
    <definedName name="BExD0CCO4AZHRMZ3PSLCEN7T63L2" hidden="1">'[18]Bud Mth'!$I$6:$J$6</definedName>
    <definedName name="BExD0HALIN0JR4JTPGDEVAEE5EX5" hidden="1">'[16]Reco Sheet for Fcast'!$I$8:$J$8</definedName>
    <definedName name="BExD0LCCDPG16YLY5WQSZF1XI5DA" hidden="1">'[16]Reco Sheet for Fcast'!$I$9:$J$9</definedName>
    <definedName name="BExD0RMWSB4TRECEHTH6NN4K9DFZ" hidden="1">'[16]Reco Sheet for Fcast'!$I$11:$J$11</definedName>
    <definedName name="BExD0U6KG10QGVDI1XSHK0J10A2V" hidden="1">'[16]Reco Sheet for Fcast'!$I$7:$J$7</definedName>
    <definedName name="BExD13RUIBGRXDL4QDZ305UKUR12" hidden="1">'[16]Reco Sheet for Fcast'!$I$9:$J$9</definedName>
    <definedName name="BExD14DETV5R4OOTMAXD5NAKWRO3" hidden="1">'[16]Reco Sheet for Fcast'!$H$2:$I$2</definedName>
    <definedName name="BExD1OAU9OXQAZA4D70HP72CU6GB" hidden="1">'[16]Reco Sheet for Fcast'!$I$7:$J$7</definedName>
    <definedName name="BExD1Y1JV61416YA1XRQHKWPZIE7" hidden="1">'[16]Reco Sheet for Fcast'!$F$6:$G$6</definedName>
    <definedName name="BExD21HKYZH6AN0830NG17ZRUS1T" hidden="1">'[16]Reco Sheet for Fcast'!$G$2:$H$2</definedName>
    <definedName name="BExD2CFHIRMBKN5KXE5QP4XXEWFS" localSheetId="2" hidden="1">'[17]AMI P &amp; L'!#REF!</definedName>
    <definedName name="BExD2CFHIRMBKN5KXE5QP4XXEWFS" localSheetId="10" hidden="1">'[17]AMI P &amp; L'!#REF!</definedName>
    <definedName name="BExD2CFHIRMBKN5KXE5QP4XXEWFS" hidden="1">'[17]AMI P &amp; L'!#REF!</definedName>
    <definedName name="BExD2DMHH1HWXQ9W0YYMDP8AAX8Q" hidden="1">'[16]Reco Sheet for Fcast'!$F$6:$G$6</definedName>
    <definedName name="BExD2HTPC7IWBAU6OSQ67MQA8BYZ" hidden="1">'[16]Reco Sheet for Fcast'!$F$10:$G$10</definedName>
    <definedName name="BExD363H2VGFIQUCE6LS4AC5J0ZT" hidden="1">'[16]Reco Sheet for Fcast'!$F$7:$G$7</definedName>
    <definedName name="BExD37QXHXNRAT3KZWRFA3MXHIF8" hidden="1">'[18]Bud Mth'!$F$6:$G$6</definedName>
    <definedName name="BExD3A588E939V61P1XEW0FI5Q0S" hidden="1">'[16]Reco Sheet for Fcast'!$I$10:$J$10</definedName>
    <definedName name="BExD3CJJDKVR9M18XI3WDZH80WL6" hidden="1">'[16]Reco Sheet for Fcast'!$I$11:$J$11</definedName>
    <definedName name="BExD3ESD9WYJIB3TRDPJ1CKXRAVL" hidden="1">'[16]Reco Sheet for Fcast'!$I$11:$J$11</definedName>
    <definedName name="BExD3F368X5S25MWSUNIV57RDB57" localSheetId="2" hidden="1">'[17]AMI P &amp; L'!#REF!</definedName>
    <definedName name="BExD3F368X5S25MWSUNIV57RDB57" localSheetId="10" hidden="1">'[17]AMI P &amp; L'!#REF!</definedName>
    <definedName name="BExD3F368X5S25MWSUNIV57RDB57" hidden="1">'[17]AMI P &amp; L'!#REF!</definedName>
    <definedName name="BExD3H6Q0X859YKIX6M8ZEYXI1G6" hidden="1">'[18]Bud Mth'!$F$15:$S$21</definedName>
    <definedName name="BExD3IJ5IT335SOSNV9L85WKAOSI" hidden="1">'[16]Reco Sheet for Fcast'!$F$11:$G$11</definedName>
    <definedName name="BExD3KBVUY57GMMQTOFEU6S6G1AY" hidden="1">'[16]Reco Sheet for Fcast'!$F$9:$G$9</definedName>
    <definedName name="BExD3NMR7AW2Z6V8SC79VQR37NA6" hidden="1">'[16]Reco Sheet for Fcast'!$F$8:$G$8</definedName>
    <definedName name="BExD3QXA2UQ2W4N7NYLUEOG40BZB" hidden="1">'[16]Reco Sheet for Fcast'!$F$10:$G$10</definedName>
    <definedName name="BExD3U2N041TEJ7GCN005UTPHNXY" hidden="1">'[16]Reco Sheet for Fcast'!$F$6:$G$6</definedName>
    <definedName name="BExD40O0CFTNJFOFMMM1KH0P7BUI" localSheetId="2" hidden="1">'[17]AMI P &amp; L'!#REF!</definedName>
    <definedName name="BExD40O0CFTNJFOFMMM1KH0P7BUI" localSheetId="10" hidden="1">'[17]AMI P &amp; L'!#REF!</definedName>
    <definedName name="BExD40O0CFTNJFOFMMM1KH0P7BUI" hidden="1">'[17]AMI P &amp; L'!#REF!</definedName>
    <definedName name="BExD4BR9HJ3MWWZ5KLVZWX9FJAUS" hidden="1">'[16]Reco Sheet for Fcast'!$F$11:$G$11</definedName>
    <definedName name="BExD4F1WTKT3H0N9MF4H1LX7MBSY" hidden="1">'[16]Reco Sheet for Fcast'!$I$8:$J$8</definedName>
    <definedName name="BExD4H5GQWXBS6LUL3TSP36DVO38" localSheetId="2" hidden="1">'[17]AMI P &amp; L'!#REF!</definedName>
    <definedName name="BExD4H5GQWXBS6LUL3TSP36DVO38" localSheetId="10" hidden="1">'[17]AMI P &amp; L'!#REF!</definedName>
    <definedName name="BExD4H5GQWXBS6LUL3TSP36DVO38" hidden="1">'[17]AMI P &amp; L'!#REF!</definedName>
    <definedName name="BExD4IHX75GVFK6I80F7IR7955K1" hidden="1">'[18]Bud Mth'!$F$15</definedName>
    <definedName name="BExD4JJSS3QDBLABCJCHD45SRNPI" localSheetId="2" hidden="1">'[17]AMI P &amp; L'!#REF!</definedName>
    <definedName name="BExD4JJSS3QDBLABCJCHD45SRNPI" localSheetId="10" hidden="1">'[17]AMI P &amp; L'!#REF!</definedName>
    <definedName name="BExD4JJSS3QDBLABCJCHD45SRNPI" hidden="1">'[17]AMI P &amp; L'!#REF!</definedName>
    <definedName name="BExD4R1I0MKF033I5LPUYIMTZ6E8" localSheetId="2" hidden="1">'[17]AMI P &amp; L'!#REF!</definedName>
    <definedName name="BExD4R1I0MKF033I5LPUYIMTZ6E8" localSheetId="10" hidden="1">'[17]AMI P &amp; L'!#REF!</definedName>
    <definedName name="BExD4R1I0MKF033I5LPUYIMTZ6E8" hidden="1">'[17]AMI P &amp; L'!#REF!</definedName>
    <definedName name="BExD50MT3M6XZLNUP9JL93EG6D9R" hidden="1">'[16]Reco Sheet for Fcast'!$I$11:$J$11</definedName>
    <definedName name="BExD5EV7KDSVF1CJT38M4IBPFLPY" hidden="1">'[16]Reco Sheet for Fcast'!$F$11:$G$11</definedName>
    <definedName name="BExD5FRK547OESJRYAW574DZEZ7J" hidden="1">'[16]Reco Sheet for Fcast'!$I$9:$J$9</definedName>
    <definedName name="BExD5I5X2YA2YNCTCDSMEL4CWF4N" hidden="1">'[16]Reco Sheet for Fcast'!$F$7:$G$7</definedName>
    <definedName name="BExD5QUSRFJWRQ1ZM50WYLCF74DF" hidden="1">'[16]Reco Sheet for Fcast'!$I$9:$J$9</definedName>
    <definedName name="BExD5SSUIF6AJQHBHK8PNMFBPRYB" hidden="1">'[16]Reco Sheet for Fcast'!$F$8:$G$8</definedName>
    <definedName name="BExD623C9LRX18BE0W2V6SZLQUXX" localSheetId="2" hidden="1">'[17]AMI P &amp; L'!#REF!</definedName>
    <definedName name="BExD623C9LRX18BE0W2V6SZLQUXX" localSheetId="10" hidden="1">'[17]AMI P &amp; L'!#REF!</definedName>
    <definedName name="BExD623C9LRX18BE0W2V6SZLQUXX" hidden="1">'[17]AMI P &amp; L'!#REF!</definedName>
    <definedName name="BExD6CQA7UMJBXV7AIFAIHUF2ICX" hidden="1">'[16]Reco Sheet for Fcast'!$F$9:$G$9</definedName>
    <definedName name="BExD6DS52K2CC3509UN77XBR0868" localSheetId="2" hidden="1">'[17]AMI P &amp; L'!#REF!</definedName>
    <definedName name="BExD6DS52K2CC3509UN77XBR0868" localSheetId="10" hidden="1">'[17]AMI P &amp; L'!#REF!</definedName>
    <definedName name="BExD6DS52K2CC3509UN77XBR0868" hidden="1">'[17]AMI P &amp; L'!#REF!</definedName>
    <definedName name="BExD6FKVK8WJWNYPVENR7Q8Q30PK" hidden="1">'[16]Reco Sheet for Fcast'!$F$9:$G$9</definedName>
    <definedName name="BExD6GMP0LK8WKVWMIT1NNH8CHLF" localSheetId="2" hidden="1">'[17]AMI P &amp; L'!#REF!</definedName>
    <definedName name="BExD6GMP0LK8WKVWMIT1NNH8CHLF" localSheetId="10" hidden="1">'[17]AMI P &amp; L'!#REF!</definedName>
    <definedName name="BExD6GMP0LK8WKVWMIT1NNH8CHLF" hidden="1">'[17]AMI P &amp; L'!#REF!</definedName>
    <definedName name="BExD6H2TE0WWAUIWVSSCLPZ6B88N" hidden="1">'[16]Reco Sheet for Fcast'!$I$11:$J$11</definedName>
    <definedName name="BExD6HTUMONFBQHM7Y5UW4DPHU7X" hidden="1">'[18]Bud Mth'!$F$7:$G$7</definedName>
    <definedName name="BExD71LTOE015TV5RSAHM8NT8GVW" hidden="1">'[16]Reco Sheet for Fcast'!$J$2:$K$2</definedName>
    <definedName name="BExD73USXVADC7EHGHVTQNCT06ZA" hidden="1">'[16]Reco Sheet for Fcast'!$I$7:$J$7</definedName>
    <definedName name="BExD7GAIGULTB3YHM1OS9RBQOTEC" localSheetId="2" hidden="1">'[17]AMI P &amp; L'!#REF!</definedName>
    <definedName name="BExD7GAIGULTB3YHM1OS9RBQOTEC" localSheetId="10" hidden="1">'[17]AMI P &amp; L'!#REF!</definedName>
    <definedName name="BExD7GAIGULTB3YHM1OS9RBQOTEC" hidden="1">'[17]AMI P &amp; L'!#REF!</definedName>
    <definedName name="BExD7IE1DHIS52UFDCTSKPJQNRD5" hidden="1">'[16]Reco Sheet for Fcast'!$I$9:$J$9</definedName>
    <definedName name="BExD7IUBGUWHYC9UNZ1IY5XFYKQN" hidden="1">'[16]Reco Sheet for Fcast'!$F$6:$G$6</definedName>
    <definedName name="BExD7JL7NW9EKGU5ITCE4VJZ2N5W" hidden="1">'[18]Bud Mth'!$F$9:$G$9</definedName>
    <definedName name="BExD7JQOJ35HGL8U2OCEI2P2JT7I" localSheetId="2" hidden="1">'[17]AMI P &amp; L'!#REF!</definedName>
    <definedName name="BExD7JQOJ35HGL8U2OCEI2P2JT7I" localSheetId="10" hidden="1">'[17]AMI P &amp; L'!#REF!</definedName>
    <definedName name="BExD7JQOJ35HGL8U2OCEI2P2JT7I" hidden="1">'[17]AMI P &amp; L'!#REF!</definedName>
    <definedName name="BExD7KSDKNDNH95NDT3S7GM3MUU2" hidden="1">'[16]Reco Sheet for Fcast'!$I$11:$J$11</definedName>
    <definedName name="BExD8H5O087KQVWIVPUUID5VMGMS" hidden="1">'[16]Reco Sheet for Fcast'!$G$2</definedName>
    <definedName name="BExD8OCLZMFN5K3VZYI4Q4ITVKUA" localSheetId="2" hidden="1">'[17]AMI P &amp; L'!#REF!</definedName>
    <definedName name="BExD8OCLZMFN5K3VZYI4Q4ITVKUA" localSheetId="10" hidden="1">'[17]AMI P &amp; L'!#REF!</definedName>
    <definedName name="BExD8OCLZMFN5K3VZYI4Q4ITVKUA" hidden="1">'[17]AMI P &amp; L'!#REF!</definedName>
    <definedName name="BExD93C1R6LC0631ECHVFYH0R0PD" hidden="1">'[16]Reco Sheet for Fcast'!$I$11:$J$11</definedName>
    <definedName name="BExD97TXIO0COVNN4OH3DEJ33YLM" hidden="1">'[16]Reco Sheet for Fcast'!$F$9:$G$9</definedName>
    <definedName name="BExD99RZ1RFIMK6O1ZHSPJ68X9Y5" hidden="1">'[16]Reco Sheet for Fcast'!$G$2</definedName>
    <definedName name="BExD9GO5JA4ADLQH22ZFJKY2FEAV" localSheetId="2" hidden="1">#REF!</definedName>
    <definedName name="BExD9GO5JA4ADLQH22ZFJKY2FEAV" localSheetId="10" hidden="1">#REF!</definedName>
    <definedName name="BExD9GO5JA4ADLQH22ZFJKY2FEAV" hidden="1">#REF!</definedName>
    <definedName name="BExD9L0ID3VSOU609GKWYTA5BFMA" hidden="1">'[16]Reco Sheet for Fcast'!$I$10:$J$10</definedName>
    <definedName name="BExD9M7SEMG0JK2FUTTZXWIEBTKB" hidden="1">'[16]Reco Sheet for Fcast'!$I$10:$J$10</definedName>
    <definedName name="BExD9MNYBYB1AICQL5165G472IE2" hidden="1">'[16]Reco Sheet for Fcast'!$K$2</definedName>
    <definedName name="BExD9PNSYT7GASEGUVL48MUQ02WO" hidden="1">'[16]Reco Sheet for Fcast'!$I$10:$J$10</definedName>
    <definedName name="BExD9TK2MIWFH5SKUYU9ZKF4NPHQ" hidden="1">'[16]Reco Sheet for Fcast'!$I$9:$J$9</definedName>
    <definedName name="BExDA6LD9061UULVKUUI4QP8SK13" hidden="1">'[16]Reco Sheet for Fcast'!$I$11:$J$11</definedName>
    <definedName name="BExDAGMVMNLQ6QXASB9R6D8DIT12" hidden="1">'[16]Reco Sheet for Fcast'!$F$6:$G$6</definedName>
    <definedName name="BExDAL4R440JG0CQM6QZM9CCATO7" hidden="1">'[18]Bud Mth'!$G$2:$H$2</definedName>
    <definedName name="BExDAYBHU9ADLXI8VRC7F608RVGM" hidden="1">'[16]Reco Sheet for Fcast'!$F$11:$G$11</definedName>
    <definedName name="BExDBDR1XR0FV0CYUCB2OJ7CJCZU" hidden="1">'[16]Reco Sheet for Fcast'!$F$6:$G$6</definedName>
    <definedName name="BExDBQXTJ9F9DE7FNTJCL0LMOJ21" localSheetId="2" hidden="1">'[17]AMI P &amp; L'!#REF!</definedName>
    <definedName name="BExDBQXTJ9F9DE7FNTJCL0LMOJ21" localSheetId="10" hidden="1">'[17]AMI P &amp; L'!#REF!</definedName>
    <definedName name="BExDBQXTJ9F9DE7FNTJCL0LMOJ21" hidden="1">'[17]AMI P &amp; L'!#REF!</definedName>
    <definedName name="BExDC7F818VN0S18ID7XRCRVYPJ4" hidden="1">'[16]Reco Sheet for Fcast'!$F$7:$G$7</definedName>
    <definedName name="BExDCL7K96PC9VZYB70ZW3QPVIJE" hidden="1">'[16]Reco Sheet for Fcast'!$I$6:$J$6</definedName>
    <definedName name="BExDCP3UZ3C2O4C1F7KMU0Z9U32N" hidden="1">'[16]Reco Sheet for Fcast'!$F$10:$G$10</definedName>
    <definedName name="BExENR8MCJOVBYLHQOJ4XC4TSDLT" localSheetId="2" hidden="1">'[19]Capital orders'!#REF!</definedName>
    <definedName name="BExENR8MCJOVBYLHQOJ4XC4TSDLT" localSheetId="10" hidden="1">'[19]Capital orders'!#REF!</definedName>
    <definedName name="BExENR8MCJOVBYLHQOJ4XC4TSDLT" hidden="1">'[19]Capital orders'!#REF!</definedName>
    <definedName name="BExEOBX3WECDMYCV9RLN49APTXMM" hidden="1">'[16]Reco Sheet for Fcast'!$I$7:$J$7</definedName>
    <definedName name="BExEPN9VIYI0FVL0HLZQXJFO6TT0" hidden="1">'[16]Reco Sheet for Fcast'!$H$2:$I$2</definedName>
    <definedName name="BExEPYT6VDSMR8MU2341Q5GM2Y9V" hidden="1">'[16]Reco Sheet for Fcast'!$K$2</definedName>
    <definedName name="BExEQ1YK2GGF3PCQ5YXT4E5L9FQG" localSheetId="2" hidden="1">#REF!</definedName>
    <definedName name="BExEQ1YK2GGF3PCQ5YXT4E5L9FQG" localSheetId="10" hidden="1">#REF!</definedName>
    <definedName name="BExEQ1YK2GGF3PCQ5YXT4E5L9FQG" hidden="1">#REF!</definedName>
    <definedName name="BExEQ2ENYLMY8K1796XBB31CJHNN" hidden="1">'[16]Reco Sheet for Fcast'!$F$11:$G$11</definedName>
    <definedName name="BExEQ2PFE4N40LEPGDPS90WDL6BN" hidden="1">'[16]Reco Sheet for Fcast'!$I$7:$J$7</definedName>
    <definedName name="BExEQ2PFURT24NQYGYVE8NKX1EGA" hidden="1">'[16]Reco Sheet for Fcast'!$H$2:$I$2</definedName>
    <definedName name="BExEQB8ZWXO6IIGOEPWTLOJGE2NR" localSheetId="2" hidden="1">'[17]AMI P &amp; L'!#REF!</definedName>
    <definedName name="BExEQB8ZWXO6IIGOEPWTLOJGE2NR" localSheetId="10" hidden="1">'[17]AMI P &amp; L'!#REF!</definedName>
    <definedName name="BExEQB8ZWXO6IIGOEPWTLOJGE2NR" hidden="1">'[17]AMI P &amp; L'!#REF!</definedName>
    <definedName name="BExEQBZX0EL6LIKPY01197ACK65H" hidden="1">'[16]Reco Sheet for Fcast'!$F$6:$G$6</definedName>
    <definedName name="BExEQDXZALJLD4OBF74IKZBR13SR" hidden="1">'[16]Reco Sheet for Fcast'!$F$10:$G$10</definedName>
    <definedName name="BExEQFLE2RPWGMWQAI4JMKUEFRPT" hidden="1">'[16]Reco Sheet for Fcast'!$I$9:$J$9</definedName>
    <definedName name="BExEQTZAP8R69U31W4LKGTKKGKQE" hidden="1">'[16]Reco Sheet for Fcast'!$F$10:$G$10</definedName>
    <definedName name="BExER2O72H1F9WV6S1J04C15PXX7" hidden="1">'[16]Reco Sheet for Fcast'!$F$11:$G$11</definedName>
    <definedName name="BExERRUIKIOATPZ9U4HQ0V52RJAU" hidden="1">'[16]Reco Sheet for Fcast'!$F$10:$G$10</definedName>
    <definedName name="BExERSANFNM1O7T65PC5MJ301YET" localSheetId="2" hidden="1">'[17]AMI P &amp; L'!#REF!</definedName>
    <definedName name="BExERSANFNM1O7T65PC5MJ301YET" localSheetId="10" hidden="1">'[17]AMI P &amp; L'!#REF!</definedName>
    <definedName name="BExERSANFNM1O7T65PC5MJ301YET" hidden="1">'[17]AMI P &amp; L'!#REF!</definedName>
    <definedName name="BExERWCEBKQRYWRQLYJ4UCMMKTHG" localSheetId="2" hidden="1">'[17]AMI P &amp; L'!#REF!</definedName>
    <definedName name="BExERWCEBKQRYWRQLYJ4UCMMKTHG" localSheetId="10" hidden="1">'[17]AMI P &amp; L'!#REF!</definedName>
    <definedName name="BExERWCEBKQRYWRQLYJ4UCMMKTHG" hidden="1">'[17]AMI P &amp; L'!#REF!</definedName>
    <definedName name="BExERX39X2B577E8G980B6146MR4" hidden="1">'[18]Bud Mth'!$F$10:$G$10</definedName>
    <definedName name="BExES44RHHDL3V7FLV6M20834WF1" hidden="1">'[16]Reco Sheet for Fcast'!$I$8:$J$8</definedName>
    <definedName name="BExES4A7VE2X3RYYTVRLKZD4I7WU" hidden="1">'[16]Reco Sheet for Fcast'!$G$2</definedName>
    <definedName name="BExESMKD95A649M0WRSG6CXXP326" hidden="1">'[16]Reco Sheet for Fcast'!$F$7:$G$7</definedName>
    <definedName name="BExESNWVY914X62GFBPJRODSAZ7B" localSheetId="2" hidden="1">'[17]AMI P &amp; L'!#REF!</definedName>
    <definedName name="BExESNWVY914X62GFBPJRODSAZ7B" localSheetId="10" hidden="1">'[17]AMI P &amp; L'!#REF!</definedName>
    <definedName name="BExESNWVY914X62GFBPJRODSAZ7B" hidden="1">'[17]AMI P &amp; L'!#REF!</definedName>
    <definedName name="BExESR27ZXJG5VMY4PR9D940VS7T" hidden="1">'[16]Reco Sheet for Fcast'!$I$9:$J$9</definedName>
    <definedName name="BExESU25LOS36OLUCBS6GANOVO9P" hidden="1">'[18]Bud Mth'!$I$8:$J$8</definedName>
    <definedName name="BExESZ03KXL8DQ2591HLR56ZML94" hidden="1">'[16]Reco Sheet for Fcast'!$I$9:$J$9</definedName>
    <definedName name="BExESZAW5N443NRTKIP59OEI1CR6" hidden="1">'[16]Reco Sheet for Fcast'!$I$6:$J$6</definedName>
    <definedName name="BExET3HXQ60A4O2OLKX8QNXRI6LQ" hidden="1">'[16]Reco Sheet for Fcast'!$F$9:$G$9</definedName>
    <definedName name="BExETA3B1FCIOA80H94K90FWXQKE" hidden="1">'[16]Reco Sheet for Fcast'!$I$8:$J$8</definedName>
    <definedName name="BExETAZOYT4CJIT8RRKC9F2HJG1D" hidden="1">'[16]Reco Sheet for Fcast'!$I$11:$J$11</definedName>
    <definedName name="BExETF6QD5A9GEINE1KZRRC2LXWM" hidden="1">'[16]Reco Sheet for Fcast'!$F$10:$G$10</definedName>
    <definedName name="BExETQ9XRXLUACN82805SPSPNKHI" hidden="1">'[16]Reco Sheet for Fcast'!$F$2</definedName>
    <definedName name="BExETR0YRMOR63E6DHLEHV9QVVON" hidden="1">'[16]Reco Sheet for Fcast'!$F$10:$G$10</definedName>
    <definedName name="BExETVTGY38YXYYF7N73OYN6FYY3" hidden="1">'[16]Reco Sheet for Fcast'!$I$7:$J$7</definedName>
    <definedName name="BExETYO0S2RGTHJQ60TB37B647GU" localSheetId="2" hidden="1">#REF!</definedName>
    <definedName name="BExETYO0S2RGTHJQ60TB37B647GU" localSheetId="10" hidden="1">#REF!</definedName>
    <definedName name="BExETYO0S2RGTHJQ60TB37B647GU" hidden="1">#REF!</definedName>
    <definedName name="BExEUNE4T242Y59C6MS28MXEUGCP" hidden="1">'[16]Reco Sheet for Fcast'!$F$6:$G$6</definedName>
    <definedName name="BExEV2TP7NA3ZR6RJGH5ER370OUM" hidden="1">'[16]Reco Sheet for Fcast'!$F$7:$G$7</definedName>
    <definedName name="BExEV69USLNYO2QRJRC0J92XUF00" hidden="1">'[16]Reco Sheet for Fcast'!$I$8:$J$8</definedName>
    <definedName name="BExEV6KNTQOCFD7GV726XQEVQ7R6" hidden="1">'[16]Reco Sheet for Fcast'!$F$7:$G$7</definedName>
    <definedName name="BExEV6VGM4POO9QT9KH3QA3VYCWM" hidden="1">'[16]Reco Sheet for Fcast'!$F$8:$G$8</definedName>
    <definedName name="BExEVET98G3FU6QBF9LHYWSAMV0O" hidden="1">'[16]Reco Sheet for Fcast'!$F$10:$G$10</definedName>
    <definedName name="BExEVNCUT0PDUYNJH7G6BSEWZOT2" hidden="1">'[16]Reco Sheet for Fcast'!$F$10:$G$10</definedName>
    <definedName name="BExEVPGF4V5J0WQRZKUM8F9TTKZJ" hidden="1">'[16]Reco Sheet for Fcast'!$F$8:$G$8</definedName>
    <definedName name="BExEVVLIEVWYRF2UUC1H0H5QU1CP" hidden="1">'[16]Reco Sheet for Fcast'!$F$10:$G$10</definedName>
    <definedName name="BExEVWCKO8T84GW9Z3X47915XKSH" hidden="1">'[16]Reco Sheet for Fcast'!$H$2:$I$2</definedName>
    <definedName name="BExEVZSJWMZ5L2ZE7AZC57CXKW6T" hidden="1">'[16]Reco Sheet for Fcast'!$F$8:$G$8</definedName>
    <definedName name="BExEW0JL1GFFCXMDGW54CI7Y8FZN" hidden="1">'[16]Reco Sheet for Fcast'!$I$8:$J$8</definedName>
    <definedName name="BExEW68M9WL8214QH9C7VCK7BN08" hidden="1">'[16]Reco Sheet for Fcast'!$I$6:$J$6</definedName>
    <definedName name="BExEW8HFKH6F47KIHYBDRUEFZ2ZZ" hidden="1">'[16]Reco Sheet for Fcast'!$F$7:$G$7</definedName>
    <definedName name="BExEWNBGQS1U2LW3W84T4LSJ9K00" hidden="1">'[16]Reco Sheet for Fcast'!$F$15</definedName>
    <definedName name="BExEWO7STL7HNZSTY8VQBPTX1WK6" hidden="1">'[16]Reco Sheet for Fcast'!$I$11:$J$11</definedName>
    <definedName name="BExEWQ0M1N3KMKTDJ73H10QSG4W1" hidden="1">'[16]Reco Sheet for Fcast'!$H$2:$I$2</definedName>
    <definedName name="BExEX85F3OSW8NSCYGYPS9372Z1Q" hidden="1">'[16]Reco Sheet for Fcast'!$H$2:$I$2</definedName>
    <definedName name="BExEX9HWY2G6928ZVVVQF77QCM2C" localSheetId="2" hidden="1">'[17]AMI P &amp; L'!#REF!</definedName>
    <definedName name="BExEX9HWY2G6928ZVVVQF77QCM2C" localSheetId="10" hidden="1">'[17]AMI P &amp; L'!#REF!</definedName>
    <definedName name="BExEX9HWY2G6928ZVVVQF77QCM2C" hidden="1">'[17]AMI P &amp; L'!#REF!</definedName>
    <definedName name="BExEXBQWAYKMVBRJRHB8PFCSYFVN" hidden="1">'[16]Reco Sheet for Fcast'!$I$10:$J$10</definedName>
    <definedName name="BExEXRBZ0DI9E2UFLLKYWGN66B61" localSheetId="2" hidden="1">'[17]AMI P &amp; L'!#REF!</definedName>
    <definedName name="BExEXRBZ0DI9E2UFLLKYWGN66B61" localSheetId="10" hidden="1">'[17]AMI P &amp; L'!#REF!</definedName>
    <definedName name="BExEXRBZ0DI9E2UFLLKYWGN66B61" hidden="1">'[17]AMI P &amp; L'!#REF!</definedName>
    <definedName name="BExEYLG9FL9V1JPPNZ3FUDNSEJ4V" hidden="1">'[16]Reco Sheet for Fcast'!$I$10:$J$10</definedName>
    <definedName name="BExEYMSPJ8NAM530KGLCIZKRIZQ2" localSheetId="2" hidden="1">#REF!</definedName>
    <definedName name="BExEYMSPJ8NAM530KGLCIZKRIZQ2" localSheetId="10" hidden="1">#REF!</definedName>
    <definedName name="BExEYMSPJ8NAM530KGLCIZKRIZQ2" hidden="1">#REF!</definedName>
    <definedName name="BExEYOW8C1B3OUUCIGEC7L8OOW1Z" hidden="1">'[16]Reco Sheet for Fcast'!$G$2:$H$2</definedName>
    <definedName name="BExEYUQJXZT6N5HJH8ACJF6SRWEE" hidden="1">'[16]Reco Sheet for Fcast'!$I$6:$J$6</definedName>
    <definedName name="BExEZ1S6VZCG01ZPLBSS9Z1SBOJ2" hidden="1">'[16]Reco Sheet for Fcast'!$I$10:$J$10</definedName>
    <definedName name="BExEZGBFNJR8DLPN0V11AU22L6WY" hidden="1">'[16]Reco Sheet for Fcast'!$I$9:$J$9</definedName>
    <definedName name="BExEZWNIZ06IIMDYQSV4BSTCR7UN" hidden="1">'[16]Reco Sheet for Fcast'!$F$11:$G$11</definedName>
    <definedName name="BExF02Y3V3QEPO2XLDSK47APK9XJ" hidden="1">'[16]Reco Sheet for Fcast'!$G$2</definedName>
    <definedName name="BExF09OS91RT7N7IW8JLMZ121ZP3" hidden="1">'[16]Reco Sheet for Fcast'!$I$7:$J$7</definedName>
    <definedName name="BExF0C8L8MPMMA1XQ6J8H8CEDPJ9" hidden="1">'[16]Reco Sheet for Fcast'!$F$6:$G$6</definedName>
    <definedName name="BExF0LOEHV42P2DV7QL8O7HOQ3N9" hidden="1">'[16]Reco Sheet for Fcast'!$F$11:$G$11</definedName>
    <definedName name="BExF0WRM9VO25RLSO03ZOCE8H7K5" hidden="1">'[16]Reco Sheet for Fcast'!$H$2:$I$2</definedName>
    <definedName name="BExF0ZRI7W4RSLIDLHTSM0AWXO3S" localSheetId="2" hidden="1">'[17]AMI P &amp; L'!#REF!</definedName>
    <definedName name="BExF0ZRI7W4RSLIDLHTSM0AWXO3S" localSheetId="10" hidden="1">'[17]AMI P &amp; L'!#REF!</definedName>
    <definedName name="BExF0ZRI7W4RSLIDLHTSM0AWXO3S" hidden="1">'[17]AMI P &amp; L'!#REF!</definedName>
    <definedName name="BExF19CT3MMZZ2T5EWMDNG3UOJ01" hidden="1">'[16]Reco Sheet for Fcast'!$I$9:$J$9</definedName>
    <definedName name="BExF1M38U6NX17YJA8YU359B5Z4M" hidden="1">'[16]Reco Sheet for Fcast'!$I$10:$J$10</definedName>
    <definedName name="BExF1MU4W3NPEY0OHRDWP5IANCBB" hidden="1">'[16]Reco Sheet for Fcast'!$I$10:$J$10</definedName>
    <definedName name="BExF1MZN8MWMOKOARHJ1QAF9HPGT" hidden="1">'[16]Reco Sheet for Fcast'!$F$8:$G$8</definedName>
    <definedName name="BExF1UHD1URZND0VTZ5BY2FRCCF7" localSheetId="2" hidden="1">#REF!</definedName>
    <definedName name="BExF1UHD1URZND0VTZ5BY2FRCCF7" localSheetId="10" hidden="1">#REF!</definedName>
    <definedName name="BExF1UHD1URZND0VTZ5BY2FRCCF7" hidden="1">#REF!</definedName>
    <definedName name="BExF1US4ZIQYSU5LBFYNRA9N0K2O" hidden="1">'[16]Reco Sheet for Fcast'!$I$9:$J$9</definedName>
    <definedName name="BExF2CWZN6E87RGTBMD4YQI2QT7R" hidden="1">'[16]Reco Sheet for Fcast'!$F$10:$G$10</definedName>
    <definedName name="BExF2DYO1WQ7GMXSTAQRDBW1NSFG" hidden="1">'[16]Reco Sheet for Fcast'!$F$9:$G$9</definedName>
    <definedName name="BExF2LWJ8M4NGGKOIOZBJ3TPKQMD" localSheetId="2" hidden="1">#REF!</definedName>
    <definedName name="BExF2LWJ8M4NGGKOIOZBJ3TPKQMD" localSheetId="10" hidden="1">#REF!</definedName>
    <definedName name="BExF2LWJ8M4NGGKOIOZBJ3TPKQMD" hidden="1">#REF!</definedName>
    <definedName name="BExF2MSWNUY9Z6BZJQZ538PPTION" hidden="1">'[16]Reco Sheet for Fcast'!$I$6:$J$6</definedName>
    <definedName name="BExF2QZYWHTYGUTTXR15CKCV3LS7" hidden="1">'[16]Reco Sheet for Fcast'!$F$11:$G$11</definedName>
    <definedName name="BExF2T8Y6TSJ74RMSZOA9CEH4OZ6" hidden="1">'[16]Reco Sheet for Fcast'!$I$2</definedName>
    <definedName name="BExF31N3YM4F37EOOY8M8VI1KXN8" hidden="1">'[16]Reco Sheet for Fcast'!$F$9:$G$9</definedName>
    <definedName name="BExF37C1YKBT79Z9SOJAG5MXQGTU" hidden="1">'[16]Reco Sheet for Fcast'!$F$15</definedName>
    <definedName name="BExF3A6HPA6DGYALZNHHJPMCUYZR" hidden="1">'[16]Reco Sheet for Fcast'!$F$8:$G$8</definedName>
    <definedName name="BExF3I9T44X7DV9HHV51DVDDPPZG" hidden="1">'[16]Reco Sheet for Fcast'!$K$2</definedName>
    <definedName name="BExF3JMFX5DILOIFUDIO1HZUK875" hidden="1">'[16]Reco Sheet for Fcast'!$H$2:$I$2</definedName>
    <definedName name="BExF3NTC4BGZEM6B87TCFX277QCS" localSheetId="2" hidden="1">'[17]AMI P &amp; L'!#REF!</definedName>
    <definedName name="BExF3NTC4BGZEM6B87TCFX277QCS" localSheetId="10" hidden="1">'[17]AMI P &amp; L'!#REF!</definedName>
    <definedName name="BExF3NTC4BGZEM6B87TCFX277QCS" hidden="1">'[17]AMI P &amp; L'!#REF!</definedName>
    <definedName name="BExF3Q7NI90WT31QHYSJDIG0LLLJ" hidden="1">'[16]Reco Sheet for Fcast'!$I$10:$J$10</definedName>
    <definedName name="BExF3QD55TIY1MSBSRK9TUJKBEWO" hidden="1">'[16]Reco Sheet for Fcast'!$H$2:$I$2</definedName>
    <definedName name="BExF3QD5AXW8T6FZ8O1C78NHR5C3" localSheetId="2" hidden="1">#REF!</definedName>
    <definedName name="BExF3QD5AXW8T6FZ8O1C78NHR5C3" localSheetId="10" hidden="1">#REF!</definedName>
    <definedName name="BExF3QD5AXW8T6FZ8O1C78NHR5C3" hidden="1">#REF!</definedName>
    <definedName name="BExF3QT8J6RIF1L3R700MBSKIOKW" hidden="1">'[16]Reco Sheet for Fcast'!$F$11:$G$11</definedName>
    <definedName name="BExF41WFMNZ2YQ1KBKOBZWROKVHO" localSheetId="2" hidden="1">#REF!</definedName>
    <definedName name="BExF41WFMNZ2YQ1KBKOBZWROKVHO" localSheetId="10" hidden="1">#REF!</definedName>
    <definedName name="BExF41WFMNZ2YQ1KBKOBZWROKVHO" hidden="1">#REF!</definedName>
    <definedName name="BExF42SSBVPMLK2UB3B7FPEIY9TU" localSheetId="2" hidden="1">'[17]AMI P &amp; L'!#REF!</definedName>
    <definedName name="BExF42SSBVPMLK2UB3B7FPEIY9TU" localSheetId="10" hidden="1">'[17]AMI P &amp; L'!#REF!</definedName>
    <definedName name="BExF42SSBVPMLK2UB3B7FPEIY9TU" hidden="1">'[17]AMI P &amp; L'!#REF!</definedName>
    <definedName name="BExF4HXSWB50BKYPWA0HTT8W56H6" hidden="1">'[16]Reco Sheet for Fcast'!$I$10:$J$10</definedName>
    <definedName name="BExF4KHF04IWW4LQ95FHQPFE4Y9K" hidden="1">'[16]Reco Sheet for Fcast'!$I$8:$J$8</definedName>
    <definedName name="BExF4MVQM5Y0QRDLDFSKWWTF709C" hidden="1">'[16]Reco Sheet for Fcast'!$I$8:$J$8</definedName>
    <definedName name="BExF4PVMZYV36E8HOYY06J81AMBI" localSheetId="2" hidden="1">'[17]AMI P &amp; L'!#REF!</definedName>
    <definedName name="BExF4PVMZYV36E8HOYY06J81AMBI" localSheetId="10" hidden="1">'[17]AMI P &amp; L'!#REF!</definedName>
    <definedName name="BExF4PVMZYV36E8HOYY06J81AMBI" hidden="1">'[17]AMI P &amp; L'!#REF!</definedName>
    <definedName name="BExF4SF9NEX1FZE9N8EXT89PM54D" hidden="1">'[16]Reco Sheet for Fcast'!$F$11:$G$11</definedName>
    <definedName name="BExF52GTGP8MHGII4KJ8TJGR8W8U" hidden="1">'[16]Reco Sheet for Fcast'!$H$2:$I$2</definedName>
    <definedName name="BExF57K7L3UC1I2FSAWURR4SN0UN" hidden="1">'[16]Reco Sheet for Fcast'!$I$10:$J$10</definedName>
    <definedName name="BExF5CCUNN10ODYNRYLTJ6DOSQA7" localSheetId="2" hidden="1">#REF!</definedName>
    <definedName name="BExF5CCUNN10ODYNRYLTJ6DOSQA7" localSheetId="10" hidden="1">#REF!</definedName>
    <definedName name="BExF5CCUNN10ODYNRYLTJ6DOSQA7" hidden="1">#REF!</definedName>
    <definedName name="BExF5HR2GFV7O8LKG9SJ4BY78LYA" hidden="1">'[16]Reco Sheet for Fcast'!$I$8:$J$8</definedName>
    <definedName name="BExF5ZFO2A29GHWR5ES64Z9OS16J" localSheetId="2" hidden="1">'[17]AMI P &amp; L'!#REF!</definedName>
    <definedName name="BExF5ZFO2A29GHWR5ES64Z9OS16J" localSheetId="10" hidden="1">'[17]AMI P &amp; L'!#REF!</definedName>
    <definedName name="BExF5ZFO2A29GHWR5ES64Z9OS16J" hidden="1">'[17]AMI P &amp; L'!#REF!</definedName>
    <definedName name="BExF63S045JO7H2ZJCBTBVH3SUIF" hidden="1">'[16]Reco Sheet for Fcast'!$I$11:$J$11</definedName>
    <definedName name="BExF642TEGTXCI9A61ZOONJCB0U1" hidden="1">'[16]Reco Sheet for Fcast'!$I$8:$J$8</definedName>
    <definedName name="BExF67O951CF8UJF3KBDNR0E83C1" localSheetId="2" hidden="1">'[17]AMI P &amp; L'!#REF!</definedName>
    <definedName name="BExF67O951CF8UJF3KBDNR0E83C1" localSheetId="10" hidden="1">'[17]AMI P &amp; L'!#REF!</definedName>
    <definedName name="BExF67O951CF8UJF3KBDNR0E83C1" hidden="1">'[17]AMI P &amp; L'!#REF!</definedName>
    <definedName name="BExF690Y20C503FDB3JYBPHX2VD1" localSheetId="2" hidden="1">#REF!</definedName>
    <definedName name="BExF690Y20C503FDB3JYBPHX2VD1" localSheetId="10" hidden="1">#REF!</definedName>
    <definedName name="BExF690Y20C503FDB3JYBPHX2VD1" hidden="1">#REF!</definedName>
    <definedName name="BExF6EV7I35NVMIJGYTB6E24YVPA" hidden="1">'[16]Reco Sheet for Fcast'!$K$2</definedName>
    <definedName name="BExF6FGUF393KTMBT40S5BYAFG00" hidden="1">'[16]Reco Sheet for Fcast'!$H$2:$I$2</definedName>
    <definedName name="BExF6GNYXWY8A0SY4PW1B6KJMMTM" localSheetId="2" hidden="1">'[17]AMI P &amp; L'!#REF!</definedName>
    <definedName name="BExF6GNYXWY8A0SY4PW1B6KJMMTM" localSheetId="10" hidden="1">'[17]AMI P &amp; L'!#REF!</definedName>
    <definedName name="BExF6GNYXWY8A0SY4PW1B6KJMMTM" hidden="1">'[17]AMI P &amp; L'!#REF!</definedName>
    <definedName name="BExF6IB8K74Z0AFT05GPOKKZW7C9" hidden="1">'[16]Reco Sheet for Fcast'!$I$9:$J$9</definedName>
    <definedName name="BExF6NUXJI11W2IAZNAM1QWC0459" hidden="1">'[16]Reco Sheet for Fcast'!$F$7:$G$7</definedName>
    <definedName name="BExF6RR76KNVIXGJOVFO8GDILKGZ" hidden="1">'[16]Reco Sheet for Fcast'!$F$15</definedName>
    <definedName name="BExF6ZE8D5CMPJPRWT6S4HM56LPF" hidden="1">'[16]Reco Sheet for Fcast'!$F$11:$G$11</definedName>
    <definedName name="BExF76FV8SF7AJK7B35AL7VTZF6D" hidden="1">'[16]Reco Sheet for Fcast'!$F$8:$G$8</definedName>
    <definedName name="BExF7EOIMC1OYL1N7835KGOI0FIZ" hidden="1">'[16]Reco Sheet for Fcast'!$I$10:$J$10</definedName>
    <definedName name="BExF7K88K7ASGV6RAOAGH52G04VR" localSheetId="2" hidden="1">'[17]AMI P &amp; L'!#REF!</definedName>
    <definedName name="BExF7K88K7ASGV6RAOAGH52G04VR" localSheetId="10" hidden="1">'[17]AMI P &amp; L'!#REF!</definedName>
    <definedName name="BExF7K88K7ASGV6RAOAGH52G04VR" hidden="1">'[17]AMI P &amp; L'!#REF!</definedName>
    <definedName name="BExF7N83YDEVXDEZQFACS9ZVES27" localSheetId="2" hidden="1">'[17]AMI P &amp; L'!#REF!</definedName>
    <definedName name="BExF7N83YDEVXDEZQFACS9ZVES27" localSheetId="10" hidden="1">'[17]AMI P &amp; L'!#REF!</definedName>
    <definedName name="BExF7N83YDEVXDEZQFACS9ZVES27" hidden="1">'[17]AMI P &amp; L'!#REF!</definedName>
    <definedName name="BExF7OVDRP3LHNAF2CX4V84CKKIR" hidden="1">'[16]Reco Sheet for Fcast'!$I$7:$J$7</definedName>
    <definedName name="BExF7QO41X2A2SL8UXDNP99GY7U9" hidden="1">'[16]Reco Sheet for Fcast'!$I$8:$J$8</definedName>
    <definedName name="BExF81GI8B8WBHXFTET68A9358BR" hidden="1">'[16]Reco Sheet for Fcast'!$F$10:$G$10</definedName>
    <definedName name="BExGL97US0Y3KXXASUTVR26XLT70" localSheetId="2" hidden="1">'[17]AMI P &amp; L'!#REF!</definedName>
    <definedName name="BExGL97US0Y3KXXASUTVR26XLT70" localSheetId="10" hidden="1">'[17]AMI P &amp; L'!#REF!</definedName>
    <definedName name="BExGL97US0Y3KXXASUTVR26XLT70" hidden="1">'[17]AMI P &amp; L'!#REF!</definedName>
    <definedName name="BExGLC7R4C33RO0PID97ZPPVCW4M" hidden="1">'[16]Reco Sheet for Fcast'!$F$11:$G$11</definedName>
    <definedName name="BExGLFIF7HCFSHNQHKEV6RY0WCO3" hidden="1">'[16]Reco Sheet for Fcast'!$F$8:$G$8</definedName>
    <definedName name="BExGLMPD5LHHQXURM0Y3L44P343X" hidden="1">'[16]Reco Sheet for Fcast'!$I$7:$J$7</definedName>
    <definedName name="BExGLTARRL0J772UD2TXEYAVPY6E" hidden="1">'[16]Reco Sheet for Fcast'!$F$6:$G$6</definedName>
    <definedName name="BExGLYE6RZTAAWHJBG2QFJPTDS2Q" hidden="1">'[16]Reco Sheet for Fcast'!$F$7:$G$7</definedName>
    <definedName name="BExGM4DZ65OAQP7MA4LN6QMYZOFF" hidden="1">'[16]Reco Sheet for Fcast'!$F$10:$G$10</definedName>
    <definedName name="BExGM7DV048A50I5ERW750F4VS9C" localSheetId="2" hidden="1">'[19]Capital orders'!#REF!</definedName>
    <definedName name="BExGM7DV048A50I5ERW750F4VS9C" localSheetId="10" hidden="1">'[19]Capital orders'!#REF!</definedName>
    <definedName name="BExGM7DV048A50I5ERW750F4VS9C" hidden="1">'[19]Capital orders'!#REF!</definedName>
    <definedName name="BExGMCXCWEC9XNUOEMZ61TMI6CUO" hidden="1">'[16]Reco Sheet for Fcast'!$G$2</definedName>
    <definedName name="BExGMJDGIH0MEPC2TUSFUCY2ROTB" localSheetId="2" hidden="1">'[17]AMI P &amp; L'!#REF!</definedName>
    <definedName name="BExGMJDGIH0MEPC2TUSFUCY2ROTB" localSheetId="10" hidden="1">'[17]AMI P &amp; L'!#REF!</definedName>
    <definedName name="BExGMJDGIH0MEPC2TUSFUCY2ROTB" hidden="1">'[17]AMI P &amp; L'!#REF!</definedName>
    <definedName name="BExGMKPW2HPKN0M0XKF3AZ8YP0D6" hidden="1">'[16]Reco Sheet for Fcast'!$I$10:$J$10</definedName>
    <definedName name="BExGMP2F175LGL6QVSJGP6GKYHHA" hidden="1">'[16]Reco Sheet for Fcast'!$I$8:$J$8</definedName>
    <definedName name="BExGMPIIP8GKML2VVA8OEFL43NCS" hidden="1">'[16]Reco Sheet for Fcast'!$F$6:$G$6</definedName>
    <definedName name="BExGMZ3SRIXLXMWBVOXXV3M4U4YL" hidden="1">'[16]Reco Sheet for Fcast'!$F$7:$G$7</definedName>
    <definedName name="BExGMZ3UBN48IXU1ZEFYECEMZ1IM" hidden="1">'[16]Reco Sheet for Fcast'!$F$6:$G$6</definedName>
    <definedName name="BExGN4I0QATXNZCLZJM1KH1OIJQH" hidden="1">'[16]Reco Sheet for Fcast'!$F$9:$G$9</definedName>
    <definedName name="BExGN9FZ2RWCMSY1YOBJKZMNIM9R" hidden="1">'[16]Reco Sheet for Fcast'!$G$2</definedName>
    <definedName name="BExGNDSIMTHOCXXG6QOGR6DA8SGG" localSheetId="2" hidden="1">'[17]AMI P &amp; L'!#REF!</definedName>
    <definedName name="BExGNDSIMTHOCXXG6QOGR6DA8SGG" localSheetId="10" hidden="1">'[17]AMI P &amp; L'!#REF!</definedName>
    <definedName name="BExGNDSIMTHOCXXG6QOGR6DA8SGG" hidden="1">'[17]AMI P &amp; L'!#REF!</definedName>
    <definedName name="BExGNN2YQ9BDAZXT2GLCSAPXKIM7" localSheetId="2" hidden="1">'[17]AMI P &amp; L'!#REF!</definedName>
    <definedName name="BExGNN2YQ9BDAZXT2GLCSAPXKIM7" localSheetId="10" hidden="1">'[17]AMI P &amp; L'!#REF!</definedName>
    <definedName name="BExGNN2YQ9BDAZXT2GLCSAPXKIM7" hidden="1">'[17]AMI P &amp; L'!#REF!</definedName>
    <definedName name="BExGNSS0CKRPKHO25R3TDBEL2NHX" hidden="1">'[16]Reco Sheet for Fcast'!$F$6:$G$6</definedName>
    <definedName name="BExGNYH0MO8NOVS85L15G0RWX4GW" hidden="1">'[16]Reco Sheet for Fcast'!$I$7:$J$7</definedName>
    <definedName name="BExGNZO44DEG8CGIDYSEGDUQ531R" localSheetId="2" hidden="1">'[17]AMI P &amp; L'!#REF!</definedName>
    <definedName name="BExGNZO44DEG8CGIDYSEGDUQ531R" localSheetId="10" hidden="1">'[17]AMI P &amp; L'!#REF!</definedName>
    <definedName name="BExGNZO44DEG8CGIDYSEGDUQ531R" hidden="1">'[17]AMI P &amp; L'!#REF!</definedName>
    <definedName name="BExGO2O0V6UYDY26AX8OSN72F77N" hidden="1">'[16]Reco Sheet for Fcast'!$F$11:$G$11</definedName>
    <definedName name="BExGO2YUBOVLYHY1QSIHRE1KLAFV" localSheetId="2" hidden="1">'[17]AMI P &amp; L'!#REF!</definedName>
    <definedName name="BExGO2YUBOVLYHY1QSIHRE1KLAFV" localSheetId="10" hidden="1">'[17]AMI P &amp; L'!#REF!</definedName>
    <definedName name="BExGO2YUBOVLYHY1QSIHRE1KLAFV" hidden="1">'[17]AMI P &amp; L'!#REF!</definedName>
    <definedName name="BExGO70E2O70LF46V8T26YFPL4V8" hidden="1">'[16]Reco Sheet for Fcast'!$F$9:$G$9</definedName>
    <definedName name="BExGOB25QJMQCQE76MRW9X58OIOO" hidden="1">'[16]Reco Sheet for Fcast'!$I$9:$J$9</definedName>
    <definedName name="BExGODAZKJ9EXMQZNQR5YDBSS525" localSheetId="2" hidden="1">'[17]AMI P &amp; L'!#REF!</definedName>
    <definedName name="BExGODAZKJ9EXMQZNQR5YDBSS525" localSheetId="10" hidden="1">'[17]AMI P &amp; L'!#REF!</definedName>
    <definedName name="BExGODAZKJ9EXMQZNQR5YDBSS525" hidden="1">'[17]AMI P &amp; L'!#REF!</definedName>
    <definedName name="BExGODR8ZSMUC11I56QHSZ686XV5" hidden="1">'[16]Reco Sheet for Fcast'!$F$8:$G$8</definedName>
    <definedName name="BExGOXJDHUDPDT8I8IVGVW9J0R5Q" hidden="1">'[16]Reco Sheet for Fcast'!$I$6:$J$6</definedName>
    <definedName name="BExGPHGT5KDOCMV2EFS4OVKTWBRD" hidden="1">'[16]Reco Sheet for Fcast'!$F$11:$G$11</definedName>
    <definedName name="BExGPID72Y4Y619LWASUQZKZHJNC" hidden="1">'[16]Reco Sheet for Fcast'!$F$15</definedName>
    <definedName name="BExGPPENQIANVGLVQJ77DK5JPRTB" hidden="1">'[16]Reco Sheet for Fcast'!$F$8:$G$8</definedName>
    <definedName name="BExGQ1ZU4967P72AHF4V1D0FOL5C" hidden="1">'[16]Reco Sheet for Fcast'!$I$7:$J$7</definedName>
    <definedName name="BExGQ36ZOMR9GV8T05M605MMOY3Y" localSheetId="2" hidden="1">'[17]AMI P &amp; L'!#REF!</definedName>
    <definedName name="BExGQ36ZOMR9GV8T05M605MMOY3Y" localSheetId="10" hidden="1">'[17]AMI P &amp; L'!#REF!</definedName>
    <definedName name="BExGQ36ZOMR9GV8T05M605MMOY3Y" hidden="1">'[17]AMI P &amp; L'!#REF!</definedName>
    <definedName name="BExGQ61DTJ0SBFMDFBAK3XZ9O0ZO" hidden="1">'[16]Reco Sheet for Fcast'!$I$8:$J$8</definedName>
    <definedName name="BExGQ6SG9XEOD0VMBAR22YPZWSTA" hidden="1">'[16]Reco Sheet for Fcast'!$F$6:$G$6</definedName>
    <definedName name="BExGQGJ1A7LNZUS8QSMOG8UNGLMK" hidden="1">'[16]Reco Sheet for Fcast'!$G$2</definedName>
    <definedName name="BExGQPO7ENFEQC0NC6MC9OZR2LHY" hidden="1">'[16]Reco Sheet for Fcast'!$I$8:$J$8</definedName>
    <definedName name="BExGQX0H4EZMXBJTKJJE4ICJWN5O" localSheetId="2" hidden="1">'[17]AMI P &amp; L'!#REF!</definedName>
    <definedName name="BExGQX0H4EZMXBJTKJJE4ICJWN5O" localSheetId="10" hidden="1">'[17]AMI P &amp; L'!#REF!</definedName>
    <definedName name="BExGQX0H4EZMXBJTKJJE4ICJWN5O" hidden="1">'[17]AMI P &amp; L'!#REF!</definedName>
    <definedName name="BExGR2ENVVMIJQENKY6QPV34HDYB" localSheetId="2" hidden="1">#REF!</definedName>
    <definedName name="BExGR2ENVVMIJQENKY6QPV34HDYB" localSheetId="10" hidden="1">#REF!</definedName>
    <definedName name="BExGR2ENVVMIJQENKY6QPV34HDYB" hidden="1">#REF!</definedName>
    <definedName name="BExGR4CW3WRIID17GGX4MI9ZDHFE" hidden="1">'[16]Reco Sheet for Fcast'!$K$2</definedName>
    <definedName name="BExGR65GJX27MU2OL6NI5PB8XVB4" hidden="1">'[16]Reco Sheet for Fcast'!$H$2:$I$2</definedName>
    <definedName name="BExGR6LQ97HETGS3CT96L4IK0JSH" hidden="1">'[16]Reco Sheet for Fcast'!$I$8:$J$8</definedName>
    <definedName name="BExGR902JCXO7ZLKL3VYXM9XRW3A" localSheetId="2" hidden="1">#REF!</definedName>
    <definedName name="BExGR902JCXO7ZLKL3VYXM9XRW3A" localSheetId="10" hidden="1">#REF!</definedName>
    <definedName name="BExGR902JCXO7ZLKL3VYXM9XRW3A" hidden="1">#REF!</definedName>
    <definedName name="BExGR9ATP2LVT7B9OCPSLJ11H9SX" hidden="1">'[16]Reco Sheet for Fcast'!$F$8:$G$8</definedName>
    <definedName name="BExGRA1VE5SDFH8FM4H8YLA70J65" localSheetId="2" hidden="1">#REF!</definedName>
    <definedName name="BExGRA1VE5SDFH8FM4H8YLA70J65" localSheetId="10" hidden="1">#REF!</definedName>
    <definedName name="BExGRA1VE5SDFH8FM4H8YLA70J65" hidden="1">#REF!</definedName>
    <definedName name="BExGREP2D0XVCEBGWU6RQ7KX23Q3" hidden="1">'[16]Reco Sheet for Fcast'!$F$8:$G$8</definedName>
    <definedName name="BExGRUKVVKDL8483WI70VN2QZDGD" hidden="1">'[16]Reco Sheet for Fcast'!$F$7:$G$7</definedName>
    <definedName name="BExGRVXD519NRV2E1ZYNYCW0PMW6" localSheetId="2" hidden="1">#REF!</definedName>
    <definedName name="BExGRVXD519NRV2E1ZYNYCW0PMW6" localSheetId="10" hidden="1">#REF!</definedName>
    <definedName name="BExGRVXD519NRV2E1ZYNYCW0PMW6" hidden="1">#REF!</definedName>
    <definedName name="BExGS2IWR5DUNJ1U9PAKIV8CMBNI" hidden="1">'[16]Reco Sheet for Fcast'!$H$2:$I$2</definedName>
    <definedName name="BExGS69P9FFTEOPDS0MWFKF45G47" hidden="1">'[16]Reco Sheet for Fcast'!$G$2</definedName>
    <definedName name="BExGS6F1JFHM5MUJ1RFO50WP6D05" hidden="1">'[16]Reco Sheet for Fcast'!$I$6:$J$6</definedName>
    <definedName name="BExGSA5YB5ZGE4NHDVCZ55TQAJTL" hidden="1">'[16]Reco Sheet for Fcast'!$I$10:$J$10</definedName>
    <definedName name="BExGSARJTLL2AE6NAMXZ7IGZI2M1" localSheetId="2" hidden="1">#REF!</definedName>
    <definedName name="BExGSARJTLL2AE6NAMXZ7IGZI2M1" localSheetId="10" hidden="1">#REF!</definedName>
    <definedName name="BExGSARJTLL2AE6NAMXZ7IGZI2M1" hidden="1">#REF!</definedName>
    <definedName name="BExGSCEUCQQVDEEKWJ677QTGUVTE" hidden="1">'[16]Reco Sheet for Fcast'!$I$6:$J$6</definedName>
    <definedName name="BExGSQY65LH1PCKKM5WHDW83F35O" localSheetId="2" hidden="1">'[17]AMI P &amp; L'!#REF!</definedName>
    <definedName name="BExGSQY65LH1PCKKM5WHDW83F35O" localSheetId="10" hidden="1">'[17]AMI P &amp; L'!#REF!</definedName>
    <definedName name="BExGSQY65LH1PCKKM5WHDW83F35O" hidden="1">'[17]AMI P &amp; L'!#REF!</definedName>
    <definedName name="BExGSYW1GKISF0PMUAK3XJK9PEW9" hidden="1">'[16]Reco Sheet for Fcast'!$F$11:$G$11</definedName>
    <definedName name="BExGT0DZJB6LSF6L693UUB9EY1VQ" localSheetId="2" hidden="1">'[17]AMI P &amp; L'!#REF!</definedName>
    <definedName name="BExGT0DZJB6LSF6L693UUB9EY1VQ" localSheetId="10" hidden="1">'[17]AMI P &amp; L'!#REF!</definedName>
    <definedName name="BExGT0DZJB6LSF6L693UUB9EY1VQ" hidden="1">'[17]AMI P &amp; L'!#REF!</definedName>
    <definedName name="BExGT0OSYJ4G1RU3EZR9QY6M3SCB" hidden="1">'[16]Reco Sheet for Fcast'!$J$2:$K$2</definedName>
    <definedName name="BExGTGVFIF8HOQXR54SK065A8M4K" hidden="1">'[16]Reco Sheet for Fcast'!$F$10:$G$10</definedName>
    <definedName name="BExGTIYX3OWPIINOGY1E4QQYSKHP" localSheetId="2" hidden="1">'[17]AMI P &amp; L'!#REF!</definedName>
    <definedName name="BExGTIYX3OWPIINOGY1E4QQYSKHP" localSheetId="10" hidden="1">'[17]AMI P &amp; L'!#REF!</definedName>
    <definedName name="BExGTIYX3OWPIINOGY1E4QQYSKHP" hidden="1">'[17]AMI P &amp; L'!#REF!</definedName>
    <definedName name="BExGTKGUN0KUU3C0RL2LK98D8MEK" hidden="1">'[16]Reco Sheet for Fcast'!$I$8:$J$8</definedName>
    <definedName name="BExGTQB6STG5OP8F4WFG4MJ1QG32" hidden="1">'[18]Bud Mth'!$F$8:$G$8</definedName>
    <definedName name="BExGTZ046J7VMUG4YPKFN2K8TWB7" hidden="1">'[16]Reco Sheet for Fcast'!$I$7:$J$7</definedName>
    <definedName name="BExGU2G9OPRZRIU9YGF6NX9FUW0J" hidden="1">'[16]Reco Sheet for Fcast'!$I$9:$J$9</definedName>
    <definedName name="BExGU6HTKLRZO8UOI3DTAM5RFDBA" hidden="1">'[16]Reco Sheet for Fcast'!$I$7:$J$7</definedName>
    <definedName name="BExGUDDZXFFQHAF4UZF8ZB1HO7H6" localSheetId="2" hidden="1">'[17]AMI P &amp; L'!#REF!</definedName>
    <definedName name="BExGUDDZXFFQHAF4UZF8ZB1HO7H6" localSheetId="10" hidden="1">'[17]AMI P &amp; L'!#REF!</definedName>
    <definedName name="BExGUDDZXFFQHAF4UZF8ZB1HO7H6" hidden="1">'[17]AMI P &amp; L'!#REF!</definedName>
    <definedName name="BExGUIBXBRHGM97ZX6GBA4ZDQ79C" hidden="1">'[16]Reco Sheet for Fcast'!$F$9:$G$9</definedName>
    <definedName name="BExGUM8D91UNPCOO4TKP9FGX85TF" localSheetId="2" hidden="1">'[17]AMI P &amp; L'!#REF!</definedName>
    <definedName name="BExGUM8D91UNPCOO4TKP9FGX85TF" localSheetId="10" hidden="1">'[17]AMI P &amp; L'!#REF!</definedName>
    <definedName name="BExGUM8D91UNPCOO4TKP9FGX85TF" hidden="1">'[17]AMI P &amp; L'!#REF!</definedName>
    <definedName name="BExGUQF9N9FKI7S0H30WUAEB5LPD" hidden="1">'[16]Reco Sheet for Fcast'!$K$2</definedName>
    <definedName name="BExGUR6BA03XPBK60SQUW197GJ5X" hidden="1">'[16]Reco Sheet for Fcast'!$I$7:$J$7</definedName>
    <definedName name="BExGUVIP60TA4B7X2PFGMBFUSKGX" hidden="1">'[16]Reco Sheet for Fcast'!$F$10:$G$10</definedName>
    <definedName name="BExGUVYZ49VJJQ6ZGHDI0J4Q6VUK" localSheetId="2" hidden="1">'[19]Capital orders'!#REF!</definedName>
    <definedName name="BExGUVYZ49VJJQ6ZGHDI0J4Q6VUK" localSheetId="10" hidden="1">'[19]Capital orders'!#REF!</definedName>
    <definedName name="BExGUVYZ49VJJQ6ZGHDI0J4Q6VUK" hidden="1">'[19]Capital orders'!#REF!</definedName>
    <definedName name="BExGUZKF06F209XL1IZWVJEQ82EE" hidden="1">'[16]Reco Sheet for Fcast'!$I$9:$J$9</definedName>
    <definedName name="BExGV2EVT380QHD4AP2RL9MR8L5L" hidden="1">'[16]Reco Sheet for Fcast'!$I$10:$J$10</definedName>
    <definedName name="BExGV4NVN9KBLA14SOD5M7JEE632" hidden="1">'[18]Bud Mth'!$I$9:$J$9</definedName>
    <definedName name="BExGVV6OOLDQ3TXZK51TTF3YX0WN" hidden="1">'[16]Reco Sheet for Fcast'!$F$10:$G$10</definedName>
    <definedName name="BExGW0KVS7U0C87XFZ78QW991IEV" hidden="1">'[16]Reco Sheet for Fcast'!$I$7:$J$7</definedName>
    <definedName name="BExGW2Z7AMPG6H9EXA9ML6EZVGGA" hidden="1">'[16]Reco Sheet for Fcast'!$F$15</definedName>
    <definedName name="BExGWABG5VT5XO1A196RK61AXA8C" hidden="1">'[16]Reco Sheet for Fcast'!$F$7:$G$7</definedName>
    <definedName name="BExGWEO0JDG84NYLEAV5NSOAGMJZ" localSheetId="2" hidden="1">'[17]AMI P &amp; L'!#REF!</definedName>
    <definedName name="BExGWEO0JDG84NYLEAV5NSOAGMJZ" localSheetId="10" hidden="1">'[17]AMI P &amp; L'!#REF!</definedName>
    <definedName name="BExGWEO0JDG84NYLEAV5NSOAGMJZ" hidden="1">'[17]AMI P &amp; L'!#REF!</definedName>
    <definedName name="BExGWLEOC70Z8QAJTPT2PDHTNM4L" hidden="1">'[16]Reco Sheet for Fcast'!$F$7:$G$7</definedName>
    <definedName name="BExGWNCXLCRTLBVMTXYJ5PHQI6SS" localSheetId="2" hidden="1">'[17]AMI P &amp; L'!#REF!</definedName>
    <definedName name="BExGWNCXLCRTLBVMTXYJ5PHQI6SS" localSheetId="10" hidden="1">'[17]AMI P &amp; L'!#REF!</definedName>
    <definedName name="BExGWNCXLCRTLBVMTXYJ5PHQI6SS" hidden="1">'[17]AMI P &amp; L'!#REF!</definedName>
    <definedName name="BExGX6U988MCFIGDA1282F92U9AA" hidden="1">'[16]Reco Sheet for Fcast'!$F$11:$G$11</definedName>
    <definedName name="BExGX7FTB1CKAT5HUW6H531FIY6I" localSheetId="2" hidden="1">'[17]AMI P &amp; L'!#REF!</definedName>
    <definedName name="BExGX7FTB1CKAT5HUW6H531FIY6I" localSheetId="10" hidden="1">'[17]AMI P &amp; L'!#REF!</definedName>
    <definedName name="BExGX7FTB1CKAT5HUW6H531FIY6I" hidden="1">'[17]AMI P &amp; L'!#REF!</definedName>
    <definedName name="BExGX9DVACJQIZ4GH6YAD2A7F70O" hidden="1">'[16]Reco Sheet for Fcast'!$I$9:$J$9</definedName>
    <definedName name="BExGXDVP2S2Y8Z8Q43I78RCIK3DD" hidden="1">'[16]Reco Sheet for Fcast'!$F$10:$G$10</definedName>
    <definedName name="BExGXJ9W5JU7TT9S0BKL5Y6VVB39" hidden="1">'[16]Reco Sheet for Fcast'!$I$6:$J$6</definedName>
    <definedName name="BExGXP9PLH9HGLX6X9E31SFWH8E0" hidden="1">'[16]Reco Sheet for Fcast'!$J$2:$K$2</definedName>
    <definedName name="BExGXWB73RJ4BASBQTQ8EY0EC1EB" hidden="1">'[16]Reco Sheet for Fcast'!$K$2</definedName>
    <definedName name="BExGXZ0ABB43C7SMRKZHWOSU9EQX" hidden="1">'[16]Reco Sheet for Fcast'!$F$8:$G$8</definedName>
    <definedName name="BExGY6SU3SYVCJ3AG2ITY59SAZ5A" hidden="1">'[16]Reco Sheet for Fcast'!$F$15:$G$16</definedName>
    <definedName name="BExGY6YA4P5KMY2VHT0DYK3YTFAX" hidden="1">'[16]Reco Sheet for Fcast'!$F$9:$G$9</definedName>
    <definedName name="BExGY8G88PVVRYHPHRPJZFSX6HSC" hidden="1">'[16]Reco Sheet for Fcast'!$F$8:$G$8</definedName>
    <definedName name="BExGYC718HTZ80PNKYPVIYGRJVF6" hidden="1">'[16]Reco Sheet for Fcast'!$I$7:$J$7</definedName>
    <definedName name="BExGYCNATXZY2FID93B17YWIPPRD" hidden="1">'[16]Reco Sheet for Fcast'!$G$2</definedName>
    <definedName name="BExGYGJJJ3BBCQAOA51WHP01HN73" hidden="1">'[16]Reco Sheet for Fcast'!$F$11:$G$11</definedName>
    <definedName name="BExGYJE09NMFU592QN78WBPFJH50" localSheetId="2" hidden="1">#REF!</definedName>
    <definedName name="BExGYJE09NMFU592QN78WBPFJH50" localSheetId="10" hidden="1">#REF!</definedName>
    <definedName name="BExGYJE09NMFU592QN78WBPFJH50" hidden="1">#REF!</definedName>
    <definedName name="BExGYOS6TV2C72PLRFU8RP1I58GY" hidden="1">'[16]Reco Sheet for Fcast'!$F$8:$G$8</definedName>
    <definedName name="BExGZJ78ZWZCVHZ3BKEKFJZ6MAEO" hidden="1">'[16]Reco Sheet for Fcast'!$I$11:$J$11</definedName>
    <definedName name="BExGZOLH2QV73J3M9IWDDPA62TP4" hidden="1">'[16]Reco Sheet for Fcast'!$I$9:$J$9</definedName>
    <definedName name="BExGZP1PWGFKVVVN4YDIS22DZPCR" hidden="1">'[16]Reco Sheet for Fcast'!$I$6:$J$6</definedName>
    <definedName name="BExH00L21GZX5YJJGVMOAWBERLP5" hidden="1">'[16]Reco Sheet for Fcast'!$I$9:$J$9</definedName>
    <definedName name="BExH02ZD6VAY1KQLAQYBBI6WWIZB" localSheetId="2" hidden="1">'[17]AMI P &amp; L'!#REF!</definedName>
    <definedName name="BExH02ZD6VAY1KQLAQYBBI6WWIZB" localSheetId="10" hidden="1">'[17]AMI P &amp; L'!#REF!</definedName>
    <definedName name="BExH02ZD6VAY1KQLAQYBBI6WWIZB" hidden="1">'[17]AMI P &amp; L'!#REF!</definedName>
    <definedName name="BExH08Z6LQCGGSGSAILMHX4X7JMD" hidden="1">'[16]Reco Sheet for Fcast'!$I$6:$J$6</definedName>
    <definedName name="BExH09VINWGY7QSDNGT9BDVKS3JQ" localSheetId="2" hidden="1">#REF!</definedName>
    <definedName name="BExH09VINWGY7QSDNGT9BDVKS3JQ" localSheetId="10" hidden="1">#REF!</definedName>
    <definedName name="BExH09VINWGY7QSDNGT9BDVKS3JQ" hidden="1">#REF!</definedName>
    <definedName name="BExH0KT9Z8HEVRRQRGQ8YHXRLIJA" hidden="1">'[16]Reco Sheet for Fcast'!$I$9:$J$9</definedName>
    <definedName name="BExH0M0FDN12YBOCKL3XL2Z7T7Y8" hidden="1">'[16]Reco Sheet for Fcast'!$F$10:$G$10</definedName>
    <definedName name="BExH0O9G06YPZ5TN9RYT326I1CP2" hidden="1">'[16]Reco Sheet for Fcast'!$F$7:$G$7</definedName>
    <definedName name="BExH0WNJAKTJRCKMTX8O4KNMIIJM" localSheetId="2" hidden="1">'[17]AMI P &amp; L'!#REF!</definedName>
    <definedName name="BExH0WNJAKTJRCKMTX8O4KNMIIJM" localSheetId="10" hidden="1">'[17]AMI P &amp; L'!#REF!</definedName>
    <definedName name="BExH0WNJAKTJRCKMTX8O4KNMIIJM" hidden="1">'[17]AMI P &amp; L'!#REF!</definedName>
    <definedName name="BExH12Y4WX542WI3ZEM15AK4UM9J" hidden="1">'[16]Reco Sheet for Fcast'!$F$7:$G$7</definedName>
    <definedName name="BExH1FDTQXR9QQ31WDB7OPXU7MPT" localSheetId="2" hidden="1">'[17]AMI P &amp; L'!#REF!</definedName>
    <definedName name="BExH1FDTQXR9QQ31WDB7OPXU7MPT" localSheetId="10" hidden="1">'[17]AMI P &amp; L'!#REF!</definedName>
    <definedName name="BExH1FDTQXR9QQ31WDB7OPXU7MPT" hidden="1">'[17]AMI P &amp; L'!#REF!</definedName>
    <definedName name="BExH1FOMEUIJNIDJAUY0ZQFBJSY9" hidden="1">'[16]Reco Sheet for Fcast'!$I$6:$J$6</definedName>
    <definedName name="BExH1IDQM8I99T9BKP4XNASNIKR8" localSheetId="2" hidden="1">#REF!</definedName>
    <definedName name="BExH1IDQM8I99T9BKP4XNASNIKR8" localSheetId="10" hidden="1">#REF!</definedName>
    <definedName name="BExH1IDQM8I99T9BKP4XNASNIKR8" hidden="1">#REF!</definedName>
    <definedName name="BExH1JFFHEBFX9BWJMNIA3N66R3Z" hidden="1">'[16]Reco Sheet for Fcast'!$F$10:$G$10</definedName>
    <definedName name="BExH1Z0GIUSVTF2H1G1I3PDGBNK2" hidden="1">'[16]Reco Sheet for Fcast'!$K$2</definedName>
    <definedName name="BExH225UTM6S9FW4MUDZS7F1PQSH" hidden="1">'[16]Reco Sheet for Fcast'!$I$7:$J$7</definedName>
    <definedName name="BExH23271RF7AYZ542KHQTH68GQ7" hidden="1">'[16]Reco Sheet for Fcast'!$F$10:$G$10</definedName>
    <definedName name="BExH2GJQR4JALNB314RY0LDI49VH" hidden="1">'[16]Reco Sheet for Fcast'!$I$7:$J$7</definedName>
    <definedName name="BExH2JZR49T7644JFVE7B3N7RZM9" hidden="1">'[16]Reco Sheet for Fcast'!$I$6:$J$6</definedName>
    <definedName name="BExH2WKXV8X5S2GSBBTWGI0NLNAH" hidden="1">'[16]Reco Sheet for Fcast'!$H$2:$I$2</definedName>
    <definedName name="BExH2XS1UFYFGU0S0EBXX90W2WE8" hidden="1">'[16]Reco Sheet for Fcast'!$I$9:$J$9</definedName>
    <definedName name="BExH2XS2TND9SB0GC295R4FP6K5Y" hidden="1">'[16]Reco Sheet for Fcast'!$I$2:$J$2</definedName>
    <definedName name="BExH2ZA0SZ4SSITL50NA8LZ3OEX6" localSheetId="2" hidden="1">'[17]AMI P &amp; L'!#REF!</definedName>
    <definedName name="BExH2ZA0SZ4SSITL50NA8LZ3OEX6" localSheetId="10" hidden="1">'[17]AMI P &amp; L'!#REF!</definedName>
    <definedName name="BExH2ZA0SZ4SSITL50NA8LZ3OEX6" hidden="1">'[17]AMI P &amp; L'!#REF!</definedName>
    <definedName name="BExH31Z3JNVJPESWKXHILGXZHP2M" hidden="1">'[16]Reco Sheet for Fcast'!$F$6:$G$6</definedName>
    <definedName name="BExH37TLURRTF1YO0TUV9JOJ0C78" localSheetId="2" hidden="1">#REF!</definedName>
    <definedName name="BExH37TLURRTF1YO0TUV9JOJ0C78" localSheetId="10" hidden="1">#REF!</definedName>
    <definedName name="BExH37TLURRTF1YO0TUV9JOJ0C78" hidden="1">#REF!</definedName>
    <definedName name="BExH3E9HZ3QJCDZW7WI7YACFQCHE" hidden="1">'[16]Reco Sheet for Fcast'!$F$9:$G$9</definedName>
    <definedName name="BExH3IRB6764RQ5HBYRLH6XCT29X" hidden="1">'[16]Reco Sheet for Fcast'!$I$10:$J$10</definedName>
    <definedName name="BExIG2U8V6RSB47SXLCQG3Q68YRO" hidden="1">'[16]Reco Sheet for Fcast'!$G$2</definedName>
    <definedName name="BExIG5JDFDNKGLHGNDY7U8KIF9NT" localSheetId="2" hidden="1">'[17]AMI P &amp; L'!#REF!</definedName>
    <definedName name="BExIG5JDFDNKGLHGNDY7U8KIF9NT" localSheetId="10" hidden="1">'[17]AMI P &amp; L'!#REF!</definedName>
    <definedName name="BExIG5JDFDNKGLHGNDY7U8KIF9NT" hidden="1">'[17]AMI P &amp; L'!#REF!</definedName>
    <definedName name="BExIGJBO8R13LV7CZ7C1YCP974NN" hidden="1">'[16]Reco Sheet for Fcast'!$F$10:$G$10</definedName>
    <definedName name="BExIGWT86FPOEYTI8GXCGU5Y3KGK" localSheetId="2" hidden="1">'[17]AMI P &amp; L'!#REF!</definedName>
    <definedName name="BExIGWT86FPOEYTI8GXCGU5Y3KGK" localSheetId="10" hidden="1">'[17]AMI P &amp; L'!#REF!</definedName>
    <definedName name="BExIGWT86FPOEYTI8GXCGU5Y3KGK" hidden="1">'[17]AMI P &amp; L'!#REF!</definedName>
    <definedName name="BExIHBHXA7E7VUTBVHXXXCH3A5CL" hidden="1">'[16]Reco Sheet for Fcast'!$I$9:$J$9</definedName>
    <definedName name="BExIHPQCQTGEW8QOJVIQ4VX0P6DX" hidden="1">'[16]Reco Sheet for Fcast'!$I$9:$J$9</definedName>
    <definedName name="BExII1KN91Q7DLW0UB7W2TJ5ACT9" hidden="1">'[16]Reco Sheet for Fcast'!$I$9:$J$9</definedName>
    <definedName name="BExII50LI8I0CDOOZEMIVHVA2V95" hidden="1">'[16]Reco Sheet for Fcast'!$I$11:$J$11</definedName>
    <definedName name="BExIIXMY38TQD12CVV4S57L3I809" hidden="1">'[16]Reco Sheet for Fcast'!$I$9:$J$9</definedName>
    <definedName name="BExIIY37NEVU2LGS1JE4VR9AN6W4" hidden="1">'[16]Reco Sheet for Fcast'!$I$11:$J$11</definedName>
    <definedName name="BExIIYJAGXR8TPZ1KCYM7EGJ79UW" hidden="1">'[16]Reco Sheet for Fcast'!$I$9:$J$9</definedName>
    <definedName name="BExIJ3160YCWGAVEU0208ZGXXG3P" hidden="1">'[16]Reco Sheet for Fcast'!$I$7:$J$7</definedName>
    <definedName name="BExIJFGZJ5ED9D6KAY4PGQYLELAX" localSheetId="2" hidden="1">'[17]AMI P &amp; L'!#REF!</definedName>
    <definedName name="BExIJFGZJ5ED9D6KAY4PGQYLELAX" localSheetId="10" hidden="1">'[17]AMI P &amp; L'!#REF!</definedName>
    <definedName name="BExIJFGZJ5ED9D6KAY4PGQYLELAX" hidden="1">'[17]AMI P &amp; L'!#REF!</definedName>
    <definedName name="BExIJM2EOJY1E8YQ1ZS3GHTIQQRM" localSheetId="2" hidden="1">'[19]Capital orders'!#REF!</definedName>
    <definedName name="BExIJM2EOJY1E8YQ1ZS3GHTIQQRM" localSheetId="10" hidden="1">'[19]Capital orders'!#REF!</definedName>
    <definedName name="BExIJM2EOJY1E8YQ1ZS3GHTIQQRM" hidden="1">'[19]Capital orders'!#REF!</definedName>
    <definedName name="BExIJQ3XPPSZ585U2ER0RSSC71PK" localSheetId="2" hidden="1">#REF!</definedName>
    <definedName name="BExIJQ3XPPSZ585U2ER0RSSC71PK" localSheetId="10" hidden="1">#REF!</definedName>
    <definedName name="BExIJQ3XPPSZ585U2ER0RSSC71PK" hidden="1">#REF!</definedName>
    <definedName name="BExIJQK80ZEKSTV62E59AYJYUNLI" hidden="1">'[16]Reco Sheet for Fcast'!$F$6:$G$6</definedName>
    <definedName name="BExIJRLX3M0YQLU1D5Y9V7HM5QNM" hidden="1">'[16]Reco Sheet for Fcast'!$I$8:$J$8</definedName>
    <definedName name="BExIJV22J0QA7286KNPMHO1ZUCB3" hidden="1">'[16]Reco Sheet for Fcast'!$I$9:$J$9</definedName>
    <definedName name="BExIJVI6OC7B6ZE9V4PAOYZXKNER" hidden="1">'[16]Reco Sheet for Fcast'!$F$9:$G$9</definedName>
    <definedName name="BExIJWK0NGTGQ4X7D5VIVXD14JHI" hidden="1">'[16]Reco Sheet for Fcast'!$I$11:$J$11</definedName>
    <definedName name="BExIJWPCIYINEJUTXU74VK7WG031" hidden="1">'[16]Reco Sheet for Fcast'!$F$11:$G$11</definedName>
    <definedName name="BExIK7CGQS2B8BVWBEP2KKWMVHK9" hidden="1">'[18]Bud Mth'!$J$2:$K$2</definedName>
    <definedName name="BExIKHTXPZR5A8OHB6HDP6QWDHAD" hidden="1">'[16]Reco Sheet for Fcast'!$I$6:$J$6</definedName>
    <definedName name="BExIKMMJOETSAXJYY1SIKM58LMA2" hidden="1">'[16]Reco Sheet for Fcast'!$G$2</definedName>
    <definedName name="BExIKN2SLYNFHS9SQHJSB0NE57OF" hidden="1">'[16]Reco Sheet for Fcast'!$I$6:$J$6</definedName>
    <definedName name="BExIKRF6AQ6VOO9KCIWSM6FY8M7D" hidden="1">'[16]Reco Sheet for Fcast'!$F$11:$G$11</definedName>
    <definedName name="BExIKTYZESFT3LC0ASFMFKSE0D1X" hidden="1">'[16]Reco Sheet for Fcast'!$G$2</definedName>
    <definedName name="BExIKXVA6M8K0PTRYAGXS666L335" hidden="1">'[16]Reco Sheet for Fcast'!$G$2</definedName>
    <definedName name="BExIL0PMZ2SXK9R6MLP43KBU1J2P" hidden="1">'[16]Reco Sheet for Fcast'!$I$11:$J$11</definedName>
    <definedName name="BExILAAXRTRAD18K74M6MGUEEPUM" hidden="1">'[16]Reco Sheet for Fcast'!$F$6:$G$6</definedName>
    <definedName name="BExILG5F338C0FFLMVOKMKF8X5ZP" localSheetId="2" hidden="1">'[17]AMI P &amp; L'!#REF!</definedName>
    <definedName name="BExILG5F338C0FFLMVOKMKF8X5ZP" localSheetId="10" hidden="1">'[17]AMI P &amp; L'!#REF!</definedName>
    <definedName name="BExILG5F338C0FFLMVOKMKF8X5ZP" hidden="1">'[17]AMI P &amp; L'!#REF!</definedName>
    <definedName name="BExILGQTQM0HOD0BJI90YO7GOIN3" hidden="1">'[16]Reco Sheet for Fcast'!$I$10:$J$10</definedName>
    <definedName name="BExILTHIEYYOIUWRZ5LLF1T70AJ7" hidden="1">'[16]Reco Sheet for Fcast'!$I$10:$J$10</definedName>
    <definedName name="BExIM9DBUB7ZGF4B20FVUO9QGOX2" hidden="1">'[16]Reco Sheet for Fcast'!$F$7:$G$7</definedName>
    <definedName name="BExIMGK9Z94TFPWWZFMD10HV0IF6" hidden="1">'[16]Reco Sheet for Fcast'!$I$11:$J$11</definedName>
    <definedName name="BExIMPEGKG18TELVC33T4OQTNBWC" hidden="1">'[16]Reco Sheet for Fcast'!$F$10:$G$10</definedName>
    <definedName name="BExIN4OR435DL1US13JQPOQK8GD5" hidden="1">'[16]Reco Sheet for Fcast'!$K$2</definedName>
    <definedName name="BExIN5ACO87Q5P34GNK1QC1WWACK" hidden="1">'[18]Bud Mth'!$F$6:$G$6</definedName>
    <definedName name="BExINI6A7H3KSFRFA6UBBDPKW37F" hidden="1">'[16]Reco Sheet for Fcast'!$F$10:$G$10</definedName>
    <definedName name="BExINIMK8XC3JOBT2EXYFHHH52H0" hidden="1">'[16]Reco Sheet for Fcast'!$I$11:$J$11</definedName>
    <definedName name="BExINLX401ZKEGWU168DS4JUM2J6" localSheetId="2" hidden="1">'[17]AMI P &amp; L'!#REF!</definedName>
    <definedName name="BExINLX401ZKEGWU168DS4JUM2J6" localSheetId="10" hidden="1">'[17]AMI P &amp; L'!#REF!</definedName>
    <definedName name="BExINLX401ZKEGWU168DS4JUM2J6" hidden="1">'[17]AMI P &amp; L'!#REF!</definedName>
    <definedName name="BExINMYYJO1FTV1CZF6O5XCFAMQX" localSheetId="2" hidden="1">'[17]AMI P &amp; L'!#REF!</definedName>
    <definedName name="BExINMYYJO1FTV1CZF6O5XCFAMQX" localSheetId="10" hidden="1">'[17]AMI P &amp; L'!#REF!</definedName>
    <definedName name="BExINMYYJO1FTV1CZF6O5XCFAMQX" hidden="1">'[17]AMI P &amp; L'!#REF!</definedName>
    <definedName name="BExINP2H4KI05FRFV5PKZFE00HKO" hidden="1">'[16]Reco Sheet for Fcast'!$I$6:$J$6</definedName>
    <definedName name="BExINZELVWYGU876QUUZCIMXPBQC" hidden="1">'[16]Reco Sheet for Fcast'!$I$8:$J$8</definedName>
    <definedName name="BExIOCQUQHKUU1KONGSDOLQTQEIC" hidden="1">'[16]Reco Sheet for Fcast'!$G$2</definedName>
    <definedName name="BExIOFL8Y5O61VLKTB4H20IJNWS1" hidden="1">'[16]Reco Sheet for Fcast'!$F$6:$G$6</definedName>
    <definedName name="BExIOKTZXH2A908F83ANDHGHNJ07" localSheetId="2" hidden="1">#REF!</definedName>
    <definedName name="BExIOKTZXH2A908F83ANDHGHNJ07" localSheetId="10" hidden="1">#REF!</definedName>
    <definedName name="BExIOKTZXH2A908F83ANDHGHNJ07" hidden="1">#REF!</definedName>
    <definedName name="BExIOMBXRW5NS4ZPYX9G5QREZ5J6" hidden="1">'[16]Reco Sheet for Fcast'!$F$11:$G$11</definedName>
    <definedName name="BExIORA3GK78T7C7SNBJJUONJ0LS" hidden="1">'[16]Reco Sheet for Fcast'!$F$15</definedName>
    <definedName name="BExIORFDXP4AVIEBLSTZ8ETSXMNM" hidden="1">'[16]Reco Sheet for Fcast'!$I$7:$J$7</definedName>
    <definedName name="BExIOTZ5EFZ2NASVQ05RH15HRSW6" hidden="1">'[16]Reco Sheet for Fcast'!$F$15</definedName>
    <definedName name="BExIP5TB0T9V3OKFX0GV0526AQ3D" localSheetId="2" hidden="1">#REF!</definedName>
    <definedName name="BExIP5TB0T9V3OKFX0GV0526AQ3D" localSheetId="10" hidden="1">#REF!</definedName>
    <definedName name="BExIP5TB0T9V3OKFX0GV0526AQ3D" hidden="1">#REF!</definedName>
    <definedName name="BExIP8YNN6UUE1GZ223SWH7DLGKO" hidden="1">'[16]Reco Sheet for Fcast'!$I$7:$J$7</definedName>
    <definedName name="BExIPAB4AOL592OJCC1CFAXTLF1A" hidden="1">'[16]Reco Sheet for Fcast'!$I$6:$J$6</definedName>
    <definedName name="BExIPB25DKX4S2ZCKQN7KWSC3JBF" hidden="1">'[16]Reco Sheet for Fcast'!$F$11:$G$11</definedName>
    <definedName name="BExIPDLT8JYAMGE5HTN4D1YHZF3V" localSheetId="2" hidden="1">'[17]AMI P &amp; L'!#REF!</definedName>
    <definedName name="BExIPDLT8JYAMGE5HTN4D1YHZF3V" localSheetId="10" hidden="1">'[17]AMI P &amp; L'!#REF!</definedName>
    <definedName name="BExIPDLT8JYAMGE5HTN4D1YHZF3V" hidden="1">'[17]AMI P &amp; L'!#REF!</definedName>
    <definedName name="BExIPG040Q08EWIWL6CAVR3GRI43" hidden="1">'[16]Reco Sheet for Fcast'!$I$7:$J$7</definedName>
    <definedName name="BExIPKNFUDPDKOSH5GHDVNA8D66S" hidden="1">'[16]Reco Sheet for Fcast'!$I$11:$J$11</definedName>
    <definedName name="BExIQ1VS9A2FHVD9TUHKG9K8EVVP" hidden="1">'[16]Reco Sheet for Fcast'!$F$11:$G$11</definedName>
    <definedName name="BExIQ3J19L30PSQ2CXNT6IHW0I7V" hidden="1">'[16]Reco Sheet for Fcast'!$I$9:$J$9</definedName>
    <definedName name="BExIQ3OJ7M04XCY276IO0LJA5XUK" hidden="1">'[16]Reco Sheet for Fcast'!$F$11:$G$11</definedName>
    <definedName name="BExIQ5S19ITB0NDRUN4XV7B905ED" hidden="1">'[16]Reco Sheet for Fcast'!$F$15</definedName>
    <definedName name="BExIQ9TMQT2EIXSVQW7GVSOAW2VJ" hidden="1">'[16]Reco Sheet for Fcast'!$I$8:$J$8</definedName>
    <definedName name="BExIQBMDE1L6J4H27K1FMSHQKDSE" hidden="1">'[16]Reco Sheet for Fcast'!$I$8:$J$8</definedName>
    <definedName name="BExIQE65LVXUOF3UZFO7SDHFJH22" hidden="1">'[16]Reco Sheet for Fcast'!$G$2</definedName>
    <definedName name="BExIQG9OO2KKBOWTMD1OXY36TEGA" hidden="1">'[16]Reco Sheet for Fcast'!$F$10:$G$10</definedName>
    <definedName name="BExIQMV2D77A07E403GAA7CYB8C2" hidden="1">'[16]Reco Sheet for Fcast'!$C$15:$D$23</definedName>
    <definedName name="BExIQX1XBB31HZTYEEVOBSE3C5A6" hidden="1">'[16]Reco Sheet for Fcast'!$I$10:$J$10</definedName>
    <definedName name="BExIR2ALYRP9FW99DK2084J7IIDC" hidden="1">'[16]Reco Sheet for Fcast'!$I$10:$J$10</definedName>
    <definedName name="BExIR8FQETPTQYW37DBVDWG3J4JW" hidden="1">'[16]Reco Sheet for Fcast'!$F$7:$G$7</definedName>
    <definedName name="BExIRBVWGULCWXZ0NA6HCLFX8VW6" hidden="1">'[18]Bud Mth'!$I$9:$J$9</definedName>
    <definedName name="BExIRRBGTY01OQOI3U5SW59RFDFI" hidden="1">'[16]Reco Sheet for Fcast'!$I$8:$J$8</definedName>
    <definedName name="BExIS4T0DRF57HYO7OGG72KBOFOI" hidden="1">'[16]Reco Sheet for Fcast'!$F$15:$G$34</definedName>
    <definedName name="BExIS77BJDDK18PGI9DSEYZPIL7P" hidden="1">'[16]Reco Sheet for Fcast'!$F$10:$G$10</definedName>
    <definedName name="BExIS8USL1T3Z97CZ30HJ98E2GXQ" hidden="1">'[16]Reco Sheet for Fcast'!$F$9:$G$9</definedName>
    <definedName name="BExISC5B700MZUBFTQ9K4IKTF7HR" hidden="1">'[16]Reco Sheet for Fcast'!$K$2</definedName>
    <definedName name="BExISDHXS49S1H56ENBPRF1NLD5C" hidden="1">'[16]Reco Sheet for Fcast'!$I$6:$J$6</definedName>
    <definedName name="BExISM1JLV54A21A164IURMPGUMU" hidden="1">'[16]Reco Sheet for Fcast'!$F$7:$G$7</definedName>
    <definedName name="BExISOL5FNHZHVLEZZZZ47YXZ5QS" localSheetId="2" hidden="1">#REF!</definedName>
    <definedName name="BExISOL5FNHZHVLEZZZZ47YXZ5QS" localSheetId="10" hidden="1">#REF!</definedName>
    <definedName name="BExISOL5FNHZHVLEZZZZ47YXZ5QS" hidden="1">#REF!</definedName>
    <definedName name="BExISRFKJYUZ4AKW44IJF7RF9Y90" hidden="1">'[16]Reco Sheet for Fcast'!$F$10:$G$10</definedName>
    <definedName name="BExIT1MK8TBAK3SNP36A8FKDQSOK" hidden="1">'[16]Reco Sheet for Fcast'!$F$11:$G$11</definedName>
    <definedName name="BExIT7RP2B89RX2C5P1P5H2DY1CI" localSheetId="2" hidden="1">#REF!</definedName>
    <definedName name="BExIT7RP2B89RX2C5P1P5H2DY1CI" localSheetId="10" hidden="1">#REF!</definedName>
    <definedName name="BExIT7RP2B89RX2C5P1P5H2DY1CI" hidden="1">#REF!</definedName>
    <definedName name="BExITBNYANV2S8KD56GOGCKW393R" hidden="1">'[16]Reco Sheet for Fcast'!$F$9:$G$9</definedName>
    <definedName name="BExIU6ZCS275CPHR7BIJ2SCIXCP7" localSheetId="2" hidden="1">#REF!</definedName>
    <definedName name="BExIU6ZCS275CPHR7BIJ2SCIXCP7" localSheetId="10" hidden="1">#REF!</definedName>
    <definedName name="BExIU6ZCS275CPHR7BIJ2SCIXCP7" hidden="1">#REF!</definedName>
    <definedName name="BExIUD4OJGH65NFNQ4VMCE3R4J1X" hidden="1">'[16]Reco Sheet for Fcast'!$F$7:$G$7</definedName>
    <definedName name="BExIUTB5OAAXYW0OFMP0PS40SPOB" hidden="1">'[16]Reco Sheet for Fcast'!$I$10:$J$10</definedName>
    <definedName name="BExIUUT2MHIOV6R3WHA0DPM1KBKY" localSheetId="2" hidden="1">'[17]AMI P &amp; L'!#REF!</definedName>
    <definedName name="BExIUUT2MHIOV6R3WHA0DPM1KBKY" localSheetId="10" hidden="1">'[17]AMI P &amp; L'!#REF!</definedName>
    <definedName name="BExIUUT2MHIOV6R3WHA0DPM1KBKY" hidden="1">'[17]AMI P &amp; L'!#REF!</definedName>
    <definedName name="BExIUYPDT1AM6MWGWQS646PIZIWC" hidden="1">'[16]Reco Sheet for Fcast'!$I$10:$J$10</definedName>
    <definedName name="BExIV0I2O9F8D1UK1SI8AEYR6U0A" hidden="1">'[16]Reco Sheet for Fcast'!$G$2</definedName>
    <definedName name="BExIV2LM38XPLRTWT0R44TMQ59E5" hidden="1">'[16]Reco Sheet for Fcast'!$F$15</definedName>
    <definedName name="BExIV3CMY91WXOF56UOYD0AUHJ3N" localSheetId="2" hidden="1">#REF!</definedName>
    <definedName name="BExIV3CMY91WXOF56UOYD0AUHJ3N" localSheetId="10" hidden="1">#REF!</definedName>
    <definedName name="BExIV3CMY91WXOF56UOYD0AUHJ3N" hidden="1">#REF!</definedName>
    <definedName name="BExIV3HY4S0YRV1F7XEMF2YHAR2I" hidden="1">'[16]Reco Sheet for Fcast'!$I$10:$J$10</definedName>
    <definedName name="BExIV6HUZFRIFLXW2SICKGTAH1PV" hidden="1">'[16]Reco Sheet for Fcast'!$I$11:$J$11</definedName>
    <definedName name="BExIVCXWL6H5LD9DHDIA4F5U9TQL" hidden="1">'[16]Reco Sheet for Fcast'!$F$15</definedName>
    <definedName name="BExIVMOIPSEWSIHIDDLOXESQ28A0" hidden="1">'[16]Reco Sheet for Fcast'!$F$11:$G$11</definedName>
    <definedName name="BExIVNVNJX9BYDLC88NG09YF5XQ6" hidden="1">'[16]Reco Sheet for Fcast'!$I$9:$J$9</definedName>
    <definedName name="BExIVOH8Z5N2NCDXBL9INQNLC76M" localSheetId="2" hidden="1">'[19]Capital orders'!#REF!</definedName>
    <definedName name="BExIVOH8Z5N2NCDXBL9INQNLC76M" localSheetId="10" hidden="1">'[19]Capital orders'!#REF!</definedName>
    <definedName name="BExIVOH8Z5N2NCDXBL9INQNLC76M" hidden="1">'[19]Capital orders'!#REF!</definedName>
    <definedName name="BExIVQVKLMGSRYT1LFZH0KUIA4OR" hidden="1">'[16]Reco Sheet for Fcast'!$I$11:$J$11</definedName>
    <definedName name="BExIVYTFI35KNR2XSA6N8OJYUTUR" localSheetId="2" hidden="1">'[17]AMI P &amp; L'!#REF!</definedName>
    <definedName name="BExIVYTFI35KNR2XSA6N8OJYUTUR" localSheetId="10" hidden="1">'[17]AMI P &amp; L'!#REF!</definedName>
    <definedName name="BExIVYTFI35KNR2XSA6N8OJYUTUR" hidden="1">'[17]AMI P &amp; L'!#REF!</definedName>
    <definedName name="BExIWB3SY3WRIVIOF988DNNODBOA" hidden="1">'[16]Reco Sheet for Fcast'!$G$2</definedName>
    <definedName name="BExIWB99CG0H52LRD6QWPN4L6DV2" hidden="1">'[16]Reco Sheet for Fcast'!$F$8:$G$8</definedName>
    <definedName name="BExIWG1W7XP9DFYYSZAIOSHM0QLQ" localSheetId="2" hidden="1">'[17]AMI P &amp; L'!#REF!</definedName>
    <definedName name="BExIWG1W7XP9DFYYSZAIOSHM0QLQ" localSheetId="10" hidden="1">'[17]AMI P &amp; L'!#REF!</definedName>
    <definedName name="BExIWG1W7XP9DFYYSZAIOSHM0QLQ" hidden="1">'[17]AMI P &amp; L'!#REF!</definedName>
    <definedName name="BExIWH3KUK94B7833DD4TB0Y6KP9" hidden="1">'[16]Reco Sheet for Fcast'!$F$6:$G$6</definedName>
    <definedName name="BExIWKE9MGIDWORBI43AWTUNYFAN" hidden="1">'[16]Reco Sheet for Fcast'!$K$2</definedName>
    <definedName name="BExIX34PM5DBTRHRQWP6PL6WIX88" hidden="1">'[16]Reco Sheet for Fcast'!$F$8:$G$8</definedName>
    <definedName name="BExIX5OAP9KSUE5SIZCW9P39Q4WE" hidden="1">'[16]Reco Sheet for Fcast'!$I$10:$J$10</definedName>
    <definedName name="BExIX69Y0CM4OW8NEPQXX4ORSAT2" hidden="1">'[16]Reco Sheet for Fcast'!$C$15:$D$23</definedName>
    <definedName name="BExIXGRJPVJMUDGSG7IHPXPNO69B" hidden="1">'[16]Reco Sheet for Fcast'!$G$2</definedName>
    <definedName name="BExIXM5R87ZL3FHALWZXYCPHGX3E" hidden="1">'[16]Reco Sheet for Fcast'!$F$7:$G$7</definedName>
    <definedName name="BExIXS036ZCKT2Z8XZKLZ8PFWQGL" hidden="1">'[16]Reco Sheet for Fcast'!$I$7:$J$7</definedName>
    <definedName name="BExIXY5CF9PFM0P40AZ4U51TMWV0" hidden="1">'[16]Reco Sheet for Fcast'!$F$9:$G$9</definedName>
    <definedName name="BExIYEXJBK8JDWIRSVV4RJSKZVV1" hidden="1">'[16]Reco Sheet for Fcast'!$I$8:$J$8</definedName>
    <definedName name="BExIYI2RH0K4225XO970K2IQ1E79" localSheetId="2" hidden="1">'[17]AMI P &amp; L'!#REF!</definedName>
    <definedName name="BExIYI2RH0K4225XO970K2IQ1E79" localSheetId="10" hidden="1">'[17]AMI P &amp; L'!#REF!</definedName>
    <definedName name="BExIYI2RH0K4225XO970K2IQ1E79" hidden="1">'[17]AMI P &amp; L'!#REF!</definedName>
    <definedName name="BExIYMPZ0KS2KOJFQAUQJ77L7701" hidden="1">'[16]Reco Sheet for Fcast'!$G$2</definedName>
    <definedName name="BExIYP9Q6FV9T0R9G3UDKLS4TTYX" hidden="1">'[16]Reco Sheet for Fcast'!$F$6:$G$6</definedName>
    <definedName name="BExIYZGLDQ1TN7BIIN4RLDP31GIM" hidden="1">'[16]Reco Sheet for Fcast'!$F$8:$G$8</definedName>
    <definedName name="BExIZ4K0EZJK6PW3L8SVKTJFSWW9" hidden="1">'[16]Reco Sheet for Fcast'!$F$15:$F$15</definedName>
    <definedName name="BExIZAECINL6JE573R3GB2W6M9LF" localSheetId="2" hidden="1">#REF!</definedName>
    <definedName name="BExIZAECINL6JE573R3GB2W6M9LF" localSheetId="10" hidden="1">#REF!</definedName>
    <definedName name="BExIZAECINL6JE573R3GB2W6M9LF" hidden="1">#REF!</definedName>
    <definedName name="BExIZAECOEZGBAO29QMV14E6XDIV" hidden="1">'[16]Reco Sheet for Fcast'!$G$2:$H$2</definedName>
    <definedName name="BExIZKVXYD5O2JBU81F2UFJZLLSI" hidden="1">'[16]Reco Sheet for Fcast'!$F$8:$G$8</definedName>
    <definedName name="BExIZPZDHC8HGER83WHCZAHOX7LK" hidden="1">'[16]Reco Sheet for Fcast'!$F$11:$G$11</definedName>
    <definedName name="BExIZS2X10QUS4CITNIUIELXAFAJ" localSheetId="2" hidden="1">#REF!</definedName>
    <definedName name="BExIZS2X10QUS4CITNIUIELXAFAJ" localSheetId="10" hidden="1">#REF!</definedName>
    <definedName name="BExIZS2X10QUS4CITNIUIELXAFAJ" hidden="1">#REF!</definedName>
    <definedName name="BExIZY2PUZ0OF9YKK1B13IW0VS6G" hidden="1">'[16]Reco Sheet for Fcast'!$F$15</definedName>
    <definedName name="BExJ08KBRR2XMWW3VZMPSQKXHZUH" localSheetId="2" hidden="1">'[17]AMI P &amp; L'!#REF!</definedName>
    <definedName name="BExJ08KBRR2XMWW3VZMPSQKXHZUH" localSheetId="10" hidden="1">'[17]AMI P &amp; L'!#REF!</definedName>
    <definedName name="BExJ08KBRR2XMWW3VZMPSQKXHZUH" hidden="1">'[17]AMI P &amp; L'!#REF!</definedName>
    <definedName name="BExJ0DYJWXGE7DA39PYL3WM05U9O" hidden="1">'[16]Reco Sheet for Fcast'!$F$15</definedName>
    <definedName name="BExJ0MY8SY5J5V50H3UKE78ODTVB" hidden="1">'[16]Reco Sheet for Fcast'!$I$8:$J$8</definedName>
    <definedName name="BExJ0SCG7GD0KHI9T46FKP68270U" localSheetId="2" hidden="1">'[19]Capital orders'!#REF!</definedName>
    <definedName name="BExJ0SCG7GD0KHI9T46FKP68270U" localSheetId="10" hidden="1">'[19]Capital orders'!#REF!</definedName>
    <definedName name="BExJ0SCG7GD0KHI9T46FKP68270U" hidden="1">'[19]Capital orders'!#REF!</definedName>
    <definedName name="BExJ0YC98G37ML4N8FLP8D95EFRF" hidden="1">'[16]Reco Sheet for Fcast'!$G$2</definedName>
    <definedName name="BExKCDYKAEV45AFXHVHZZ62E5BM3" hidden="1">'[16]Reco Sheet for Fcast'!$G$2</definedName>
    <definedName name="BExKDKO0W4AGQO1V7K6Q4VM750FT" hidden="1">'[16]Reco Sheet for Fcast'!$F$11:$G$11</definedName>
    <definedName name="BExKDLF10G7W77J87QWH3ZGLUCLW" hidden="1">'[16]Reco Sheet for Fcast'!$I$10:$J$10</definedName>
    <definedName name="BExKDYWMP2XKZPZZ3JN74IZA31I4" localSheetId="2" hidden="1">#REF!</definedName>
    <definedName name="BExKDYWMP2XKZPZZ3JN74IZA31I4" localSheetId="10" hidden="1">#REF!</definedName>
    <definedName name="BExKDYWMP2XKZPZZ3JN74IZA31I4" hidden="1">#REF!</definedName>
    <definedName name="BExKEFE0I3MT6ZLC4T1L9465HKTN" hidden="1">'[16]Reco Sheet for Fcast'!$F$8:$G$8</definedName>
    <definedName name="BExKEK6O5BVJP4VY02FY7JNAZ6BT" hidden="1">'[16]Reco Sheet for Fcast'!$I$6:$J$6</definedName>
    <definedName name="BExKEKXK6E6QX339ELPXDIRZSJE0" hidden="1">'[16]Reco Sheet for Fcast'!$I$7:$J$7</definedName>
    <definedName name="BExKEOOIBMP7N8033EY2CJYCBX6H" hidden="1">'[16]Reco Sheet for Fcast'!$F$10:$G$10</definedName>
    <definedName name="BExKEW0RR5LA3VC46A2BEOOMQE56" hidden="1">'[16]Reco Sheet for Fcast'!$F$8:$G$8</definedName>
    <definedName name="BExKFA3VI1CZK21SM0N3LZWT9LA1" hidden="1">'[16]Reco Sheet for Fcast'!$F$11:$G$11</definedName>
    <definedName name="BExKFINBFV5J2NFRCL4YUO3YF0ZE" hidden="1">'[16]Reco Sheet for Fcast'!$F$11:$G$11</definedName>
    <definedName name="BExKFISRBFACTAMJSALEYMY66F6X" hidden="1">'[16]Reco Sheet for Fcast'!$F$8:$G$8</definedName>
    <definedName name="BExKFOSK5DJ151C4E8544UWMYTOC" hidden="1">'[16]Reco Sheet for Fcast'!$I$7:$J$7</definedName>
    <definedName name="BExKFYJC4EVEV54F82K6VKP7Q3OU" hidden="1">'[16]Reco Sheet for Fcast'!$I$6:$J$6</definedName>
    <definedName name="BExKG4IYHBKQQ8J8FN10GB2IKO33" hidden="1">'[16]Reco Sheet for Fcast'!$I$8:$J$8</definedName>
    <definedName name="BExKGF0L44S78D33WMQ1A75TRKB9" hidden="1">'[16]Reco Sheet for Fcast'!$I$10:$J$10</definedName>
    <definedName name="BExKGFRN31B3G20LMQ4LRF879J68" hidden="1">'[16]Reco Sheet for Fcast'!$I$8:$J$8</definedName>
    <definedName name="BExKGJD3U3ADZILP20U3EURP0UQP" hidden="1">'[16]Reco Sheet for Fcast'!$I$9:$J$9</definedName>
    <definedName name="BExKGNK5YGKP0YHHTAAOV17Z9EIM" hidden="1">'[16]Reco Sheet for Fcast'!$F$10:$G$10</definedName>
    <definedName name="BExKGTJTGZ5J6MUJ1UXP14KX6XN1" localSheetId="2" hidden="1">#REF!</definedName>
    <definedName name="BExKGTJTGZ5J6MUJ1UXP14KX6XN1" localSheetId="10" hidden="1">#REF!</definedName>
    <definedName name="BExKGTJTGZ5J6MUJ1UXP14KX6XN1" hidden="1">#REF!</definedName>
    <definedName name="BExKGV77YH9YXIQTRKK2331QGYKF" hidden="1">'[16]Reco Sheet for Fcast'!$F$8:$G$8</definedName>
    <definedName name="BExKGXLJQX4WJ1YCKHSMCPSSKX21" localSheetId="2" hidden="1">#REF!</definedName>
    <definedName name="BExKGXLJQX4WJ1YCKHSMCPSSKX21" localSheetId="10" hidden="1">#REF!</definedName>
    <definedName name="BExKGXLJQX4WJ1YCKHSMCPSSKX21" hidden="1">#REF!</definedName>
    <definedName name="BExKH3FTZ5VGTB86W9M4AB39R0G8" hidden="1">'[16]Reco Sheet for Fcast'!$F$6:$G$6</definedName>
    <definedName name="BExKH3FV5U5O6XZM7STS3NZKQFGJ" hidden="1">'[16]Reco Sheet for Fcast'!$H$2:$I$2</definedName>
    <definedName name="BExKH8JEZRE8MEZ9VRCNMJT15RST" hidden="1">'[18]Bud Mth'!$E$1</definedName>
    <definedName name="BExKHAMUH8NR3HRV0V6FHJE3ROLN" hidden="1">'[16]Reco Sheet for Fcast'!$I$8:$J$8</definedName>
    <definedName name="BExKHCFKOWFHO2WW0N7Y5XDXEWAO" hidden="1">'[16]Reco Sheet for Fcast'!$I$11:$J$11</definedName>
    <definedName name="BExKHDMPODAJPZY7M2BN39326C43" localSheetId="2" hidden="1">#REF!</definedName>
    <definedName name="BExKHDMPODAJPZY7M2BN39326C43" localSheetId="10" hidden="1">#REF!</definedName>
    <definedName name="BExKHDMPODAJPZY7M2BN39326C43" hidden="1">#REF!</definedName>
    <definedName name="BExKHIVLONZ46HLMR50DEXKEUNEP" hidden="1">'[16]Reco Sheet for Fcast'!$F$7:$G$7</definedName>
    <definedName name="BExKHPM9XA0ADDK7TUR0N38EXWEP" hidden="1">'[16]Reco Sheet for Fcast'!$F$10:$G$10</definedName>
    <definedName name="BExKHWNRIZ5D7KKG5MQK7WNAIKUJ" localSheetId="2" hidden="1">#REF!</definedName>
    <definedName name="BExKHWNRIZ5D7KKG5MQK7WNAIKUJ" localSheetId="10" hidden="1">#REF!</definedName>
    <definedName name="BExKHWNRIZ5D7KKG5MQK7WNAIKUJ" hidden="1">#REF!</definedName>
    <definedName name="BExKI4076KXCDE5KXL79KT36OKLO" localSheetId="2" hidden="1">'[17]AMI P &amp; L'!#REF!</definedName>
    <definedName name="BExKI4076KXCDE5KXL79KT36OKLO" localSheetId="10" hidden="1">'[17]AMI P &amp; L'!#REF!</definedName>
    <definedName name="BExKI4076KXCDE5KXL79KT36OKLO" hidden="1">'[17]AMI P &amp; L'!#REF!</definedName>
    <definedName name="BExKI7LO70WYISR7Q0Y1ZDWO9M3B" hidden="1">'[16]Reco Sheet for Fcast'!$I$8:$J$8</definedName>
    <definedName name="BExKI8STNKBGV3XDC4DWP9DUI95F" hidden="1">'[18]Bud Mth'!$I$11:$J$11</definedName>
    <definedName name="BExKIGQV6TXIZG039HBOJU62WP2U" hidden="1">'[16]Reco Sheet for Fcast'!$I$11:$J$11</definedName>
    <definedName name="BExKILE008SF3KTAN8WML3XKI1NZ" hidden="1">'[16]Reco Sheet for Fcast'!$K$2</definedName>
    <definedName name="BExKILE0KASW8HUYMPSCDCLPF7G9" localSheetId="2" hidden="1">'[19]Capital orders'!#REF!</definedName>
    <definedName name="BExKILE0KASW8HUYMPSCDCLPF7G9" localSheetId="10" hidden="1">'[19]Capital orders'!#REF!</definedName>
    <definedName name="BExKILE0KASW8HUYMPSCDCLPF7G9" hidden="1">'[19]Capital orders'!#REF!</definedName>
    <definedName name="BExKINSBB6RS7I489QHMCOMU4Z2X" hidden="1">'[16]Reco Sheet for Fcast'!$F$15</definedName>
    <definedName name="BExKIU87ZKSOC2DYZWFK6SAK9I8E" hidden="1">'[16]Reco Sheet for Fcast'!$F$6:$G$6</definedName>
    <definedName name="BExKJ449HLYX2DJ9UF0H9GTPSQ73" hidden="1">'[16]Reco Sheet for Fcast'!$I$8:$J$8</definedName>
    <definedName name="BExKJ80JCKTCTLIXPIWZCK93PF9N" localSheetId="2" hidden="1">'[19]Capital orders'!#REF!</definedName>
    <definedName name="BExKJ80JCKTCTLIXPIWZCK93PF9N" localSheetId="10" hidden="1">'[19]Capital orders'!#REF!</definedName>
    <definedName name="BExKJ80JCKTCTLIXPIWZCK93PF9N" hidden="1">'[19]Capital orders'!#REF!</definedName>
    <definedName name="BExKJC7MJKEAMFD3Y9Q6TXP4MP3L" hidden="1">'[16]Reco Sheet for Fcast'!$I$9:$J$9</definedName>
    <definedName name="BExKJELX2RUC8UEC56IZPYYZXHA7" hidden="1">'[16]Reco Sheet for Fcast'!$F$8:$G$8</definedName>
    <definedName name="BExKJINMXS61G2TZEXCJAWVV4F57" hidden="1">'[16]Reco Sheet for Fcast'!$F$6:$G$6</definedName>
    <definedName name="BExKJK5ME8KB7HA0180L7OUZDDGV" hidden="1">'[16]Reco Sheet for Fcast'!$F$11:$G$11</definedName>
    <definedName name="BExKJN5IF0VMDILJ5K8ZENF2QYV1" hidden="1">'[16]Reco Sheet for Fcast'!$H$2:$I$2</definedName>
    <definedName name="BExKJUSJPFUIK20FTVAFJWR2OUYX" hidden="1">'[16]Reco Sheet for Fcast'!$I$11:$J$11</definedName>
    <definedName name="BExKK6136BZL98KXU16PG6QG8APU" localSheetId="2" hidden="1">'[19]Capital orders'!#REF!</definedName>
    <definedName name="BExKK6136BZL98KXU16PG6QG8APU" localSheetId="10" hidden="1">'[19]Capital orders'!#REF!</definedName>
    <definedName name="BExKK6136BZL98KXU16PG6QG8APU" hidden="1">'[19]Capital orders'!#REF!</definedName>
    <definedName name="BExKK8VP5RS3D0UXZVKA37C4SYBP" hidden="1">'[16]Reco Sheet for Fcast'!$F$11:$G$11</definedName>
    <definedName name="BExKKIM9NPF6B3SPMPIQB27HQME4" hidden="1">'[16]Reco Sheet for Fcast'!$F$11:$G$11</definedName>
    <definedName name="BExKKIX1BCBQ4R3K41QD8NTV0OV0" hidden="1">'[16]Reco Sheet for Fcast'!$I$8:$J$8</definedName>
    <definedName name="BExKKQ3ZWADYV03YHMXDOAMU90EB" localSheetId="2" hidden="1">'[17]AMI P &amp; L'!#REF!</definedName>
    <definedName name="BExKKQ3ZWADYV03YHMXDOAMU90EB" localSheetId="10" hidden="1">'[17]AMI P &amp; L'!#REF!</definedName>
    <definedName name="BExKKQ3ZWADYV03YHMXDOAMU90EB" hidden="1">'[17]AMI P &amp; L'!#REF!</definedName>
    <definedName name="BExKKUGD2HMJWQEYZ8H3X1BMXFS9" hidden="1">'[16]Reco Sheet for Fcast'!$F$9:$G$9</definedName>
    <definedName name="BExKKX05KCZZZPKOR1NE5A8RGVT4" hidden="1">'[16]Reco Sheet for Fcast'!$I$11:$J$11</definedName>
    <definedName name="BExKL3AQ1IV1NVX782PTFKU7U16A" localSheetId="2" hidden="1">#REF!</definedName>
    <definedName name="BExKL3AQ1IV1NVX782PTFKU7U16A" localSheetId="10" hidden="1">#REF!</definedName>
    <definedName name="BExKL3AQ1IV1NVX782PTFKU7U16A" hidden="1">#REF!</definedName>
    <definedName name="BExKLD6S9L66QYREYHBE5J44OK7X" hidden="1">'[16]Reco Sheet for Fcast'!$I$6:$J$6</definedName>
    <definedName name="BExKLEZK32L28GYJWVO63BZ5E1JD" hidden="1">'[16]Reco Sheet for Fcast'!$F$9:$G$9</definedName>
    <definedName name="BExKLLKVVHT06LA55JB2FC871DC5" hidden="1">'[16]Reco Sheet for Fcast'!$I$8:$J$8</definedName>
    <definedName name="BExKMHSPAJPHUEZXSHTFJNWYFCQR" hidden="1">'[16]Reco Sheet for Fcast'!$L$6:$M$10</definedName>
    <definedName name="BExKMWBX4EH3EYJ07UFEM08NB40Z" hidden="1">'[16]Reco Sheet for Fcast'!$F$10:$G$10</definedName>
    <definedName name="BExKMX8A5ZOYAIX1JNJ198214P08" hidden="1">'[16]Reco Sheet for Fcast'!$I$6:$J$6</definedName>
    <definedName name="BExKNBGV2IR3S7M0BX4810KZB4V3" hidden="1">'[16]Reco Sheet for Fcast'!$H$2:$I$2</definedName>
    <definedName name="BExKNCTBZTSY3MO42VU5PLV6YUHZ" hidden="1">'[16]Reco Sheet for Fcast'!$F$10:$G$10</definedName>
    <definedName name="BExKNGV2YY749C42AQ2T9QNIE5C3" hidden="1">'[16]Reco Sheet for Fcast'!$F$7:$G$7</definedName>
    <definedName name="BExKNTG8WOYHOW9I6K6WBGXTRX0X" localSheetId="2" hidden="1">#REF!</definedName>
    <definedName name="BExKNTG8WOYHOW9I6K6WBGXTRX0X" localSheetId="10" hidden="1">#REF!</definedName>
    <definedName name="BExKNTG8WOYHOW9I6K6WBGXTRX0X" hidden="1">#REF!</definedName>
    <definedName name="BExKNV8UOHVWEHDJWI2WMJ9X6QHZ" hidden="1">'[16]Reco Sheet for Fcast'!$I$9:$J$9</definedName>
    <definedName name="BExKNZLD7UATC1MYRNJD8H2NH4KU" hidden="1">'[16]Reco Sheet for Fcast'!$F$15</definedName>
    <definedName name="BExKNZQUKQQG2Y97R74G4O4BJP1L" hidden="1">'[16]Reco Sheet for Fcast'!$F$10:$G$10</definedName>
    <definedName name="BExKO06X0EAD3ABEG1E8PWLDWHBA" hidden="1">'[16]Reco Sheet for Fcast'!$I$9:$J$9</definedName>
    <definedName name="BExKO2AHHSGNI1AZOIOW21KPXKPE" hidden="1">'[16]Reco Sheet for Fcast'!$F$11:$G$11</definedName>
    <definedName name="BExKO2FXWJWC5IZLDN8JHYILQJ2N" hidden="1">'[16]Reco Sheet for Fcast'!$I$11:$J$11</definedName>
    <definedName name="BExKO438WZ8FKOU00NURGFMOYXWN" hidden="1">'[16]Reco Sheet for Fcast'!$I$6:$J$6</definedName>
    <definedName name="BExKODIZGWW2EQD0FEYW6WK6XLCM" hidden="1">'[16]Reco Sheet for Fcast'!$I$6:$J$6</definedName>
    <definedName name="BExKOPO2HPWVQGAKW8LOZMPIDEFG" hidden="1">'[16]Reco Sheet for Fcast'!$F$9:$G$9</definedName>
    <definedName name="BExKPBJJN98NVSALRMK9B8P0823D" localSheetId="2" hidden="1">#REF!</definedName>
    <definedName name="BExKPBJJN98NVSALRMK9B8P0823D" localSheetId="10" hidden="1">#REF!</definedName>
    <definedName name="BExKPBJJN98NVSALRMK9B8P0823D" hidden="1">#REF!</definedName>
    <definedName name="BExKPEZP0QTKOTLIMMIFSVTHQEEK" hidden="1">'[16]Reco Sheet for Fcast'!$F$8:$G$8</definedName>
    <definedName name="BExKPLQJX0HJ8OTXBXH9IC9J2V0W" localSheetId="2" hidden="1">'[17]AMI P &amp; L'!#REF!</definedName>
    <definedName name="BExKPLQJX0HJ8OTXBXH9IC9J2V0W" localSheetId="10" hidden="1">'[17]AMI P &amp; L'!#REF!</definedName>
    <definedName name="BExKPLQJX0HJ8OTXBXH9IC9J2V0W" hidden="1">'[17]AMI P &amp; L'!#REF!</definedName>
    <definedName name="BExKPN8C7GN36ZJZHLOB74LU6KT0" hidden="1">'[16]Reco Sheet for Fcast'!$F$7:$G$7</definedName>
    <definedName name="BExKPOA7KQEO5H53FUG2NPXVNY9Z" hidden="1">'[18]Bud Mth'!$L$6:$M$11</definedName>
    <definedName name="BExKPX9VZ1J5021Q98K60HMPJU58" hidden="1">'[16]Reco Sheet for Fcast'!$G$2</definedName>
    <definedName name="BExKQJGAAWNM3NT19E9I0CQDBTU0" localSheetId="2" hidden="1">'[17]AMI P &amp; L'!#REF!</definedName>
    <definedName name="BExKQJGAAWNM3NT19E9I0CQDBTU0" localSheetId="10" hidden="1">'[17]AMI P &amp; L'!#REF!</definedName>
    <definedName name="BExKQJGAAWNM3NT19E9I0CQDBTU0" hidden="1">'[17]AMI P &amp; L'!#REF!</definedName>
    <definedName name="BExKQM5GJ1ZN5REKFE7YVBQ0KXWF" hidden="1">'[16]Reco Sheet for Fcast'!$F$8:$G$8</definedName>
    <definedName name="BExKQPLDXXZOE89AAUX3S6BSJMIK" localSheetId="2" hidden="1">#REF!</definedName>
    <definedName name="BExKQPLDXXZOE89AAUX3S6BSJMIK" localSheetId="10" hidden="1">#REF!</definedName>
    <definedName name="BExKQPLDXXZOE89AAUX3S6BSJMIK" hidden="1">#REF!</definedName>
    <definedName name="BExKQQ71278061G7ZFYGPWOMOMY2" hidden="1">'[16]Reco Sheet for Fcast'!$F$7:$G$7</definedName>
    <definedName name="BExKQTXRG3ECU8NT47UR7643LO5G" hidden="1">'[16]Reco Sheet for Fcast'!$F$7:$G$7</definedName>
    <definedName name="BExKQVL7HPOIZ4FHANDFMVOJLEPR" hidden="1">'[16]Reco Sheet for Fcast'!$F$10:$G$10</definedName>
    <definedName name="BExKR8RZSEHW184G0Z56B4EGNU72" hidden="1">'[16]Reco Sheet for Fcast'!$F$15:$G$26</definedName>
    <definedName name="BExKRCO7LYZM5H2ESGUGVF5TQICB" localSheetId="2" hidden="1">#REF!</definedName>
    <definedName name="BExKRCO7LYZM5H2ESGUGVF5TQICB" localSheetId="10" hidden="1">#REF!</definedName>
    <definedName name="BExKRCO7LYZM5H2ESGUGVF5TQICB" hidden="1">#REF!</definedName>
    <definedName name="BExKRKRIT575GO53KC15JKG2VLFG" hidden="1">'[18]Bud Mth'!$I$11:$J$11</definedName>
    <definedName name="BExKRVUSQ6PA7ZYQSTEQL3X7PB9P" hidden="1">'[16]Reco Sheet for Fcast'!$I$6:$J$6</definedName>
    <definedName name="BExKRY3KZ7F7RB2KH8HXSQ85IEQO" hidden="1">'[16]Reco Sheet for Fcast'!$I$9:$J$9</definedName>
    <definedName name="BExKSA37DZTCK6H13HPIKR0ZFVL8" hidden="1">'[16]Reco Sheet for Fcast'!$F$10:$G$10</definedName>
    <definedName name="BExKSFMOMSZYDE0WNC94F40S6636" hidden="1">'[16]Reco Sheet for Fcast'!$F$10:$G$10</definedName>
    <definedName name="BExKSHQ9K79S8KYUWIV5M5LAHHF1" hidden="1">'[16]Reco Sheet for Fcast'!$I$9:$J$9</definedName>
    <definedName name="BExKSJTWG9L3FCX8FLK4EMUJMF27" hidden="1">'[16]Reco Sheet for Fcast'!$F$7:$G$7</definedName>
    <definedName name="BExKSU0MKNAVZYYPKCYTZDWQX4R8" hidden="1">'[16]Reco Sheet for Fcast'!$F$15:$G$34</definedName>
    <definedName name="BExKSX60G1MUS689FXIGYP2F7C62" hidden="1">'[16]Reco Sheet for Fcast'!$I$10:$J$10</definedName>
    <definedName name="BExKT2UZ7Y2VWF5NQE18SJRLD2RN" hidden="1">'[16]Reco Sheet for Fcast'!$I$9:$J$9</definedName>
    <definedName name="BExKT3GJFNGAM09H5F615E36A38C" hidden="1">'[16]Reco Sheet for Fcast'!$I$11:$J$11</definedName>
    <definedName name="BExKTANIAETULCMHDF2ZODPC0VO9" localSheetId="2" hidden="1">'[19]Capital orders'!#REF!</definedName>
    <definedName name="BExKTANIAETULCMHDF2ZODPC0VO9" localSheetId="10" hidden="1">'[19]Capital orders'!#REF!</definedName>
    <definedName name="BExKTANIAETULCMHDF2ZODPC0VO9" hidden="1">'[19]Capital orders'!#REF!</definedName>
    <definedName name="BExKTQZGN8GI3XGSEXMPCCA3S19H" hidden="1">'[16]Reco Sheet for Fcast'!$F$9:$G$9</definedName>
    <definedName name="BExKTUKYYU0F6TUW1RXV24LRAZFE" hidden="1">'[16]Reco Sheet for Fcast'!$I$11:$J$11</definedName>
    <definedName name="BExKTZIWB189ZS2J613U4KZO1QG6" localSheetId="2" hidden="1">'[19]Capital orders'!#REF!</definedName>
    <definedName name="BExKTZIWB189ZS2J613U4KZO1QG6" localSheetId="10" hidden="1">'[19]Capital orders'!#REF!</definedName>
    <definedName name="BExKTZIWB189ZS2J613U4KZO1QG6" hidden="1">'[19]Capital orders'!#REF!</definedName>
    <definedName name="BExKU3FBLHQBIUTN6XEZW5GC9OG1" hidden="1">'[16]Reco Sheet for Fcast'!$F$7:$G$7</definedName>
    <definedName name="BExKU6PVEJJWP8VRA5YJY2K0HNEG" localSheetId="2" hidden="1">#REF!</definedName>
    <definedName name="BExKU6PVEJJWP8VRA5YJY2K0HNEG" localSheetId="10" hidden="1">#REF!</definedName>
    <definedName name="BExKU6PVEJJWP8VRA5YJY2K0HNEG" hidden="1">#REF!</definedName>
    <definedName name="BExKU82I99FEUIZLODXJDOJC96CQ" hidden="1">'[16]Reco Sheet for Fcast'!$F$10:$G$10</definedName>
    <definedName name="BExKUD0FMBF362EUFCQISBRY7WZ0" localSheetId="2" hidden="1">'[19]Capital orders'!#REF!</definedName>
    <definedName name="BExKUD0FMBF362EUFCQISBRY7WZ0" localSheetId="10" hidden="1">'[19]Capital orders'!#REF!</definedName>
    <definedName name="BExKUD0FMBF362EUFCQISBRY7WZ0" hidden="1">'[19]Capital orders'!#REF!</definedName>
    <definedName name="BExKUDM0DFSCM3D91SH0XLXJSL18" hidden="1">'[16]Reco Sheet for Fcast'!$G$2</definedName>
    <definedName name="BExKULEKJLA77AUQPDUHSM94Y76Z" hidden="1">'[16]Reco Sheet for Fcast'!$I$9:$J$9</definedName>
    <definedName name="BExKV08R85MKI3MAX9E2HERNQUNL" hidden="1">'[16]Reco Sheet for Fcast'!$H$2:$I$2</definedName>
    <definedName name="BExKV4AAUNNJL5JWD7PX6BFKVS6O" hidden="1">'[16]Reco Sheet for Fcast'!$F$8:$G$8</definedName>
    <definedName name="BExKVDVK6HN74GQPTXICP9BFC8CF" hidden="1">'[16]Reco Sheet for Fcast'!$I$10:$J$10</definedName>
    <definedName name="BExKVFDI6VT9LE5D9GFPZX51AC4I" hidden="1">'[16]Reco Sheet for Fcast'!$I$8:$J$8</definedName>
    <definedName name="BExKVFZ3ZZGIC1QI8XN6BYFWN0ZY" localSheetId="2" hidden="1">'[17]AMI P &amp; L'!#REF!</definedName>
    <definedName name="BExKVFZ3ZZGIC1QI8XN6BYFWN0ZY" localSheetId="10" hidden="1">'[17]AMI P &amp; L'!#REF!</definedName>
    <definedName name="BExKVFZ3ZZGIC1QI8XN6BYFWN0ZY" hidden="1">'[17]AMI P &amp; L'!#REF!</definedName>
    <definedName name="BExKVG4KGO28KPGTAFL1R8TTZ10N" hidden="1">'[16]Reco Sheet for Fcast'!$H$2:$I$2</definedName>
    <definedName name="BExKVZR7CUPJCB2M8WO0J2ESDEUX" hidden="1">'[18]Bud Mth'!$F$7:$G$7</definedName>
    <definedName name="BExKW0CSH7DA02YSNV64PSEIXB2P" hidden="1">'[16]Reco Sheet for Fcast'!$I$11:$J$11</definedName>
    <definedName name="BExKWG8MR20O13C3YSUIHBD2BWQ2" localSheetId="2" hidden="1">#REF!</definedName>
    <definedName name="BExKWG8MR20O13C3YSUIHBD2BWQ2" localSheetId="10" hidden="1">#REF!</definedName>
    <definedName name="BExKWG8MR20O13C3YSUIHBD2BWQ2" hidden="1">#REF!</definedName>
    <definedName name="BExM9NUG3Q31X01AI9ZJCZIX25CS" hidden="1">'[16]Reco Sheet for Fcast'!$F$10:$G$10</definedName>
    <definedName name="BExM9OG182RP30MY23PG49LVPZ1C" localSheetId="2" hidden="1">'[17]AMI P &amp; L'!#REF!</definedName>
    <definedName name="BExM9OG182RP30MY23PG49LVPZ1C" localSheetId="10" hidden="1">'[17]AMI P &amp; L'!#REF!</definedName>
    <definedName name="BExM9OG182RP30MY23PG49LVPZ1C" hidden="1">'[17]AMI P &amp; L'!#REF!</definedName>
    <definedName name="BExMA64MW1S18NH8DCKPCCEI5KCB" hidden="1">'[16]Reco Sheet for Fcast'!$F$9:$G$9</definedName>
    <definedName name="BExMALEWFUEM8Y686IT03ECURUBR" localSheetId="2" hidden="1">'[17]AMI P &amp; L'!#REF!</definedName>
    <definedName name="BExMALEWFUEM8Y686IT03ECURUBR" localSheetId="10" hidden="1">'[17]AMI P &amp; L'!#REF!</definedName>
    <definedName name="BExMALEWFUEM8Y686IT03ECURUBR" hidden="1">'[17]AMI P &amp; L'!#REF!</definedName>
    <definedName name="BExMAXJS82ZJ8RS22VLE0V0LDUII" hidden="1">'[16]Reco Sheet for Fcast'!$I$10:$J$10</definedName>
    <definedName name="BExMB4QRS0R3MTB4CMUHFZ84LNZQ" hidden="1">'[16]Reco Sheet for Fcast'!$F$15</definedName>
    <definedName name="BExMBC35WKQY5CWQJLV4D05O6971" hidden="1">'[16]Reco Sheet for Fcast'!$I$2</definedName>
    <definedName name="BExMBFTZV4Q1A5KG25C1N9PHQNSW" hidden="1">'[16]Reco Sheet for Fcast'!$F$15</definedName>
    <definedName name="BExMBK6ISK3U7KHZKUJXIDKGF6VW" hidden="1">'[16]Reco Sheet for Fcast'!$G$2</definedName>
    <definedName name="BExMBTBHSHFUHXZPKH8T1T26W5AQ" hidden="1">'[16]Reco Sheet for Fcast'!$C$15:$D$23</definedName>
    <definedName name="BExMBYPQDG9AYDQ5E8IECVFREPO6" localSheetId="2" hidden="1">'[17]AMI P &amp; L'!#REF!</definedName>
    <definedName name="BExMBYPQDG9AYDQ5E8IECVFREPO6" localSheetId="10" hidden="1">'[17]AMI P &amp; L'!#REF!</definedName>
    <definedName name="BExMBYPQDG9AYDQ5E8IECVFREPO6" hidden="1">'[17]AMI P &amp; L'!#REF!</definedName>
    <definedName name="BExMC7K41G5WMXC4OKZPL523IN5C" hidden="1">'[16]Reco Sheet for Fcast'!$I$10:$J$10</definedName>
    <definedName name="BExMC8AZUTX8LG89K2JJR7ZG62XX" hidden="1">'[16]Reco Sheet for Fcast'!$F$7:$G$7</definedName>
    <definedName name="BExMCA96YR10V72G2R0SCIKPZLIZ" localSheetId="2" hidden="1">'[17]AMI P &amp; L'!#REF!</definedName>
    <definedName name="BExMCA96YR10V72G2R0SCIKPZLIZ" localSheetId="10" hidden="1">'[17]AMI P &amp; L'!#REF!</definedName>
    <definedName name="BExMCA96YR10V72G2R0SCIKPZLIZ" hidden="1">'[17]AMI P &amp; L'!#REF!</definedName>
    <definedName name="BExMCB5JU5I2VQDUBS4O42BTEVKI" hidden="1">'[16]Reco Sheet for Fcast'!$H$2:$I$2</definedName>
    <definedName name="BExMCFSQFSEMPY5IXDIRKZDASDBR" localSheetId="2" hidden="1">'[17]AMI P &amp; L'!#REF!</definedName>
    <definedName name="BExMCFSQFSEMPY5IXDIRKZDASDBR" localSheetId="10" hidden="1">'[17]AMI P &amp; L'!#REF!</definedName>
    <definedName name="BExMCFSQFSEMPY5IXDIRKZDASDBR" hidden="1">'[17]AMI P &amp; L'!#REF!</definedName>
    <definedName name="BExMCI726Y7CQ98CFILJNB189OL7" localSheetId="2" hidden="1">#REF!</definedName>
    <definedName name="BExMCI726Y7CQ98CFILJNB189OL7" localSheetId="10" hidden="1">#REF!</definedName>
    <definedName name="BExMCI726Y7CQ98CFILJNB189OL7" hidden="1">#REF!</definedName>
    <definedName name="BExMCMZOEYWVOOJ98TBHTTCS7XB8" hidden="1">'[16]Reco Sheet for Fcast'!$F$7:$G$7</definedName>
    <definedName name="BExMCS8EF2W3FS9QADNKREYSI8P0" hidden="1">'[16]Reco Sheet for Fcast'!$I$8:$J$8</definedName>
    <definedName name="BExMCUS7GSOM96J0HJ7EH0FFM2AC" hidden="1">'[16]Reco Sheet for Fcast'!$F$6:$G$6</definedName>
    <definedName name="BExMCYTT6TVDWMJXO1NZANRTVNAN" hidden="1">'[16]Reco Sheet for Fcast'!$I$10:$J$10</definedName>
    <definedName name="BExMD3GYN2LDARCNPWPZAMRBJJI7" localSheetId="2" hidden="1">'[19]Capital orders'!#REF!</definedName>
    <definedName name="BExMD3GYN2LDARCNPWPZAMRBJJI7" localSheetId="10" hidden="1">'[19]Capital orders'!#REF!</definedName>
    <definedName name="BExMD3GYN2LDARCNPWPZAMRBJJI7" hidden="1">'[19]Capital orders'!#REF!</definedName>
    <definedName name="BExMD5F6IAV108XYJLXUO9HD0IT6" hidden="1">'[16]Reco Sheet for Fcast'!$F$10:$G$10</definedName>
    <definedName name="BExMDANV66W9T3XAXID40XFJ0J93" hidden="1">'[16]Reco Sheet for Fcast'!$F$6:$G$6</definedName>
    <definedName name="BExMDB9N9PYO86JHHFQP7ONO2P9B" localSheetId="2" hidden="1">#REF!</definedName>
    <definedName name="BExMDB9N9PYO86JHHFQP7ONO2P9B" localSheetId="10" hidden="1">#REF!</definedName>
    <definedName name="BExMDB9N9PYO86JHHFQP7ONO2P9B" hidden="1">#REF!</definedName>
    <definedName name="BExMDFWS9BJGE5SKB9YDJZR8AV48" hidden="1">'[16]Reco Sheet for Fcast'!$E$1</definedName>
    <definedName name="BExMDGD1KQP7NNR78X2ZX4FCBQ1S" localSheetId="2" hidden="1">'[17]AMI P &amp; L'!#REF!</definedName>
    <definedName name="BExMDGD1KQP7NNR78X2ZX4FCBQ1S" localSheetId="10" hidden="1">'[17]AMI P &amp; L'!#REF!</definedName>
    <definedName name="BExMDGD1KQP7NNR78X2ZX4FCBQ1S" hidden="1">'[17]AMI P &amp; L'!#REF!</definedName>
    <definedName name="BExMDIRDK0DI8P86HB7WPH8QWLSQ" hidden="1">'[16]Reco Sheet for Fcast'!$I$11:$J$11</definedName>
    <definedName name="BExMDJT3GXQN5F3BE6X3BGLJRVP6" localSheetId="2" hidden="1">#REF!</definedName>
    <definedName name="BExMDJT3GXQN5F3BE6X3BGLJRVP6" localSheetId="10" hidden="1">#REF!</definedName>
    <definedName name="BExMDJT3GXQN5F3BE6X3BGLJRVP6" hidden="1">#REF!</definedName>
    <definedName name="BExMDPI2FVMORSWDDCVAJ85WYAYO" hidden="1">'[16]Reco Sheet for Fcast'!$I$11:$J$11</definedName>
    <definedName name="BExMDUWB7VWHFFR266QXO46BNV2S" hidden="1">'[16]Reco Sheet for Fcast'!$F$11:$G$11</definedName>
    <definedName name="BExME2U47N8LZG0BPJ49ANY5QVV2" hidden="1">'[16]Reco Sheet for Fcast'!$F$15</definedName>
    <definedName name="BExME7165EDUSONBWV5AZ51HSY4H" localSheetId="2" hidden="1">#REF!</definedName>
    <definedName name="BExME7165EDUSONBWV5AZ51HSY4H" localSheetId="10" hidden="1">#REF!</definedName>
    <definedName name="BExME7165EDUSONBWV5AZ51HSY4H" hidden="1">#REF!</definedName>
    <definedName name="BExME88DH5DUKMUFI9FNVECXFD2E" hidden="1">'[16]Reco Sheet for Fcast'!$F$15:$G$16</definedName>
    <definedName name="BExME9A7MOGAK7YTTQYXP5DL6VYA" hidden="1">'[16]Reco Sheet for Fcast'!$F$9:$G$9</definedName>
    <definedName name="BExMEOV9YFRY5C3GDLU60GIX10BY" hidden="1">'[16]Reco Sheet for Fcast'!$I$7:$J$7</definedName>
    <definedName name="BExMEY09ESM4H2YGKEQQRYUD114R" hidden="1">'[16]Reco Sheet for Fcast'!$F$8:$G$8</definedName>
    <definedName name="BExMF4G4IUPQY1Y5GEY5N3E04CL6" hidden="1">'[16]Reco Sheet for Fcast'!$G$2</definedName>
    <definedName name="BExMF9UIGYMOAQK0ELUWP0S0HZZY" hidden="1">'[16]Reco Sheet for Fcast'!$F$9:$G$9</definedName>
    <definedName name="BExMFDLBSWFMRDYJ2DZETI3EXKN2" hidden="1">'[16]Reco Sheet for Fcast'!$F$11:$G$11</definedName>
    <definedName name="BExMFJFS7Y0MW1N26ORGBGS696R0" localSheetId="2" hidden="1">#REF!</definedName>
    <definedName name="BExMFJFS7Y0MW1N26ORGBGS696R0" localSheetId="10" hidden="1">#REF!</definedName>
    <definedName name="BExMFJFS7Y0MW1N26ORGBGS696R0" hidden="1">#REF!</definedName>
    <definedName name="BExMFLDTMRTCHKA37LQW67BG8D5C" hidden="1">'[16]Reco Sheet for Fcast'!$F$7:$G$7</definedName>
    <definedName name="BExMH0XGUY9O1W5KGWNFPGQRE7FI" hidden="1">'[16]Reco Sheet for Fcast'!$E$1</definedName>
    <definedName name="BExMH3H9TW5TJCNU5Z1EWXP3BAEP" hidden="1">'[16]Reco Sheet for Fcast'!$I$8:$J$8</definedName>
    <definedName name="BExMHFBDKU7SL1XYKYR6CGEO8CEL" localSheetId="2" hidden="1">#REF!</definedName>
    <definedName name="BExMHFBDKU7SL1XYKYR6CGEO8CEL" localSheetId="10" hidden="1">#REF!</definedName>
    <definedName name="BExMHFBDKU7SL1XYKYR6CGEO8CEL" hidden="1">#REF!</definedName>
    <definedName name="BExMHOWPB34KPZ76M2KIX2C9R2VB" localSheetId="2" hidden="1">'[17]AMI P &amp; L'!#REF!</definedName>
    <definedName name="BExMHOWPB34KPZ76M2KIX2C9R2VB" localSheetId="10" hidden="1">'[17]AMI P &amp; L'!#REF!</definedName>
    <definedName name="BExMHOWPB34KPZ76M2KIX2C9R2VB" hidden="1">'[17]AMI P &amp; L'!#REF!</definedName>
    <definedName name="BExMHSSYC6KVHA3QDTSYPN92TWMI" hidden="1">'[16]Reco Sheet for Fcast'!$F$6:$G$6</definedName>
    <definedName name="BExMI3AJ9477KDL4T9DHET4LJJTW" localSheetId="2" hidden="1">'[17]AMI P &amp; L'!#REF!</definedName>
    <definedName name="BExMI3AJ9477KDL4T9DHET4LJJTW" localSheetId="10" hidden="1">'[17]AMI P &amp; L'!#REF!</definedName>
    <definedName name="BExMI3AJ9477KDL4T9DHET4LJJTW" hidden="1">'[17]AMI P &amp; L'!#REF!</definedName>
    <definedName name="BExMI6QQ20XHD0NWJUN741B37182" hidden="1">'[16]Reco Sheet for Fcast'!$F$9:$G$9</definedName>
    <definedName name="BExMI8JB94SBD9EMNJEK7Y2T6GYU" hidden="1">'[16]Reco Sheet for Fcast'!$I$10:$J$10</definedName>
    <definedName name="BExMI8OS85YTW3KYVE4YD0R7Z6UV" hidden="1">'[16]Reco Sheet for Fcast'!$G$2</definedName>
    <definedName name="BExMIBOOZU40JS3F89OMPSRCE9MM" localSheetId="2" hidden="1">'[17]AMI P &amp; L'!#REF!</definedName>
    <definedName name="BExMIBOOZU40JS3F89OMPSRCE9MM" localSheetId="10" hidden="1">'[17]AMI P &amp; L'!#REF!</definedName>
    <definedName name="BExMIBOOZU40JS3F89OMPSRCE9MM" hidden="1">'[17]AMI P &amp; L'!#REF!</definedName>
    <definedName name="BExMIETWI175OVTQ66FIIUOEG2VO" localSheetId="2" hidden="1">#REF!</definedName>
    <definedName name="BExMIETWI175OVTQ66FIIUOEG2VO" localSheetId="10" hidden="1">#REF!</definedName>
    <definedName name="BExMIETWI175OVTQ66FIIUOEG2VO" hidden="1">#REF!</definedName>
    <definedName name="BExMIIQ5MBWSIHTFWAQADXMZC22Q" hidden="1">'[16]Reco Sheet for Fcast'!$I$10:$J$10</definedName>
    <definedName name="BExMIL4I2GE866I25CR5JBLJWJ6A" hidden="1">'[16]Reco Sheet for Fcast'!$G$2</definedName>
    <definedName name="BExMIRKIPF27SNO82SPFSB3T5U17" hidden="1">'[16]Reco Sheet for Fcast'!$G$2</definedName>
    <definedName name="BExMIV0KC8555D5E42ZGWG15Y0MO" localSheetId="2" hidden="1">'[17]AMI P &amp; L'!#REF!</definedName>
    <definedName name="BExMIV0KC8555D5E42ZGWG15Y0MO" localSheetId="10" hidden="1">'[17]AMI P &amp; L'!#REF!</definedName>
    <definedName name="BExMIV0KC8555D5E42ZGWG15Y0MO" hidden="1">'[17]AMI P &amp; L'!#REF!</definedName>
    <definedName name="BExMIZT6AN7E6YMW2S87CTCN2UXH" hidden="1">'[16]Reco Sheet for Fcast'!$F$10:$G$10</definedName>
    <definedName name="BExMJNC8ZFB9DRFOJ961ZAJ8U3A8" hidden="1">'[16]Reco Sheet for Fcast'!$G$2</definedName>
    <definedName name="BExMJTBV8A3D31W2IQHP9RDFPPHQ" hidden="1">'[16]Reco Sheet for Fcast'!$F$8:$G$8</definedName>
    <definedName name="BExMK2RTXN4QJWEUNX002XK8VQP8" hidden="1">'[16]Reco Sheet for Fcast'!$F$8:$G$8</definedName>
    <definedName name="BExMKBGQDUZ8AWXYHA3QVMSDVZ3D" hidden="1">'[16]Reco Sheet for Fcast'!$I$10:$J$10</definedName>
    <definedName name="BExMKBM1467553LDFZRRKVSHN374" hidden="1">'[16]Reco Sheet for Fcast'!$F$11:$G$11</definedName>
    <definedName name="BExMKGK5FJUC0AU8MABRGDC5ZM70" hidden="1">'[16]Reco Sheet for Fcast'!$F$11:$G$11</definedName>
    <definedName name="BExMKTW7R5SOV4PHAFGHU3W73DYE" hidden="1">'[16]Reco Sheet for Fcast'!$J$2:$K$2</definedName>
    <definedName name="BExMKU7051J2W1RQXGZGE62NBRUZ" hidden="1">'[16]Reco Sheet for Fcast'!$F$11:$G$11</definedName>
    <definedName name="BExMKUN3WPECJR2XRID2R7GZRGNX" localSheetId="2" hidden="1">'[17]AMI P &amp; L'!#REF!</definedName>
    <definedName name="BExMKUN3WPECJR2XRID2R7GZRGNX" localSheetId="10" hidden="1">'[17]AMI P &amp; L'!#REF!</definedName>
    <definedName name="BExMKUN3WPECJR2XRID2R7GZRGNX" hidden="1">'[17]AMI P &amp; L'!#REF!</definedName>
    <definedName name="BExMKZ535P011X4TNV16GCOH4H21" localSheetId="2" hidden="1">'[17]AMI P &amp; L'!#REF!</definedName>
    <definedName name="BExMKZ535P011X4TNV16GCOH4H21" localSheetId="10" hidden="1">'[17]AMI P &amp; L'!#REF!</definedName>
    <definedName name="BExMKZ535P011X4TNV16GCOH4H21" hidden="1">'[17]AMI P &amp; L'!#REF!</definedName>
    <definedName name="BExML3XQNDIMX55ZCHHXKUV3D6E6" hidden="1">'[16]Reco Sheet for Fcast'!$I$11:$J$11</definedName>
    <definedName name="BExML5QGSWHLI18BGY4CGOTD3UWH" hidden="1">'[16]Reco Sheet for Fcast'!$I$11:$J$11</definedName>
    <definedName name="BExMLKF1HGC9W2MK37E42OJJP44E" localSheetId="2" hidden="1">'[19]Capital orders'!#REF!</definedName>
    <definedName name="BExMLKF1HGC9W2MK37E42OJJP44E" localSheetId="10" hidden="1">'[19]Capital orders'!#REF!</definedName>
    <definedName name="BExMLKF1HGC9W2MK37E42OJJP44E" hidden="1">'[19]Capital orders'!#REF!</definedName>
    <definedName name="BExMLO5Z61RE85X8HHX2G4IU3AZW" hidden="1">'[16]Reco Sheet for Fcast'!$I$7:$J$7</definedName>
    <definedName name="BExMLVI7UORSHM9FMO8S2EI0TMTS" localSheetId="2" hidden="1">'[17]AMI P &amp; L'!#REF!</definedName>
    <definedName name="BExMLVI7UORSHM9FMO8S2EI0TMTS" localSheetId="10" hidden="1">'[17]AMI P &amp; L'!#REF!</definedName>
    <definedName name="BExMLVI7UORSHM9FMO8S2EI0TMTS" hidden="1">'[17]AMI P &amp; L'!#REF!</definedName>
    <definedName name="BExMM5UCOT2HSSN0ZIPZW55GSOVO" localSheetId="2" hidden="1">'[17]AMI P &amp; L'!#REF!</definedName>
    <definedName name="BExMM5UCOT2HSSN0ZIPZW55GSOVO" localSheetId="10" hidden="1">'[17]AMI P &amp; L'!#REF!</definedName>
    <definedName name="BExMM5UCOT2HSSN0ZIPZW55GSOVO" hidden="1">'[17]AMI P &amp; L'!#REF!</definedName>
    <definedName name="BExMM8ZRS5RQ8H1H55RVPVTDL5NL" hidden="1">'[16]Reco Sheet for Fcast'!$F$7:$G$7</definedName>
    <definedName name="BExMMH8EAZB09XXQ5X4LR0P4NHG9" hidden="1">'[16]Reco Sheet for Fcast'!$I$11:$J$11</definedName>
    <definedName name="BExMMIQH5BABNZVCIQ7TBCQ10AY5" hidden="1">'[16]Reco Sheet for Fcast'!$F$6:$G$6</definedName>
    <definedName name="BExMMNIZ2T7M22WECMUQXEF4NJ71" localSheetId="2" hidden="1">'[17]AMI P &amp; L'!#REF!</definedName>
    <definedName name="BExMMNIZ2T7M22WECMUQXEF4NJ71" localSheetId="10" hidden="1">'[17]AMI P &amp; L'!#REF!</definedName>
    <definedName name="BExMMNIZ2T7M22WECMUQXEF4NJ71" hidden="1">'[17]AMI P &amp; L'!#REF!</definedName>
    <definedName name="BExMMPMIOU7BURTV0L1K6ACW9X73" hidden="1">'[16]Reco Sheet for Fcast'!$G$2</definedName>
    <definedName name="BExMMQ835AJDHS4B419SS645P67Q" hidden="1">'[16]Reco Sheet for Fcast'!$F$7:$G$7</definedName>
    <definedName name="BExMMQIUVPCOBISTEJJYNCCLUCPY" hidden="1">'[16]Reco Sheet for Fcast'!$G$2:$H$2</definedName>
    <definedName name="BExMMTIXETA5VAKBSOFDD5SRU887" hidden="1">'[16]Reco Sheet for Fcast'!$F$11:$G$11</definedName>
    <definedName name="BExMMV0P6P5YS3C35G0JYYHI7992" hidden="1">'[16]Reco Sheet for Fcast'!$K$2</definedName>
    <definedName name="BExMNJLFWZBRN9PZF1IO9CYWV1B2" hidden="1">'[16]Reco Sheet for Fcast'!$F$9:$G$9</definedName>
    <definedName name="BExMNKCJ0FA57YEUUAJE43U1QN5P" hidden="1">'[16]Reco Sheet for Fcast'!$F$6:$G$6</definedName>
    <definedName name="BExMNKN5D1WEF2OOJVP6LZ6DLU3Y" hidden="1">'[16]Reco Sheet for Fcast'!$I$6:$J$6</definedName>
    <definedName name="BExMNQMYHO8P4UBDPYK2S8W4EQCA" localSheetId="2" hidden="1">#REF!</definedName>
    <definedName name="BExMNQMYHO8P4UBDPYK2S8W4EQCA" localSheetId="10" hidden="1">#REF!</definedName>
    <definedName name="BExMNQMYHO8P4UBDPYK2S8W4EQCA" hidden="1">#REF!</definedName>
    <definedName name="BExMNQXWSJGR1IZ33DHEA6H4C8X4" hidden="1">'[16]Reco Sheet for Fcast'!$I$10:$J$10</definedName>
    <definedName name="BExMNR38HMPLWAJRQ9MMS3ZAZ9IU" hidden="1">'[16]Reco Sheet for Fcast'!$F$9:$G$9</definedName>
    <definedName name="BExMNRDZULKJMVY2VKIIRM2M5A1M" hidden="1">'[16]Reco Sheet for Fcast'!$I$7:$J$7</definedName>
    <definedName name="BExMO9IOWKTWHO8LQJJQI5P3INWY" hidden="1">'[16]Reco Sheet for Fcast'!$F$6:$G$6</definedName>
    <definedName name="BExMOI29DOEK5R1A5QZPUDKF7N6T" hidden="1">'[16]Reco Sheet for Fcast'!$F$11:$G$11</definedName>
    <definedName name="BExMOUHYJ7S5Q4B9QB0G3KR526U3" localSheetId="2" hidden="1">#REF!</definedName>
    <definedName name="BExMOUHYJ7S5Q4B9QB0G3KR526U3" localSheetId="10" hidden="1">#REF!</definedName>
    <definedName name="BExMOUHYJ7S5Q4B9QB0G3KR526U3" hidden="1">#REF!</definedName>
    <definedName name="BExMPAJ5AJAXGKGK3F6H3ODS6RF4" hidden="1">'[16]Reco Sheet for Fcast'!$F$7:$G$7</definedName>
    <definedName name="BExMPD2X55FFBVJ6CBUKNPROIOEU" hidden="1">'[16]Reco Sheet for Fcast'!$F$7:$G$7</definedName>
    <definedName name="BExMPGZ848E38FUH1JBQN97DGWAT" hidden="1">'[16]Reco Sheet for Fcast'!$I$10:$J$10</definedName>
    <definedName name="BExMPMTICOSMQENOFKQ18K0ZT4S8" hidden="1">'[16]Reco Sheet for Fcast'!$I$10:$J$10</definedName>
    <definedName name="BExMPMZ07II0R4KGWQQ7PGS3RZS4" hidden="1">'[16]Reco Sheet for Fcast'!$F$9:$G$9</definedName>
    <definedName name="BExMPOBH04JMDO6Z8DMSEJZM4ANN" hidden="1">'[16]Reco Sheet for Fcast'!$F$15</definedName>
    <definedName name="BExMPSD77XQ3HA6A4FZOJK8G2JP3" localSheetId="2" hidden="1">'[17]AMI P &amp; L'!#REF!</definedName>
    <definedName name="BExMPSD77XQ3HA6A4FZOJK8G2JP3" localSheetId="10" hidden="1">'[17]AMI P &amp; L'!#REF!</definedName>
    <definedName name="BExMPSD77XQ3HA6A4FZOJK8G2JP3" hidden="1">'[17]AMI P &amp; L'!#REF!</definedName>
    <definedName name="BExMQ4I3Q7F0BMPHSFMFW9TZ87UD" hidden="1">'[16]Reco Sheet for Fcast'!$F$9:$G$9</definedName>
    <definedName name="BExMQ4SWDWI4N16AZ0T5CJ6HH8WC" hidden="1">'[16]Reco Sheet for Fcast'!$H$2:$I$2</definedName>
    <definedName name="BExMQ71WHW50GVX45JU951AGPLFQ" localSheetId="2" hidden="1">'[17]AMI P &amp; L'!#REF!</definedName>
    <definedName name="BExMQ71WHW50GVX45JU951AGPLFQ" localSheetId="10" hidden="1">'[17]AMI P &amp; L'!#REF!</definedName>
    <definedName name="BExMQ71WHW50GVX45JU951AGPLFQ" hidden="1">'[17]AMI P &amp; L'!#REF!</definedName>
    <definedName name="BExMQFLC51WC0ZQ3ISX3C0WWY8ON" localSheetId="2" hidden="1">#REF!</definedName>
    <definedName name="BExMQFLC51WC0ZQ3ISX3C0WWY8ON" localSheetId="10" hidden="1">#REF!</definedName>
    <definedName name="BExMQFLC51WC0ZQ3ISX3C0WWY8ON" hidden="1">#REF!</definedName>
    <definedName name="BExMQGXSLPT4A6N47LE6FBVHWBOF" hidden="1">'[16]Reco Sheet for Fcast'!$F$6:$G$6</definedName>
    <definedName name="BExMQSBR7PL4KLB1Q4961QO45Y4G" hidden="1">'[16]Reco Sheet for Fcast'!$F$10:$G$10</definedName>
    <definedName name="BExMR1MA4I1X77714ZEPUVC8W398" hidden="1">'[16]Reco Sheet for Fcast'!$F$9:$G$9</definedName>
    <definedName name="BExMR8YQHA7N77HGHY4Y6R30I3XT" hidden="1">'[16]Reco Sheet for Fcast'!$F$10:$G$10</definedName>
    <definedName name="BExMRENOIARWRYOIVPDIEBVNRDO7" hidden="1">'[16]Reco Sheet for Fcast'!$G$2</definedName>
    <definedName name="BExMRJGBMBQR02EUGWJB4OYWVQPC" hidden="1">'[16]Reco Sheet for Fcast'!$F$15:$AI$18</definedName>
    <definedName name="BExMRRJNUMGRSDD5GGKKGEIZ6FTS" hidden="1">'[16]Reco Sheet for Fcast'!$I$10:$J$10</definedName>
    <definedName name="BExMRU3ACIU0RD2BNWO55LH5U2BR" hidden="1">'[16]Reco Sheet for Fcast'!$F$15</definedName>
    <definedName name="BExMRYVXZYRCNM005S74K8KVJXSW" hidden="1">'[18]Bud Mth'!$F$8:$G$8</definedName>
    <definedName name="BExMSQRCC40AP8BDUPL2I2DNC210" hidden="1">'[16]Reco Sheet for Fcast'!$I$6:$J$6</definedName>
    <definedName name="BExMTLXHZ9H4QYDQ0VMHUXWSVD3Q" hidden="1">'[16]Reco Sheet for Fcast'!$F$10:$G$10</definedName>
    <definedName name="BExO4J9LR712G00TVA82VNTG8O7H" hidden="1">'[16]Reco Sheet for Fcast'!$F$10:$G$10</definedName>
    <definedName name="BExO55G2KVZ7MIJ30N827CLH0I2A" hidden="1">'[16]Reco Sheet for Fcast'!$F$8:$G$8</definedName>
    <definedName name="BExO5A8PZD9EUHC5CMPU6N3SQ15L" hidden="1">'[16]Reco Sheet for Fcast'!$I$7:$J$7</definedName>
    <definedName name="BExO5XMAHL7CY3X0B1OPKZ28DCJ5" hidden="1">'[16]Reco Sheet for Fcast'!$G$2</definedName>
    <definedName name="BExO66LZJKY4PTQVREELI6POS4AY" hidden="1">'[16]Reco Sheet for Fcast'!$H$2:$I$2</definedName>
    <definedName name="BExO6A7G3T6F15S63S1OQ24SFQJH" localSheetId="2" hidden="1">'[19]Capital orders'!#REF!</definedName>
    <definedName name="BExO6A7G3T6F15S63S1OQ24SFQJH" localSheetId="10" hidden="1">'[19]Capital orders'!#REF!</definedName>
    <definedName name="BExO6A7G3T6F15S63S1OQ24SFQJH" hidden="1">'[19]Capital orders'!#REF!</definedName>
    <definedName name="BExO6LLHCYTF7CIVHKAO0NMET14Q" hidden="1">'[16]Reco Sheet for Fcast'!$I$6:$J$6</definedName>
    <definedName name="BExO764GVLC6R6LREFVX7QYWT3RE" localSheetId="2" hidden="1">'[19]Capital orders'!#REF!</definedName>
    <definedName name="BExO764GVLC6R6LREFVX7QYWT3RE" localSheetId="10" hidden="1">'[19]Capital orders'!#REF!</definedName>
    <definedName name="BExO764GVLC6R6LREFVX7QYWT3RE" hidden="1">'[19]Capital orders'!#REF!</definedName>
    <definedName name="BExO7OUQS3XTUQ2LDKGQ8AAQ3OJJ" hidden="1">'[16]Reco Sheet for Fcast'!$F$6:$G$6</definedName>
    <definedName name="BExO85HMYXZJ7SONWBKKIAXMCI3C" hidden="1">'[16]Reco Sheet for Fcast'!$F$10:$G$10</definedName>
    <definedName name="BExO863922O4PBGQMUNEQKGN3K96" hidden="1">'[16]Reco Sheet for Fcast'!$F$7:$G$7</definedName>
    <definedName name="BExO89ZCBQDFNQMXBL81B6NYT5U3" localSheetId="2" hidden="1">#REF!</definedName>
    <definedName name="BExO89ZCBQDFNQMXBL81B6NYT5U3" localSheetId="10" hidden="1">#REF!</definedName>
    <definedName name="BExO89ZCBQDFNQMXBL81B6NYT5U3" hidden="1">#REF!</definedName>
    <definedName name="BExO89ZIOXN0HOKHY24F7HDZ87UT" hidden="1">'[16]Reco Sheet for Fcast'!$F$11:$G$11</definedName>
    <definedName name="BExO8A4S3VKZ6N6VX4CXOWCPKHWC" localSheetId="2" hidden="1">#REF!</definedName>
    <definedName name="BExO8A4S3VKZ6N6VX4CXOWCPKHWC" localSheetId="10" hidden="1">#REF!</definedName>
    <definedName name="BExO8A4S3VKZ6N6VX4CXOWCPKHWC" hidden="1">#REF!</definedName>
    <definedName name="BExO8CDTBCABLEUD6PE2UM2EZ6C4" hidden="1">'[16]Reco Sheet for Fcast'!$I$6:$J$6</definedName>
    <definedName name="BExO8UTAGQWDBQZEEF4HUNMLQCVU" hidden="1">'[16]Reco Sheet for Fcast'!$H$2:$I$2</definedName>
    <definedName name="BExO937E20IHMGQOZMECL3VZC7OX" hidden="1">'[16]Reco Sheet for Fcast'!$F$15</definedName>
    <definedName name="BExO94UTJKQQ7TJTTJRTSR70YVJC" hidden="1">'[16]Reco Sheet for Fcast'!$F$9:$G$9</definedName>
    <definedName name="BExO9I1E64ENA8Z42JI2J81DKZ8T" localSheetId="2" hidden="1">#REF!</definedName>
    <definedName name="BExO9I1E64ENA8Z42JI2J81DKZ8T" localSheetId="10" hidden="1">#REF!</definedName>
    <definedName name="BExO9I1E64ENA8Z42JI2J81DKZ8T" hidden="1">#REF!</definedName>
    <definedName name="BExO9J3A438976RXIUX5U9SU5T55" hidden="1">'[16]Reco Sheet for Fcast'!$K$2</definedName>
    <definedName name="BExO9RS5RXFJ1911HL3CCK6M74EP" hidden="1">'[16]Reco Sheet for Fcast'!$I$8:$J$8</definedName>
    <definedName name="BExO9SDRI1M6KMHXSG3AE5L0F2U3" hidden="1">'[16]Reco Sheet for Fcast'!$F$15</definedName>
    <definedName name="BExO9V2U2YXAY904GYYGU6TD8Y7M" hidden="1">'[16]Reco Sheet for Fcast'!$F$7:$G$7</definedName>
    <definedName name="BExOA3M8QPKLDQSMPYFUCAQJNK70" hidden="1">'[16]Reco Sheet for Fcast'!$F$7:$G$7</definedName>
    <definedName name="BExOAFR4YY8GPWAZ4GI5AYC2OHJ4" localSheetId="2" hidden="1">#REF!</definedName>
    <definedName name="BExOAFR4YY8GPWAZ4GI5AYC2OHJ4" localSheetId="10" hidden="1">#REF!</definedName>
    <definedName name="BExOAFR4YY8GPWAZ4GI5AYC2OHJ4" hidden="1">#REF!</definedName>
    <definedName name="BExOAQ3GKCT7YZW1EMVU3EILSZL2" hidden="1">'[16]Reco Sheet for Fcast'!$F$9:$G$9</definedName>
    <definedName name="BExOB9KT2THGV4SPLDVFTFXS4B14" hidden="1">'[16]Reco Sheet for Fcast'!$F$8:$G$8</definedName>
    <definedName name="BExOBARY8ORR3FTR16NG5BCOPOIX" localSheetId="2" hidden="1">#REF!</definedName>
    <definedName name="BExOBARY8ORR3FTR16NG5BCOPOIX" localSheetId="10" hidden="1">#REF!</definedName>
    <definedName name="BExOBARY8ORR3FTR16NG5BCOPOIX" hidden="1">#REF!</definedName>
    <definedName name="BExOBEZ0IE2WBEYY3D3CMRI72N1K" hidden="1">'[16]Reco Sheet for Fcast'!$F$15</definedName>
    <definedName name="BExOBIPU8760ITY0C8N27XZ3KWEF" hidden="1">'[16]Reco Sheet for Fcast'!$G$2</definedName>
    <definedName name="BExOBM0I5L0MZ1G4H9MGMD87SBMZ" hidden="1">'[16]Reco Sheet for Fcast'!$F$7:$G$7</definedName>
    <definedName name="BExOBOUXMP88KJY2BX2JLUJH5N0K" hidden="1">'[16]Reco Sheet for Fcast'!$F$6:$G$6</definedName>
    <definedName name="BExOBP0FKQ4SVR59FB48UNLKCOR6" localSheetId="2" hidden="1">'[17]AMI P &amp; L'!#REF!</definedName>
    <definedName name="BExOBP0FKQ4SVR59FB48UNLKCOR6" localSheetId="10" hidden="1">'[17]AMI P &amp; L'!#REF!</definedName>
    <definedName name="BExOBP0FKQ4SVR59FB48UNLKCOR6" hidden="1">'[17]AMI P &amp; L'!#REF!</definedName>
    <definedName name="BExOBYAVUCQ0IGM0Y6A75QHP0Q1A" hidden="1">'[16]Reco Sheet for Fcast'!$F$9:$G$9</definedName>
    <definedName name="BExOC1G3P4Z633NKFJLRITBBHVCY" localSheetId="2" hidden="1">#REF!</definedName>
    <definedName name="BExOC1G3P4Z633NKFJLRITBBHVCY" localSheetId="10" hidden="1">#REF!</definedName>
    <definedName name="BExOC1G3P4Z633NKFJLRITBBHVCY" hidden="1">#REF!</definedName>
    <definedName name="BExOC3UEHB1CZNINSQHZANWJYKR8" hidden="1">'[16]Reco Sheet for Fcast'!$I$9:$J$9</definedName>
    <definedName name="BExOCBSF3XGO9YJ23LX2H78VOUR7" hidden="1">'[16]Reco Sheet for Fcast'!$G$2</definedName>
    <definedName name="BExOCKXFMOW6WPFEVX1I7R7FNDSS" hidden="1">'[16]Reco Sheet for Fcast'!$I$9:$J$9</definedName>
    <definedName name="BExOCYEXOB95DH5NOB0M5NOYX398" hidden="1">'[16]Reco Sheet for Fcast'!$F$6:$G$6</definedName>
    <definedName name="BExOD4ERMDMFD8X1016N4EXOUR0S" hidden="1">'[16]Reco Sheet for Fcast'!$F$8:$G$8</definedName>
    <definedName name="BExOD55RS7BQUHRQ6H3USVGKR0P7" hidden="1">'[16]Reco Sheet for Fcast'!$H$2:$I$2</definedName>
    <definedName name="BExODEWDDEABM4ZY3XREJIBZ8IVP" hidden="1">'[16]Reco Sheet for Fcast'!$G$2</definedName>
    <definedName name="BExODZFEIWV26E8RFU7XQYX1J458" hidden="1">'[16]Reco Sheet for Fcast'!$F$11:$G$11</definedName>
    <definedName name="BExOEBKG55EROA2VL360A06LKASE" hidden="1">'[16]Reco Sheet for Fcast'!$F$11:$G$11</definedName>
    <definedName name="BExOERG5LWXYYEN1DY1H2FWRJS9T" hidden="1">'[16]Reco Sheet for Fcast'!$I$6:$J$6</definedName>
    <definedName name="BExOERR3JZBGPM0JUHNGZKIHF51J" localSheetId="2" hidden="1">#REF!</definedName>
    <definedName name="BExOERR3JZBGPM0JUHNGZKIHF51J" localSheetId="10" hidden="1">#REF!</definedName>
    <definedName name="BExOERR3JZBGPM0JUHNGZKIHF51J" hidden="1">#REF!</definedName>
    <definedName name="BExOEV1S6JJVO5PP4BZ20SNGZR7D" hidden="1">'[16]Reco Sheet for Fcast'!$I$7:$J$7</definedName>
    <definedName name="BExOF8J5ENHOI8E3NE2IDX8Q1PAA" localSheetId="2" hidden="1">'[19]Capital orders'!#REF!</definedName>
    <definedName name="BExOF8J5ENHOI8E3NE2IDX8Q1PAA" localSheetId="10" hidden="1">'[19]Capital orders'!#REF!</definedName>
    <definedName name="BExOF8J5ENHOI8E3NE2IDX8Q1PAA" hidden="1">'[19]Capital orders'!#REF!</definedName>
    <definedName name="BExOFEDNCYI2TPTMQ8SJN3AW4YMF" hidden="1">'[16]Reco Sheet for Fcast'!$F$9:$G$9</definedName>
    <definedName name="BExOFVLXVD6RVHSQO8KZOOACSV24" localSheetId="2" hidden="1">'[17]AMI P &amp; L'!#REF!</definedName>
    <definedName name="BExOFVLXVD6RVHSQO8KZOOACSV24" localSheetId="10" hidden="1">'[17]AMI P &amp; L'!#REF!</definedName>
    <definedName name="BExOFVLXVD6RVHSQO8KZOOACSV24" hidden="1">'[17]AMI P &amp; L'!#REF!</definedName>
    <definedName name="BExOFVWR29JOZ66F7LOP8BWQPXPI" localSheetId="2" hidden="1">#REF!</definedName>
    <definedName name="BExOFVWR29JOZ66F7LOP8BWQPXPI" localSheetId="10" hidden="1">#REF!</definedName>
    <definedName name="BExOFVWR29JOZ66F7LOP8BWQPXPI" hidden="1">#REF!</definedName>
    <definedName name="BExOG2SW3XOGP9VAPQ3THV3VWV12" hidden="1">'[16]Reco Sheet for Fcast'!$F$8:$G$8</definedName>
    <definedName name="BExOG45J81K4OPA40KW5VQU54KY3" hidden="1">'[16]Reco Sheet for Fcast'!$F$7:$G$7</definedName>
    <definedName name="BExOGFE2SCL8HHT4DFAXKLUTJZOG" hidden="1">'[16]Reco Sheet for Fcast'!$F$11:$G$11</definedName>
    <definedName name="BExOGR2VS4QGVJ34NR8UE7CLMPQ0" localSheetId="2" hidden="1">#REF!</definedName>
    <definedName name="BExOGR2VS4QGVJ34NR8UE7CLMPQ0" localSheetId="10" hidden="1">#REF!</definedName>
    <definedName name="BExOGR2VS4QGVJ34NR8UE7CLMPQ0" hidden="1">#REF!</definedName>
    <definedName name="BExOGT6D0LJ3C22RDW8COECKB1J5" hidden="1">'[16]Reco Sheet for Fcast'!$F$9:$G$9</definedName>
    <definedName name="BExOGTMI1HT31M1RGWVRAVHAK7DE" hidden="1">'[16]Reco Sheet for Fcast'!$F$7:$G$7</definedName>
    <definedName name="BExOGXO9JE5XSE9GC3I6O21UEKAO" hidden="1">'[16]Reco Sheet for Fcast'!$H$2:$I$2</definedName>
    <definedName name="BExOH9ICZ13C1LAW8OTYTR9S7ZP3" hidden="1">'[16]Reco Sheet for Fcast'!$F$9:$G$9</definedName>
    <definedName name="BExOHL75H3OT4WAKKPUXIVXWFVDS" hidden="1">'[16]Reco Sheet for Fcast'!$F$15</definedName>
    <definedName name="BExOHLHXXJL6363CC082M9M5VVXQ" hidden="1">'[16]Reco Sheet for Fcast'!$F$15:$J$123</definedName>
    <definedName name="BExOHNAO5UDXSO73BK2ARHWKS90Y" hidden="1">'[16]Reco Sheet for Fcast'!$F$6:$G$6</definedName>
    <definedName name="BExOHR1G1I9A9CI1HG94EWBLWNM2" hidden="1">'[16]Reco Sheet for Fcast'!$I$6:$J$6</definedName>
    <definedName name="BExOHTQPP8LQ98L6PYUI6QW08YID" hidden="1">'[16]Reco Sheet for Fcast'!$F$11:$G$11</definedName>
    <definedName name="BExOHX6Q6NJI793PGX59O5EKTP4G" hidden="1">'[16]Reco Sheet for Fcast'!$I$7:$J$7</definedName>
    <definedName name="BExOHY8LCO3ZHOEH1ZTL0MQTYQOL" localSheetId="2" hidden="1">'[19]Capital orders'!#REF!</definedName>
    <definedName name="BExOHY8LCO3ZHOEH1ZTL0MQTYQOL" localSheetId="10" hidden="1">'[19]Capital orders'!#REF!</definedName>
    <definedName name="BExOHY8LCO3ZHOEH1ZTL0MQTYQOL" hidden="1">'[19]Capital orders'!#REF!</definedName>
    <definedName name="BExOI5VMTHH7Y8MQQ1N635CHYI0P" hidden="1">'[16]Reco Sheet for Fcast'!$F$9:$G$9</definedName>
    <definedName name="BExOIEVCP4Y6VDS23AK84MCYYHRT" hidden="1">'[16]Reco Sheet for Fcast'!$F$7:$G$7</definedName>
    <definedName name="BExOIHPQIXR0NDR5WD01BZKPKEO3" hidden="1">'[16]Reco Sheet for Fcast'!$F$7:$G$7</definedName>
    <definedName name="BExOIM7L0Z3LSII9P7ZTV4KJ8RMA" hidden="1">'[16]Reco Sheet for Fcast'!$G$2</definedName>
    <definedName name="BExOIWJVMJ6MG6JC4SPD1L00OHU1" hidden="1">'[16]Reco Sheet for Fcast'!$F$10:$G$10</definedName>
    <definedName name="BExOIYCN8Z4JK3OOG86KYUCV0ME8" hidden="1">'[16]Reco Sheet for Fcast'!$I$9:$J$9</definedName>
    <definedName name="BExOJ3AKZ9BCBZT3KD8WMSLK6MN2" hidden="1">'[16]Reco Sheet for Fcast'!$F$8:$G$8</definedName>
    <definedName name="BExOJ7XQK71I4YZDD29AKOOWZ47E" hidden="1">'[16]Reco Sheet for Fcast'!$H$2:$I$2</definedName>
    <definedName name="BExOJM0W6XGSW5MXPTTX0GNF6SFT" hidden="1">'[16]Reco Sheet for Fcast'!$I$6:$J$6</definedName>
    <definedName name="BExOJXEUJJ9SYRJXKYYV2NCCDT2R" localSheetId="2" hidden="1">'[17]AMI P &amp; L'!#REF!</definedName>
    <definedName name="BExOJXEUJJ9SYRJXKYYV2NCCDT2R" localSheetId="10" hidden="1">'[17]AMI P &amp; L'!#REF!</definedName>
    <definedName name="BExOJXEUJJ9SYRJXKYYV2NCCDT2R" hidden="1">'[17]AMI P &amp; L'!#REF!</definedName>
    <definedName name="BExOK0EQYM9JUMAGWOUN7QDH7VMZ" localSheetId="2" hidden="1">'[17]AMI P &amp; L'!#REF!</definedName>
    <definedName name="BExOK0EQYM9JUMAGWOUN7QDH7VMZ" localSheetId="10" hidden="1">'[17]AMI P &amp; L'!#REF!</definedName>
    <definedName name="BExOK0EQYM9JUMAGWOUN7QDH7VMZ" hidden="1">'[17]AMI P &amp; L'!#REF!</definedName>
    <definedName name="BExOK10DPUX7E7X0CT199QVBODEW" localSheetId="2" hidden="1">#REF!</definedName>
    <definedName name="BExOK10DPUX7E7X0CT199QVBODEW" localSheetId="10" hidden="1">#REF!</definedName>
    <definedName name="BExOK10DPUX7E7X0CT199QVBODEW" hidden="1">#REF!</definedName>
    <definedName name="BExOK4WM9O7QNG6O57FOASI5QSN1" hidden="1">'[16]Reco Sheet for Fcast'!$F$8:$G$8</definedName>
    <definedName name="BExOK8SVNS9DXWU2QWBNB1YVNR7L" localSheetId="2" hidden="1">#REF!</definedName>
    <definedName name="BExOK8SVNS9DXWU2QWBNB1YVNR7L" localSheetId="10" hidden="1">#REF!</definedName>
    <definedName name="BExOK8SVNS9DXWU2QWBNB1YVNR7L" hidden="1">#REF!</definedName>
    <definedName name="BExOKTXMJP351VXKH8VT6SXUNIMF" hidden="1">'[16]Reco Sheet for Fcast'!$F$7:$G$7</definedName>
    <definedName name="BExOKU8GMLOCNVORDE329819XN67" hidden="1">'[16]Reco Sheet for Fcast'!$I$10:$J$10</definedName>
    <definedName name="BExOL0Z3Z7IAMHPB91EO2MF49U57" hidden="1">'[16]Reco Sheet for Fcast'!$F$8:$G$8</definedName>
    <definedName name="BExOL7KH12VAR0LG741SIOJTLWFD" hidden="1">'[16]Reco Sheet for Fcast'!$F$9:$G$9</definedName>
    <definedName name="BExOLICXFHJLILCJVFMJE5MGGWKR" localSheetId="2" hidden="1">'[17]AMI P &amp; L'!#REF!</definedName>
    <definedName name="BExOLICXFHJLILCJVFMJE5MGGWKR" localSheetId="10" hidden="1">'[17]AMI P &amp; L'!#REF!</definedName>
    <definedName name="BExOLICXFHJLILCJVFMJE5MGGWKR" hidden="1">'[17]AMI P &amp; L'!#REF!</definedName>
    <definedName name="BExOLMUQP54SNJ4377CSQ2W2VRVE" localSheetId="2" hidden="1">#REF!</definedName>
    <definedName name="BExOLMUQP54SNJ4377CSQ2W2VRVE" localSheetId="10" hidden="1">#REF!</definedName>
    <definedName name="BExOLMUQP54SNJ4377CSQ2W2VRVE" hidden="1">#REF!</definedName>
    <definedName name="BExOLOI0WJS3QC12I3ISL0D9AWOF" hidden="1">'[16]Reco Sheet for Fcast'!$I$10:$J$10</definedName>
    <definedName name="BExOLYZNG5RBD0BTS1OEZJNU92Q5" hidden="1">'[16]Reco Sheet for Fcast'!$F$9:$G$9</definedName>
    <definedName name="BExOM3HIJ3UZPOKJI68KPBJAHPDC" hidden="1">'[16]Reco Sheet for Fcast'!$F$7:$G$7</definedName>
    <definedName name="BExOMKPURE33YQ3K1JG9NVQD4W49" hidden="1">'[16]Reco Sheet for Fcast'!$I$8:$J$8</definedName>
    <definedName name="BExOMP7NGCLUNFK50QD2LPKRG078" hidden="1">'[16]Reco Sheet for Fcast'!$I$8:$J$8</definedName>
    <definedName name="BExOMU0A6XMY48SZRYL4WQZD13BI" localSheetId="2" hidden="1">'[17]AMI P &amp; L'!#REF!</definedName>
    <definedName name="BExOMU0A6XMY48SZRYL4WQZD13BI" localSheetId="10" hidden="1">'[17]AMI P &amp; L'!#REF!</definedName>
    <definedName name="BExOMU0A6XMY48SZRYL4WQZD13BI" hidden="1">'[17]AMI P &amp; L'!#REF!</definedName>
    <definedName name="BExOMVT0HSNC59DJP4CLISASGHKL" hidden="1">'[16]Reco Sheet for Fcast'!$I$7:$J$7</definedName>
    <definedName name="BExON0AX35F2SI0UCVMGWGVIUNI3" hidden="1">'[16]Reco Sheet for Fcast'!$I$11:$J$11</definedName>
    <definedName name="BExON41U4296DV3DPG6I5EF3OEYF" hidden="1">'[16]Reco Sheet for Fcast'!$F$9:$G$9</definedName>
    <definedName name="BExONB3A7CO4YD8RB41PHC93BQ9M" hidden="1">'[16]Reco Sheet for Fcast'!$F$15:$J$123</definedName>
    <definedName name="BExONFQH6UUXF8V0GI4BRIST9RFO" hidden="1">'[16]Reco Sheet for Fcast'!$F$6:$G$6</definedName>
    <definedName name="BExONH34JHZ9VP2WPUBTIVZOCPM6" hidden="1">'[18]Bud Mth'!$I$6:$J$6</definedName>
    <definedName name="BExONHU65LML12UB9EWV7FQBQBNE" localSheetId="2" hidden="1">'[19]Capital orders'!#REF!</definedName>
    <definedName name="BExONHU65LML12UB9EWV7FQBQBNE" localSheetId="10" hidden="1">'[19]Capital orders'!#REF!</definedName>
    <definedName name="BExONHU65LML12UB9EWV7FQBQBNE" hidden="1">'[19]Capital orders'!#REF!</definedName>
    <definedName name="BExONIL31DZWU7IFVN3VV0XTXJA1" hidden="1">'[16]Reco Sheet for Fcast'!$F$11:$G$11</definedName>
    <definedName name="BExONJ1BU17R0F5A2UP1UGJBOGKS" hidden="1">'[16]Reco Sheet for Fcast'!$F$9:$G$9</definedName>
    <definedName name="BExONNZ9VMHVX3J6NLNJY7KZA61O" hidden="1">'[16]Reco Sheet for Fcast'!$I$6:$J$6</definedName>
    <definedName name="BExONRQ1BAA4F3TXP2MYQ4YCZ09S" hidden="1">'[16]Reco Sheet for Fcast'!$I$7:$J$7</definedName>
    <definedName name="BExOO1WWIZSGB0YTGKESB45TSVMZ" hidden="1">'[16]Reco Sheet for Fcast'!$F$11:$G$11</definedName>
    <definedName name="BExOO4B8FPAFYPHCTYTX37P1TQM5" hidden="1">'[16]Reco Sheet for Fcast'!$I$11:$J$11</definedName>
    <definedName name="BExOOIULUDOJRMYABWV5CCL906X6" hidden="1">'[16]Reco Sheet for Fcast'!$I$9:$J$9</definedName>
    <definedName name="BExOOTN0KTXJCL7E476XBN1CJ553" hidden="1">'[16]Reco Sheet for Fcast'!$G$2</definedName>
    <definedName name="BExOOUOOR1038J07BOYJJU106NFS" hidden="1">'[16]Reco Sheet for Fcast'!$L$6:$M$10</definedName>
    <definedName name="BExOOUZHJUFHENA2ET6S02TMZRNP" localSheetId="2" hidden="1">#REF!</definedName>
    <definedName name="BExOOUZHJUFHENA2ET6S02TMZRNP" localSheetId="10" hidden="1">#REF!</definedName>
    <definedName name="BExOOUZHJUFHENA2ET6S02TMZRNP" hidden="1">#REF!</definedName>
    <definedName name="BExOP9DEBV5W5P4Q25J3XCJBP5S9" hidden="1">'[16]Reco Sheet for Fcast'!$I$11:$J$11</definedName>
    <definedName name="BExOPFNYRBL0BFM23LZBJTADNOE4" hidden="1">'[16]Reco Sheet for Fcast'!$F$15</definedName>
    <definedName name="BExOPINVFSIZMCVT9YGT2AODVCX3" hidden="1">'[16]Reco Sheet for Fcast'!$F$6:$G$6</definedName>
    <definedName name="BExOQ1JN4SAC44RTMZIGHSW023WA" hidden="1">'[16]Reco Sheet for Fcast'!$I$6:$J$6</definedName>
    <definedName name="BExOQ256YMF115DJL3KBPNKABJ90" hidden="1">'[16]Reco Sheet for Fcast'!$F$6:$G$6</definedName>
    <definedName name="BExOQ31LFF5V955K4N7NSFG61GNX" hidden="1">'[18]Bud Mth'!$I$7:$J$7</definedName>
    <definedName name="BExQ19DEUOLC11IW32E2AMVZLFF1" hidden="1">'[16]Reco Sheet for Fcast'!$H$2:$I$2</definedName>
    <definedName name="BExQ1SJXKHE45NHA4Y912ZWK0BVS" localSheetId="2" hidden="1">#REF!</definedName>
    <definedName name="BExQ1SJXKHE45NHA4Y912ZWK0BVS" localSheetId="10" hidden="1">#REF!</definedName>
    <definedName name="BExQ1SJXKHE45NHA4Y912ZWK0BVS" hidden="1">#REF!</definedName>
    <definedName name="BExQ1V922YTT0W39UMN4F4HNC5AS" localSheetId="2" hidden="1">'[19]Capital orders'!#REF!</definedName>
    <definedName name="BExQ1V922YTT0W39UMN4F4HNC5AS" localSheetId="10" hidden="1">'[19]Capital orders'!#REF!</definedName>
    <definedName name="BExQ1V922YTT0W39UMN4F4HNC5AS" hidden="1">'[19]Capital orders'!#REF!</definedName>
    <definedName name="BExQ1WG83K960T15H8A2VLMPXVU0" hidden="1">'[18]Bud Mth'!$G$2:$H$2</definedName>
    <definedName name="BExQ29C73XR33S3668YYSYZAIHTG" hidden="1">'[16]Reco Sheet for Fcast'!$I$11:$J$11</definedName>
    <definedName name="BExQ2FS228IUDUP2023RA1D4AO4C" hidden="1">'[16]Reco Sheet for Fcast'!$F$11:$G$11</definedName>
    <definedName name="BExQ2L0XYWLY9VPZWXYYFRIRQRJ1" hidden="1">'[16]Reco Sheet for Fcast'!$F$7:$G$7</definedName>
    <definedName name="BExQ2M841F5Z1BQYR8DG5FKK0LIU" localSheetId="2" hidden="1">'[17]AMI P &amp; L'!#REF!</definedName>
    <definedName name="BExQ2M841F5Z1BQYR8DG5FKK0LIU" localSheetId="10" hidden="1">'[17]AMI P &amp; L'!#REF!</definedName>
    <definedName name="BExQ2M841F5Z1BQYR8DG5FKK0LIU" hidden="1">'[17]AMI P &amp; L'!#REF!</definedName>
    <definedName name="BExQ300G8I8TK45A0MVHV15422EU" localSheetId="2" hidden="1">'[17]AMI P &amp; L'!#REF!</definedName>
    <definedName name="BExQ300G8I8TK45A0MVHV15422EU" localSheetId="10" hidden="1">'[17]AMI P &amp; L'!#REF!</definedName>
    <definedName name="BExQ300G8I8TK45A0MVHV15422EU" hidden="1">'[17]AMI P &amp; L'!#REF!</definedName>
    <definedName name="BExQ38JVNZHQEVM20T8PEG1GP01R" localSheetId="2" hidden="1">#REF!</definedName>
    <definedName name="BExQ38JVNZHQEVM20T8PEG1GP01R" localSheetId="10" hidden="1">#REF!</definedName>
    <definedName name="BExQ38JVNZHQEVM20T8PEG1GP01R" hidden="1">#REF!</definedName>
    <definedName name="BExQ39R28MXSG2SEV956F0KZ20AN" localSheetId="2" hidden="1">'[17]AMI P &amp; L'!#REF!</definedName>
    <definedName name="BExQ39R28MXSG2SEV956F0KZ20AN" localSheetId="10" hidden="1">'[17]AMI P &amp; L'!#REF!</definedName>
    <definedName name="BExQ39R28MXSG2SEV956F0KZ20AN" hidden="1">'[17]AMI P &amp; L'!#REF!</definedName>
    <definedName name="BExQ3D1P3M5Z3HLMEZ17E0BLEE4U" localSheetId="2" hidden="1">'[17]AMI P &amp; L'!#REF!</definedName>
    <definedName name="BExQ3D1P3M5Z3HLMEZ17E0BLEE4U" localSheetId="10" hidden="1">'[17]AMI P &amp; L'!#REF!</definedName>
    <definedName name="BExQ3D1P3M5Z3HLMEZ17E0BLEE4U" hidden="1">'[17]AMI P &amp; L'!#REF!</definedName>
    <definedName name="BExQ3O4W7QF8BOXTUT4IOGF6YKUD" hidden="1">'[16]Reco Sheet for Fcast'!$G$2</definedName>
    <definedName name="BExQ3PXOWSN8561ZR8IEY8ZASI3B" hidden="1">'[16]Reco Sheet for Fcast'!$I$8:$J$8</definedName>
    <definedName name="BExQ3TZF04IPY0B0UG9CQQ5736UA" hidden="1">'[16]Reco Sheet for Fcast'!$F$8:$G$8</definedName>
    <definedName name="BExQ42IU9MNDYLODP41DL6YTZMAR" localSheetId="2" hidden="1">'[17]AMI P &amp; L'!#REF!</definedName>
    <definedName name="BExQ42IU9MNDYLODP41DL6YTZMAR" localSheetId="10" hidden="1">'[17]AMI P &amp; L'!#REF!</definedName>
    <definedName name="BExQ42IU9MNDYLODP41DL6YTZMAR" hidden="1">'[17]AMI P &amp; L'!#REF!</definedName>
    <definedName name="BExQ452HF7N1HYPXJXQ8WD6SOWUV" hidden="1">'[16]Reco Sheet for Fcast'!$I$6:$J$6</definedName>
    <definedName name="BExQ4BTBSHPHVEDRCXC2ROW8PLFC" hidden="1">'[16]Reco Sheet for Fcast'!$F$6:$G$6</definedName>
    <definedName name="BExQ4DGKF54SRKQUTUT4B1CZSS62" hidden="1">'[16]Reco Sheet for Fcast'!$I$7:$J$7</definedName>
    <definedName name="BExQ4M04XQFHM953TPL217CAK4ZP" hidden="1">'[16]Reco Sheet for Fcast'!$F$7:$G$7</definedName>
    <definedName name="BExQ4T74LQ5PYTV1MUQUW75A4BDY" hidden="1">'[16]Reco Sheet for Fcast'!$I$11:$J$11</definedName>
    <definedName name="BExQ4XJHD7EJCNH7S1MJDZJ2MNWG" hidden="1">'[16]Reco Sheet for Fcast'!$I$10:$J$10</definedName>
    <definedName name="BExQ5039ZCEWBUJHU682G4S89J03" hidden="1">'[16]Reco Sheet for Fcast'!$F$6:$G$6</definedName>
    <definedName name="BExQ56Z9W6YHZHRXOFFI8EFA7CDI" hidden="1">'[16]Reco Sheet for Fcast'!$H$2:$I$2</definedName>
    <definedName name="BExQ5ITIC66SDM614FOSP325TOY5" localSheetId="2" hidden="1">#REF!</definedName>
    <definedName name="BExQ5ITIC66SDM614FOSP325TOY5" localSheetId="10" hidden="1">#REF!</definedName>
    <definedName name="BExQ5ITIC66SDM614FOSP325TOY5" hidden="1">#REF!</definedName>
    <definedName name="BExQ5KX3Z668H1KUCKZ9J24HUQ1F" hidden="1">'[16]Reco Sheet for Fcast'!$F$7:$G$7</definedName>
    <definedName name="BExQ5SPLEYLGXSVLD9HO5BKQXKIP" localSheetId="2" hidden="1">#REF!</definedName>
    <definedName name="BExQ5SPLEYLGXSVLD9HO5BKQXKIP" localSheetId="10" hidden="1">#REF!</definedName>
    <definedName name="BExQ5SPLEYLGXSVLD9HO5BKQXKIP" hidden="1">#REF!</definedName>
    <definedName name="BExQ5SPMSOCJYLAY20NB5A6O32RE" hidden="1">'[16]Reco Sheet for Fcast'!$F$15</definedName>
    <definedName name="BExQ5UICMGTMK790KTLK49MAGXRC" hidden="1">'[16]Reco Sheet for Fcast'!$F$6:$G$6</definedName>
    <definedName name="BExQ5YUUK9FD0QGTY4WD0W90O7OL" hidden="1">'[16]Reco Sheet for Fcast'!$F$8:$G$8</definedName>
    <definedName name="BExQ63793YQ9BH7JLCNRIATIGTRG" localSheetId="2" hidden="1">'[17]AMI P &amp; L'!#REF!</definedName>
    <definedName name="BExQ63793YQ9BH7JLCNRIATIGTRG" localSheetId="10" hidden="1">'[17]AMI P &amp; L'!#REF!</definedName>
    <definedName name="BExQ63793YQ9BH7JLCNRIATIGTRG" hidden="1">'[17]AMI P &amp; L'!#REF!</definedName>
    <definedName name="BExQ6CN1EF2UPZ57ZYMGK8TUJQSS" hidden="1">'[16]Reco Sheet for Fcast'!$I$9:$J$9</definedName>
    <definedName name="BExQ6M2YXJ8AMRJF3QGHC40ADAHZ" hidden="1">'[16]Reco Sheet for Fcast'!$I$6:$J$6</definedName>
    <definedName name="BExQ6M8B0X44N9TV56ATUVHGDI00" hidden="1">'[16]Reco Sheet for Fcast'!$F$15:$J$123</definedName>
    <definedName name="BExQ6POH065GV0I74XXVD0VUPBJW" hidden="1">'[16]Reco Sheet for Fcast'!$F$10:$G$10</definedName>
    <definedName name="BExQ6WV9KPSMXPPLGZ3KK4WNYTHU" hidden="1">'[16]Reco Sheet for Fcast'!$G$2</definedName>
    <definedName name="BExQ6XRSPHARKJTKTB0NOV3SBZIW" hidden="1">'[16]Reco Sheet for Fcast'!$I$9:$J$9</definedName>
    <definedName name="BExQ783XTMM2A9I3UKCFWJH1PP2N" hidden="1">'[16]Reco Sheet for Fcast'!$F$11:$G$11</definedName>
    <definedName name="BExQ79LX01ZPQB8EGD1ZHR2VK2H3" hidden="1">'[16]Reco Sheet for Fcast'!$I$10:$J$10</definedName>
    <definedName name="BExQ7ANJWDL69ZUG3AW5S2HJL4GL" localSheetId="2" hidden="1">#REF!</definedName>
    <definedName name="BExQ7ANJWDL69ZUG3AW5S2HJL4GL" localSheetId="10" hidden="1">#REF!</definedName>
    <definedName name="BExQ7ANJWDL69ZUG3AW5S2HJL4GL" hidden="1">#REF!</definedName>
    <definedName name="BExQ7B3V9MGDK2OIJ61XXFBFLJFZ" hidden="1">'[16]Reco Sheet for Fcast'!$F$7:$G$7</definedName>
    <definedName name="BExQ7CB046NVPF9ZXDGA7OXOLSLX" hidden="1">'[16]Reco Sheet for Fcast'!$F$6:$G$6</definedName>
    <definedName name="BExQ7IWDCGGOO1HTJ97YGO1CK3R9" hidden="1">'[16]Reco Sheet for Fcast'!$I$7:$J$7</definedName>
    <definedName name="BExQ7JNFIEGS2HKNBALH3Q2N5G7Z" hidden="1">'[16]Reco Sheet for Fcast'!$I$8:$J$8</definedName>
    <definedName name="BExQ7MY3U2Z1IZ71U5LJUD00VVB4" localSheetId="2" hidden="1">'[17]AMI P &amp; L'!#REF!</definedName>
    <definedName name="BExQ7MY3U2Z1IZ71U5LJUD00VVB4" localSheetId="10" hidden="1">'[17]AMI P &amp; L'!#REF!</definedName>
    <definedName name="BExQ7MY3U2Z1IZ71U5LJUD00VVB4" hidden="1">'[17]AMI P &amp; L'!#REF!</definedName>
    <definedName name="BExQ7XL2Q1GVUFL1F9KK0K0EXMWG" localSheetId="2" hidden="1">'[17]AMI P &amp; L'!#REF!</definedName>
    <definedName name="BExQ7XL2Q1GVUFL1F9KK0K0EXMWG" localSheetId="10" hidden="1">'[17]AMI P &amp; L'!#REF!</definedName>
    <definedName name="BExQ7XL2Q1GVUFL1F9KK0K0EXMWG" hidden="1">'[17]AMI P &amp; L'!#REF!</definedName>
    <definedName name="BExQ8469L3ZRZ3KYZPYMSJIDL7Y5" hidden="1">'[16]Reco Sheet for Fcast'!$I$6:$J$6</definedName>
    <definedName name="BExQ84MJB94HL3BWRN50M4NCB6Z0" hidden="1">'[16]Reco Sheet for Fcast'!$F$15</definedName>
    <definedName name="BExQ8583ZE00NW7T9OF11OT9IA14" hidden="1">'[16]Reco Sheet for Fcast'!$F$15</definedName>
    <definedName name="BExQ89PYX7QKH887T258CNA7DPDG" localSheetId="2" hidden="1">'[19]Capital orders'!#REF!</definedName>
    <definedName name="BExQ89PYX7QKH887T258CNA7DPDG" localSheetId="10" hidden="1">'[19]Capital orders'!#REF!</definedName>
    <definedName name="BExQ89PYX7QKH887T258CNA7DPDG" hidden="1">'[19]Capital orders'!#REF!</definedName>
    <definedName name="BExQ8A0RPE3IMIFIZLUE7KD2N21W" localSheetId="2" hidden="1">'[17]AMI P &amp; L'!#REF!</definedName>
    <definedName name="BExQ8A0RPE3IMIFIZLUE7KD2N21W" localSheetId="10" hidden="1">'[17]AMI P &amp; L'!#REF!</definedName>
    <definedName name="BExQ8A0RPE3IMIFIZLUE7KD2N21W" hidden="1">'[17]AMI P &amp; L'!#REF!</definedName>
    <definedName name="BExQ8ABK6H1ADV2R2OYT8NFFYG2N" hidden="1">'[16]Reco Sheet for Fcast'!$H$2:$I$2</definedName>
    <definedName name="BExQ8B2GTATY2SYZWYQKTTDGONE4" localSheetId="2" hidden="1">#REF!</definedName>
    <definedName name="BExQ8B2GTATY2SYZWYQKTTDGONE4" localSheetId="10" hidden="1">#REF!</definedName>
    <definedName name="BExQ8B2GTATY2SYZWYQKTTDGONE4" hidden="1">#REF!</definedName>
    <definedName name="BExQ8DM90XJ6GCJIK9LC5O82I2TJ" hidden="1">'[16]Reco Sheet for Fcast'!$F$15</definedName>
    <definedName name="BExQ8G0K46ZORA0QVQTDI7Z8LXGF" hidden="1">'[16]Reco Sheet for Fcast'!$I$7:$J$7</definedName>
    <definedName name="BExQ8O3WEU8HNTTGKTW5T0QSKCLP" localSheetId="2" hidden="1">'[17]AMI P &amp; L'!#REF!</definedName>
    <definedName name="BExQ8O3WEU8HNTTGKTW5T0QSKCLP" localSheetId="10" hidden="1">'[17]AMI P &amp; L'!#REF!</definedName>
    <definedName name="BExQ8O3WEU8HNTTGKTW5T0QSKCLP" hidden="1">'[17]AMI P &amp; L'!#REF!</definedName>
    <definedName name="BExQ8ZCEDBOBJA3D9LDP5TU2WYGR" hidden="1">'[16]Reco Sheet for Fcast'!$H$2:$I$2</definedName>
    <definedName name="BExQ94LAW6MAQBWY25WTBFV5PPZJ" hidden="1">'[16]Reco Sheet for Fcast'!$H$2:$I$2</definedName>
    <definedName name="BExQ97QIPOSSRK978N8P234Y1XA4" hidden="1">'[16]Reco Sheet for Fcast'!$G$2</definedName>
    <definedName name="BExQ9E6FBAXTHGF3RXANFIA77GXP" hidden="1">'[16]Reco Sheet for Fcast'!$G$2</definedName>
    <definedName name="BExQ9KX9734KIAK7IMRLHCPYDHO2" hidden="1">'[16]Reco Sheet for Fcast'!$F$10:$G$10</definedName>
    <definedName name="BExQ9L81FF4I7816VTPFBDWVU4CW" hidden="1">'[16]Reco Sheet for Fcast'!$I$9:$J$9</definedName>
    <definedName name="BExQ9M4E2ACZOWWWP1JJIQO8AHUM" localSheetId="2" hidden="1">'[17]AMI P &amp; L'!#REF!</definedName>
    <definedName name="BExQ9M4E2ACZOWWWP1JJIQO8AHUM" localSheetId="10" hidden="1">'[17]AMI P &amp; L'!#REF!</definedName>
    <definedName name="BExQ9M4E2ACZOWWWP1JJIQO8AHUM" hidden="1">'[17]AMI P &amp; L'!#REF!</definedName>
    <definedName name="BExQ9UTANMJCK7LJ4OQMD6F2Q01L" hidden="1">'[16]Reco Sheet for Fcast'!$H$2:$I$2</definedName>
    <definedName name="BExQ9ZLYHWABXAA9NJDW8ZS0UQ9P" localSheetId="2" hidden="1">'[17]AMI P &amp; L'!#REF!</definedName>
    <definedName name="BExQ9ZLYHWABXAA9NJDW8ZS0UQ9P" localSheetId="10" hidden="1">'[17]AMI P &amp; L'!#REF!</definedName>
    <definedName name="BExQ9ZLYHWABXAA9NJDW8ZS0UQ9P" hidden="1">'[17]AMI P &amp; L'!#REF!</definedName>
    <definedName name="BExQA324HSCK40ENJUT9CS9EC71B" localSheetId="2" hidden="1">'[17]AMI P &amp; L'!#REF!</definedName>
    <definedName name="BExQA324HSCK40ENJUT9CS9EC71B" localSheetId="10" hidden="1">'[17]AMI P &amp; L'!#REF!</definedName>
    <definedName name="BExQA324HSCK40ENJUT9CS9EC71B" hidden="1">'[17]AMI P &amp; L'!#REF!</definedName>
    <definedName name="BExQA55GY0STSNBWQCWN8E31ZXCS" hidden="1">'[16]Reco Sheet for Fcast'!$I$6:$J$6</definedName>
    <definedName name="BExQA9HZIN9XEMHEEVHT99UU9Z82" hidden="1">'[16]Reco Sheet for Fcast'!$I$10:$J$10</definedName>
    <definedName name="BExQAELFYH92K8CJL155181UDORO" hidden="1">'[16]Reco Sheet for Fcast'!$H$2:$I$2</definedName>
    <definedName name="BExQAG8PP8R5NJKNQD1U4QOSD6X5" hidden="1">'[16]Reco Sheet for Fcast'!$F$15</definedName>
    <definedName name="BExQBC0EAV6PKQT8I8C3GLEZDMZL" localSheetId="2" hidden="1">#REF!</definedName>
    <definedName name="BExQBC0EAV6PKQT8I8C3GLEZDMZL" localSheetId="10" hidden="1">#REF!</definedName>
    <definedName name="BExQBC0EAV6PKQT8I8C3GLEZDMZL" hidden="1">#REF!</definedName>
    <definedName name="BExQBDICMZTSA1X73TMHNO4JSFLN" hidden="1">'[16]Reco Sheet for Fcast'!$K$2</definedName>
    <definedName name="BExQBEER6CRCRPSSL61S0OMH57ZA" hidden="1">'[16]Reco Sheet for Fcast'!$F$11:$G$11</definedName>
    <definedName name="BExQBIGGY5TXI2FJVVZSLZ0LTZYH" hidden="1">'[16]Reco Sheet for Fcast'!$I$10:$J$10</definedName>
    <definedName name="BExQBM1RUSIQ85LLMM2159BYDPIP" hidden="1">'[16]Reco Sheet for Fcast'!$I$7:$J$7</definedName>
    <definedName name="BExQBPSOZ47V81YAEURP0NQJNTJH" hidden="1">'[16]Reco Sheet for Fcast'!$F$9:$G$9</definedName>
    <definedName name="BExQC5TWT21CGBKD0IHAXTIN2QB8" hidden="1">'[16]Reco Sheet for Fcast'!$I$8:$J$8</definedName>
    <definedName name="BExQC94JL9F5GW4S8DQCAF4WB2DA" hidden="1">'[16]Reco Sheet for Fcast'!$F$10:$G$10</definedName>
    <definedName name="BExQCKTD8AT0824LGWREXM1B5D1X" hidden="1">'[16]Reco Sheet for Fcast'!$I$7:$J$7</definedName>
    <definedName name="BExQCP0EE3PKTDKVOL04IOBUGZ6F" hidden="1">'[16]Reco Sheet for Fcast'!$I$11:$J$11</definedName>
    <definedName name="BExQD3ZVGTFSCD9MSWY8NN45FLM3" localSheetId="2" hidden="1">#REF!</definedName>
    <definedName name="BExQD3ZVGTFSCD9MSWY8NN45FLM3" localSheetId="10" hidden="1">#REF!</definedName>
    <definedName name="BExQD3ZVGTFSCD9MSWY8NN45FLM3" hidden="1">#REF!</definedName>
    <definedName name="BExQD571YWOXKR2SX85K5MKQ0AO2" hidden="1">'[16]Reco Sheet for Fcast'!$F$7:$G$7</definedName>
    <definedName name="BExQD7AKUWKH58PNJCJZNN1COR9E" localSheetId="2" hidden="1">#REF!</definedName>
    <definedName name="BExQD7AKUWKH58PNJCJZNN1COR9E" localSheetId="10" hidden="1">#REF!</definedName>
    <definedName name="BExQD7AKUWKH58PNJCJZNN1COR9E" hidden="1">#REF!</definedName>
    <definedName name="BExQDB6VCHN8PNX8EA6JNIEQ2JC2" hidden="1">'[16]Reco Sheet for Fcast'!$G$2</definedName>
    <definedName name="BExQDE1B6U2Q9B73KBENABP71YM1" localSheetId="2" hidden="1">'[17]AMI P &amp; L'!#REF!</definedName>
    <definedName name="BExQDE1B6U2Q9B73KBENABP71YM1" localSheetId="10" hidden="1">'[17]AMI P &amp; L'!#REF!</definedName>
    <definedName name="BExQDE1B6U2Q9B73KBENABP71YM1" hidden="1">'[17]AMI P &amp; L'!#REF!</definedName>
    <definedName name="BExQDGQCN7ZW41QDUHOBJUGQAX40" hidden="1">'[16]Reco Sheet for Fcast'!$I$8:$J$8</definedName>
    <definedName name="BExQE32AI2WOKFCB98XJZ6D7SAOF" localSheetId="2" hidden="1">'[19]Capital orders'!#REF!</definedName>
    <definedName name="BExQE32AI2WOKFCB98XJZ6D7SAOF" localSheetId="10" hidden="1">'[19]Capital orders'!#REF!</definedName>
    <definedName name="BExQE32AI2WOKFCB98XJZ6D7SAOF" hidden="1">'[19]Capital orders'!#REF!</definedName>
    <definedName name="BExQEK54SZATP11ZZ75GH6P9GFQ3" localSheetId="2" hidden="1">'[19]Capital orders'!#REF!</definedName>
    <definedName name="BExQEK54SZATP11ZZ75GH6P9GFQ3" localSheetId="10" hidden="1">'[19]Capital orders'!#REF!</definedName>
    <definedName name="BExQEK54SZATP11ZZ75GH6P9GFQ3" hidden="1">'[19]Capital orders'!#REF!</definedName>
    <definedName name="BExQEMUA4HEFM4OVO8M8MA8PIAW1" localSheetId="2" hidden="1">'[17]AMI P &amp; L'!#REF!</definedName>
    <definedName name="BExQEMUA4HEFM4OVO8M8MA8PIAW1" localSheetId="10" hidden="1">'[17]AMI P &amp; L'!#REF!</definedName>
    <definedName name="BExQEMUA4HEFM4OVO8M8MA8PIAW1" hidden="1">'[17]AMI P &amp; L'!#REF!</definedName>
    <definedName name="BExQEQ4XZQFIKUXNU9H7WE7AMZ1U" hidden="1">'[16]Reco Sheet for Fcast'!$I$6:$J$6</definedName>
    <definedName name="BExQF1OEB07CRAP6ALNNMJNJ3P2D" hidden="1">'[16]Reco Sheet for Fcast'!$F$8:$G$8</definedName>
    <definedName name="BExQF54F62R5B3N9BG47XYK8T6XS" localSheetId="2" hidden="1">#REF!</definedName>
    <definedName name="BExQF54F62R5B3N9BG47XYK8T6XS" localSheetId="10" hidden="1">#REF!</definedName>
    <definedName name="BExQF54F62R5B3N9BG47XYK8T6XS" hidden="1">#REF!</definedName>
    <definedName name="BExQF9X2AQPFJZTCHTU5PTTR0JAH" hidden="1">'[16]Reco Sheet for Fcast'!$F$10:$G$10</definedName>
    <definedName name="BExQFC0M9KKFMQKPLPEO2RQDB7MM" hidden="1">'[16]Reco Sheet for Fcast'!$I$10:$J$10</definedName>
    <definedName name="BExQFEEV7627R8TYZCM28C6V6WHE" hidden="1">'[16]Reco Sheet for Fcast'!$F$15</definedName>
    <definedName name="BExQFEK8NUD04X2OBRA275ADPSDL" localSheetId="2" hidden="1">'[17]AMI P &amp; L'!#REF!</definedName>
    <definedName name="BExQFEK8NUD04X2OBRA275ADPSDL" localSheetId="10" hidden="1">'[17]AMI P &amp; L'!#REF!</definedName>
    <definedName name="BExQFEK8NUD04X2OBRA275ADPSDL" hidden="1">'[17]AMI P &amp; L'!#REF!</definedName>
    <definedName name="BExQFGYIWDR4W0YF7XR6E4EWWJ02" hidden="1">'[16]Reco Sheet for Fcast'!$I$6:$J$6</definedName>
    <definedName name="BExQFOGG5ULYNV6XAFVJ1T69RAUZ" hidden="1">'[18]Bud Mth'!$I$10:$J$10</definedName>
    <definedName name="BExQFPNFKA36IAPS22LAUMBDI4KE" hidden="1">'[16]Reco Sheet for Fcast'!$I$10:$J$10</definedName>
    <definedName name="BExQFPSWEMA8WBUZ4WK20LR13VSU" hidden="1">'[16]Reco Sheet for Fcast'!$K$2</definedName>
    <definedName name="BExQFSYARQ5AIUI2V7O1EDCDM882" localSheetId="2" hidden="1">'[17]AMI P &amp; L'!#REF!</definedName>
    <definedName name="BExQFSYARQ5AIUI2V7O1EDCDM882" localSheetId="10" hidden="1">'[17]AMI P &amp; L'!#REF!</definedName>
    <definedName name="BExQFSYARQ5AIUI2V7O1EDCDM882" hidden="1">'[17]AMI P &amp; L'!#REF!</definedName>
    <definedName name="BExQFVSPOSCCPF1TLJPIWYWYB8A9" hidden="1">'[16]Reco Sheet for Fcast'!$F$10:$G$10</definedName>
    <definedName name="BExQFWJQXNQAW6LUMOEDS6KMJMYL" hidden="1">'[16]Reco Sheet for Fcast'!$F$7:$G$7</definedName>
    <definedName name="BExQG8TYRD2G42UA5ZPCRLNKUDMX" hidden="1">'[16]Reco Sheet for Fcast'!$F$7:$G$7</definedName>
    <definedName name="BExQGO48J9MPCDQ96RBB9UN9AIGT" hidden="1">'[16]Reco Sheet for Fcast'!$F$9:$G$9</definedName>
    <definedName name="BExQGSBB6MJWDW7AYWA0MSFTXKRR" hidden="1">'[16]Reco Sheet for Fcast'!$I$8:$J$8</definedName>
    <definedName name="BExQGZ7H6ND6DRMZMKKTMXLFYHJC" localSheetId="2" hidden="1">#REF!</definedName>
    <definedName name="BExQGZ7H6ND6DRMZMKKTMXLFYHJC" localSheetId="10" hidden="1">#REF!</definedName>
    <definedName name="BExQGZ7H6ND6DRMZMKKTMXLFYHJC" hidden="1">#REF!</definedName>
    <definedName name="BExQH0UURAJ13AVO5UI04HSRGVYW" hidden="1">'[16]Reco Sheet for Fcast'!$F$6:$G$6</definedName>
    <definedName name="BExQH6ZZY0NR8SE48PSI9D0CU1TC" hidden="1">'[16]Reco Sheet for Fcast'!$I$10:$J$10</definedName>
    <definedName name="BExQH9P2MCXAJOVEO4GFQT6MNW22" hidden="1">'[16]Reco Sheet for Fcast'!$F$15</definedName>
    <definedName name="BExQHC3DXXZX5BWEIV17DNSO0EB6" localSheetId="2" hidden="1">'[17]AMI P &amp; L'!#REF!</definedName>
    <definedName name="BExQHC3DXXZX5BWEIV17DNSO0EB6" localSheetId="10" hidden="1">'[17]AMI P &amp; L'!#REF!</definedName>
    <definedName name="BExQHC3DXXZX5BWEIV17DNSO0EB6" hidden="1">'[17]AMI P &amp; L'!#REF!</definedName>
    <definedName name="BExQHCZSBYUY8OKKJXFYWKBBM6AH" hidden="1">'[16]Reco Sheet for Fcast'!$I$11:$J$11</definedName>
    <definedName name="BExQHPKXZ1K33V2F90NZIQRZYIAW" hidden="1">'[16]Reco Sheet for Fcast'!$I$11:$J$11</definedName>
    <definedName name="BExQHVF9KD06AG2RXUQJ9X4PVGX4" hidden="1">'[16]Reco Sheet for Fcast'!$I$7:$J$7</definedName>
    <definedName name="BExQHZBHVN2L4HC7ACTR73T5OCV0" hidden="1">'[16]Reco Sheet for Fcast'!$G$2</definedName>
    <definedName name="BExQI85V9TNLDJT5LTRZS10Y26SG" hidden="1">'[16]Reco Sheet for Fcast'!$G$2</definedName>
    <definedName name="BExQIAPKHVEV8CU1L3TTHJW67FJ5" hidden="1">'[16]Reco Sheet for Fcast'!$F$6:$G$6</definedName>
    <definedName name="BExQIBB4I3Z6AUU0HYV1DHRS13M4" hidden="1">'[16]Reco Sheet for Fcast'!$I$9:$J$9</definedName>
    <definedName name="BExQIBWPAXU7HJZLKGJZY3EB7MIS" hidden="1">'[16]Reco Sheet for Fcast'!$I$11:$J$11</definedName>
    <definedName name="BExQIM3J1Y2DOI3BDUM8WV3BMSIN" hidden="1">'[16]Reco Sheet for Fcast'!$F$9:$G$9</definedName>
    <definedName name="BExQIS8O6R36CI01XRY9ISM99TW9" hidden="1">'[16]Reco Sheet for Fcast'!$F$15</definedName>
    <definedName name="BExQIVJB9MJ25NDUHTCVMSODJY2C" hidden="1">'[16]Reco Sheet for Fcast'!$F$11:$G$11</definedName>
    <definedName name="BExQJBF7LAX128WR7VTMJC88ZLPG" hidden="1">'[16]Reco Sheet for Fcast'!$I$10:$J$10</definedName>
    <definedName name="BExQJEVCKX6KZHNCLYXY7D0MX5KN" hidden="1">'[16]Reco Sheet for Fcast'!$G$2</definedName>
    <definedName name="BExQJIBC34O4SDXEWBX0XXJ9F93B" localSheetId="2" hidden="1">#REF!</definedName>
    <definedName name="BExQJIBC34O4SDXEWBX0XXJ9F93B" localSheetId="10" hidden="1">#REF!</definedName>
    <definedName name="BExQJIBC34O4SDXEWBX0XXJ9F93B" hidden="1">#REF!</definedName>
    <definedName name="BExQJJYSDX8B0J1QGF2HL071KKA3" hidden="1">'[16]Reco Sheet for Fcast'!$F$7:$G$7</definedName>
    <definedName name="BExQJL0FR3OWBYI6TVYE6R6KPU28" localSheetId="2" hidden="1">#REF!</definedName>
    <definedName name="BExQJL0FR3OWBYI6TVYE6R6KPU28" localSheetId="10" hidden="1">#REF!</definedName>
    <definedName name="BExQJL0FR3OWBYI6TVYE6R6KPU28" hidden="1">#REF!</definedName>
    <definedName name="BExQK1HV6SQQ7CP8H8IUKI9TYXTD" hidden="1">'[16]Reco Sheet for Fcast'!$I$7:$J$7</definedName>
    <definedName name="BExQK3LE5CSBW1E4H4KHW548FL2R" hidden="1">'[16]Reco Sheet for Fcast'!$I$7:$J$7</definedName>
    <definedName name="BExQKG6LD6PLNDGNGO9DJXY865BR" hidden="1">'[16]Reco Sheet for Fcast'!$I$10:$J$10</definedName>
    <definedName name="BExQLE1TOW3A287TQB0AVWENT8O1" hidden="1">'[16]Reco Sheet for Fcast'!$I$6:$J$6</definedName>
    <definedName name="BExRYOYB4A3E5F6MTROY69LR0PMG" hidden="1">'[16]Reco Sheet for Fcast'!$F$7:$G$7</definedName>
    <definedName name="BExRYZLA9EW71H4SXQR525S72LLP" hidden="1">'[16]Reco Sheet for Fcast'!$I$9:$J$9</definedName>
    <definedName name="BExRZ66M8G9FQ0VFP077QSZBSOA5" hidden="1">'[16]Reco Sheet for Fcast'!$F$6:$G$6</definedName>
    <definedName name="BExRZ8FMQQL46I8AQWU17LRNZD5T" hidden="1">'[16]Reco Sheet for Fcast'!$I$6:$J$6</definedName>
    <definedName name="BExRZIRRIXRUMZ5GOO95S7460BMP" hidden="1">'[16]Reco Sheet for Fcast'!$K$2</definedName>
    <definedName name="BExRZK9RAHMM0ZLTNSK7A4LDC42D" hidden="1">'[16]Reco Sheet for Fcast'!$I$7:$J$7</definedName>
    <definedName name="BExRZOGSR69INI6GAEPHDWSNK5Q4" hidden="1">'[16]Reco Sheet for Fcast'!$F$6:$G$6</definedName>
    <definedName name="BExRZR0LVVK3899VBSAJ65GT2E3B" localSheetId="2" hidden="1">#REF!</definedName>
    <definedName name="BExRZR0LVVK3899VBSAJ65GT2E3B" localSheetId="10" hidden="1">#REF!</definedName>
    <definedName name="BExRZR0LVVK3899VBSAJ65GT2E3B" hidden="1">#REF!</definedName>
    <definedName name="BExS0ASQBKRTPDWFK0KUDFOS9LE5" hidden="1">'[16]Reco Sheet for Fcast'!$F$8:$G$8</definedName>
    <definedName name="BExS0GHQUF6YT0RU3TKDEO8CSJYB" hidden="1">'[16]Reco Sheet for Fcast'!$K$2</definedName>
    <definedName name="BExS0JSDQ1GV78JIPV6TBXM2DTJL" hidden="1">'[18]Bud Mth'!$F$11:$G$11</definedName>
    <definedName name="BExS0K8IHC45I78DMZBOJ1P13KQA" hidden="1">'[16]Reco Sheet for Fcast'!$F$7:$G$7</definedName>
    <definedName name="BExS15IJV0WW662NXQUVT3FGP4ST" hidden="1">'[16]Reco Sheet for Fcast'!$F$7:$G$7</definedName>
    <definedName name="BExS194110MR25BYJI3CJ2EGZ8XT" hidden="1">'[16]Reco Sheet for Fcast'!$F$9:$G$9</definedName>
    <definedName name="BExS1BNVGNSGD4EP90QL8WXYWZ66" hidden="1">'[16]Reco Sheet for Fcast'!$F$2:$G$2</definedName>
    <definedName name="BExS1UE39N6NCND7MAARSBWXS6HU" hidden="1">'[16]Reco Sheet for Fcast'!$G$2</definedName>
    <definedName name="BExS1VL8PBT2LUQ4ZEAPPFJ4XW2N" hidden="1">'[18]Bud Mth'!$F$7:$G$7</definedName>
    <definedName name="BExS226HTWL5WVC76MP5A1IBI8WD" hidden="1">'[16]Reco Sheet for Fcast'!$F$6:$G$6</definedName>
    <definedName name="BExS26OI2QNNAH2WMDD95Z400048" hidden="1">'[16]Reco Sheet for Fcast'!$F$10:$G$10</definedName>
    <definedName name="BExS2BH5B8XAQLRCALR1KDKIS6AP" hidden="1">'[18]Bud Mth'!$F$10:$G$10</definedName>
    <definedName name="BExS2DF6B4ZUF3VZLI4G6LJ3BF38" hidden="1">'[16]Reco Sheet for Fcast'!$F$8:$G$8</definedName>
    <definedName name="BExS2QB5FS5LYTFYO4BROTWG3OV5" hidden="1">'[16]Reco Sheet for Fcast'!$H$2:$I$2</definedName>
    <definedName name="BExS2TLU1HONYV6S3ZD9T12D7CIG" hidden="1">'[16]Reco Sheet for Fcast'!$F$10:$G$10</definedName>
    <definedName name="BExS318UV9I2FXPQQWUKKX00QLPJ" hidden="1">'[16]Reco Sheet for Fcast'!$J$2:$K$2</definedName>
    <definedName name="BExS3LBS0SMTHALVM4NRI1BAV1NP" hidden="1">'[16]Reco Sheet for Fcast'!$F$8:$G$8</definedName>
    <definedName name="BExS3MTQ75VBXDGEBURP6YT8RROE" hidden="1">'[16]Reco Sheet for Fcast'!$I$10:$J$10</definedName>
    <definedName name="BExS3OMGYO0DFN5186UFKEXZ2RX3" hidden="1">'[16]Reco Sheet for Fcast'!$I$11:$J$11</definedName>
    <definedName name="BExS3SDERJ27OER67TIGOVZU13A2" hidden="1">'[16]Reco Sheet for Fcast'!$F$7:$G$7</definedName>
    <definedName name="BExS46R5WDNU5KL04FKY5LHJUCB8" hidden="1">'[16]Reco Sheet for Fcast'!$I$6:$J$6</definedName>
    <definedName name="BExS4ASWKM93XA275AXHYP8AG6SU" hidden="1">'[16]Reco Sheet for Fcast'!$I$10:$J$10</definedName>
    <definedName name="BExS4DSSYMU66HS480YWZC1VZML6" localSheetId="2" hidden="1">'[19]Capital orders'!#REF!</definedName>
    <definedName name="BExS4DSSYMU66HS480YWZC1VZML6" localSheetId="10" hidden="1">'[19]Capital orders'!#REF!</definedName>
    <definedName name="BExS4DSSYMU66HS480YWZC1VZML6" hidden="1">'[19]Capital orders'!#REF!</definedName>
    <definedName name="BExS4JN3Y6SVBKILQK0R9HS45Y52" hidden="1">'[16]Reco Sheet for Fcast'!$F$8:$G$8</definedName>
    <definedName name="BExS4LQMUTP91FH4M5NM9Y7L6XN6" localSheetId="2" hidden="1">#REF!</definedName>
    <definedName name="BExS4LQMUTP91FH4M5NM9Y7L6XN6" localSheetId="10" hidden="1">#REF!</definedName>
    <definedName name="BExS4LQMUTP91FH4M5NM9Y7L6XN6" hidden="1">#REF!</definedName>
    <definedName name="BExS4P6S41O6Z6BED77U3GD9PNH1" hidden="1">'[16]Reco Sheet for Fcast'!$I$8:$J$8</definedName>
    <definedName name="BExS51H0N51UT0FZOPZRCF1GU063" hidden="1">'[16]Reco Sheet for Fcast'!$I$9:$J$9</definedName>
    <definedName name="BExS54X72TJFC41FJK72MLRR2OO7" hidden="1">'[16]Reco Sheet for Fcast'!$I$11:$J$11</definedName>
    <definedName name="BExS59F0PA1V2ZC7S5TN6IT41SXP" hidden="1">'[16]Reco Sheet for Fcast'!$F$11:$G$11</definedName>
    <definedName name="BExS5L3TGB8JVW9ROYWTKYTUPW27" hidden="1">'[16]Reco Sheet for Fcast'!$F$7:$G$7</definedName>
    <definedName name="BExS5TCGLYOBBY10G49VWHGM40DJ" localSheetId="2" hidden="1">#REF!</definedName>
    <definedName name="BExS5TCGLYOBBY10G49VWHGM40DJ" localSheetId="10" hidden="1">#REF!</definedName>
    <definedName name="BExS5TCGLYOBBY10G49VWHGM40DJ" hidden="1">#REF!</definedName>
    <definedName name="BExS6GKQ96EHVLYWNJDWXZXUZW90" hidden="1">'[16]Reco Sheet for Fcast'!$F$8:$G$8</definedName>
    <definedName name="BExS6ITKSZFRR01YD5B0F676SYN7" localSheetId="2" hidden="1">'[17]AMI P &amp; L'!#REF!</definedName>
    <definedName name="BExS6ITKSZFRR01YD5B0F676SYN7" localSheetId="10" hidden="1">'[17]AMI P &amp; L'!#REF!</definedName>
    <definedName name="BExS6ITKSZFRR01YD5B0F676SYN7" hidden="1">'[17]AMI P &amp; L'!#REF!</definedName>
    <definedName name="BExS6N0LI574IAC89EFW6CLTCQ33" hidden="1">'[16]Reco Sheet for Fcast'!$I$10:$J$10</definedName>
    <definedName name="BExS6WRDBF3ST86ZOBBUL3GTCR11" hidden="1">'[16]Reco Sheet for Fcast'!$I$8:$J$8</definedName>
    <definedName name="BExS6XNRKR0C3MTA0LV5B60UB908" hidden="1">'[16]Reco Sheet for Fcast'!$F$6:$G$6</definedName>
    <definedName name="BExS7CSJZR2R51S2LFXJ1OO82L9R" hidden="1">'[18]Bud Mth'!$L$6:$M$11</definedName>
    <definedName name="BExS7TKQYLRZGM93UY3ZJZJBQNFJ" hidden="1">'[16]Reco Sheet for Fcast'!$I$6:$J$6</definedName>
    <definedName name="BExS7Y2LNGVHSIBKC7C3R6X4LDR6" hidden="1">'[16]Reco Sheet for Fcast'!$I$11:$J$11</definedName>
    <definedName name="BExS81TE0EY44Y3W2M4Z4MGNP5OM" localSheetId="2" hidden="1">'[17]AMI P &amp; L'!#REF!</definedName>
    <definedName name="BExS81TE0EY44Y3W2M4Z4MGNP5OM" localSheetId="10" hidden="1">'[17]AMI P &amp; L'!#REF!</definedName>
    <definedName name="BExS81TE0EY44Y3W2M4Z4MGNP5OM" hidden="1">'[17]AMI P &amp; L'!#REF!</definedName>
    <definedName name="BExS81YPDZDVJJVS15HV2HDXAC3Y" hidden="1">'[16]Reco Sheet for Fcast'!$I$10:$J$10</definedName>
    <definedName name="BExS82PRVNUTEKQZS56YT2DVF6C2" hidden="1">'[16]Reco Sheet for Fcast'!$I$6:$J$6</definedName>
    <definedName name="BExS8BPG5A0GR5AO1U951NDGGR0L" hidden="1">'[16]Reco Sheet for Fcast'!$F$9:$G$9</definedName>
    <definedName name="BExS8FR1778VV7DHWQTG4B927FMB" localSheetId="2" hidden="1">#REF!</definedName>
    <definedName name="BExS8FR1778VV7DHWQTG4B927FMB" localSheetId="10" hidden="1">#REF!</definedName>
    <definedName name="BExS8FR1778VV7DHWQTG4B927FMB" hidden="1">#REF!</definedName>
    <definedName name="BExS8GSUS17UY50TEM2AWF36BR9Z" hidden="1">'[16]Reco Sheet for Fcast'!$F$7:$G$7</definedName>
    <definedName name="BExS8HJRBVG0XI6PWA9KTMJZMQXK" hidden="1">'[16]Reco Sheet for Fcast'!$F$7:$G$7</definedName>
    <definedName name="BExS8R51C8RM2FS6V6IRTYO9GA4A" hidden="1">'[16]Reco Sheet for Fcast'!$F$15</definedName>
    <definedName name="BExS8WDX408F60MH1X9B9UZ2H4R7" hidden="1">'[16]Reco Sheet for Fcast'!$I$9:$J$9</definedName>
    <definedName name="BExS8Z2W2QEC3MH0BZIYLDFQNUIP" hidden="1">'[16]Reco Sheet for Fcast'!$F$11:$G$11</definedName>
    <definedName name="BExS92DKGRFFCIA9C0IXDOLO57EP" hidden="1">'[16]Reco Sheet for Fcast'!$I$9:$J$9</definedName>
    <definedName name="BExS96Q4LPS2XW49NMVPAVI6Y2PQ" localSheetId="2" hidden="1">'[19]Capital orders'!#REF!</definedName>
    <definedName name="BExS96Q4LPS2XW49NMVPAVI6Y2PQ" localSheetId="10" hidden="1">'[19]Capital orders'!#REF!</definedName>
    <definedName name="BExS96Q4LPS2XW49NMVPAVI6Y2PQ" hidden="1">'[19]Capital orders'!#REF!</definedName>
    <definedName name="BExS98OB4321YCHLCQ022PXKTT2W" hidden="1">'[16]Reco Sheet for Fcast'!$I$10:$J$10</definedName>
    <definedName name="BExS9C9N8GFISC6HUERJ0EI06GB2" hidden="1">'[16]Reco Sheet for Fcast'!$I$6:$J$6</definedName>
    <definedName name="BExS9DX13CACP3J8JDREK30JB1SQ" hidden="1">'[16]Reco Sheet for Fcast'!$F$9:$G$9</definedName>
    <definedName name="BExS9FPRS2KRRCS33SE6WFNF5GYL" hidden="1">'[16]Reco Sheet for Fcast'!$F$9:$G$9</definedName>
    <definedName name="BExS9WI0A6PSEB8N9GPXF2Z7MWHM" hidden="1">'[16]Reco Sheet for Fcast'!$I$7:$J$7</definedName>
    <definedName name="BExSA5HP306TN9XJS0TU619DLRR7" hidden="1">'[16]Reco Sheet for Fcast'!$H$2:$I$2</definedName>
    <definedName name="BExSAAVWQOOIA6B3JHQVGP08HFEM" hidden="1">'[16]Reco Sheet for Fcast'!$I$8:$J$8</definedName>
    <definedName name="BExSAFJ3IICU2M7QPVE4ARYMXZKX" hidden="1">'[16]Reco Sheet for Fcast'!$F$7:$G$7</definedName>
    <definedName name="BExSAH6ID8OHX379UXVNGFO8J6KQ" hidden="1">'[16]Reco Sheet for Fcast'!$F$8:$G$8</definedName>
    <definedName name="BExSAQBHIXGQRNIRGCJMBXUPCZQA" hidden="1">'[16]Reco Sheet for Fcast'!$I$8:$J$8</definedName>
    <definedName name="BExSAUTCT4P7JP57NOR9MTX33QJZ" hidden="1">'[16]Reco Sheet for Fcast'!$F$10:$G$10</definedName>
    <definedName name="BExSAY9CA9TFXQ9M9FBJRGJO9T9E" localSheetId="2" hidden="1">'[17]AMI P &amp; L'!#REF!</definedName>
    <definedName name="BExSAY9CA9TFXQ9M9FBJRGJO9T9E" localSheetId="10" hidden="1">'[17]AMI P &amp; L'!#REF!</definedName>
    <definedName name="BExSAY9CA9TFXQ9M9FBJRGJO9T9E" hidden="1">'[17]AMI P &amp; L'!#REF!</definedName>
    <definedName name="BExSB4JYKQ3MINI7RAYK5M8BLJDC" hidden="1">'[16]Reco Sheet for Fcast'!$I$10:$J$10</definedName>
    <definedName name="BExSB85FV73BJGCHMB5WBRYZT69Z" localSheetId="2" hidden="1">'[19]Capital orders'!#REF!</definedName>
    <definedName name="BExSB85FV73BJGCHMB5WBRYZT69Z" localSheetId="10" hidden="1">'[19]Capital orders'!#REF!</definedName>
    <definedName name="BExSB85FV73BJGCHMB5WBRYZT69Z" hidden="1">'[19]Capital orders'!#REF!</definedName>
    <definedName name="BExSBD8TZE1B5CZK6VNCCA977BCZ" localSheetId="2" hidden="1">#REF!</definedName>
    <definedName name="BExSBD8TZE1B5CZK6VNCCA977BCZ" localSheetId="10" hidden="1">#REF!</definedName>
    <definedName name="BExSBD8TZE1B5CZK6VNCCA977BCZ" hidden="1">#REF!</definedName>
    <definedName name="BExSBMOS41ZRLWYLOU29V6Y7YORR" localSheetId="2" hidden="1">'[17]AMI P &amp; L'!#REF!</definedName>
    <definedName name="BExSBMOS41ZRLWYLOU29V6Y7YORR" localSheetId="10" hidden="1">'[17]AMI P &amp; L'!#REF!</definedName>
    <definedName name="BExSBMOS41ZRLWYLOU29V6Y7YORR" hidden="1">'[17]AMI P &amp; L'!#REF!</definedName>
    <definedName name="BExSBRBXXQMBU1TYDW1BXTEVEPRU" hidden="1">'[16]Reco Sheet for Fcast'!$F$8:$G$8</definedName>
    <definedName name="BExSC54998WTZ21DSL0R8UN0Y9JH" hidden="1">'[16]Reco Sheet for Fcast'!$F$8:$G$8</definedName>
    <definedName name="BExSC60N7WR9PJSNC9B7ORCX9NGY" hidden="1">'[16]Reco Sheet for Fcast'!$I$7:$J$7</definedName>
    <definedName name="BExSCE99EZTILTTCE4NJJF96OYYM" hidden="1">'[16]Reco Sheet for Fcast'!$G$2</definedName>
    <definedName name="BExSCHUQZ2HFEWS54X67DIS8OSXZ" hidden="1">'[16]Reco Sheet for Fcast'!$F$6:$G$6</definedName>
    <definedName name="BExSCOG41SKKG4GYU76WRWW1CTE6" hidden="1">'[16]Reco Sheet for Fcast'!$F$11:$G$11</definedName>
    <definedName name="BExSCVC9P86YVFMRKKUVRV29MZXZ" hidden="1">'[16]Reco Sheet for Fcast'!$G$2</definedName>
    <definedName name="BExSD233CH4MU9ZMGNRF97ZV7KWU" hidden="1">'[16]Reco Sheet for Fcast'!$F$8:$G$8</definedName>
    <definedName name="BExSD2U0F3BN6IN9N4R2DTTJG15H" hidden="1">'[16]Reco Sheet for Fcast'!$I$6:$J$6</definedName>
    <definedName name="BExSD6A6NY15YSMFH51ST6XJY429" hidden="1">'[16]Reco Sheet for Fcast'!$K$2</definedName>
    <definedName name="BExSD9VH6PF6RQ135VOEE08YXPAW" hidden="1">'[16]Reco Sheet for Fcast'!$F$11:$G$11</definedName>
    <definedName name="BExSDP5Y04WWMX2WWRITWOX8R5I9" hidden="1">'[16]Reco Sheet for Fcast'!$F$6:$G$6</definedName>
    <definedName name="BExSDSGM203BJTNS9MKCBX453HMD" hidden="1">'[16]Reco Sheet for Fcast'!$F$8:$G$8</definedName>
    <definedName name="BExSDT20XUFXTDM37M148AXAP7HN" hidden="1">'[16]Reco Sheet for Fcast'!$I$11:$J$11</definedName>
    <definedName name="BExSEEHK1VLWD7JBV9SVVVIKQZ3I" hidden="1">'[16]Reco Sheet for Fcast'!$F$8:$G$8</definedName>
    <definedName name="BExSEJKZLX37P3V33TRTFJ30BFRK" hidden="1">'[16]Reco Sheet for Fcast'!$F$9:$G$9</definedName>
    <definedName name="BExSEP9UVOAI6TMXKNK587PQ3328" hidden="1">'[16]Reco Sheet for Fcast'!$I$10:$J$10</definedName>
    <definedName name="BExSF07QFLZCO4P6K6QF05XG7PH1" hidden="1">'[16]Reco Sheet for Fcast'!$F$11:$G$11</definedName>
    <definedName name="BExSFJ8ZAGQ63A4MVMZRQWLVRGQ5" hidden="1">'[16]Reco Sheet for Fcast'!$F$8:$G$8</definedName>
    <definedName name="BExSFKQRST2S9KXWWLCXYLKSF4G1" hidden="1">'[16]Reco Sheet for Fcast'!$F$8:$G$8</definedName>
    <definedName name="BExSFYDRRTAZVPXRWUF5PDQ97WFF" hidden="1">'[16]Reco Sheet for Fcast'!$G$2</definedName>
    <definedName name="BExSFZVPFTXA3F0IJ2NGH1GXX9R7" hidden="1">'[16]Reco Sheet for Fcast'!$I$9:$J$9</definedName>
    <definedName name="BExSG60TZAT2SKO046IKGMD8SGUE" localSheetId="2" hidden="1">#REF!</definedName>
    <definedName name="BExSG60TZAT2SKO046IKGMD8SGUE" localSheetId="10" hidden="1">#REF!</definedName>
    <definedName name="BExSG60TZAT2SKO046IKGMD8SGUE" hidden="1">#REF!</definedName>
    <definedName name="BExSG90Q4ZUU2IPGDYOM169NJV9S" hidden="1">'[16]Reco Sheet for Fcast'!$I$9:$J$9</definedName>
    <definedName name="BExSG9X3DU845PNXYJGGLBQY2UHG" localSheetId="2" hidden="1">'[17]AMI P &amp; L'!#REF!</definedName>
    <definedName name="BExSG9X3DU845PNXYJGGLBQY2UHG" localSheetId="10" hidden="1">'[17]AMI P &amp; L'!#REF!</definedName>
    <definedName name="BExSG9X3DU845PNXYJGGLBQY2UHG" hidden="1">'[17]AMI P &amp; L'!#REF!</definedName>
    <definedName name="BExSGE45J27MDUUNXW7Z8Q33UAON" hidden="1">'[16]Reco Sheet for Fcast'!$F$9:$G$9</definedName>
    <definedName name="BExSGE9LY91Q0URHB4YAMX0UAMYI" hidden="1">'[16]Reco Sheet for Fcast'!$I$6:$J$6</definedName>
    <definedName name="BExSGEPPAC5VNZNBFZ6X4J18CUCB" hidden="1">'[18]Bud Mth'!$F$15</definedName>
    <definedName name="BExSGIB6UEU4H2UHIK30B61ELOCC" hidden="1">'[18]Bud Mth'!$I$7:$J$7</definedName>
    <definedName name="BExSGLB2URTLBCKBB4Y885W925F2" hidden="1">'[16]Reco Sheet for Fcast'!$H$2:$I$2</definedName>
    <definedName name="BExSGM25R69NWJV48BYBJO2J24VT" hidden="1">'[18]Bud Mth'!$I$8:$J$8</definedName>
    <definedName name="BExSGOAYG73SFWOPAQV80P710GID" localSheetId="2" hidden="1">'[17]AMI P &amp; L'!#REF!</definedName>
    <definedName name="BExSGOAYG73SFWOPAQV80P710GID" localSheetId="10" hidden="1">'[17]AMI P &amp; L'!#REF!</definedName>
    <definedName name="BExSGOAYG73SFWOPAQV80P710GID" hidden="1">'[17]AMI P &amp; L'!#REF!</definedName>
    <definedName name="BExSGOWJHRW7FWKLO2EHUOOGHNAF" hidden="1">'[16]Reco Sheet for Fcast'!$G$2</definedName>
    <definedName name="BExSGOWJTAP41ZV5Q23H7MI9C76W" hidden="1">'[16]Reco Sheet for Fcast'!$F$8:$G$8</definedName>
    <definedName name="BExSGR5JQVX2HQ0PKCGZNSSUM1RV" hidden="1">'[16]Reco Sheet for Fcast'!$F$8:$G$8</definedName>
    <definedName name="BExSGVHX69GJZHD99DKE4RZ042B1" hidden="1">'[16]Reco Sheet for Fcast'!$F$8:$G$8</definedName>
    <definedName name="BExSGZJO4J4ZO04E2N2ECVYS9DEZ" hidden="1">'[16]Reco Sheet for Fcast'!$I$11:$J$11</definedName>
    <definedName name="BExSHAHFHS7MMNJR8JPVABRGBVIT" hidden="1">'[16]Reco Sheet for Fcast'!$I$9:$J$9</definedName>
    <definedName name="BExSHGH88QZWW4RNAX4YKAZ5JEBL" hidden="1">'[16]Reco Sheet for Fcast'!$H$2:$I$2</definedName>
    <definedName name="BExSHOKK1OO3CX9Z28C58E5J1D9W" hidden="1">'[16]Reco Sheet for Fcast'!$F$7:$G$7</definedName>
    <definedName name="BExSHQD8KYLTQGDXIRKCHQQ7MKIH" hidden="1">'[16]Reco Sheet for Fcast'!$I$11:$J$11</definedName>
    <definedName name="BExSHVGPIAHXI97UBLI9G4I4M29F" hidden="1">'[16]Reco Sheet for Fcast'!$I$7:$J$7</definedName>
    <definedName name="BExSI0K2YL3HTCQAD8A7TR4QCUR6" hidden="1">'[16]Reco Sheet for Fcast'!$F$15:$J$123</definedName>
    <definedName name="BExSIFUDNRWXWIWNGCCFOOD8WIAZ" hidden="1">'[16]Reco Sheet for Fcast'!$F$10:$G$10</definedName>
    <definedName name="BExTTZNS2PBCR93C9IUW49UZ4I6T" localSheetId="2" hidden="1">'[17]AMI P &amp; L'!#REF!</definedName>
    <definedName name="BExTTZNS2PBCR93C9IUW49UZ4I6T" localSheetId="10" hidden="1">'[17]AMI P &amp; L'!#REF!</definedName>
    <definedName name="BExTTZNS2PBCR93C9IUW49UZ4I6T" hidden="1">'[17]AMI P &amp; L'!#REF!</definedName>
    <definedName name="BExTU2YFQ25JQ6MEMRHHN66VLTPJ" hidden="1">'[16]Reco Sheet for Fcast'!$F$9:$G$9</definedName>
    <definedName name="BExTU75IOII1V5O0C9X2VAYYVJUG" hidden="1">'[16]Reco Sheet for Fcast'!$F$15</definedName>
    <definedName name="BExTUA5F7V4LUIIAM17J3A8XF3JE" hidden="1">'[16]Reco Sheet for Fcast'!$F$8:$G$8</definedName>
    <definedName name="BExTUJ53ANGZ3H1KDK4CR4Q0OD6P" hidden="1">'[16]Reco Sheet for Fcast'!$F$11:$G$11</definedName>
    <definedName name="BExTUKXSZBM7C57G6NGLWGU4WOHY" hidden="1">'[16]Reco Sheet for Fcast'!$I$6:$J$6</definedName>
    <definedName name="BExTUSQCFFYZCDNHWHADBC2E1ZP1" hidden="1">'[16]Reco Sheet for Fcast'!$I$7:$J$7</definedName>
    <definedName name="BExTUVFGOJEYS28JURA5KHQFDU5J" hidden="1">'[16]Reco Sheet for Fcast'!$F$7:$G$7</definedName>
    <definedName name="BExTUW10U40QCYGHM5NJ3YR1O5SP" hidden="1">'[16]Reco Sheet for Fcast'!$F$9:$G$9</definedName>
    <definedName name="BExTUWXFQHINU66YG82BI20ATMB5" hidden="1">'[16]Reco Sheet for Fcast'!$F$15:$G$26</definedName>
    <definedName name="BExTUY9WNSJ91GV8CP0SKJTEIV82" localSheetId="2" hidden="1">'[17]AMI P &amp; L'!#REF!</definedName>
    <definedName name="BExTUY9WNSJ91GV8CP0SKJTEIV82" localSheetId="10" hidden="1">'[17]AMI P &amp; L'!#REF!</definedName>
    <definedName name="BExTUY9WNSJ91GV8CP0SKJTEIV82" hidden="1">'[17]AMI P &amp; L'!#REF!</definedName>
    <definedName name="BExTV67VIM8PV6KO253M4DUBJQLC" hidden="1">'[16]Reco Sheet for Fcast'!$F$15</definedName>
    <definedName name="BExTVELZCF2YA5L6F23BYZZR6WHF" localSheetId="2" hidden="1">'[17]AMI P &amp; L'!#REF!</definedName>
    <definedName name="BExTVELZCF2YA5L6F23BYZZR6WHF" localSheetId="10" hidden="1">'[17]AMI P &amp; L'!#REF!</definedName>
    <definedName name="BExTVELZCF2YA5L6F23BYZZR6WHF" hidden="1">'[17]AMI P &amp; L'!#REF!</definedName>
    <definedName name="BExTVGPIQZ99YFXUC8OONUX5BD42" hidden="1">'[16]Reco Sheet for Fcast'!$F$11:$G$11</definedName>
    <definedName name="BExTVS8U0EZLJRZ2MIUYGE8U301G" localSheetId="2" hidden="1">#REF!</definedName>
    <definedName name="BExTVS8U0EZLJRZ2MIUYGE8U301G" localSheetId="10" hidden="1">#REF!</definedName>
    <definedName name="BExTVS8U0EZLJRZ2MIUYGE8U301G" hidden="1">#REF!</definedName>
    <definedName name="BExTVZQLP9VFLEYQ9280W13X7E8K" hidden="1">'[16]Reco Sheet for Fcast'!$I$7:$J$7</definedName>
    <definedName name="BExTW5QDSCAJ7RXS743LW6RL5SJK" hidden="1">'[18]Bud Mth'!$L$6:$M$11</definedName>
    <definedName name="BExTWB4LA1PODQOH4LDTHQKBN16K" hidden="1">'[16]Reco Sheet for Fcast'!$F$15</definedName>
    <definedName name="BExTWI0Q8AWXUA3ZN7I5V3QK2KM1" hidden="1">'[16]Reco Sheet for Fcast'!$I$11:$J$11</definedName>
    <definedName name="BExTWJTIA3WUW1PUWXAOP9O8NKLZ" hidden="1">'[16]Reco Sheet for Fcast'!$F$6:$G$6</definedName>
    <definedName name="BExTWW95OX07FNA01WF5MSSSFQLX" hidden="1">'[16]Reco Sheet for Fcast'!$F$7:$G$7</definedName>
    <definedName name="BExTX11TGMK4J1I8SCX5QV40L2NX" localSheetId="2" hidden="1">#REF!</definedName>
    <definedName name="BExTX11TGMK4J1I8SCX5QV40L2NX" localSheetId="10" hidden="1">#REF!</definedName>
    <definedName name="BExTX11TGMK4J1I8SCX5QV40L2NX" hidden="1">#REF!</definedName>
    <definedName name="BExTX1NDJMYRERGKCYTBGJXXUSGU" localSheetId="2" hidden="1">#REF!</definedName>
    <definedName name="BExTX1NDJMYRERGKCYTBGJXXUSGU" localSheetId="10" hidden="1">#REF!</definedName>
    <definedName name="BExTX1NDJMYRERGKCYTBGJXXUSGU" hidden="1">#REF!</definedName>
    <definedName name="BExTX476KI0RNB71XI5TYMANSGBG" hidden="1">'[16]Reco Sheet for Fcast'!$F$10:$G$10</definedName>
    <definedName name="BExTX8UBV7014XRKCDCLI03YH4RN" localSheetId="2" hidden="1">'[19]Capital orders'!#REF!</definedName>
    <definedName name="BExTX8UBV7014XRKCDCLI03YH4RN" localSheetId="10" hidden="1">'[19]Capital orders'!#REF!</definedName>
    <definedName name="BExTX8UBV7014XRKCDCLI03YH4RN" hidden="1">'[19]Capital orders'!#REF!</definedName>
    <definedName name="BExTXJ6HBAIXMMWKZTJNFDYVZCAY" localSheetId="2" hidden="1">'[17]AMI P &amp; L'!#REF!</definedName>
    <definedName name="BExTXJ6HBAIXMMWKZTJNFDYVZCAY" localSheetId="10" hidden="1">'[17]AMI P &amp; L'!#REF!</definedName>
    <definedName name="BExTXJ6HBAIXMMWKZTJNFDYVZCAY" hidden="1">'[17]AMI P &amp; L'!#REF!</definedName>
    <definedName name="BExTXT812NQT8GAEGH738U29BI0D" localSheetId="2" hidden="1">'[17]AMI P &amp; L'!#REF!</definedName>
    <definedName name="BExTXT812NQT8GAEGH738U29BI0D" localSheetId="10" hidden="1">'[17]AMI P &amp; L'!#REF!</definedName>
    <definedName name="BExTXT812NQT8GAEGH738U29BI0D" hidden="1">'[17]AMI P &amp; L'!#REF!</definedName>
    <definedName name="BExTXWIP2TFPTQ76NHFOB72NICRZ" hidden="1">'[16]Reco Sheet for Fcast'!$H$2:$I$2</definedName>
    <definedName name="BExTY5T62H651VC86QM4X7E28JVA" localSheetId="2" hidden="1">'[17]AMI P &amp; L'!#REF!</definedName>
    <definedName name="BExTY5T62H651VC86QM4X7E28JVA" localSheetId="10" hidden="1">'[17]AMI P &amp; L'!#REF!</definedName>
    <definedName name="BExTY5T62H651VC86QM4X7E28JVA" hidden="1">'[17]AMI P &amp; L'!#REF!</definedName>
    <definedName name="BExTYKCEFJ83LZM95M1V7CSFQVEA" hidden="1">'[16]Reco Sheet for Fcast'!$G$2</definedName>
    <definedName name="BExTYNHRQ0T9YWN16KKDWXQ3D73B" hidden="1">'[16]Reco Sheet for Fcast'!$F$9:$G$9</definedName>
    <definedName name="BExTYPLA9N640MFRJJQPKXT7P88M" hidden="1">'[16]Reco Sheet for Fcast'!$I$10:$J$10</definedName>
    <definedName name="BExTZ7F71SNTOX4LLZCK5R9VUMIJ" hidden="1">'[16]Reco Sheet for Fcast'!$F$8:$G$8</definedName>
    <definedName name="BExTZ8X5G9S3PA4FPSNK7T69W7QT" hidden="1">'[16]Reco Sheet for Fcast'!$F$15</definedName>
    <definedName name="BExTZ97Y0RMR8V5BI9F2H4MFB77O" hidden="1">'[16]Reco Sheet for Fcast'!$F$8:$G$8</definedName>
    <definedName name="BExTZK5PMCAXJL4DUIGL6H9Y8U4C" hidden="1">'[16]Reco Sheet for Fcast'!$G$2</definedName>
    <definedName name="BExTZKB6L5SXV5UN71YVTCBEIGWY" hidden="1">'[16]Reco Sheet for Fcast'!$F$11:$G$11</definedName>
    <definedName name="BExTZLICVKK4NBJFEGL270GJ2VQO" hidden="1">'[16]Reco Sheet for Fcast'!$F$11:$G$11</definedName>
    <definedName name="BExTZO2596CBZKPI7YNA1QQNPAIJ" localSheetId="2" hidden="1">'[17]AMI P &amp; L'!#REF!</definedName>
    <definedName name="BExTZO2596CBZKPI7YNA1QQNPAIJ" localSheetId="10" hidden="1">'[17]AMI P &amp; L'!#REF!</definedName>
    <definedName name="BExTZO2596CBZKPI7YNA1QQNPAIJ" hidden="1">'[17]AMI P &amp; L'!#REF!</definedName>
    <definedName name="BExTZRI5JZ4A251Y611W94RCOSWH" localSheetId="2" hidden="1">#REF!</definedName>
    <definedName name="BExTZRI5JZ4A251Y611W94RCOSWH" localSheetId="10" hidden="1">#REF!</definedName>
    <definedName name="BExTZRI5JZ4A251Y611W94RCOSWH" hidden="1">#REF!</definedName>
    <definedName name="BExTZY8TDV4U7FQL7O10G6VKWKPJ" hidden="1">'[16]Reco Sheet for Fcast'!$F$10:$G$10</definedName>
    <definedName name="BExU02QNT4LT7H9JPUC4FXTLVGZT" localSheetId="2" hidden="1">'[17]AMI P &amp; L'!#REF!</definedName>
    <definedName name="BExU02QNT4LT7H9JPUC4FXTLVGZT" localSheetId="10" hidden="1">'[17]AMI P &amp; L'!#REF!</definedName>
    <definedName name="BExU02QNT4LT7H9JPUC4FXTLVGZT" hidden="1">'[17]AMI P &amp; L'!#REF!</definedName>
    <definedName name="BExU0BFJJQO1HJZKI14QGOQ6JROO" hidden="1">'[16]Reco Sheet for Fcast'!$I$9:$J$9</definedName>
    <definedName name="BExU0FH5WTGW8MRFUFMDDSMJ6YQ5" hidden="1">'[16]Reco Sheet for Fcast'!$F$10:$G$10</definedName>
    <definedName name="BExU0GDOIL9U33QGU9ZU3YX3V1I4" hidden="1">'[16]Reco Sheet for Fcast'!$F$10:$G$10</definedName>
    <definedName name="BExU0GTRJDB0T7KEE27AHPJ1VG21" localSheetId="2" hidden="1">#REF!</definedName>
    <definedName name="BExU0GTRJDB0T7KEE27AHPJ1VG21" localSheetId="10" hidden="1">#REF!</definedName>
    <definedName name="BExU0GTRJDB0T7KEE27AHPJ1VG21" hidden="1">#REF!</definedName>
    <definedName name="BExU0HKTO8WJDQDWRTUK5TETM3HS" hidden="1">'[16]Reco Sheet for Fcast'!$F$15</definedName>
    <definedName name="BExU0MO3IK2BK6Z03N91DRPAM4ZL" localSheetId="2" hidden="1">'[19]Capital orders'!#REF!</definedName>
    <definedName name="BExU0MO3IK2BK6Z03N91DRPAM4ZL" localSheetId="10" hidden="1">'[19]Capital orders'!#REF!</definedName>
    <definedName name="BExU0MO3IK2BK6Z03N91DRPAM4ZL" hidden="1">'[19]Capital orders'!#REF!</definedName>
    <definedName name="BExU0MTJQPE041ZN7H8UKGV6MZT7" hidden="1">'[16]Reco Sheet for Fcast'!$F$10:$G$10</definedName>
    <definedName name="BExU0XWRUGFUSOVL9IX14W0517FO" localSheetId="2" hidden="1">'[19]Capital orders'!#REF!</definedName>
    <definedName name="BExU0XWRUGFUSOVL9IX14W0517FO" localSheetId="10" hidden="1">'[19]Capital orders'!#REF!</definedName>
    <definedName name="BExU0XWRUGFUSOVL9IX14W0517FO" hidden="1">'[19]Capital orders'!#REF!</definedName>
    <definedName name="BExU0ZUUFYHLUK4M4E8GLGIBBNT0" hidden="1">'[16]Reco Sheet for Fcast'!$F$10:$G$10</definedName>
    <definedName name="BExU147D6RPG6ZVTSXRKFSVRHSBG" hidden="1">'[16]Reco Sheet for Fcast'!$F$11:$G$11</definedName>
    <definedName name="BExU16R10W1SOAPNG4CDJ01T7JRE" hidden="1">'[16]Reco Sheet for Fcast'!$I$6:$J$6</definedName>
    <definedName name="BExU17CKOR3GNIHDNVLH9L1IOJS9" hidden="1">'[16]Reco Sheet for Fcast'!$F$10:$G$10</definedName>
    <definedName name="BExU1CQSGHIYEUTB4X944L0P5KO6" hidden="1">'[16]Reco Sheet for Fcast'!$I$8:$J$8</definedName>
    <definedName name="BExU1GXUTLRPJN4MRINLAPHSZQFG" hidden="1">'[16]Reco Sheet for Fcast'!$F$15</definedName>
    <definedName name="BExU1IL9AOHFO85BZB6S60DK3N8H" localSheetId="2" hidden="1">'[17]AMI P &amp; L'!#REF!</definedName>
    <definedName name="BExU1IL9AOHFO85BZB6S60DK3N8H" localSheetId="10" hidden="1">'[17]AMI P &amp; L'!#REF!</definedName>
    <definedName name="BExU1IL9AOHFO85BZB6S60DK3N8H" hidden="1">'[17]AMI P &amp; L'!#REF!</definedName>
    <definedName name="BExU1NOPS09CLFZL1O31RAF9BQNQ" localSheetId="2" hidden="1">'[17]AMI P &amp; L'!#REF!</definedName>
    <definedName name="BExU1NOPS09CLFZL1O31RAF9BQNQ" localSheetId="10" hidden="1">'[17]AMI P &amp; L'!#REF!</definedName>
    <definedName name="BExU1NOPS09CLFZL1O31RAF9BQNQ" hidden="1">'[17]AMI P &amp; L'!#REF!</definedName>
    <definedName name="BExU1PH9MOEX1JZVZ3D5M9DXB191" hidden="1">'[16]Reco Sheet for Fcast'!$H$2:$I$2</definedName>
    <definedName name="BExU1QZEEKJA35IMEOLOJ3ODX0ZA" hidden="1">'[16]Reco Sheet for Fcast'!$F$9:$G$9</definedName>
    <definedName name="BExU1VRURIWWVJ95O40WA23LMTJD" localSheetId="2" hidden="1">'[17]AMI P &amp; L'!#REF!</definedName>
    <definedName name="BExU1VRURIWWVJ95O40WA23LMTJD" localSheetId="10" hidden="1">'[17]AMI P &amp; L'!#REF!</definedName>
    <definedName name="BExU1VRURIWWVJ95O40WA23LMTJD" hidden="1">'[17]AMI P &amp; L'!#REF!</definedName>
    <definedName name="BExU2M5CK6XK55UIHDVYRXJJJRI4" hidden="1">'[16]Reco Sheet for Fcast'!$F$15</definedName>
    <definedName name="BExU2TXVT25ZTOFQAF6CM53Z1RLF" hidden="1">'[16]Reco Sheet for Fcast'!$K$2</definedName>
    <definedName name="BExU2XZLYIU19G7358W5T9E87AFR" hidden="1">'[16]Reco Sheet for Fcast'!$I$7:$J$7</definedName>
    <definedName name="BExU31FMG5EZ3RLMEW3HTVQ1N7XG" localSheetId="2" hidden="1">#REF!</definedName>
    <definedName name="BExU31FMG5EZ3RLMEW3HTVQ1N7XG" localSheetId="10" hidden="1">#REF!</definedName>
    <definedName name="BExU31FMG5EZ3RLMEW3HTVQ1N7XG" hidden="1">#REF!</definedName>
    <definedName name="BExU3B66MCKJFSKT3HL8B5EJGVX0" hidden="1">'[16]Reco Sheet for Fcast'!$G$2</definedName>
    <definedName name="BExU3RYEDSJFAKYWNZXCULXMIK83" hidden="1">'[18]Bud Mth'!$F$11:$G$11</definedName>
    <definedName name="BExU3UNI9NR1RNZR07NSLSZMDOQQ" hidden="1">'[16]Reco Sheet for Fcast'!$I$6:$J$6</definedName>
    <definedName name="BExU401R18N6XKZKL7CNFOZQCM14" hidden="1">'[16]Reco Sheet for Fcast'!$F$10:$G$10</definedName>
    <definedName name="BExU42QVGY7TK39W1BIN6CDRG2OE" hidden="1">'[16]Reco Sheet for Fcast'!$I$10:$J$10</definedName>
    <definedName name="BExU47OZMS6TCWMEHHF0UCSFLLPI" hidden="1">'[16]Reco Sheet for Fcast'!$F$10:$G$10</definedName>
    <definedName name="BExU4D36E8TXN0M8KSNGEAFYP4DQ" hidden="1">'[16]Reco Sheet for Fcast'!$F$11:$G$11</definedName>
    <definedName name="BExU4G31RRVLJ3AC6E1FNEFMXM3O" hidden="1">'[16]Reco Sheet for Fcast'!$I$7:$J$7</definedName>
    <definedName name="BExU4GDVLPUEWBA4MRYRTQAUNO7B" localSheetId="2" hidden="1">'[17]AMI P &amp; L'!#REF!</definedName>
    <definedName name="BExU4GDVLPUEWBA4MRYRTQAUNO7B" localSheetId="10" hidden="1">'[17]AMI P &amp; L'!#REF!</definedName>
    <definedName name="BExU4GDVLPUEWBA4MRYRTQAUNO7B" hidden="1">'[17]AMI P &amp; L'!#REF!</definedName>
    <definedName name="BExU4I148DA7PRCCISLWQ6ABXFK6" hidden="1">'[16]Reco Sheet for Fcast'!$F$2:$G$2</definedName>
    <definedName name="BExU4L101H2KQHVKCKQ4PBAWZV6K" hidden="1">'[16]Reco Sheet for Fcast'!$G$2</definedName>
    <definedName name="BExU4NA00RRRBGRT6TOB0MXZRCRZ" hidden="1">'[16]Reco Sheet for Fcast'!$I$8:$J$8</definedName>
    <definedName name="BExU529I6YHVOG83TJHWSILIQU1S" hidden="1">'[16]Reco Sheet for Fcast'!$F$6:$G$6</definedName>
    <definedName name="BExU57YCIKPRD8QWL6EU0YR3NG3J" hidden="1">'[16]Reco Sheet for Fcast'!$G$2</definedName>
    <definedName name="BExU59WK17RXBRY6DNZSMRYEZFUD" hidden="1">'[16]Reco Sheet for Fcast'!$F$6:$G$6</definedName>
    <definedName name="BExU5DSTBWXLN6E59B757KRWRI6E" hidden="1">'[16]Reco Sheet for Fcast'!$H$2:$I$2</definedName>
    <definedName name="BExU5TDWM8NNDHYPQ7OQODTQ368A" hidden="1">'[16]Reco Sheet for Fcast'!$I$9:$J$9</definedName>
    <definedName name="BExU5X4OX1V1XHS6WSSORVQPP6Z3" hidden="1">'[16]Reco Sheet for Fcast'!$I$8:$J$8</definedName>
    <definedName name="BExU5XVPARTFMRYHNUTBKDIL4UJN" hidden="1">'[16]Reco Sheet for Fcast'!$F$9:$G$9</definedName>
    <definedName name="BExU66KMFBAP8JCVG9VM1RD1TNFF" hidden="1">'[16]Reco Sheet for Fcast'!$F$8:$G$8</definedName>
    <definedName name="BExU68IOM3CB3TACNAE9565TW7SH" hidden="1">'[16]Reco Sheet for Fcast'!$H$2:$I$2</definedName>
    <definedName name="BExU6AM82KN21E82HMWVP3LWP9IL" hidden="1">'[16]Reco Sheet for Fcast'!$I$8:$J$8</definedName>
    <definedName name="BExU6FEU1MRHU98R9YOJC5OKUJ6L" hidden="1">'[16]Reco Sheet for Fcast'!$I$11:$J$11</definedName>
    <definedName name="BExU6KIAJ663Y8W8QMU4HCF183DF" hidden="1">'[16]Reco Sheet for Fcast'!$F$7:$G$7</definedName>
    <definedName name="BExU6KT19B4PG6SHXFBGBPLM66KT" hidden="1">'[16]Reco Sheet for Fcast'!$G$2</definedName>
    <definedName name="BExU6PAVKIOAIMQ9XQIHHF1SUAGO" hidden="1">'[16]Reco Sheet for Fcast'!$F$6:$G$6</definedName>
    <definedName name="BExU6WXXC7SSQDMHSLUN5C2V4IYX" hidden="1">'[16]Reco Sheet for Fcast'!$I$7:$J$7</definedName>
    <definedName name="BExU73387E74XE8A9UKZLZNJYY65" hidden="1">'[16]Reco Sheet for Fcast'!$I$7:$J$7</definedName>
    <definedName name="BExU76ZHCJM8I7VSICCMSTC33O6U" hidden="1">'[16]Reco Sheet for Fcast'!$I$9:$J$9</definedName>
    <definedName name="BExU7BBTUF8BQ42DSGM94X5TG5GF" hidden="1">'[16]Reco Sheet for Fcast'!$I$10:$J$10</definedName>
    <definedName name="BExU7ES0XCYMF26C2IBWVI4GIYRC" localSheetId="2" hidden="1">#REF!</definedName>
    <definedName name="BExU7ES0XCYMF26C2IBWVI4GIYRC" localSheetId="10" hidden="1">#REF!</definedName>
    <definedName name="BExU7ES0XCYMF26C2IBWVI4GIYRC" hidden="1">#REF!</definedName>
    <definedName name="BExU7HH4EAHFQHT4AXKGWAWZP3I0" hidden="1">'[16]Reco Sheet for Fcast'!$I$8:$J$8</definedName>
    <definedName name="BExU7MF1ZVPDHOSMCAXOSYICHZ4I" hidden="1">'[16]Reco Sheet for Fcast'!$F$11:$G$11</definedName>
    <definedName name="BExU7O2BJ6D5YCKEL6FD2EFCWYRX" hidden="1">'[16]Reco Sheet for Fcast'!$I$7:$J$7</definedName>
    <definedName name="BExU7Q0JS9YIUKUPNSSAIDK2KJAV" hidden="1">'[16]Reco Sheet for Fcast'!$F$10:$G$10</definedName>
    <definedName name="BExU80I6AE5OU7P7F5V7HWIZBJ4P" localSheetId="2" hidden="1">'[17]AMI P &amp; L'!#REF!</definedName>
    <definedName name="BExU80I6AE5OU7P7F5V7HWIZBJ4P" localSheetId="10" hidden="1">'[17]AMI P &amp; L'!#REF!</definedName>
    <definedName name="BExU80I6AE5OU7P7F5V7HWIZBJ4P" hidden="1">'[17]AMI P &amp; L'!#REF!</definedName>
    <definedName name="BExU86NB26MCPYIISZ36HADONGT2" hidden="1">'[16]Reco Sheet for Fcast'!$H$2:$I$2</definedName>
    <definedName name="BExU885EZZNSZV3GP298UJ8LB7OL" hidden="1">'[16]Reco Sheet for Fcast'!$F$9:$G$9</definedName>
    <definedName name="BExU8FSAUP9TUZ1NO9WXK80QPHWV" hidden="1">'[16]Reco Sheet for Fcast'!$H$2:$I$2</definedName>
    <definedName name="BExU8KFLAN778MBN93NYZB0FV30G" hidden="1">'[16]Reco Sheet for Fcast'!$I$6:$J$6</definedName>
    <definedName name="BExU8UX9JX3XLB47YZ8GFXE0V7R2" hidden="1">'[16]Reco Sheet for Fcast'!$I$11:$J$11</definedName>
    <definedName name="BExU96M1J7P9DZQ3S9H0C12KGYTW" hidden="1">'[16]Reco Sheet for Fcast'!$F$11:$G$11</definedName>
    <definedName name="BExU9F05OR1GZ3057R6UL3WPEIYI" hidden="1">'[16]Reco Sheet for Fcast'!$I$10:$J$10</definedName>
    <definedName name="BExU9GCSO5YILIKG6VAHN13DL75K" hidden="1">'[16]Reco Sheet for Fcast'!$F$15</definedName>
    <definedName name="BExU9KJOZLO15N11MJVN782NFGJ0" hidden="1">'[16]Reco Sheet for Fcast'!$G$2</definedName>
    <definedName name="BExU9LG29XU2K1GNKRO4438JYQZE" hidden="1">'[16]Reco Sheet for Fcast'!$F$10:$G$10</definedName>
    <definedName name="BExU9RW36I5Z6JIXUIUB3PJH86LT" hidden="1">'[16]Reco Sheet for Fcast'!$I$11:$J$11</definedName>
    <definedName name="BExUA28AO7OWDG3H23Q0CL4B7BHW" hidden="1">'[16]Reco Sheet for Fcast'!$I$10:$J$10</definedName>
    <definedName name="BExUA5O923FFNEBY8BPO1TU3QGBM" hidden="1">'[16]Reco Sheet for Fcast'!$F$8:$G$8</definedName>
    <definedName name="BExUA6Q4K25VH452AQ3ZIRBCMS61" hidden="1">'[16]Reco Sheet for Fcast'!$I$11:$J$11</definedName>
    <definedName name="BExUAD618VJT7Y268F09VY8TCB6I" hidden="1">'[16]Reco Sheet for Fcast'!$F$11:$G$11</definedName>
    <definedName name="BExUAFV4JMBSM2SKBQL9NHL0NIBS" hidden="1">'[16]Reco Sheet for Fcast'!$I$8:$J$8</definedName>
    <definedName name="BExUAMWQODKBXMRH1QCMJLJBF8M7" hidden="1">'[16]Reco Sheet for Fcast'!$I$8:$J$8</definedName>
    <definedName name="BExUAX8WS5OPVLCDXRGKTU2QMTFO" hidden="1">'[16]Reco Sheet for Fcast'!$F$11:$G$11</definedName>
    <definedName name="BExUB08T2BYPVAJVBMXLIDWLL1OE" localSheetId="2" hidden="1">#REF!</definedName>
    <definedName name="BExUB08T2BYPVAJVBMXLIDWLL1OE" localSheetId="10" hidden="1">#REF!</definedName>
    <definedName name="BExUB08T2BYPVAJVBMXLIDWLL1OE" hidden="1">#REF!</definedName>
    <definedName name="BExUB33EK29TFQ0BN3SU5AAHUXYI" hidden="1">'[18]Bud Mth'!$I$9:$J$9</definedName>
    <definedName name="BExUB8HLEXSBVPZ5AXNQEK96F1N4" hidden="1">'[16]Reco Sheet for Fcast'!$I$8:$J$8</definedName>
    <definedName name="BExUBCDVZIEA7YT0LPSMHL5ZSERQ" hidden="1">'[16]Reco Sheet for Fcast'!$F$11:$G$11</definedName>
    <definedName name="BExUBKXBUCN760QYU7Q8GESBWOQH" hidden="1">'[16]Reco Sheet for Fcast'!$I$9:$J$9</definedName>
    <definedName name="BExUBL83ED0P076RN9RJ8P1MZ299" hidden="1">'[16]Reco Sheet for Fcast'!$H$2:$I$2</definedName>
    <definedName name="BExUBWBBDMQYIMES51STJPTYF2KB" localSheetId="2" hidden="1">'[19]Capital orders'!#REF!</definedName>
    <definedName name="BExUBWBBDMQYIMES51STJPTYF2KB" localSheetId="10" hidden="1">'[19]Capital orders'!#REF!</definedName>
    <definedName name="BExUBWBBDMQYIMES51STJPTYF2KB" hidden="1">'[19]Capital orders'!#REF!</definedName>
    <definedName name="BExUC623BDYEODBN0N4DO6PJQ7NU" localSheetId="2" hidden="1">'[17]AMI P &amp; L'!#REF!</definedName>
    <definedName name="BExUC623BDYEODBN0N4DO6PJQ7NU" localSheetId="10" hidden="1">'[17]AMI P &amp; L'!#REF!</definedName>
    <definedName name="BExUC623BDYEODBN0N4DO6PJQ7NU" hidden="1">'[17]AMI P &amp; L'!#REF!</definedName>
    <definedName name="BExUC8G72O2YXWX0KZM5IEBC5NYF" hidden="1">'[18]Bud Mth'!$C$15:$D$29</definedName>
    <definedName name="BExUC8WH8TCKBB5313JGYYQ1WFLT" hidden="1">'[16]Reco Sheet for Fcast'!$I$11:$J$11</definedName>
    <definedName name="BExUCFCDK6SPH86I6STXX8X3WMC4" hidden="1">'[16]Reco Sheet for Fcast'!$F$11:$G$11</definedName>
    <definedName name="BExUCLC6AQ5KR6LXSAXV4QQ8ASVG" hidden="1">'[16]Reco Sheet for Fcast'!$I$9:$J$9</definedName>
    <definedName name="BExUD4IOJ12X3PJG5WXNNGDRCKAP" hidden="1">'[16]Reco Sheet for Fcast'!$G$2</definedName>
    <definedName name="BExUD9WX9BWK72UWVSLYZJLAY5VY" hidden="1">'[16]Reco Sheet for Fcast'!$I$6:$J$6</definedName>
    <definedName name="BExUDEV0CYVO7Y5IQQBEJ6FUY9S6" localSheetId="2" hidden="1">'[17]AMI P &amp; L'!#REF!</definedName>
    <definedName name="BExUDEV0CYVO7Y5IQQBEJ6FUY9S6" localSheetId="10" hidden="1">'[17]AMI P &amp; L'!#REF!</definedName>
    <definedName name="BExUDEV0CYVO7Y5IQQBEJ6FUY9S6" hidden="1">'[17]AMI P &amp; L'!#REF!</definedName>
    <definedName name="BExUDJ7DYJ87DXRZ8X55DX7WPECP" hidden="1">'[18]Bud Mth'!$F$11:$G$11</definedName>
    <definedName name="BExUDWOXQGIZW0EAIIYLQUPXF8YV" hidden="1">'[16]Reco Sheet for Fcast'!$H$2:$I$2</definedName>
    <definedName name="BExUDXAIC17W1FUU8Z10XUAVB7CS" hidden="1">'[16]Reco Sheet for Fcast'!$I$6:$J$6</definedName>
    <definedName name="BExUE5OMY7OAJQ9WR8C8HG311ORP" hidden="1">'[16]Reco Sheet for Fcast'!$F$6:$G$6</definedName>
    <definedName name="BExUEFKOQWXXGRNLAOJV2BJ66UB8" hidden="1">'[16]Reco Sheet for Fcast'!$K$2</definedName>
    <definedName name="BExUEJGX3OQQP5KFRJSRCZ70EI9V" localSheetId="2" hidden="1">'[17]AMI P &amp; L'!#REF!</definedName>
    <definedName name="BExUEJGX3OQQP5KFRJSRCZ70EI9V" localSheetId="10" hidden="1">'[17]AMI P &amp; L'!#REF!</definedName>
    <definedName name="BExUEJGX3OQQP5KFRJSRCZ70EI9V" hidden="1">'[17]AMI P &amp; L'!#REF!</definedName>
    <definedName name="BExUEYR71COFS2X8PDNU21IPMQEU" hidden="1">'[16]Reco Sheet for Fcast'!$F$8:$G$8</definedName>
    <definedName name="BExVPRLJ9I6RX45EDVFSQGCPJSOK" hidden="1">'[16]Reco Sheet for Fcast'!$I$10:$J$10</definedName>
    <definedName name="BExVRSFF20PCW4U8ETRBU8GKPJ09" localSheetId="2" hidden="1">'[19]Capital orders'!#REF!</definedName>
    <definedName name="BExVRSFF20PCW4U8ETRBU8GKPJ09" localSheetId="10" hidden="1">'[19]Capital orders'!#REF!</definedName>
    <definedName name="BExVRSFF20PCW4U8ETRBU8GKPJ09" hidden="1">'[19]Capital orders'!#REF!</definedName>
    <definedName name="BExVSK5E1T5C3Z7L1TS7KHBIC1EB" hidden="1">'[18]Bud Mth'!$F$8:$G$8</definedName>
    <definedName name="BExVSL787C8E4HFQZ2NVLT35I2XV" hidden="1">'[16]Reco Sheet for Fcast'!$I$10:$J$10</definedName>
    <definedName name="BExVSTFTVV14SFGHQUOJL5SQ5TX9" hidden="1">'[16]Reco Sheet for Fcast'!$G$2</definedName>
    <definedName name="BExVT3MPE8LQ5JFN3HQIFKSQ80U4" hidden="1">'[16]Reco Sheet for Fcast'!$F$8:$G$8</definedName>
    <definedName name="BExVT7TRK3NZHPME2TFBXOF1WBR9" hidden="1">'[16]Reco Sheet for Fcast'!$I$9:$J$9</definedName>
    <definedName name="BExVT9H0R0T7WGQAAC0HABMG54YM" hidden="1">'[16]Reco Sheet for Fcast'!$K$2</definedName>
    <definedName name="BExVTCMDDEDGLUIMUU6BSFHEWTOP" localSheetId="2" hidden="1">'[17]AMI P &amp; L'!#REF!</definedName>
    <definedName name="BExVTCMDDEDGLUIMUU6BSFHEWTOP" localSheetId="10" hidden="1">'[17]AMI P &amp; L'!#REF!</definedName>
    <definedName name="BExVTCMDDEDGLUIMUU6BSFHEWTOP" hidden="1">'[17]AMI P &amp; L'!#REF!</definedName>
    <definedName name="BExVTCMDQMLKRA2NQR72XU6Y54IK" hidden="1">'[16]Reco Sheet for Fcast'!$H$2:$I$2</definedName>
    <definedName name="BExVTCRV8FQ5U9OYWWL44N6KFNHU" hidden="1">'[16]Reco Sheet for Fcast'!$I$11:$J$11</definedName>
    <definedName name="BExVTNESHPVG0A0KZ7BRX26MS0PF" hidden="1">'[16]Reco Sheet for Fcast'!$I$7:$J$7</definedName>
    <definedName name="BExVTTJVTNRSBHBTUZ78WG2JM5MK" hidden="1">'[16]Reco Sheet for Fcast'!$I$6:$J$6</definedName>
    <definedName name="BExVTXLMYR87BC04D1ERALPUFVPG" hidden="1">'[16]Reco Sheet for Fcast'!$F$15</definedName>
    <definedName name="BExVUL9V3H8ZF6Y72LQBBN639YAA" hidden="1">'[16]Reco Sheet for Fcast'!$F$8:$G$8</definedName>
    <definedName name="BExVV4WOJHBCFS30YPAH56TF8XV7" localSheetId="2" hidden="1">#REF!</definedName>
    <definedName name="BExVV4WOJHBCFS30YPAH56TF8XV7" localSheetId="10" hidden="1">#REF!</definedName>
    <definedName name="BExVV4WOJHBCFS30YPAH56TF8XV7" hidden="1">#REF!</definedName>
    <definedName name="BExVV5T14N2HZIK7HQ4P2KG09U0J" hidden="1">'[16]Reco Sheet for Fcast'!$I$10:$J$10</definedName>
    <definedName name="BExVV7R410VYLADLX9LNG63ID6H1" hidden="1">'[16]Reco Sheet for Fcast'!$I$10:$J$10</definedName>
    <definedName name="BExVVCEED4JEKF59OV0G3T4XFMFO" hidden="1">'[16]Reco Sheet for Fcast'!$F$15</definedName>
    <definedName name="BExVVJAKR0OH8T15R52V6Z4K8OAI" localSheetId="2" hidden="1">'[19]Capital orders'!#REF!</definedName>
    <definedName name="BExVVJAKR0OH8T15R52V6Z4K8OAI" localSheetId="10" hidden="1">'[19]Capital orders'!#REF!</definedName>
    <definedName name="BExVVJAKR0OH8T15R52V6Z4K8OAI" hidden="1">'[19]Capital orders'!#REF!</definedName>
    <definedName name="BExVVPFO2J7FMSRPD36909HN4BZJ" localSheetId="2" hidden="1">'[17]AMI P &amp; L'!#REF!</definedName>
    <definedName name="BExVVPFO2J7FMSRPD36909HN4BZJ" localSheetId="10" hidden="1">'[17]AMI P &amp; L'!#REF!</definedName>
    <definedName name="BExVVPFO2J7FMSRPD36909HN4BZJ" hidden="1">'[17]AMI P &amp; L'!#REF!</definedName>
    <definedName name="BExVVQ19AQ3VCARJOC38SF7OYE9Y" hidden="1">'[16]Reco Sheet for Fcast'!$I$11:$J$11</definedName>
    <definedName name="BExVVQ19TAECID45CS4HXT1RD3AQ" localSheetId="2" hidden="1">'[17]AMI P &amp; L'!#REF!</definedName>
    <definedName name="BExVVQ19TAECID45CS4HXT1RD3AQ" localSheetId="10" hidden="1">'[17]AMI P &amp; L'!#REF!</definedName>
    <definedName name="BExVVQ19TAECID45CS4HXT1RD3AQ" hidden="1">'[17]AMI P &amp; L'!#REF!</definedName>
    <definedName name="BExVW3YV5XGIVJ97UUPDJGJ2P15B" hidden="1">'[16]Reco Sheet for Fcast'!$I$8:$J$8</definedName>
    <definedName name="BExVW5X571GEYR5SCU1Z2DHKWM79" hidden="1">'[16]Reco Sheet for Fcast'!$H$2:$I$2</definedName>
    <definedName name="BExVW6YTKA098AF57M4PHNQ54XMH" hidden="1">'[16]Reco Sheet for Fcast'!$F$8:$G$8</definedName>
    <definedName name="BExVWH5O60DAWDALWYLP29FXHNYB" localSheetId="2" hidden="1">#REF!</definedName>
    <definedName name="BExVWH5O60DAWDALWYLP29FXHNYB" localSheetId="10" hidden="1">#REF!</definedName>
    <definedName name="BExVWH5O60DAWDALWYLP29FXHNYB" hidden="1">#REF!</definedName>
    <definedName name="BExVWINKCH0V0NUWH363SMXAZE62" hidden="1">'[16]Reco Sheet for Fcast'!$F$6:$G$6</definedName>
    <definedName name="BExVWSZWDVO3AP2D6EDY5H1QYOXC" hidden="1">'[18]Bud Mth'!$F$6:$G$6</definedName>
    <definedName name="BExVWYU8EK669NP172GEIGCTVPPA" hidden="1">'[16]Reco Sheet for Fcast'!$I$8:$J$8</definedName>
    <definedName name="BExVX2VZNPKLDHY7OGN2A2H5HC14" localSheetId="2" hidden="1">#REF!</definedName>
    <definedName name="BExVX2VZNPKLDHY7OGN2A2H5HC14" localSheetId="10" hidden="1">#REF!</definedName>
    <definedName name="BExVX2VZNPKLDHY7OGN2A2H5HC14" hidden="1">#REF!</definedName>
    <definedName name="BExVX3XN2DRJKL8EDBIG58RYQ36R" hidden="1">'[16]Reco Sheet for Fcast'!$I$6:$J$6</definedName>
    <definedName name="BExVXDZ63PUART77BBR5SI63TPC6" hidden="1">'[16]Reco Sheet for Fcast'!$I$11:$J$11</definedName>
    <definedName name="BExVXHKI6LFYMGWISMPACMO247HL" hidden="1">'[16]Reco Sheet for Fcast'!$F$9:$G$9</definedName>
    <definedName name="BExVXLX2BZ5EF2X6R41BTKRJR1NM" localSheetId="2" hidden="1">'[17]AMI P &amp; L'!#REF!</definedName>
    <definedName name="BExVXLX2BZ5EF2X6R41BTKRJR1NM" localSheetId="10" hidden="1">'[17]AMI P &amp; L'!#REF!</definedName>
    <definedName name="BExVXLX2BZ5EF2X6R41BTKRJR1NM" hidden="1">'[17]AMI P &amp; L'!#REF!</definedName>
    <definedName name="BExVY11V7U1SAY4QKYE0PBSPD7LW" hidden="1">'[16]Reco Sheet for Fcast'!$F$7:$G$7</definedName>
    <definedName name="BExVY1SV37DL5YU59HS4IG3VBCP4" localSheetId="2" hidden="1">'[17]AMI P &amp; L'!#REF!</definedName>
    <definedName name="BExVY1SV37DL5YU59HS4IG3VBCP4" localSheetId="10" hidden="1">'[17]AMI P &amp; L'!#REF!</definedName>
    <definedName name="BExVY1SV37DL5YU59HS4IG3VBCP4" hidden="1">'[17]AMI P &amp; L'!#REF!</definedName>
    <definedName name="BExVY3WFGJKSQA08UF9NCMST928Y" hidden="1">'[16]Reco Sheet for Fcast'!$F$7:$G$7</definedName>
    <definedName name="BExVY954UOEVQEIC5OFO4NEWVKAQ" hidden="1">'[16]Reco Sheet for Fcast'!$F$11:$G$11</definedName>
    <definedName name="BExVYH8GALJI83YRQSC210IEPVCS" hidden="1">'[16]Reco Sheet for Fcast'!$F$8:$G$8</definedName>
    <definedName name="BExVYHDYIV5397LC02V4FEP8VD6W" hidden="1">'[16]Reco Sheet for Fcast'!$I$10:$J$10</definedName>
    <definedName name="BExVYOVIZDA18YIQ0A30Q052PCAK" hidden="1">'[16]Reco Sheet for Fcast'!$H$2:$I$2</definedName>
    <definedName name="BExVYQIXPEM6J4JVP78BRHIC05PV" hidden="1">'[16]Reco Sheet for Fcast'!$F$8:$G$8</definedName>
    <definedName name="BExVYVGWN7SONLVDH9WJ2F1JS264" hidden="1">'[16]Reco Sheet for Fcast'!$I$7:$J$7</definedName>
    <definedName name="BExVZ9EO732IK6MNMG17Y1EFTJQC" hidden="1">'[16]Reco Sheet for Fcast'!$F$8:$G$8</definedName>
    <definedName name="BExVZB1Y5J4UL2LKK0363EU7GIJ1" hidden="1">'[16]Reco Sheet for Fcast'!$F$7:$G$7</definedName>
    <definedName name="BExVZJQVO5LQ0BJH5JEN5NOBIAF6" localSheetId="2" hidden="1">'[17]AMI P &amp; L'!#REF!</definedName>
    <definedName name="BExVZJQVO5LQ0BJH5JEN5NOBIAF6" localSheetId="10" hidden="1">'[17]AMI P &amp; L'!#REF!</definedName>
    <definedName name="BExVZJQVO5LQ0BJH5JEN5NOBIAF6" hidden="1">'[17]AMI P &amp; L'!#REF!</definedName>
    <definedName name="BExVZNXWS91RD7NXV5NE2R3C8WW7" hidden="1">'[16]Reco Sheet for Fcast'!$I$8:$J$8</definedName>
    <definedName name="BExVZYQCU2I82W5UAYV4GQJ2JL8U" hidden="1">'[16]Reco Sheet for Fcast'!$J$2:$K$2</definedName>
    <definedName name="BExW02MMAYD9RIPXIGRXIWU01SWU" localSheetId="2" hidden="1">'[19]Capital orders'!#REF!</definedName>
    <definedName name="BExW02MMAYD9RIPXIGRXIWU01SWU" localSheetId="10" hidden="1">'[19]Capital orders'!#REF!</definedName>
    <definedName name="BExW02MMAYD9RIPXIGRXIWU01SWU" hidden="1">'[19]Capital orders'!#REF!</definedName>
    <definedName name="BExW0386REQRCQCVT9BCX80UPTRY" hidden="1">'[16]Reco Sheet for Fcast'!$K$2</definedName>
    <definedName name="BExW0CIOA9SK0V6OKKWTZOS8F5C5" hidden="1">'[18]Bud Mth'!$I$6:$J$6</definedName>
    <definedName name="BExW0FYP4WXY71CYUG40SUBG9UWU" hidden="1">'[16]Reco Sheet for Fcast'!$H$2:$I$2</definedName>
    <definedName name="BExW0RI61B4VV0ARXTFVBAWRA1C5" hidden="1">'[16]Reco Sheet for Fcast'!$F$9:$G$9</definedName>
    <definedName name="BExW1BVUYQTKMOR56MW7RVRX4L1L" hidden="1">'[16]Reco Sheet for Fcast'!$F$15</definedName>
    <definedName name="BExW1F1220628FOMTW5UAATHRJHK" hidden="1">'[16]Reco Sheet for Fcast'!$F$8:$G$8</definedName>
    <definedName name="BExW1RX03DZ35EAWTOIKB7PS5VV7" localSheetId="2" hidden="1">#REF!</definedName>
    <definedName name="BExW1RX03DZ35EAWTOIKB7PS5VV7" localSheetId="10" hidden="1">#REF!</definedName>
    <definedName name="BExW1RX03DZ35EAWTOIKB7PS5VV7" hidden="1">#REF!</definedName>
    <definedName name="BExW1TKA0Z9OP2DTG50GZR5EG8C7" hidden="1">'[16]Reco Sheet for Fcast'!$K$2</definedName>
    <definedName name="BExW1U0JLKQ094DW5MMOI8UHO09V" hidden="1">'[16]Reco Sheet for Fcast'!$I$8:$J$8</definedName>
    <definedName name="BExW283NP9D366XFPXLGSCI5UB0L" hidden="1">'[16]Reco Sheet for Fcast'!$F$6:$G$6</definedName>
    <definedName name="BExW2H3C8WJSBW5FGTFKVDVJC4CL" hidden="1">'[16]Reco Sheet for Fcast'!$I$7:$J$7</definedName>
    <definedName name="BExW2MSCKPGF5K3I7TL4KF5ISUOL" hidden="1">'[16]Reco Sheet for Fcast'!$F$15</definedName>
    <definedName name="BExW2NJ8EILHC8GHK3EOST8J05U0" hidden="1">'[16]Reco Sheet for Fcast'!$I$8:$J$8</definedName>
    <definedName name="BExW2SMO90FU9W8DVVES6Q4E6BZR" hidden="1">'[16]Reco Sheet for Fcast'!$F$6:$G$6</definedName>
    <definedName name="BExW2ZITSE40OUTU5LH01FV5JEA3" localSheetId="2" hidden="1">'[17]AMI P &amp; L'!#REF!</definedName>
    <definedName name="BExW2ZITSE40OUTU5LH01FV5JEA3" localSheetId="10" hidden="1">'[17]AMI P &amp; L'!#REF!</definedName>
    <definedName name="BExW2ZITSE40OUTU5LH01FV5JEA3" hidden="1">'[17]AMI P &amp; L'!#REF!</definedName>
    <definedName name="BExW36V9N91OHCUMGWJQL3I5P4JK" hidden="1">'[16]Reco Sheet for Fcast'!$F$15</definedName>
    <definedName name="BExW3E7HW3NMLQEPIHSOP33UGJEC" hidden="1">'[18]Bud Mth'!$E$1</definedName>
    <definedName name="BExW3EIBA1J9Q9NA9VCGZGRS8WV7" hidden="1">'[16]Reco Sheet for Fcast'!$F$9:$G$9</definedName>
    <definedName name="BExW3FEO8FI8N6AGQKYEG4SQVJWB" hidden="1">'[16]Reco Sheet for Fcast'!$K$2</definedName>
    <definedName name="BExW3GB28STOMJUSZEIA7YKYNS4Y" hidden="1">'[16]Reco Sheet for Fcast'!$H$2:$I$2</definedName>
    <definedName name="BExW3T1K638HT5E0Y8MMK108P5JT" hidden="1">'[16]Reco Sheet for Fcast'!$F$6:$G$6</definedName>
    <definedName name="BExW4217ZHL9VO39POSTJOD090WU" hidden="1">'[16]Reco Sheet for Fcast'!$F$6:$G$6</definedName>
    <definedName name="BExW4GPW71EBF8XPS2QGVQHBCDX3" hidden="1">'[16]Reco Sheet for Fcast'!$H$2:$I$2</definedName>
    <definedName name="BExW4JKC5837JBPCOJV337ZVYYY3" hidden="1">'[16]Reco Sheet for Fcast'!$G$2</definedName>
    <definedName name="BExW4QR9FV9MP5K610THBSM51RYO" hidden="1">'[16]Reco Sheet for Fcast'!$H$2:$I$2</definedName>
    <definedName name="BExW4Z029R9E19ZENN3WEA3VDAD1" hidden="1">'[16]Reco Sheet for Fcast'!$G$2</definedName>
    <definedName name="BExW4ZLNV6FJGQP2WOU4NKG3GNYO" localSheetId="2" hidden="1">#REF!</definedName>
    <definedName name="BExW4ZLNV6FJGQP2WOU4NKG3GNYO" localSheetId="10" hidden="1">#REF!</definedName>
    <definedName name="BExW4ZLNV6FJGQP2WOU4NKG3GNYO" hidden="1">#REF!</definedName>
    <definedName name="BExW5AZNT6IAZGNF2C879ODHY1B8" hidden="1">'[16]Reco Sheet for Fcast'!$F$11:$G$11</definedName>
    <definedName name="BExW5FMU99PBR9I4QY9LWERMXPCD" hidden="1">'[18]Bud Mth'!$J$2:$K$2</definedName>
    <definedName name="BExW5WPU27WD4NWZOT0ZEJIDLX5J" hidden="1">'[16]Reco Sheet for Fcast'!$I$6:$J$6</definedName>
    <definedName name="BExW660AV1TUV2XNUPD65RZR3QOO" hidden="1">'[16]Reco Sheet for Fcast'!$F$9:$G$9</definedName>
    <definedName name="BExW66LVVZK656PQY1257QMHP2AY" localSheetId="2" hidden="1">'[17]AMI P &amp; L'!#REF!</definedName>
    <definedName name="BExW66LVVZK656PQY1257QMHP2AY" localSheetId="10" hidden="1">'[17]AMI P &amp; L'!#REF!</definedName>
    <definedName name="BExW66LVVZK656PQY1257QMHP2AY" hidden="1">'[17]AMI P &amp; L'!#REF!</definedName>
    <definedName name="BExW6AY8KWN3C31NX1MZHXBFTSK7" localSheetId="2" hidden="1">#REF!</definedName>
    <definedName name="BExW6AY8KWN3C31NX1MZHXBFTSK7" localSheetId="10" hidden="1">#REF!</definedName>
    <definedName name="BExW6AY8KWN3C31NX1MZHXBFTSK7" hidden="1">#REF!</definedName>
    <definedName name="BExW6EJPHAP1TWT380AZLXNHR22P" hidden="1">'[16]Reco Sheet for Fcast'!$I$7:$J$7</definedName>
    <definedName name="BExW6G1PJ38H10DVLL8WPQ736OEB" hidden="1">'[16]Reco Sheet for Fcast'!$I$6:$J$6</definedName>
    <definedName name="BExW75OA5AS517IHUYDHRJXDDOWS" hidden="1">'[16]Reco Sheet for Fcast'!$J$2:$K$2</definedName>
    <definedName name="BExW794A74Z5F2K8LVQLD6VSKXUE" hidden="1">'[16]Reco Sheet for Fcast'!$F$8:$G$8</definedName>
    <definedName name="BExW7H7MHCUHD1MA5VUKYPO21U2I" localSheetId="2" hidden="1">#REF!</definedName>
    <definedName name="BExW7H7MHCUHD1MA5VUKYPO21U2I" localSheetId="10" hidden="1">#REF!</definedName>
    <definedName name="BExW7H7MHCUHD1MA5VUKYPO21U2I" hidden="1">#REF!</definedName>
    <definedName name="BExW7O3S5FIOKIM535S9J7PKA52A" localSheetId="2" hidden="1">#REF!</definedName>
    <definedName name="BExW7O3S5FIOKIM535S9J7PKA52A" localSheetId="10" hidden="1">#REF!</definedName>
    <definedName name="BExW7O3S5FIOKIM535S9J7PKA52A" hidden="1">#REF!</definedName>
    <definedName name="BExW7RUK8CJ81J4KZCOOP63WMXTX" hidden="1">'[16]Reco Sheet for Fcast'!$I$9:$J$9</definedName>
    <definedName name="BExW886OBR91JIW5EKLII4CQO6E4" hidden="1">'[16]Reco Sheet for Fcast'!$F$8:$G$8</definedName>
    <definedName name="BExW8AFIEPGHQDY6PZGJPQ7YFTB1" localSheetId="2" hidden="1">#REF!</definedName>
    <definedName name="BExW8AFIEPGHQDY6PZGJPQ7YFTB1" localSheetId="10" hidden="1">#REF!</definedName>
    <definedName name="BExW8AFIEPGHQDY6PZGJPQ7YFTB1" hidden="1">#REF!</definedName>
    <definedName name="BExW8K0SSIPSKBVP06IJ71600HJZ" hidden="1">'[16]Reco Sheet for Fcast'!$H$2:$I$2</definedName>
    <definedName name="BExW8T0GVY3ZYO4ACSBLHS8SH895" hidden="1">'[16]Reco Sheet for Fcast'!$F$15</definedName>
    <definedName name="BExW8YEP73JMMU9HZ08PM4WHJQZ4" hidden="1">'[16]Reco Sheet for Fcast'!$I$8:$J$8</definedName>
    <definedName name="BExW937AT53OZQRHNWQZ5BVH24IE" hidden="1">'[16]Reco Sheet for Fcast'!$I$11:$J$11</definedName>
    <definedName name="BExW95LN5N0LYFFVP7GJEGDVDLF0" hidden="1">'[16]Reco Sheet for Fcast'!$G$2</definedName>
    <definedName name="BExW967733Q8RAJOHR2GJ3HO8JIW" hidden="1">'[16]Reco Sheet for Fcast'!$I$6:$J$6</definedName>
    <definedName name="BExW9POK1KIOI0ALS5MZIKTDIYMA" hidden="1">'[16]Reco Sheet for Fcast'!$I$10:$J$10</definedName>
    <definedName name="BExXLDE6PN4ESWT3LXJNQCY94NE4" localSheetId="2" hidden="1">'[17]AMI P &amp; L'!#REF!</definedName>
    <definedName name="BExXLDE6PN4ESWT3LXJNQCY94NE4" localSheetId="10" hidden="1">'[17]AMI P &amp; L'!#REF!</definedName>
    <definedName name="BExXLDE6PN4ESWT3LXJNQCY94NE4" hidden="1">'[17]AMI P &amp; L'!#REF!</definedName>
    <definedName name="BExXLQVPK2H3IF0NDDA5CT612EUK" hidden="1">'[16]Reco Sheet for Fcast'!$I$6:$J$6</definedName>
    <definedName name="BExXLR6IO70TYTACKQH9M5PGV24J" hidden="1">'[16]Reco Sheet for Fcast'!$F$11:$G$11</definedName>
    <definedName name="BExXM065WOLYRYHGHOJE0OOFXA4M" localSheetId="2" hidden="1">'[17]AMI P &amp; L'!#REF!</definedName>
    <definedName name="BExXM065WOLYRYHGHOJE0OOFXA4M" localSheetId="10" hidden="1">'[17]AMI P &amp; L'!#REF!</definedName>
    <definedName name="BExXM065WOLYRYHGHOJE0OOFXA4M" hidden="1">'[17]AMI P &amp; L'!#REF!</definedName>
    <definedName name="BExXM3GUNXVDM82KUR17NNUMQCNI" hidden="1">'[16]Reco Sheet for Fcast'!$F$7:$G$7</definedName>
    <definedName name="BExXMA28M8SH7MKIGETSDA72WUIZ" hidden="1">'[16]Reco Sheet for Fcast'!$I$9:$J$9</definedName>
    <definedName name="BExXMJYBFUWD4HN6WTKX2CX41JCA" hidden="1">'[16]Reco Sheet for Fcast'!$I$10:$J$10</definedName>
    <definedName name="BExXMOLHIAHDLFSA31PUB36SC3I9" hidden="1">'[16]Reco Sheet for Fcast'!$G$2</definedName>
    <definedName name="BExXMT8T5Z3M2JBQN65X2LKH0YQI" hidden="1">'[16]Reco Sheet for Fcast'!$I$7:$J$7</definedName>
    <definedName name="BExXN1XNO7H60M9X1E7EVWFJDM5N" hidden="1">'[16]Reco Sheet for Fcast'!$I$7:$J$7</definedName>
    <definedName name="BExXN22ZOTIW49GPLWFYKVM90FNZ" hidden="1">'[16]Reco Sheet for Fcast'!$F$6:$G$6</definedName>
    <definedName name="BExXN6QAP8UJQVN4R4BQKPP4QK35" hidden="1">'[16]Reco Sheet for Fcast'!$F$7:$G$7</definedName>
    <definedName name="BExXNBOA39T2X6Y5Y5GZ5DDNA1AX" hidden="1">'[16]Reco Sheet for Fcast'!$F$8:$G$8</definedName>
    <definedName name="BExXND6872VJ3M2PGT056WQMWBHD" hidden="1">'[16]Reco Sheet for Fcast'!$G$2</definedName>
    <definedName name="BExXNF4F0489IITD5JLD8XFY5JNZ" localSheetId="2" hidden="1">#REF!</definedName>
    <definedName name="BExXNF4F0489IITD5JLD8XFY5JNZ" localSheetId="10" hidden="1">#REF!</definedName>
    <definedName name="BExXNF4F0489IITD5JLD8XFY5JNZ" hidden="1">#REF!</definedName>
    <definedName name="BExXNPM24UN2PGVL9D1TUBFRIKR4" hidden="1">'[16]Reco Sheet for Fcast'!$F$7:$G$7</definedName>
    <definedName name="BExXNWYB165VO9MHARCL5WLCHWS0" localSheetId="2" hidden="1">'[17]AMI P &amp; L'!#REF!</definedName>
    <definedName name="BExXNWYB165VO9MHARCL5WLCHWS0" localSheetId="10" hidden="1">'[17]AMI P &amp; L'!#REF!</definedName>
    <definedName name="BExXNWYB165VO9MHARCL5WLCHWS0" hidden="1">'[17]AMI P &amp; L'!#REF!</definedName>
    <definedName name="BExXO278QHQN8JDK5425EJ615ECC" hidden="1">'[16]Reco Sheet for Fcast'!$F$7:$G$7</definedName>
    <definedName name="BExXO8N5ROLIUVFKV9AVT4EASFRY" localSheetId="2" hidden="1">'[19]Capital orders'!#REF!</definedName>
    <definedName name="BExXO8N5ROLIUVFKV9AVT4EASFRY" localSheetId="10" hidden="1">'[19]Capital orders'!#REF!</definedName>
    <definedName name="BExXO8N5ROLIUVFKV9AVT4EASFRY" hidden="1">'[19]Capital orders'!#REF!</definedName>
    <definedName name="BExXOBHOP0WGFHI2Y9AO4L440UVQ" hidden="1">'[16]Reco Sheet for Fcast'!$F$11:$G$11</definedName>
    <definedName name="BExXOHSAD2NSHOLLMZ2JWA4I3I1R" hidden="1">'[16]Reco Sheet for Fcast'!$I$7:$J$7</definedName>
    <definedName name="BExXOKH8LRQ9BNMQSYR3RTWXFPLJ" localSheetId="2" hidden="1">'[19]Capital orders'!#REF!</definedName>
    <definedName name="BExXOKH8LRQ9BNMQSYR3RTWXFPLJ" localSheetId="10" hidden="1">'[19]Capital orders'!#REF!</definedName>
    <definedName name="BExXOKH8LRQ9BNMQSYR3RTWXFPLJ" hidden="1">'[19]Capital orders'!#REF!</definedName>
    <definedName name="BExXP80B5FGA00JCM7UXKPI3PB7Y" hidden="1">'[16]Reco Sheet for Fcast'!$I$9:$J$9</definedName>
    <definedName name="BExXP85M4WXYVN1UVHUTOEKEG5XS" hidden="1">'[16]Reco Sheet for Fcast'!$F$8:$G$8</definedName>
    <definedName name="BExXPELOTHOAG0OWILLAH94OZV5J" hidden="1">'[16]Reco Sheet for Fcast'!$H$2:$I$2</definedName>
    <definedName name="BExXPLXY0H93MFKJ5WQCZHXQYOUA" localSheetId="2" hidden="1">#REF!</definedName>
    <definedName name="BExXPLXY0H93MFKJ5WQCZHXQYOUA" localSheetId="10" hidden="1">#REF!</definedName>
    <definedName name="BExXPLXY0H93MFKJ5WQCZHXQYOUA" hidden="1">#REF!</definedName>
    <definedName name="BExXPS31W1VD2NMIE4E37LHVDF0L" hidden="1">'[16]Reco Sheet for Fcast'!$F$8:$G$8</definedName>
    <definedName name="BExXPZKYEMVF5JOC14HYOOYQK6JK" hidden="1">'[16]Reco Sheet for Fcast'!$G$2</definedName>
    <definedName name="BExXQ89PA10X79WBWOEP1AJX1OQM" hidden="1">'[16]Reco Sheet for Fcast'!$F$11:$G$11</definedName>
    <definedName name="BExXQCGQGGYSI0LTRVR73MUO50AW" hidden="1">'[16]Reco Sheet for Fcast'!$I$6:$J$6</definedName>
    <definedName name="BExXQEEXFHDQ8DSRAJSB5ET6J004" hidden="1">'[16]Reco Sheet for Fcast'!$F$6:$G$6</definedName>
    <definedName name="BExXQH41O5HZAH8BO6HCFY8YC3TU" localSheetId="2" hidden="1">'[17]AMI P &amp; L'!#REF!</definedName>
    <definedName name="BExXQH41O5HZAH8BO6HCFY8YC3TU" localSheetId="10" hidden="1">'[17]AMI P &amp; L'!#REF!</definedName>
    <definedName name="BExXQH41O5HZAH8BO6HCFY8YC3TU" hidden="1">'[17]AMI P &amp; L'!#REF!</definedName>
    <definedName name="BExXQJIEF5R3QQ6D8HO3NGPU0IQC" hidden="1">'[16]Reco Sheet for Fcast'!$G$2</definedName>
    <definedName name="BExXQR0550UX7PZCHV6RMVWU8PH7" hidden="1">'[18]Bud Mth'!$E$1</definedName>
    <definedName name="BExXQU00K9ER4I1WM7T9J0W1E7ZC" hidden="1">'[16]Reco Sheet for Fcast'!$I$10:$J$10</definedName>
    <definedName name="BExXQU00KOR7XLM8B13DGJ1MIQDY" hidden="1">'[16]Reco Sheet for Fcast'!$F$10:$G$10</definedName>
    <definedName name="BExXQXG18PS8HGBOS03OSTQ0KEYC" hidden="1">'[16]Reco Sheet for Fcast'!$G$2</definedName>
    <definedName name="BExXQXQT4OAFQT5B0YB3USDJOJOB" hidden="1">'[16]Reco Sheet for Fcast'!$I$9:$J$9</definedName>
    <definedName name="BExXR3FSEXAHSXEQNJORWFCPX86N" hidden="1">'[16]Reco Sheet for Fcast'!$I$6:$J$6</definedName>
    <definedName name="BExXR3W3FKYQBLR299HO9RZ70C43" hidden="1">'[16]Reco Sheet for Fcast'!$F$6:$G$6</definedName>
    <definedName name="BExXR46U23CRRBV6IZT982MAEQKI" hidden="1">'[16]Reco Sheet for Fcast'!$I$7:$J$7</definedName>
    <definedName name="BExXR8OKAVX7O70V5IYG2PRKXSTI" hidden="1">'[16]Reco Sheet for Fcast'!$I$7:$J$7</definedName>
    <definedName name="BExXRA6N6XCLQM6XDV724ZIH6G93" hidden="1">'[16]Reco Sheet for Fcast'!$F$10:$G$10</definedName>
    <definedName name="BExXRABZ1CNKCG6K1MR6OUFHF7J9" hidden="1">'[16]Reco Sheet for Fcast'!$F$10:$G$10</definedName>
    <definedName name="BExXRBOFETC0OTJ6WY3VPMFH03VB" hidden="1">'[16]Reco Sheet for Fcast'!$I$8:$J$8</definedName>
    <definedName name="BExXRD13K1S9Y3JGR7CXSONT7RJZ" localSheetId="2" hidden="1">'[17]AMI P &amp; L'!#REF!</definedName>
    <definedName name="BExXRD13K1S9Y3JGR7CXSONT7RJZ" localSheetId="10" hidden="1">'[17]AMI P &amp; L'!#REF!</definedName>
    <definedName name="BExXRD13K1S9Y3JGR7CXSONT7RJZ" hidden="1">'[17]AMI P &amp; L'!#REF!</definedName>
    <definedName name="BExXRIFB4QQ87QIGA9AG0NXP577K" hidden="1">'[16]Reco Sheet for Fcast'!$F$10:$G$10</definedName>
    <definedName name="BExXRIQ2JF2CVTRDQX2D9SPH7FTN" hidden="1">'[16]Reco Sheet for Fcast'!$I$11:$J$11</definedName>
    <definedName name="BExXRLKJ6CS4AJYAEHD0WH96AEBA" localSheetId="2" hidden="1">#REF!</definedName>
    <definedName name="BExXRLKJ6CS4AJYAEHD0WH96AEBA" localSheetId="10" hidden="1">#REF!</definedName>
    <definedName name="BExXRLKJ6CS4AJYAEHD0WH96AEBA" hidden="1">#REF!</definedName>
    <definedName name="BExXRO4A6VUH1F4XV8N1BRJ4896W" localSheetId="2" hidden="1">'[17]AMI P &amp; L'!#REF!</definedName>
    <definedName name="BExXRO4A6VUH1F4XV8N1BRJ4896W" localSheetId="10" hidden="1">'[17]AMI P &amp; L'!#REF!</definedName>
    <definedName name="BExXRO4A6VUH1F4XV8N1BRJ4896W" hidden="1">'[17]AMI P &amp; L'!#REF!</definedName>
    <definedName name="BExXRO9N1SNJZGKD90P4K7FU1J0P" hidden="1">'[16]Reco Sheet for Fcast'!$F$15</definedName>
    <definedName name="BExXRV5QP3Z0KAQ1EQT9JYT2FV0L" hidden="1">'[16]Reco Sheet for Fcast'!$F$10:$G$10</definedName>
    <definedName name="BExXRZ20LZZCW8LVGDK0XETOTSAI" hidden="1">'[16]Reco Sheet for Fcast'!$F$15</definedName>
    <definedName name="BExXS63O4OMWMNXXAODZQFSDG33N" hidden="1">'[16]Reco Sheet for Fcast'!$F$6:$G$6</definedName>
    <definedName name="BExXS702KUBW3EFNSAYMW64C95M3" localSheetId="2" hidden="1">'[19]Capital orders'!#REF!</definedName>
    <definedName name="BExXS702KUBW3EFNSAYMW64C95M3" localSheetId="10" hidden="1">'[19]Capital orders'!#REF!</definedName>
    <definedName name="BExXS702KUBW3EFNSAYMW64C95M3" hidden="1">'[19]Capital orders'!#REF!</definedName>
    <definedName name="BExXSBSP1TOY051HSPEPM0AEIO2M" hidden="1">'[16]Reco Sheet for Fcast'!$F$6:$G$6</definedName>
    <definedName name="BExXSC8RFK5D68FJD2HI4K66SA6I" hidden="1">'[16]Reco Sheet for Fcast'!$F$10:$G$10</definedName>
    <definedName name="BExXSNHC88W4UMXEOIOOATJAIKZO" hidden="1">'[16]Reco Sheet for Fcast'!$I$8:$J$8</definedName>
    <definedName name="BExXSTBS08WIA9TLALV3UQ2Z3MRG" hidden="1">'[16]Reco Sheet for Fcast'!$I$7:$J$7</definedName>
    <definedName name="BExXSVQ2WOJJ73YEO8Q2FK60V4G8" hidden="1">'[16]Reco Sheet for Fcast'!$I$8:$J$8</definedName>
    <definedName name="BExXTA9CMTC19FSCX4UIQBV2C7R9" localSheetId="2" hidden="1">'[19]Capital orders'!#REF!</definedName>
    <definedName name="BExXTA9CMTC19FSCX4UIQBV2C7R9" localSheetId="10" hidden="1">'[19]Capital orders'!#REF!</definedName>
    <definedName name="BExXTA9CMTC19FSCX4UIQBV2C7R9" hidden="1">'[19]Capital orders'!#REF!</definedName>
    <definedName name="BExXTHLRNL82GN7KZY3TOLO508N7" hidden="1">'[16]Reco Sheet for Fcast'!$F$8:$G$8</definedName>
    <definedName name="BExXTIY89DH3YOJMAQ0Q8WTGODVQ" localSheetId="2" hidden="1">#REF!</definedName>
    <definedName name="BExXTIY89DH3YOJMAQ0Q8WTGODVQ" localSheetId="10" hidden="1">#REF!</definedName>
    <definedName name="BExXTIY89DH3YOJMAQ0Q8WTGODVQ" hidden="1">#REF!</definedName>
    <definedName name="BExXTL72MKEQSQH9L2OTFLU8DM2B" hidden="1">'[16]Reco Sheet for Fcast'!$F$8:$G$8</definedName>
    <definedName name="BExXTM3M4RTCRSX7VGAXGQNPP668" hidden="1">'[16]Reco Sheet for Fcast'!$F$7:$G$7</definedName>
    <definedName name="BExXTOCF78J7WY6FOVBRY1N2RBBR" hidden="1">'[16]Reco Sheet for Fcast'!$H$2:$I$2</definedName>
    <definedName name="BExXTP3GYO6Z9RTKKT10XA0UTV3T" hidden="1">'[16]Reco Sheet for Fcast'!$I$8:$J$8</definedName>
    <definedName name="BExXTZKZ4CG92ZQLIRKEXXH9BFIR" hidden="1">'[16]Reco Sheet for Fcast'!$F$7:$G$7</definedName>
    <definedName name="BExXU4J2BM2964GD5UZHM752Q4NS" hidden="1">'[16]Reco Sheet for Fcast'!$F$9:$G$9</definedName>
    <definedName name="BExXU4ZC2TLLQLLN5Z55LSE6D0AG" hidden="1">'[16]Reco Sheet for Fcast'!$O$6:$P$10</definedName>
    <definedName name="BExXU6XDTT7RM93KILIDEYPA9XKF" hidden="1">'[16]Reco Sheet for Fcast'!$I$6:$J$6</definedName>
    <definedName name="BExXU8VLZA7WLPZ3RAQZGNERUD26" localSheetId="2" hidden="1">'[17]AMI P &amp; L'!#REF!</definedName>
    <definedName name="BExXU8VLZA7WLPZ3RAQZGNERUD26" localSheetId="10" hidden="1">'[17]AMI P &amp; L'!#REF!</definedName>
    <definedName name="BExXU8VLZA7WLPZ3RAQZGNERUD26" hidden="1">'[17]AMI P &amp; L'!#REF!</definedName>
    <definedName name="BExXUB9RSLSCNN5ETLXY72DAPZZM" hidden="1">'[16]Reco Sheet for Fcast'!$I$10:$J$10</definedName>
    <definedName name="BExXUEV8QPATH32AX9XYWBHUVOO8" localSheetId="2" hidden="1">#REF!</definedName>
    <definedName name="BExXUEV8QPATH32AX9XYWBHUVOO8" localSheetId="10" hidden="1">#REF!</definedName>
    <definedName name="BExXUEV8QPATH32AX9XYWBHUVOO8" hidden="1">#REF!</definedName>
    <definedName name="BExXUFRM82XQIN2T8KGLDQL1IBQW" hidden="1">'[16]Reco Sheet for Fcast'!$G$2</definedName>
    <definedName name="BExXUFX23FE72H6IM4JSHIQV4VNK" localSheetId="2" hidden="1">#REF!</definedName>
    <definedName name="BExXUFX23FE72H6IM4JSHIQV4VNK" localSheetId="10" hidden="1">#REF!</definedName>
    <definedName name="BExXUFX23FE72H6IM4JSHIQV4VNK" hidden="1">#REF!</definedName>
    <definedName name="BExXUM27VX063JGHF9FYOOLNOP4V" localSheetId="2" hidden="1">#REF!</definedName>
    <definedName name="BExXUM27VX063JGHF9FYOOLNOP4V" localSheetId="10" hidden="1">#REF!</definedName>
    <definedName name="BExXUM27VX063JGHF9FYOOLNOP4V" hidden="1">#REF!</definedName>
    <definedName name="BExXUQEQBF6FI240ZGIF9YXZSRAU" hidden="1">'[16]Reco Sheet for Fcast'!$F$10:$G$10</definedName>
    <definedName name="BExXUYND6EJO7CJ5KRICV4O1JNWK" hidden="1">'[16]Reco Sheet for Fcast'!$F$9:$G$9</definedName>
    <definedName name="BExXV3LG12X440HUOAJXFCK9NX6J" localSheetId="2" hidden="1">#REF!</definedName>
    <definedName name="BExXV3LG12X440HUOAJXFCK9NX6J" localSheetId="10" hidden="1">#REF!</definedName>
    <definedName name="BExXV3LG12X440HUOAJXFCK9NX6J" hidden="1">#REF!</definedName>
    <definedName name="BExXV6FWG4H3S2QEUJZYIXILNGJ7" hidden="1">'[16]Reco Sheet for Fcast'!$F$8:$G$8</definedName>
    <definedName name="BExXVK87BMMO6LHKV0CFDNIQVIBS" hidden="1">'[16]Reco Sheet for Fcast'!$I$11:$J$11</definedName>
    <definedName name="BExXVKZ9WXPGL6IVY6T61IDD771I" hidden="1">'[16]Reco Sheet for Fcast'!$F$8:$G$8</definedName>
    <definedName name="BExXVLVNRJK2QSK3UMZRFRADS2G4" localSheetId="2" hidden="1">'[17]AMI P &amp; L'!#REF!</definedName>
    <definedName name="BExXVLVNRJK2QSK3UMZRFRADS2G4" localSheetId="10" hidden="1">'[17]AMI P &amp; L'!#REF!</definedName>
    <definedName name="BExXVLVNRJK2QSK3UMZRFRADS2G4" hidden="1">'[17]AMI P &amp; L'!#REF!</definedName>
    <definedName name="BExXW27MMXHXUXX78SDTBE1JYTHT" hidden="1">'[16]Reco Sheet for Fcast'!$I$7:$J$7</definedName>
    <definedName name="BExXW2YIM2MYBSHRIX0RP9D4PRMN" hidden="1">'[16]Reco Sheet for Fcast'!$I$6:$J$6</definedName>
    <definedName name="BExXWBNE4KTFSXKVSRF6WX039WPB" hidden="1">'[16]Reco Sheet for Fcast'!$F$9:$G$9</definedName>
    <definedName name="BExXWFP5AYE7EHYTJWBZSQ8PQ0YX" hidden="1">'[16]Reco Sheet for Fcast'!$I$9:$J$9</definedName>
    <definedName name="BExXWLJG5TBEL46BL8CA7MCLGTUZ" localSheetId="2" hidden="1">#REF!</definedName>
    <definedName name="BExXWLJG5TBEL46BL8CA7MCLGTUZ" localSheetId="10" hidden="1">#REF!</definedName>
    <definedName name="BExXWLJG5TBEL46BL8CA7MCLGTUZ" hidden="1">#REF!</definedName>
    <definedName name="BExXWVFIBQT8OY1O41FRFPFGXQHK" hidden="1">'[16]Reco Sheet for Fcast'!$K$2</definedName>
    <definedName name="BExXWWXHBZHA9J3N8K47F84X0M0L" hidden="1">'[16]Reco Sheet for Fcast'!$I$10:$J$10</definedName>
    <definedName name="BExXXBM521DL8R4ZX7NZ3DBCUOR5" localSheetId="2" hidden="1">'[17]AMI P &amp; L'!#REF!</definedName>
    <definedName name="BExXXBM521DL8R4ZX7NZ3DBCUOR5" localSheetId="10" hidden="1">'[17]AMI P &amp; L'!#REF!</definedName>
    <definedName name="BExXXBM521DL8R4ZX7NZ3DBCUOR5" hidden="1">'[17]AMI P &amp; L'!#REF!</definedName>
    <definedName name="BExXXC7OZI33XZ03NRMEP7VRLQK4" hidden="1">'[16]Reco Sheet for Fcast'!$I$7:$J$7</definedName>
    <definedName name="BExXXH5N3NKBQ7BCJPJTBF8CYM2Q" hidden="1">'[16]Reco Sheet for Fcast'!$I$6:$J$6</definedName>
    <definedName name="BExXXKWLM4D541BH6O8GOJMHFHMW" hidden="1">'[16]Reco Sheet for Fcast'!$I$9:$J$9</definedName>
    <definedName name="BExXXPPA1Q87XPI97X0OXCPBPDON" hidden="1">'[16]Reco Sheet for Fcast'!$I$11:$J$11</definedName>
    <definedName name="BExXXVUDA98IZTQ6MANKU4MTTDVR" hidden="1">'[16]Reco Sheet for Fcast'!$I$10:$J$10</definedName>
    <definedName name="BExXXZQNZY6IZI45DJXJK0MQZWA7" localSheetId="2" hidden="1">'[17]AMI P &amp; L'!#REF!</definedName>
    <definedName name="BExXXZQNZY6IZI45DJXJK0MQZWA7" localSheetId="10" hidden="1">'[17]AMI P &amp; L'!#REF!</definedName>
    <definedName name="BExXXZQNZY6IZI45DJXJK0MQZWA7" hidden="1">'[17]AMI P &amp; L'!#REF!</definedName>
    <definedName name="BExXY5QFG6QP94SFT3935OBM8Y4K" hidden="1">'[16]Reco Sheet for Fcast'!$I$7:$J$7</definedName>
    <definedName name="BExXY7TYEBFXRYUYIFHTN65RJ8EW" localSheetId="2" hidden="1">'[17]AMI P &amp; L'!#REF!</definedName>
    <definedName name="BExXY7TYEBFXRYUYIFHTN65RJ8EW" localSheetId="10" hidden="1">'[17]AMI P &amp; L'!#REF!</definedName>
    <definedName name="BExXY7TYEBFXRYUYIFHTN65RJ8EW" hidden="1">'[17]AMI P &amp; L'!#REF!</definedName>
    <definedName name="BExXYCBSIHFUY3BDHNBY5TMPFMGL" localSheetId="2" hidden="1">#REF!</definedName>
    <definedName name="BExXYCBSIHFUY3BDHNBY5TMPFMGL" localSheetId="10" hidden="1">#REF!</definedName>
    <definedName name="BExXYCBSIHFUY3BDHNBY5TMPFMGL" hidden="1">#REF!</definedName>
    <definedName name="BExXYLBHANUXC5FCTDDTGOVD3GQS" hidden="1">'[16]Reco Sheet for Fcast'!$I$8:$J$8</definedName>
    <definedName name="BExXYMNYAYH3WA2ZCFAYKZID9ZCI" hidden="1">'[16]Reco Sheet for Fcast'!$I$9:$J$9</definedName>
    <definedName name="BExXYYT12SVN2VDMLVNV4P3ISD8T" hidden="1">'[16]Reco Sheet for Fcast'!$I$7:$J$7</definedName>
    <definedName name="BExXZ3LNUGA4E1LWS1MPLGG3LXKD" localSheetId="2" hidden="1">#REF!</definedName>
    <definedName name="BExXZ3LNUGA4E1LWS1MPLGG3LXKD" localSheetId="10" hidden="1">#REF!</definedName>
    <definedName name="BExXZ3LNUGA4E1LWS1MPLGG3LXKD" hidden="1">#REF!</definedName>
    <definedName name="BExXZFVV4YB42AZ3H1I40YG3JAPU" hidden="1">'[16]Reco Sheet for Fcast'!$I$11:$J$11</definedName>
    <definedName name="BExXZHJ9T2JELF12CHHGD54J1B0C" hidden="1">'[16]Reco Sheet for Fcast'!$F$7:$G$7</definedName>
    <definedName name="BExXZMBX5F1N53KQHPU92S4B5ZZ4" hidden="1">'[16]Reco Sheet for Fcast'!$E$1</definedName>
    <definedName name="BExXZNJ2X1TK2LRK5ZY3MX49H5T7" hidden="1">'[16]Reco Sheet for Fcast'!$J$2:$K$2</definedName>
    <definedName name="BExXZOVPCEP495TQSON6PSRQ8XCY" localSheetId="2" hidden="1">'[17]AMI P &amp; L'!#REF!</definedName>
    <definedName name="BExXZOVPCEP495TQSON6PSRQ8XCY" localSheetId="10" hidden="1">'[17]AMI P &amp; L'!#REF!</definedName>
    <definedName name="BExXZOVPCEP495TQSON6PSRQ8XCY" hidden="1">'[17]AMI P &amp; L'!#REF!</definedName>
    <definedName name="BExXZS0XCQNYYY1DP75R3PCXFSRH" localSheetId="2" hidden="1">#REF!</definedName>
    <definedName name="BExXZS0XCQNYYY1DP75R3PCXFSRH" localSheetId="10" hidden="1">#REF!</definedName>
    <definedName name="BExXZS0XCQNYYY1DP75R3PCXFSRH" hidden="1">#REF!</definedName>
    <definedName name="BExXZXKH7NBARQQAZM69Z57IH1MM" hidden="1">'[16]Reco Sheet for Fcast'!$F$6:$G$6</definedName>
    <definedName name="BExY06EUGA7EW4VVDQKIUQW4P39O" localSheetId="2" hidden="1">#REF!</definedName>
    <definedName name="BExY06EUGA7EW4VVDQKIUQW4P39O" localSheetId="10" hidden="1">#REF!</definedName>
    <definedName name="BExY06EUGA7EW4VVDQKIUQW4P39O" hidden="1">#REF!</definedName>
    <definedName name="BExY07WSDH5QEVM7BJXJK2ZRAI1O" localSheetId="2" hidden="1">'[17]AMI P &amp; L'!#REF!</definedName>
    <definedName name="BExY07WSDH5QEVM7BJXJK2ZRAI1O" localSheetId="10" hidden="1">'[17]AMI P &amp; L'!#REF!</definedName>
    <definedName name="BExY07WSDH5QEVM7BJXJK2ZRAI1O" hidden="1">'[17]AMI P &amp; L'!#REF!</definedName>
    <definedName name="BExY0BI99V6MXLHXBCSPUL0OPF3M" localSheetId="2" hidden="1">#REF!</definedName>
    <definedName name="BExY0BI99V6MXLHXBCSPUL0OPF3M" localSheetId="10" hidden="1">#REF!</definedName>
    <definedName name="BExY0BI99V6MXLHXBCSPUL0OPF3M" hidden="1">#REF!</definedName>
    <definedName name="BExY0C3UBVC4M59JIRXVQ8OWAJC1" hidden="1">'[16]Reco Sheet for Fcast'!$I$7:$J$7</definedName>
    <definedName name="BExY0OE8GFHMLLTEAFIOQTOPEVPB" hidden="1">'[16]Reco Sheet for Fcast'!$F$8:$G$8</definedName>
    <definedName name="BExY0OJHW85S0VKBA8T4HTYPYBOS" hidden="1">'[16]Reco Sheet for Fcast'!$I$10:$J$10</definedName>
    <definedName name="BExY0T1E034D7XAXNC6F7540LLIE" hidden="1">'[16]Reco Sheet for Fcast'!$F$15</definedName>
    <definedName name="BExY0V4VNPA7ZZUMJNNU0ZHE1KOH" localSheetId="2" hidden="1">#REF!</definedName>
    <definedName name="BExY0V4VNPA7ZZUMJNNU0ZHE1KOH" localSheetId="10" hidden="1">#REF!</definedName>
    <definedName name="BExY0V4VNPA7ZZUMJNNU0ZHE1KOH" hidden="1">#REF!</definedName>
    <definedName name="BExY0XTZLHN49J2JH94BYTKBJLT3" hidden="1">'[16]Reco Sheet for Fcast'!$F$10:$G$10</definedName>
    <definedName name="BExY11FH9TXHERUYGG8FE50U7H7J" hidden="1">'[16]Reco Sheet for Fcast'!$F$10:$G$10</definedName>
    <definedName name="BExY16IWJ7CI1QGWVNBVHPYS9JPN" localSheetId="2" hidden="1">#REF!</definedName>
    <definedName name="BExY16IWJ7CI1QGWVNBVHPYS9JPN" localSheetId="10" hidden="1">#REF!</definedName>
    <definedName name="BExY16IWJ7CI1QGWVNBVHPYS9JPN" hidden="1">#REF!</definedName>
    <definedName name="BExY180UKNW5NIAWD6ZUYTFEH8QS" hidden="1">'[16]Reco Sheet for Fcast'!$F$15</definedName>
    <definedName name="BExY1DPTV4LSY9MEOUGXF8X052NA" hidden="1">'[16]Reco Sheet for Fcast'!$F$7:$G$7</definedName>
    <definedName name="BExY1GK9ELBEKDD7O6HR6DUO8YGO" hidden="1">'[16]Reco Sheet for Fcast'!$I$11:$J$11</definedName>
    <definedName name="BExY1HBBZWCVKT5KEBLCKMKR9LKK" hidden="1">'[16]Reco Sheet for Fcast'!$F$9:$G$9</definedName>
    <definedName name="BExY1NWOXXFV9GGZ3PX444LZ8TVX" hidden="1">'[16]Reco Sheet for Fcast'!$F$10:$G$10</definedName>
    <definedName name="BExY1UCL0RND63LLSM9X5SFRG117" hidden="1">'[16]Reco Sheet for Fcast'!$H$2:$I$2</definedName>
    <definedName name="BExY1WAT3937L08HLHIRQHMP2A3H" hidden="1">'[16]Reco Sheet for Fcast'!$I$10:$J$10</definedName>
    <definedName name="BExY1YEBOSLMID7LURP8QB46AI91" hidden="1">'[16]Reco Sheet for Fcast'!$I$10:$J$10</definedName>
    <definedName name="BExY2FS4LFX9OHOTQT7SJ2PXAC25" hidden="1">'[16]Reco Sheet for Fcast'!$I$10:$J$10</definedName>
    <definedName name="BExY2GDPCZPVU0IQ6IJIB1YQQRQ6" hidden="1">'[16]Reco Sheet for Fcast'!$F$6:$G$6</definedName>
    <definedName name="BExY2GTSZ3VA9TXLY7KW1LIAKJ61" hidden="1">'[16]Reco Sheet for Fcast'!$F$6:$G$6</definedName>
    <definedName name="BExY2IXBR1SGYZH08T7QHKEFS8HA" hidden="1">'[16]Reco Sheet for Fcast'!$F$15</definedName>
    <definedName name="BExY2Q4B5FUDA5VU4VRUHX327QN0" hidden="1">'[16]Reco Sheet for Fcast'!$F$9:$G$9</definedName>
    <definedName name="BExY3HOSK7YI364K15OX70AVR6F1" localSheetId="2" hidden="1">'[17]AMI P &amp; L'!#REF!</definedName>
    <definedName name="BExY3HOSK7YI364K15OX70AVR6F1" localSheetId="10" hidden="1">'[17]AMI P &amp; L'!#REF!</definedName>
    <definedName name="BExY3HOSK7YI364K15OX70AVR6F1" hidden="1">'[17]AMI P &amp; L'!#REF!</definedName>
    <definedName name="BExY3T89AUR83SOAZZ3OMDEJDQ39" hidden="1">'[16]Reco Sheet for Fcast'!$F$10:$G$10</definedName>
    <definedName name="BExY45O3XSWT6MQU6R33GI3YUAUM" localSheetId="2" hidden="1">#REF!</definedName>
    <definedName name="BExY45O3XSWT6MQU6R33GI3YUAUM" localSheetId="10" hidden="1">#REF!</definedName>
    <definedName name="BExY45O3XSWT6MQU6R33GI3YUAUM" hidden="1">#REF!</definedName>
    <definedName name="BExY4ET3RLNWSSJL6DIXQZOTATID" hidden="1">'[18]Bud Mth'!$G$2:$H$2</definedName>
    <definedName name="BExY4MG771JQ84EMIVB6HQGGHZY7" hidden="1">'[16]Reco Sheet for Fcast'!$H$2:$I$2</definedName>
    <definedName name="BExY4PWCSFB8P3J3TBQB2MD67263" hidden="1">'[16]Reco Sheet for Fcast'!$I$8:$J$8</definedName>
    <definedName name="BExY4RZW3KK11JLYBA4DWZ92M6LQ" hidden="1">'[16]Reco Sheet for Fcast'!$I$11:$J$11</definedName>
    <definedName name="BExY4XOVTTNVZ577RLIEC7NZQFIX" hidden="1">'[16]Reco Sheet for Fcast'!$F$7:$G$7</definedName>
    <definedName name="BExY50JAF5CG01GTHAUS7I4ZLUDC" hidden="1">'[16]Reco Sheet for Fcast'!$I$8:$J$8</definedName>
    <definedName name="BExY53J7EXFEOFTRNAHLK7IH3ACB" hidden="1">'[16]Reco Sheet for Fcast'!$F$8:$G$8</definedName>
    <definedName name="BExY5515SJTJS3VM80M3YYR0WF37" hidden="1">'[16]Reco Sheet for Fcast'!$F$15:$G$16</definedName>
    <definedName name="BExY5515WE39FQ3EG5QHG67V9C0O" hidden="1">'[16]Reco Sheet for Fcast'!$F$11:$G$11</definedName>
    <definedName name="BExY5986WNAD8NFCPXC9TVLBU4FG" hidden="1">'[16]Reco Sheet for Fcast'!$K$2</definedName>
    <definedName name="BExY5DF9MS25IFNWGJ1YAS5MDN8R" hidden="1">'[16]Reco Sheet for Fcast'!$K$2</definedName>
    <definedName name="BExY5ERVGL3UM2MGT8LJ0XPKTZEK" hidden="1">'[16]Reco Sheet for Fcast'!$I$7:$J$7</definedName>
    <definedName name="BExY5EX6NJFK8W754ZVZDN5DS04K" hidden="1">'[16]Reco Sheet for Fcast'!$I$6:$J$6</definedName>
    <definedName name="BExY5S3XD1NJT109CV54IFOHVLQ6" hidden="1">'[16]Reco Sheet for Fcast'!$F$9:$G$9</definedName>
    <definedName name="BExY5V3UFTA5NUDN1GI8BVHFL1ZK" localSheetId="2" hidden="1">'[19]Capital orders'!#REF!</definedName>
    <definedName name="BExY5V3UFTA5NUDN1GI8BVHFL1ZK" localSheetId="10" hidden="1">'[19]Capital orders'!#REF!</definedName>
    <definedName name="BExY5V3UFTA5NUDN1GI8BVHFL1ZK" hidden="1">'[19]Capital orders'!#REF!</definedName>
    <definedName name="BExY6KVS1MMZ2R34PGEFR2BMTU9W" hidden="1">'[16]Reco Sheet for Fcast'!$I$11:$J$11</definedName>
    <definedName name="BExY6Q9YY7LW745GP7CYOGGSPHGE" hidden="1">'[16]Reco Sheet for Fcast'!$F$6:$G$6</definedName>
    <definedName name="BExZIA3C8LKJTEH3MKQ57KJH5TA2" hidden="1">'[16]Reco Sheet for Fcast'!$I$11:$J$11</definedName>
    <definedName name="BExZIIHH3QNQE3GFMHEE4UMHY6WQ" hidden="1">'[16]Reco Sheet for Fcast'!$F$6:$G$6</definedName>
    <definedName name="BExZIYO22G5UXOB42GDLYGVRJ6U7" hidden="1">'[16]Reco Sheet for Fcast'!$F$11:$G$11</definedName>
    <definedName name="BExZJ7CYXTDLM412P6E5FAC4YB5M" hidden="1">'[16]Reco Sheet for Fcast'!$F$15:$AI$18</definedName>
    <definedName name="BExZJ7I9T8XU4MZRKJ1VVU76V2LZ" hidden="1">'[16]Reco Sheet for Fcast'!$F$15</definedName>
    <definedName name="BExZJMY170JCUU1RWASNZ1HJPRTA" hidden="1">'[16]Reco Sheet for Fcast'!$F$8:$G$8</definedName>
    <definedName name="BExZJOQR77H0P4SUKVYACDCFBBXO" hidden="1">'[16]Reco Sheet for Fcast'!$I$6:$J$6</definedName>
    <definedName name="BExZJS6RG34ODDY9HMZ0O34MEMSB" hidden="1">'[16]Reco Sheet for Fcast'!$I$8:$J$8</definedName>
    <definedName name="BExZJWDUEYTV7TBR6HSM97T24VTT" localSheetId="2" hidden="1">#REF!</definedName>
    <definedName name="BExZJWDUEYTV7TBR6HSM97T24VTT" localSheetId="10" hidden="1">#REF!</definedName>
    <definedName name="BExZJWDUEYTV7TBR6HSM97T24VTT" hidden="1">#REF!</definedName>
    <definedName name="BExZK34NR4BAD7HJAP7SQ926UQP3" hidden="1">'[16]Reco Sheet for Fcast'!$F$11:$G$11</definedName>
    <definedName name="BExZK3FGPHH5H771U7D5XY7XBS6E" localSheetId="2" hidden="1">'[17]AMI P &amp; L'!#REF!</definedName>
    <definedName name="BExZK3FGPHH5H771U7D5XY7XBS6E" localSheetId="10" hidden="1">'[17]AMI P &amp; L'!#REF!</definedName>
    <definedName name="BExZK3FGPHH5H771U7D5XY7XBS6E" hidden="1">'[17]AMI P &amp; L'!#REF!</definedName>
    <definedName name="BExZKHYORG3O8C772XPFHM1N8T80" localSheetId="2" hidden="1">'[17]AMI P &amp; L'!#REF!</definedName>
    <definedName name="BExZKHYORG3O8C772XPFHM1N8T80" localSheetId="10" hidden="1">'[17]AMI P &amp; L'!#REF!</definedName>
    <definedName name="BExZKHYORG3O8C772XPFHM1N8T80" hidden="1">'[17]AMI P &amp; L'!#REF!</definedName>
    <definedName name="BExZKJRF2IRR57DG9CLC7MSHWNNN" hidden="1">'[16]Reco Sheet for Fcast'!$F$8:$G$8</definedName>
    <definedName name="BExZKV5GYXO0X760SBD9TWTIQHGI" hidden="1">'[16]Reco Sheet for Fcast'!$F$10:$G$10</definedName>
    <definedName name="BExZL6E4YVXRUN7ZGF2BIGIXFR8K" localSheetId="2" hidden="1">'[17]AMI P &amp; L'!#REF!</definedName>
    <definedName name="BExZL6E4YVXRUN7ZGF2BIGIXFR8K" localSheetId="10" hidden="1">'[17]AMI P &amp; L'!#REF!</definedName>
    <definedName name="BExZL6E4YVXRUN7ZGF2BIGIXFR8K" hidden="1">'[17]AMI P &amp; L'!#REF!</definedName>
    <definedName name="BExZLGVLMKTPFXG42QYT0PO81G7F" hidden="1">'[16]Reco Sheet for Fcast'!$F$9:$G$9</definedName>
    <definedName name="BExZLKMK7LRK14S09WLMH7MXSQXM" hidden="1">'[16]Reco Sheet for Fcast'!$F$7:$G$7</definedName>
    <definedName name="BExZM7JVLG0W8EG5RBU915U3SKBY" hidden="1">'[16]Reco Sheet for Fcast'!$F$7:$G$7</definedName>
    <definedName name="BExZM85FOVUFF110XMQ9O2ODSJUK" hidden="1">'[16]Reco Sheet for Fcast'!$I$7:$J$7</definedName>
    <definedName name="BExZMF1MMTZ1TA14PZ8ASSU2CBSP" hidden="1">'[16]Reco Sheet for Fcast'!$I$8:$J$8</definedName>
    <definedName name="BExZMKL5YQZD7F0FUCSVFGLPFK52" hidden="1">'[16]Reco Sheet for Fcast'!$F$9:$G$9</definedName>
    <definedName name="BExZMOC3VNZALJM71X2T6FV91GTB" hidden="1">'[16]Reco Sheet for Fcast'!$I$8:$J$8</definedName>
    <definedName name="BExZMXH39OB0I43XEL3K11U3G9PM" hidden="1">'[16]Reco Sheet for Fcast'!$I$6:$J$6</definedName>
    <definedName name="BExZMZQ3RBKDHT5GLFNLS52OSJA0" hidden="1">'[16]Reco Sheet for Fcast'!$F$11:$G$11</definedName>
    <definedName name="BExZN2F7Y2J2L2LN5WZRG949MS4A" hidden="1">'[16]Reco Sheet for Fcast'!$F$6:$G$6</definedName>
    <definedName name="BExZN847WUWKRYTZWG9TCQZJS3OL" hidden="1">'[16]Reco Sheet for Fcast'!$I$6:$J$6</definedName>
    <definedName name="BExZNH3VISFF4NQI11BZDP5IQ7VG" hidden="1">'[16]Reco Sheet for Fcast'!$F$6:$G$6</definedName>
    <definedName name="BExZNJYCFYVMAOI62GB2BABK1ELE" hidden="1">'[16]Reco Sheet for Fcast'!$I$8:$J$8</definedName>
    <definedName name="BExZNMCNFLS6EUF357U7TXQ4U84V" localSheetId="2" hidden="1">'[19]Capital orders'!#REF!</definedName>
    <definedName name="BExZNMCNFLS6EUF357U7TXQ4U84V" localSheetId="10" hidden="1">'[19]Capital orders'!#REF!</definedName>
    <definedName name="BExZNMCNFLS6EUF357U7TXQ4U84V" hidden="1">'[19]Capital orders'!#REF!</definedName>
    <definedName name="BExZNV707LIU6Z5H6QI6H67LHTI1" hidden="1">'[16]Reco Sheet for Fcast'!$F$9:$G$9</definedName>
    <definedName name="BExZNVCBKB930QQ9QW7KSGOZ0V1M" hidden="1">'[16]Reco Sheet for Fcast'!$I$9:$J$9</definedName>
    <definedName name="BExZNW8QJ18X0RSGFDWAE9ZSDX39" hidden="1">'[16]Reco Sheet for Fcast'!$H$2:$I$2</definedName>
    <definedName name="BExZNZDWRS6Q40L8OCWFEIVI0A1O" hidden="1">'[16]Reco Sheet for Fcast'!$I$6:$J$6</definedName>
    <definedName name="BExZO8TVZX68PZ4ENQ8QOILK16OS" localSheetId="2" hidden="1">#REF!</definedName>
    <definedName name="BExZO8TVZX68PZ4ENQ8QOILK16OS" localSheetId="10" hidden="1">#REF!</definedName>
    <definedName name="BExZO8TVZX68PZ4ENQ8QOILK16OS" hidden="1">#REF!</definedName>
    <definedName name="BExZOAH4GDULQO35ZGF099VIFGNC" localSheetId="2" hidden="1">#REF!</definedName>
    <definedName name="BExZOAH4GDULQO35ZGF099VIFGNC" localSheetId="10" hidden="1">#REF!</definedName>
    <definedName name="BExZOAH4GDULQO35ZGF099VIFGNC" hidden="1">#REF!</definedName>
    <definedName name="BExZOBO9NYLGVJQ31LVQ9XS2ZT4N" hidden="1">'[16]Reco Sheet for Fcast'!$I$10:$J$10</definedName>
    <definedName name="BExZOETNB1CJ3Y2RKLI1ZK0S8Z6H" hidden="1">'[16]Reco Sheet for Fcast'!$I$10:$J$10</definedName>
    <definedName name="BExZOREMVSK4E5VSWM838KHUB8AI" hidden="1">'[16]Reco Sheet for Fcast'!$I$6:$J$6</definedName>
    <definedName name="BExZOVR745T5P1KS9NV2PXZPZVRG" hidden="1">'[16]Reco Sheet for Fcast'!$I$11:$J$11</definedName>
    <definedName name="BExZOZSWGLSY2XYVRIS6VSNJDSGD" hidden="1">'[16]Reco Sheet for Fcast'!$I$8:$J$8</definedName>
    <definedName name="BExZP7AIJKLM6C6CSUIIFAHFBNX2" hidden="1">'[16]Reco Sheet for Fcast'!$G$2</definedName>
    <definedName name="BExZPIU08CG16AZ72BD0PB5ISUQE" localSheetId="2" hidden="1">'[19]Capital orders'!#REF!</definedName>
    <definedName name="BExZPIU08CG16AZ72BD0PB5ISUQE" localSheetId="10" hidden="1">'[19]Capital orders'!#REF!</definedName>
    <definedName name="BExZPIU08CG16AZ72BD0PB5ISUQE" hidden="1">'[19]Capital orders'!#REF!</definedName>
    <definedName name="BExZPQ0XY507N8FJMVPKCTK8HC9H" hidden="1">'[16]Reco Sheet for Fcast'!$K$2</definedName>
    <definedName name="BExZQ37OVBR25U32CO2YYVPZOMR5" hidden="1">'[16]Reco Sheet for Fcast'!$K$2</definedName>
    <definedName name="BExZQ3NT7H06VO0AR48WHZULZB93" hidden="1">'[16]Reco Sheet for Fcast'!$I$8:$J$8</definedName>
    <definedName name="BExZQ7PJU07SEJMDX18U9YVDC2GU" hidden="1">'[16]Reco Sheet for Fcast'!$F$6:$G$6</definedName>
    <definedName name="BExZQBLMR2P2GZNI8IW6QBSS5ZV9" localSheetId="2" hidden="1">'[19]Capital orders'!#REF!</definedName>
    <definedName name="BExZQBLMR2P2GZNI8IW6QBSS5ZV9" localSheetId="10" hidden="1">'[19]Capital orders'!#REF!</definedName>
    <definedName name="BExZQBLMR2P2GZNI8IW6QBSS5ZV9" hidden="1">'[19]Capital orders'!#REF!</definedName>
    <definedName name="BExZQIHTGHK7OOI2Y2PN3JYBY82I" localSheetId="2" hidden="1">'[17]AMI P &amp; L'!#REF!</definedName>
    <definedName name="BExZQIHTGHK7OOI2Y2PN3JYBY82I" localSheetId="10" hidden="1">'[17]AMI P &amp; L'!#REF!</definedName>
    <definedName name="BExZQIHTGHK7OOI2Y2PN3JYBY82I" hidden="1">'[17]AMI P &amp; L'!#REF!</definedName>
    <definedName name="BExZQJJMGU5MHQOILGXGJPAQI5XI" localSheetId="2" hidden="1">'[17]AMI P &amp; L'!#REF!</definedName>
    <definedName name="BExZQJJMGU5MHQOILGXGJPAQI5XI" localSheetId="10" hidden="1">'[17]AMI P &amp; L'!#REF!</definedName>
    <definedName name="BExZQJJMGU5MHQOILGXGJPAQI5XI" hidden="1">'[17]AMI P &amp; L'!#REF!</definedName>
    <definedName name="BExZQP3CUHU0IRXBVRJLP1KYRDVE" localSheetId="2" hidden="1">#REF!</definedName>
    <definedName name="BExZQP3CUHU0IRXBVRJLP1KYRDVE" localSheetId="10" hidden="1">#REF!</definedName>
    <definedName name="BExZQP3CUHU0IRXBVRJLP1KYRDVE" hidden="1">#REF!</definedName>
    <definedName name="BExZQRHGZ7WP7RQ2CX0H6W1CIP9U" localSheetId="2" hidden="1">#REF!</definedName>
    <definedName name="BExZQRHGZ7WP7RQ2CX0H6W1CIP9U" localSheetId="10" hidden="1">#REF!</definedName>
    <definedName name="BExZQRHGZ7WP7RQ2CX0H6W1CIP9U" hidden="1">#REF!</definedName>
    <definedName name="BExZQWFMANQLA8Z37ZECN1VLXVSB" localSheetId="2" hidden="1">#REF!</definedName>
    <definedName name="BExZQWFMANQLA8Z37ZECN1VLXVSB" localSheetId="10" hidden="1">#REF!</definedName>
    <definedName name="BExZQWFMANQLA8Z37ZECN1VLXVSB" hidden="1">#REF!</definedName>
    <definedName name="BExZQXBYEBN28QUH1KOVW6KKA5UM" hidden="1">'[16]Reco Sheet for Fcast'!$F$15</definedName>
    <definedName name="BExZQZKT146WEN8FTVZ7Y5TSB8L5" localSheetId="2" hidden="1">'[17]AMI P &amp; L'!#REF!</definedName>
    <definedName name="BExZQZKT146WEN8FTVZ7Y5TSB8L5" localSheetId="10" hidden="1">'[17]AMI P &amp; L'!#REF!</definedName>
    <definedName name="BExZQZKT146WEN8FTVZ7Y5TSB8L5" hidden="1">'[17]AMI P &amp; L'!#REF!</definedName>
    <definedName name="BExZR485AKBH93YZ08CMUC3WROED" hidden="1">'[16]Reco Sheet for Fcast'!$I$10:$J$10</definedName>
    <definedName name="BExZR7TL98P2PPUVGIZYR5873DWW" hidden="1">'[16]Reco Sheet for Fcast'!$F$9:$G$9</definedName>
    <definedName name="BExZRGD1603X5ACFALUUDKCD7X48" hidden="1">'[16]Reco Sheet for Fcast'!$I$9:$J$9</definedName>
    <definedName name="BExZRP1X6UVLN1UOLHH5VF4STP1O" localSheetId="2" hidden="1">'[17]AMI P &amp; L'!#REF!</definedName>
    <definedName name="BExZRP1X6UVLN1UOLHH5VF4STP1O" localSheetId="10" hidden="1">'[17]AMI P &amp; L'!#REF!</definedName>
    <definedName name="BExZRP1X6UVLN1UOLHH5VF4STP1O" hidden="1">'[17]AMI P &amp; L'!#REF!</definedName>
    <definedName name="BExZRQ930U6OCYNV00CH5I0Q4LPE" hidden="1">'[16]Reco Sheet for Fcast'!$I$8:$J$8</definedName>
    <definedName name="BExZRW8W514W8OZ72YBONYJ64GXF" localSheetId="2" hidden="1">'[17]AMI P &amp; L'!#REF!</definedName>
    <definedName name="BExZRW8W514W8OZ72YBONYJ64GXF" localSheetId="10" hidden="1">'[17]AMI P &amp; L'!#REF!</definedName>
    <definedName name="BExZRW8W514W8OZ72YBONYJ64GXF" hidden="1">'[17]AMI P &amp; L'!#REF!</definedName>
    <definedName name="BExZRWJP2BUVFJPO8U8ATQEP0LZU" hidden="1">'[16]Reco Sheet for Fcast'!$F$15</definedName>
    <definedName name="BExZRZUBL5A1WH7YZJXBZG8HPWC7" localSheetId="2" hidden="1">#REF!</definedName>
    <definedName name="BExZRZUBL5A1WH7YZJXBZG8HPWC7" localSheetId="10" hidden="1">#REF!</definedName>
    <definedName name="BExZRZUBL5A1WH7YZJXBZG8HPWC7" hidden="1">#REF!</definedName>
    <definedName name="BExZSI9USDLZAN8LI8M4YYQL24GZ" hidden="1">'[16]Reco Sheet for Fcast'!$F$7:$G$7</definedName>
    <definedName name="BExZSS0LA2JY4ZLJ1Z5YCMLJJZCH" hidden="1">'[16]Reco Sheet for Fcast'!$F$11:$G$11</definedName>
    <definedName name="BExZT394ULBLT8EUHBM7KV741HQI" localSheetId="2" hidden="1">#REF!</definedName>
    <definedName name="BExZT394ULBLT8EUHBM7KV741HQI" localSheetId="10" hidden="1">#REF!</definedName>
    <definedName name="BExZT394ULBLT8EUHBM7KV741HQI" hidden="1">#REF!</definedName>
    <definedName name="BExZTAQV2QVSZY5Y3VCCWUBSBW9P" localSheetId="2" hidden="1">'[17]AMI P &amp; L'!#REF!</definedName>
    <definedName name="BExZTAQV2QVSZY5Y3VCCWUBSBW9P" localSheetId="10" hidden="1">'[17]AMI P &amp; L'!#REF!</definedName>
    <definedName name="BExZTAQV2QVSZY5Y3VCCWUBSBW9P" hidden="1">'[17]AMI P &amp; L'!#REF!</definedName>
    <definedName name="BExZTHSI2FX56PWRSNX9H5EWTZFO" hidden="1">'[16]Reco Sheet for Fcast'!$F$6:$G$6</definedName>
    <definedName name="BExZTJL3HVBFY139H6CJHEQCT1EL" hidden="1">'[16]Reco Sheet for Fcast'!$F$9:$G$9</definedName>
    <definedName name="BExZTLOL8OPABZI453E0KVNA1GJS" hidden="1">'[16]Reco Sheet for Fcast'!$F$11:$G$11</definedName>
    <definedName name="BExZTT6J3X0TOX0ZY6YPLUVMCW9X" localSheetId="2" hidden="1">'[17]AMI P &amp; L'!#REF!</definedName>
    <definedName name="BExZTT6J3X0TOX0ZY6YPLUVMCW9X" localSheetId="10" hidden="1">'[17]AMI P &amp; L'!#REF!</definedName>
    <definedName name="BExZTT6J3X0TOX0ZY6YPLUVMCW9X" hidden="1">'[17]AMI P &amp; L'!#REF!</definedName>
    <definedName name="BExZTW6ECBRA0BBITWBQ8R93RMCL" hidden="1">'[16]Reco Sheet for Fcast'!$G$2</definedName>
    <definedName name="BExZU2BHYAOKSCBM3C5014ZF6IXS" hidden="1">'[16]Reco Sheet for Fcast'!$H$2:$I$2</definedName>
    <definedName name="BExZU2RMJTXOCS0ROPMYPE6WTD87" hidden="1">'[16]Reco Sheet for Fcast'!$F$7:$G$7</definedName>
    <definedName name="BExZUF7G8FENTJKH9R1XUWXM6CWD" hidden="1">'[16]Reco Sheet for Fcast'!$I$9:$J$9</definedName>
    <definedName name="BExZUHWEEZO4WXP5DG5P4U6A70KN" localSheetId="2" hidden="1">#REF!</definedName>
    <definedName name="BExZUHWEEZO4WXP5DG5P4U6A70KN" localSheetId="10" hidden="1">#REF!</definedName>
    <definedName name="BExZUHWEEZO4WXP5DG5P4U6A70KN" hidden="1">#REF!</definedName>
    <definedName name="BExZUNARUJBIZ08VCAV3GEVBIR3D" hidden="1">'[16]Reco Sheet for Fcast'!$I$8:$J$8</definedName>
    <definedName name="BExZUSZT5496UMBP4LFSLTR1GVEW" hidden="1">'[16]Reco Sheet for Fcast'!$I$9:$J$9</definedName>
    <definedName name="BExZUT54340I38GVCV79EL116WR0" hidden="1">'[16]Reco Sheet for Fcast'!$I$11:$J$11</definedName>
    <definedName name="BExZUYDULCX65H9OZ9JHPBNKF3MI" hidden="1">'[16]Reco Sheet for Fcast'!$F$7:$G$7</definedName>
    <definedName name="BExZV2QD5ZDK3AGDRULLA7JB46C3" hidden="1">'[16]Reco Sheet for Fcast'!$F$8:$G$8</definedName>
    <definedName name="BExZVBQ29OM0V8XAL3HL0JIM0MMU" hidden="1">'[16]Reco Sheet for Fcast'!$I$9:$J$9</definedName>
    <definedName name="BExZVBQ3B8IIQW88DDLAW5BA4PL4" localSheetId="2" hidden="1">#REF!</definedName>
    <definedName name="BExZVBQ3B8IIQW88DDLAW5BA4PL4" localSheetId="10" hidden="1">#REF!</definedName>
    <definedName name="BExZVBQ3B8IIQW88DDLAW5BA4PL4" hidden="1">#REF!</definedName>
    <definedName name="BExZVLM4T9ORS4ZWHME46U4Q103C" hidden="1">'[16]Reco Sheet for Fcast'!$I$10:$J$10</definedName>
    <definedName name="BExZVM7OZWPPRH5YQW50EYMMIW1A" hidden="1">'[16]Reco Sheet for Fcast'!$I$6:$J$6</definedName>
    <definedName name="BExZVP7KJEUGEZ1AZ15Z29XW6KAH" hidden="1">'[16]Reco Sheet for Fcast'!$I$7:$J$7</definedName>
    <definedName name="BExZVPYGX2C5OSHMZ6F0KBKZ6B1S" hidden="1">'[16]Reco Sheet for Fcast'!$H$2:$I$2</definedName>
    <definedName name="BExZW5UARC8W9AQNLJX2I5WQWS5F" hidden="1">'[16]Reco Sheet for Fcast'!$I$9:$J$9</definedName>
    <definedName name="BExZW7HRGN6A9YS41KI2B2UUMJ7X" hidden="1">'[16]Reco Sheet for Fcast'!$I$7:$J$7</definedName>
    <definedName name="BExZW8ZPNV43UXGOT98FDNIBQHZY" hidden="1">'[16]Reco Sheet for Fcast'!$I$11:$J$11</definedName>
    <definedName name="BExZWB8KPDQGF787P51Y0GON31FF" hidden="1">'[18]Bud Mth'!$I$10:$J$10</definedName>
    <definedName name="BExZWKDP0QSA9SPSF40ZMQ81QV13" hidden="1">'[16]Reco Sheet for Fcast'!$F$7:$G$7</definedName>
    <definedName name="BExZWKZ5N3RDXU8MZ8HQVYYD8O0F" hidden="1">'[16]Reco Sheet for Fcast'!$F$6:$G$6</definedName>
    <definedName name="BExZWSMC9T48W74GFGQCIUJ8ZPP3" hidden="1">'[16]Reco Sheet for Fcast'!$G$2:$H$2</definedName>
    <definedName name="BExZWUF2V4HY3HI8JN9ZVPRWK1H3" hidden="1">'[16]Reco Sheet for Fcast'!$I$9:$J$9</definedName>
    <definedName name="BExZWX45URTK9KYDJHEXL1OTZ833" hidden="1">'[16]Reco Sheet for Fcast'!$I$9:$J$9</definedName>
    <definedName name="BExZX0EWQEZO86WDAD9A4EAEZ012" hidden="1">'[16]Reco Sheet for Fcast'!$F$9:$G$9</definedName>
    <definedName name="BExZX2T6ZT2DZLYSDJJBPVIT5OK2" hidden="1">'[16]Reco Sheet for Fcast'!$I$10:$J$10</definedName>
    <definedName name="BExZXHY0PBOVDNV2NSZ1Y4G6WMNK" localSheetId="2" hidden="1">#REF!</definedName>
    <definedName name="BExZXHY0PBOVDNV2NSZ1Y4G6WMNK" localSheetId="10" hidden="1">#REF!</definedName>
    <definedName name="BExZXHY0PBOVDNV2NSZ1Y4G6WMNK" hidden="1">#REF!</definedName>
    <definedName name="BExZXOJDELULNLEH7WG0OYJT0NJ4" hidden="1">'[16]Reco Sheet for Fcast'!$I$6:$J$6</definedName>
    <definedName name="BExZXOOTRNUK8LGEAZ8ZCFW9KXQ1" hidden="1">'[16]Reco Sheet for Fcast'!$J$2:$K$2</definedName>
    <definedName name="BExZXQSD2T3TQZ268XCC2NG9O3JQ" localSheetId="2" hidden="1">#REF!</definedName>
    <definedName name="BExZXQSD2T3TQZ268XCC2NG9O3JQ" localSheetId="10" hidden="1">#REF!</definedName>
    <definedName name="BExZXQSD2T3TQZ268XCC2NG9O3JQ" hidden="1">#REF!</definedName>
    <definedName name="BExZXT6JOXNKEDU23DKL8XZAJZIH" hidden="1">'[16]Reco Sheet for Fcast'!$I$8:$J$8</definedName>
    <definedName name="BExZXUTYW1HWEEZ1LIX4OQWC7HL1" hidden="1">'[16]Reco Sheet for Fcast'!$F$9:$G$9</definedName>
    <definedName name="BExZXY4NKQL9QD76YMQJ15U1C2G8" hidden="1">'[16]Reco Sheet for Fcast'!$I$11:$J$11</definedName>
    <definedName name="BExZXYQ7U5G08FQGUIGYT14QCBOF" hidden="1">'[16]Reco Sheet for Fcast'!$F$9:$G$9</definedName>
    <definedName name="BExZY02V77YJBMODJSWZOYCMPS5X" localSheetId="2" hidden="1">'[17]AMI P &amp; L'!#REF!</definedName>
    <definedName name="BExZY02V77YJBMODJSWZOYCMPS5X" localSheetId="10" hidden="1">'[17]AMI P &amp; L'!#REF!</definedName>
    <definedName name="BExZY02V77YJBMODJSWZOYCMPS5X" hidden="1">'[17]AMI P &amp; L'!#REF!</definedName>
    <definedName name="BExZY49QRZIR6CA41LFA9LM6EULU" hidden="1">'[16]Reco Sheet for Fcast'!$F$7:$G$7</definedName>
    <definedName name="BExZZ2FQA9A8C7CJKMEFQ9VPSLCE" hidden="1">'[16]Reco Sheet for Fcast'!$G$2</definedName>
    <definedName name="BExZZ8VO1HB3783L61XHP87HBCBE" localSheetId="2" hidden="1">#REF!</definedName>
    <definedName name="BExZZ8VO1HB3783L61XHP87HBCBE" localSheetId="10" hidden="1">#REF!</definedName>
    <definedName name="BExZZ8VO1HB3783L61XHP87HBCBE" hidden="1">#REF!</definedName>
    <definedName name="BExZZCHAVHW8C2H649KRGVQ0WVRT" hidden="1">'[16]Reco Sheet for Fcast'!$I$9:$J$9</definedName>
    <definedName name="BExZZTK54OTLF2YB68BHGOS27GEN" localSheetId="2" hidden="1">'[17]AMI P &amp; L'!#REF!</definedName>
    <definedName name="BExZZTK54OTLF2YB68BHGOS27GEN" localSheetId="10" hidden="1">'[17]AMI P &amp; L'!#REF!</definedName>
    <definedName name="BExZZTK54OTLF2YB68BHGOS27GEN" hidden="1">'[17]AMI P &amp; L'!#REF!</definedName>
    <definedName name="BExZZXB3JQQG4SIZS4MRU6NNW7HI" hidden="1">'[16]Reco Sheet for Fcast'!$F$7:$G$7</definedName>
    <definedName name="BExZZZEMIIFKMLLV4DJKX5TB9R5V" localSheetId="2" hidden="1">'[17]AMI P &amp; L'!#REF!</definedName>
    <definedName name="BExZZZEMIIFKMLLV4DJKX5TB9R5V" localSheetId="10" hidden="1">'[17]AMI P &amp; L'!#REF!</definedName>
    <definedName name="BExZZZEMIIFKMLLV4DJKX5TB9R5V" hidden="1">'[17]AMI P &amp; L'!#REF!</definedName>
    <definedName name="Capex_base">[20]Capex!$B$6</definedName>
    <definedName name="Capex_Base_Index">[20]Capex!$B$8</definedName>
    <definedName name="Capex_Years">[21]Capex!$C$1:$CZ$1</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 comment="Generic cover sheet">#N/A</definedName>
    <definedName name="CRCP_y1">'[22]07ESS'!#REF!</definedName>
    <definedName name="CRCP_y2">'[22]07ESS'!#REF!</definedName>
    <definedName name="CRCP_y3">'[22]07ESS'!#REF!</definedName>
    <definedName name="CRCP_y4">'[22]07ESS'!#REF!</definedName>
    <definedName name="CRCP_y5">'[22]07ESS'!#REF!</definedName>
    <definedName name="CRY">'[23]Business &amp; other details'!$C$34</definedName>
    <definedName name="d" localSheetId="2" hidden="1">{#N/A,#N/A,FALSE,"Bgt";#N/A,#N/A,FALSE,"Act";#N/A,#N/A,FALSE,"Chrt Data";#N/A,#N/A,FALSE,"Bus Result";#N/A,#N/A,FALSE,"Main Charts";#N/A,#N/A,FALSE,"P&amp;L Ttl";#N/A,#N/A,FALSE,"P&amp;L C_Ttl";#N/A,#N/A,FALSE,"P&amp;L C_Oct";#N/A,#N/A,FALSE,"P&amp;L C_Sep";#N/A,#N/A,FALSE,"1996";#N/A,#N/A,FALSE,"Data"}</definedName>
    <definedName name="d" localSheetId="1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OFFSET([24]DbData!$A$5,0,0,COUNTA([24]DbData!$A$5:$A$65536),COUNTA([24]DbData!$5:$5))</definedName>
    <definedName name="Date_Range">[2]Data1!$A$2:$A$10,[2]Data1!$A$11:$A$286</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'[25]AER only'!$M$12:$M$42</definedName>
    <definedName name="dms_ABN_List">'[25]AER only'!$D$12:$D$42</definedName>
    <definedName name="dms_Addr1_List">'[25]AER only'!$R$12:$R$42</definedName>
    <definedName name="dms_Addr2_List">'[25]AER only'!$S$12:$S$42</definedName>
    <definedName name="dms_CFinalYear_List">'[25]AER only'!$H$66:$H$75</definedName>
    <definedName name="dms_ContactEmail_List">'[25]AER only'!$AD$12:$AD$42</definedName>
    <definedName name="dms_ContactName1_List">'[25]AER only'!$AB$12:$AB$42</definedName>
    <definedName name="dms_ContactPh1_List">'[25]AER only'!$AC$12:$AC$42</definedName>
    <definedName name="dms_CRCP_FinalYear_Num">'[26]Business &amp; other details'!$D$62</definedName>
    <definedName name="dms_CRCP_FinalYear_Result">'[22]07ESS'!#REF!</definedName>
    <definedName name="dms_CRCP_FirstYear_Result">'[22]07ESS'!#REF!</definedName>
    <definedName name="dms_CRCP_index">'[25]AER only'!$H$79:$H$88</definedName>
    <definedName name="dms_CRCP_years">'[25]AER only'!$F$79:$F$88</definedName>
    <definedName name="dms_CRCP_yR">'[27]AER only'!$F$87</definedName>
    <definedName name="dms_CRCP_yS">'[27]AER only'!$F$86</definedName>
    <definedName name="dms_CRCP_yT">'[27]AER only'!$F$85</definedName>
    <definedName name="dms_CRCP_yU">'[27]AER only'!$F$84</definedName>
    <definedName name="dms_CRCP_yV">'[27]AER only'!$F$83</definedName>
    <definedName name="dms_CRCP_yW">'[27]AER only'!$F$82</definedName>
    <definedName name="dms_CRCP_yX">'[27]AER only'!$F$81</definedName>
    <definedName name="dms_CRCP_yY">'[27]AER only'!$F$80</definedName>
    <definedName name="dms_CRCP_yZ">'[25]AER only'!$F$79</definedName>
    <definedName name="dms_CRCPlength_List">'[25]AER only'!$K$12:$K$42</definedName>
    <definedName name="dms_CRCPlength_Num">'[25]Business &amp; other details'!$C$77</definedName>
    <definedName name="dms_CRCPlength_Num_List">'[25]AER only'!$G$66:$G$75</definedName>
    <definedName name="dms_CRY_ListC">'[25]AER only'!$K$66:$K$80</definedName>
    <definedName name="dms_CRY_ListF">'[25]AER only'!$J$66:$J$80</definedName>
    <definedName name="dms_DataQuality">'[22]07ESS'!#REF!</definedName>
    <definedName name="dms_DataQuality_List">'[25]AER only'!$B$82:$B$86</definedName>
    <definedName name="dms_DeterminationRef_List">'[25]AER only'!$N$12:$N$42</definedName>
    <definedName name="dms_FinalYear_List">'[25]AER only'!$F$66:$F$75</definedName>
    <definedName name="dms_FormControl_List">'[25]AER only'!$H$12:$H$42</definedName>
    <definedName name="dms_FRCP_FinalYear_Num">'[26]Business &amp; other details'!$D$59</definedName>
    <definedName name="dms_FRCP_y1">'[27]AER only'!$D$79</definedName>
    <definedName name="dms_FRCP_y2">'[25]AER only'!$D$80</definedName>
    <definedName name="dms_FRCP_y3">'[25]AER only'!$D$81</definedName>
    <definedName name="dms_FRCP_y4">'[25]AER only'!$D$82</definedName>
    <definedName name="dms_FRCP_y5">'[25]AER only'!$D$83</definedName>
    <definedName name="dms_FRCP_y6">'[25]AER only'!$D$84</definedName>
    <definedName name="dms_FRCP_y7">'[27]AER only'!$D$85</definedName>
    <definedName name="dms_FRCP_y8">'[27]AER only'!$D$86</definedName>
    <definedName name="dms_FRCP_y9">'[27]AER only'!$D$87</definedName>
    <definedName name="dms_FRCPlength_List">'[25]AER only'!$L$12:$L$42</definedName>
    <definedName name="dms_FRCPlength_Num">'[25]Business &amp; other details'!$C$74</definedName>
    <definedName name="dms_FRCPlength_Num_List">'[25]AER only'!$E$66:$E$75</definedName>
    <definedName name="dms_JurisdictionList">'[25]AER only'!$E$12:$E$42</definedName>
    <definedName name="dms_Model">'[23]Business &amp; other details'!$C$47</definedName>
    <definedName name="dms_Model_List">'[23]AER only'!$B$48:$B$55</definedName>
    <definedName name="dms_MultiYear_FinalYear_Ref">'[22]07ESS'!#REF!</definedName>
    <definedName name="dms_MultiYear_FinalYear_Result">'[22]07ESS'!#REF!</definedName>
    <definedName name="dms_MultiYear_Flag">'[25]Business &amp; other details'!$C$67</definedName>
    <definedName name="dms_PAddr1_List">'[25]AER only'!$W$12:$W$42</definedName>
    <definedName name="dms_PAddr2_List">'[25]AER only'!$X$12:$X$42</definedName>
    <definedName name="dms_PostCode_List">'[25]AER only'!$V$12:$V$42</definedName>
    <definedName name="dms_PPostCode_List">'[25]AER only'!$AA$12:$AA$42</definedName>
    <definedName name="dms_PState_List">'[25]AER only'!$Z$12:$Z$42</definedName>
    <definedName name="dms_PSuburb_List">'[25]AER only'!$Y$12:$Y$42</definedName>
    <definedName name="dms_RPT">'[22]07ESS'!#REF!</definedName>
    <definedName name="dms_RPT_List">'[25]AER only'!$I$12:$I$42</definedName>
    <definedName name="dms_RPTMonth">'[22]07ESS'!#REF!</definedName>
    <definedName name="dms_RPTMonth_List">'[25]AER only'!$J$12:$J$42</definedName>
    <definedName name="dms_RYE">'[26]Business &amp; other details'!$D$45</definedName>
    <definedName name="dms_RYE_Formula_Result">'[25]AER only'!$E$48:$E$55</definedName>
    <definedName name="dms_Sector_List">'[25]AER only'!$F$12:$F$42</definedName>
    <definedName name="dms_Segment_List">'[25]AER only'!$G$12:$G$42</definedName>
    <definedName name="dms_SingleYear_FinalYear_Ref">'[22]07ESS'!#REF!</definedName>
    <definedName name="dms_SingleYear_FinalYear_Result">'[27]Business &amp; other details'!$C$73</definedName>
    <definedName name="dms_SingleYear_Model">'[25]Business &amp; other details'!$C$69:$C$71</definedName>
    <definedName name="dms_SourceList">'[25]AER only'!$B$66:$B$79</definedName>
    <definedName name="dms_Specified_FinalYear">'[22]07ESS'!#REF!</definedName>
    <definedName name="dms_State_List">'[25]AER only'!$U$12:$U$42</definedName>
    <definedName name="dms_Suburb_List">'[25]AER only'!$T$12:$T$42</definedName>
    <definedName name="dms_TradingName">'[28]Business &amp; other details'!$C$14</definedName>
    <definedName name="dms_TradingName_List">'[29]AER only'!$B$12:$B$42</definedName>
    <definedName name="dms_TradingNameFull_List">'[29]AER only'!$C$12:$C$42</definedName>
    <definedName name="dms_Worksheet_List">'[23]AER only'!$C$48:$C$55</definedName>
    <definedName name="e" localSheetId="2"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2"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2"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2" hidden="1">{#N/A,#N/A,FALSE,"pcf";#N/A,#N/A,FALSE,"pcr"}</definedName>
    <definedName name="FF" localSheetId="10" hidden="1">{#N/A,#N/A,FALSE,"pcf";#N/A,#N/A,FALSE,"pcr"}</definedName>
    <definedName name="FF" hidden="1">{#N/A,#N/A,FALSE,"pcf";#N/A,#N/A,FALSE,"pcr"}</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 comment="Generic cover sheet">#N/A</definedName>
    <definedName name="FRCP_y1">'[22]07ESS'!#REF!</definedName>
    <definedName name="FRCP_y10">'[26]Business &amp; other details'!#REF!</definedName>
    <definedName name="FRCP_y2">'[26]Business &amp; other details'!#REF!</definedName>
    <definedName name="FRCP_y3">'[26]Business &amp; other details'!#REF!</definedName>
    <definedName name="FRCP_y4">'[26]Business &amp; other details'!#REF!</definedName>
    <definedName name="FRCP_y5">'[27]Business &amp; other details'!$G$35</definedName>
    <definedName name="FRCP_y6">'[22]07ESS'!#REF!</definedName>
    <definedName name="FRCP_y7">'[26]Business &amp; other details'!#REF!</definedName>
    <definedName name="FRCP_y8">'[26]Business &amp; other details'!#REF!</definedName>
    <definedName name="FRCP_y9">'[26]Business &amp; other details'!#REF!</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2"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10" hidden="1">{#N/A,#N/A,FALSE,"pcf";#N/A,#N/A,FALSE,"pcr"}</definedName>
    <definedName name="hj" hidden="1">{#N/A,#N/A,FALSE,"pcf";#N/A,#N/A,FALSE,"pcr"}</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10" hidden="1">{#N/A,#N/A,FALSE,"pcf";#N/A,#N/A,FALSE,"pcr"}</definedName>
    <definedName name="kmhjyuk" hidden="1">{#N/A,#N/A,FALSE,"pcf";#N/A,#N/A,FALSE,"pcr"}</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2"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'[30]Estimate of regional breakdown'!$K$6</definedName>
    <definedName name="nhdtyjdf" localSheetId="2" hidden="1">{#N/A,#N/A,FALSE,"pcf";#N/A,#N/A,FALSE,"pcr"}</definedName>
    <definedName name="nhdtyjdf" localSheetId="10" hidden="1">{#N/A,#N/A,FALSE,"pcf";#N/A,#N/A,FALSE,"pcr"}</definedName>
    <definedName name="nhdtyjdf" hidden="1">{#N/A,#N/A,FALSE,"pcf";#N/A,#N/A,FALSE,"pcr"}</definedName>
    <definedName name="Nominal_to_Real">'[31]Input|Rate of change'!$C$25:$C$30</definedName>
    <definedName name="NSWloss">'[32]Dx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'[31]Lookup|Tables'!$G$14</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CP_y1">'[26]Business &amp; other details'!#REF!</definedName>
    <definedName name="PRCP_y2">'[22]07ESS'!#REF!</definedName>
    <definedName name="PRCP_y3">'[22]07ESS'!#REF!</definedName>
    <definedName name="PRCP_y4">'[22]07ESS'!#REF!</definedName>
    <definedName name="PRCP_y5">'[22]07ESS'!#REF!</definedName>
    <definedName name="Prosp_Up_High">[3]Variables!$E$8</definedName>
    <definedName name="Prosp_Up_Low">[3]Variables!$F$8</definedName>
    <definedName name="Prosp_Uptake">[3]Variables!$D$8</definedName>
    <definedName name="q" localSheetId="2"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'[32]Dx losses'!$D$33</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ahhag">'[8]07ESS'!#REF!</definedName>
    <definedName name="rahrg">'[8]07ESS'!#REF!</definedName>
    <definedName name="rawh">'[8]07ESS'!#REF!</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2" hidden="1">{#N/A,#N/A,FALSE,"pcf";#N/A,#N/A,FALSE,"pcr"}</definedName>
    <definedName name="RRRR" localSheetId="10" hidden="1">{#N/A,#N/A,FALSE,"pcf";#N/A,#N/A,FALSE,"pcr"}</definedName>
    <definedName name="RRRR" hidden="1">{#N/A,#N/A,FALSE,"pcf";#N/A,#N/A,FALSE,"pcr"}</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'[32]Dx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2" hidden="1">{#N/A,#N/A,FALSE,"pcf";#N/A,#N/A,FALSE,"pcr"}</definedName>
    <definedName name="sdfasdf" localSheetId="10" hidden="1">{#N/A,#N/A,FALSE,"pcf";#N/A,#N/A,FALSE,"pcr"}</definedName>
    <definedName name="sdfasdf" hidden="1">{#N/A,#N/A,FALSE,"pcf";#N/A,#N/A,FALSE,"pcr"}</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jtshyt">'[8]07ESS'!#REF!</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swgg">'[8]07ESS'!#REF!</definedName>
    <definedName name="TASloss">'[32]Dx losses'!$F$33</definedName>
    <definedName name="tiimt" localSheetId="2" hidden="1">{#N/A,#N/A,FALSE,"pcf";#N/A,#N/A,FALSE,"pcr"}</definedName>
    <definedName name="tiimt" localSheetId="10" hidden="1">{#N/A,#N/A,FALSE,"pcf";#N/A,#N/A,FALSE,"pcr"}</definedName>
    <definedName name="tiimt" hidden="1">{#N/A,#N/A,FALSE,"pcf";#N/A,#N/A,FALSE,"pcr"}</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[33]Contents!$B$1</definedName>
    <definedName name="tiumut" localSheetId="2" hidden="1">{#N/A,#N/A,FALSE,"SUM QTR 3";#N/A,#N/A,FALSE,"Detail QTR 3 (w_o ly)"}</definedName>
    <definedName name="tiumut" localSheetId="10" hidden="1">{#N/A,#N/A,FALSE,"SUM QTR 3";#N/A,#N/A,FALSE,"Detail QTR 3 (w_o ly)"}</definedName>
    <definedName name="tiumut" hidden="1">{#N/A,#N/A,FALSE,"SUM QTR 3";#N/A,#N/A,FALSE,"Detail QTR 3 (w_o ly)"}</definedName>
    <definedName name="tjshd">'[8]07ESS'!#REF!</definedName>
    <definedName name="TradingName">#REF!</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'[32]Dx losses'!$G$33</definedName>
    <definedName name="w" localSheetId="2"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ehrhr">'[8]07ESS'!#REF!</definedName>
    <definedName name="wergwrgr">'[8]07ESS'!#REF!</definedName>
    <definedName name="wfeg">'[8]07ESS'!#REF!</definedName>
    <definedName name="wgrghwrg">'[8]07ESS'!#REF!</definedName>
    <definedName name="wgrhh">'[8]07ESS'!#REF!</definedName>
    <definedName name="wgwee">'[8]07ESS'!#REF!</definedName>
    <definedName name="wgweg">'[8]07ESS'!#REF!</definedName>
    <definedName name="wgwewr">'[8]07ESS'!#REF!</definedName>
    <definedName name="wrgwgrg">'[8]07ESS'!#REF!</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2"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wrtwregwer">'[8]07ESS'!#REF!</definedName>
    <definedName name="Years">#REF!</definedName>
    <definedName name="yht" localSheetId="2" hidden="1">{#N/A,#N/A,FALSE,"SUM QTR 3";#N/A,#N/A,FALSE,"Detail QTR 3 (w_o ly)"}</definedName>
    <definedName name="yht" localSheetId="10" hidden="1">{#N/A,#N/A,FALSE,"SUM QTR 3";#N/A,#N/A,FALSE,"Detail QTR 3 (w_o ly)"}</definedName>
    <definedName name="yht" hidden="1">{#N/A,#N/A,FALSE,"SUM QTR 3";#N/A,#N/A,FALSE,"Detail QTR 3 (w_o ly)"}</definedName>
  </definedNames>
  <calcPr calcId="145621"/>
  <fileRecoveryPr autoRecover="0"/>
</workbook>
</file>

<file path=xl/calcChain.xml><?xml version="1.0" encoding="utf-8"?>
<calcChain xmlns="http://schemas.openxmlformats.org/spreadsheetml/2006/main">
  <c r="Q44" i="47" l="1"/>
  <c r="Q45" i="47"/>
  <c r="Q46" i="47"/>
  <c r="Q47" i="47"/>
  <c r="Q48" i="47"/>
  <c r="Q49" i="47"/>
  <c r="Q50" i="47"/>
  <c r="Q51" i="47"/>
  <c r="Q52" i="47"/>
  <c r="Q53" i="47"/>
  <c r="H27" i="40" l="1"/>
  <c r="I27" i="40"/>
  <c r="J27" i="40"/>
  <c r="K27" i="40"/>
  <c r="H28" i="40"/>
  <c r="I28" i="40"/>
  <c r="J28" i="40"/>
  <c r="K28" i="40"/>
  <c r="F27" i="40"/>
  <c r="O27" i="40" s="1"/>
  <c r="F28" i="40"/>
  <c r="O28" i="40" s="1"/>
  <c r="G27" i="40"/>
  <c r="G28" i="40"/>
  <c r="N9" i="33" l="1"/>
  <c r="N10" i="33"/>
  <c r="AD7" i="15" l="1"/>
  <c r="AD17" i="15" l="1"/>
  <c r="AD15" i="15"/>
  <c r="AD14" i="15"/>
  <c r="AD13" i="15"/>
  <c r="AD12" i="15"/>
  <c r="AD11" i="15"/>
  <c r="AD10" i="15"/>
  <c r="AD9" i="15"/>
  <c r="AD8" i="15"/>
  <c r="AD5" i="15"/>
  <c r="AC17" i="15"/>
  <c r="AC15" i="15"/>
  <c r="AC14" i="15"/>
  <c r="AC13" i="15"/>
  <c r="AC12" i="15"/>
  <c r="AC11" i="15"/>
  <c r="AC10" i="15"/>
  <c r="AC9" i="15"/>
  <c r="AC8" i="15"/>
  <c r="AC5" i="15"/>
  <c r="AC6" i="15" l="1"/>
  <c r="AD6" i="15"/>
  <c r="AD16" i="15"/>
  <c r="F10" i="30"/>
  <c r="M26" i="30" l="1"/>
  <c r="M14" i="30"/>
  <c r="M19" i="30"/>
  <c r="M23" i="30"/>
  <c r="M16" i="30"/>
  <c r="M20" i="30"/>
  <c r="M24" i="30"/>
  <c r="M17" i="30"/>
  <c r="M21" i="30"/>
  <c r="M18" i="30"/>
  <c r="M22" i="30"/>
  <c r="M15" i="30"/>
  <c r="AC7" i="15" l="1"/>
  <c r="AC16" i="15" l="1"/>
  <c r="C1" i="15" l="1"/>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44" i="49" l="1"/>
  <c r="C41" i="49" s="1"/>
  <c r="E29" i="49"/>
  <c r="E27" i="49"/>
  <c r="E26" i="49"/>
  <c r="E25" i="49"/>
  <c r="E23" i="49"/>
  <c r="E22" i="49"/>
  <c r="E21" i="49"/>
  <c r="E19" i="49"/>
  <c r="E18" i="49"/>
  <c r="E17" i="49"/>
  <c r="E44" i="48"/>
  <c r="C41" i="48" s="1"/>
  <c r="E28" i="48"/>
  <c r="E27" i="48"/>
  <c r="E26" i="48"/>
  <c r="E24" i="48"/>
  <c r="E23" i="48"/>
  <c r="E22" i="48"/>
  <c r="E20" i="48"/>
  <c r="E19" i="48"/>
  <c r="E18" i="48"/>
  <c r="C38" i="49" l="1"/>
  <c r="C39" i="49"/>
  <c r="C40" i="49"/>
  <c r="C39" i="48"/>
  <c r="C40" i="48"/>
  <c r="C42" i="49"/>
  <c r="C38" i="48"/>
  <c r="C42" i="48"/>
  <c r="C18" i="49"/>
  <c r="Q6" i="15" s="1"/>
  <c r="E15" i="30" s="1"/>
  <c r="C20" i="49"/>
  <c r="Q8" i="15" s="1"/>
  <c r="E17" i="30" s="1"/>
  <c r="C22" i="49"/>
  <c r="Q10" i="15" s="1"/>
  <c r="E19" i="30" s="1"/>
  <c r="C24" i="49"/>
  <c r="Q12" i="15" s="1"/>
  <c r="E21" i="30" s="1"/>
  <c r="C26" i="49"/>
  <c r="Q14" i="15" s="1"/>
  <c r="E23" i="30" s="1"/>
  <c r="C28" i="49"/>
  <c r="Q16" i="15" s="1"/>
  <c r="E25" i="30" s="1"/>
  <c r="C21" i="48"/>
  <c r="H9" i="15" s="1"/>
  <c r="B18" i="30" s="1"/>
  <c r="C22" i="48"/>
  <c r="H10" i="15" s="1"/>
  <c r="B19" i="30" s="1"/>
  <c r="C23" i="48"/>
  <c r="H11" i="15" s="1"/>
  <c r="B20" i="30" s="1"/>
  <c r="C24" i="48"/>
  <c r="H12" i="15" s="1"/>
  <c r="B21" i="30" s="1"/>
  <c r="C25" i="48"/>
  <c r="H13" i="15" s="1"/>
  <c r="B22" i="30" s="1"/>
  <c r="C27" i="48"/>
  <c r="H15" i="15" s="1"/>
  <c r="B24" i="30" s="1"/>
  <c r="C28" i="48"/>
  <c r="H16" i="15" s="1"/>
  <c r="B25" i="30" s="1"/>
  <c r="C29" i="48"/>
  <c r="H17" i="15" s="1"/>
  <c r="B26" i="30" s="1"/>
  <c r="C17" i="48"/>
  <c r="H5" i="15" s="1"/>
  <c r="B14" i="30" s="1"/>
  <c r="C18" i="48"/>
  <c r="H6" i="15" s="1"/>
  <c r="B15" i="30" s="1"/>
  <c r="C20" i="48"/>
  <c r="H8" i="15" s="1"/>
  <c r="B17" i="30" s="1"/>
  <c r="N8" i="48"/>
  <c r="D23" i="48" s="1"/>
  <c r="I11" i="15" s="1"/>
  <c r="N12" i="48"/>
  <c r="D27" i="48" s="1"/>
  <c r="I15" i="15" s="1"/>
  <c r="N2" i="49"/>
  <c r="D17" i="49" s="1"/>
  <c r="R5" i="15" s="1"/>
  <c r="C19" i="49"/>
  <c r="Q7" i="15" s="1"/>
  <c r="E16" i="30" s="1"/>
  <c r="N6" i="49"/>
  <c r="D21" i="49" s="1"/>
  <c r="R9" i="15" s="1"/>
  <c r="C23" i="49"/>
  <c r="Q11" i="15" s="1"/>
  <c r="E20" i="30" s="1"/>
  <c r="N10" i="49"/>
  <c r="D25" i="49" s="1"/>
  <c r="R13" i="15" s="1"/>
  <c r="C27" i="49"/>
  <c r="Q15" i="15" s="1"/>
  <c r="E24" i="30" s="1"/>
  <c r="N14" i="49"/>
  <c r="D29" i="49" s="1"/>
  <c r="R17" i="15" s="1"/>
  <c r="C19" i="48"/>
  <c r="H7" i="15" s="1"/>
  <c r="B16" i="30" s="1"/>
  <c r="N3" i="48"/>
  <c r="D18" i="48" s="1"/>
  <c r="I6" i="15" s="1"/>
  <c r="N7" i="48"/>
  <c r="D22" i="48" s="1"/>
  <c r="I10" i="15" s="1"/>
  <c r="N11" i="48"/>
  <c r="D26" i="48" s="1"/>
  <c r="I14" i="15" s="1"/>
  <c r="N5" i="49"/>
  <c r="D20" i="49" s="1"/>
  <c r="R8" i="15" s="1"/>
  <c r="N9" i="49"/>
  <c r="D24" i="49" s="1"/>
  <c r="R12" i="15" s="1"/>
  <c r="N13" i="49"/>
  <c r="D28" i="49" s="1"/>
  <c r="R16" i="15" s="1"/>
  <c r="G23" i="48"/>
  <c r="C17" i="49"/>
  <c r="Q5" i="15" s="1"/>
  <c r="E14" i="30" s="1"/>
  <c r="C26" i="48"/>
  <c r="H14" i="15" s="1"/>
  <c r="B23" i="30" s="1"/>
  <c r="G20" i="48"/>
  <c r="N4" i="49"/>
  <c r="D19" i="49" s="1"/>
  <c r="R7" i="15" s="1"/>
  <c r="N8" i="49"/>
  <c r="D23" i="49" s="1"/>
  <c r="R11" i="15" s="1"/>
  <c r="N12" i="49"/>
  <c r="D27" i="49" s="1"/>
  <c r="R15" i="15" s="1"/>
  <c r="C29" i="49"/>
  <c r="Q17" i="15" s="1"/>
  <c r="E26" i="30" s="1"/>
  <c r="C25" i="49"/>
  <c r="Q13" i="15" s="1"/>
  <c r="E22" i="30" s="1"/>
  <c r="C21" i="49"/>
  <c r="Q9" i="15" s="1"/>
  <c r="E18" i="30" s="1"/>
  <c r="N4" i="48"/>
  <c r="D19" i="48" s="1"/>
  <c r="I7" i="15" s="1"/>
  <c r="N7" i="49"/>
  <c r="D22" i="49" s="1"/>
  <c r="R10" i="15" s="1"/>
  <c r="G21" i="49"/>
  <c r="E29" i="48"/>
  <c r="G29" i="48" s="1"/>
  <c r="N14" i="48"/>
  <c r="D29" i="48" s="1"/>
  <c r="I17" i="15" s="1"/>
  <c r="E21" i="48"/>
  <c r="N6" i="48"/>
  <c r="D21" i="48" s="1"/>
  <c r="I9" i="15" s="1"/>
  <c r="G28" i="48"/>
  <c r="E17" i="48"/>
  <c r="N2" i="48"/>
  <c r="D17" i="48" s="1"/>
  <c r="I5" i="15" s="1"/>
  <c r="E25" i="48"/>
  <c r="N10" i="48"/>
  <c r="D25" i="48" s="1"/>
  <c r="I13" i="15" s="1"/>
  <c r="G18" i="49"/>
  <c r="G26" i="49"/>
  <c r="N3" i="49"/>
  <c r="D18" i="49" s="1"/>
  <c r="R6" i="15" s="1"/>
  <c r="N11" i="49"/>
  <c r="D26" i="49" s="1"/>
  <c r="R14" i="15" s="1"/>
  <c r="E20" i="49"/>
  <c r="G20" i="49" s="1"/>
  <c r="E28" i="49"/>
  <c r="G28" i="49" s="1"/>
  <c r="N5" i="48"/>
  <c r="D20" i="48" s="1"/>
  <c r="I8" i="15" s="1"/>
  <c r="N9" i="48"/>
  <c r="D24" i="48" s="1"/>
  <c r="I12" i="15" s="1"/>
  <c r="N13" i="48"/>
  <c r="D28" i="48" s="1"/>
  <c r="I16" i="15" s="1"/>
  <c r="E24" i="49"/>
  <c r="G18" i="48" l="1"/>
  <c r="G27" i="48"/>
  <c r="G41" i="48" s="1"/>
  <c r="G24" i="49"/>
  <c r="G22" i="48"/>
  <c r="G19" i="48"/>
  <c r="G38" i="48" s="1"/>
  <c r="G21" i="48"/>
  <c r="G25" i="48"/>
  <c r="G17" i="48"/>
  <c r="G22" i="49"/>
  <c r="G23" i="49"/>
  <c r="G19" i="49"/>
  <c r="G38" i="49" s="1"/>
  <c r="G24" i="48"/>
  <c r="G27" i="49"/>
  <c r="G41" i="49" s="1"/>
  <c r="G29" i="49"/>
  <c r="G42" i="49" s="1"/>
  <c r="G25" i="49"/>
  <c r="G39" i="49" s="1"/>
  <c r="G17" i="49"/>
  <c r="G26" i="48"/>
  <c r="G40" i="48" s="1"/>
  <c r="G39" i="48"/>
  <c r="G42" i="48"/>
  <c r="G40" i="49"/>
  <c r="G44" i="49" l="1"/>
  <c r="G34" i="49" s="1"/>
  <c r="G44" i="48"/>
  <c r="G34" i="48" s="1"/>
  <c r="I25" i="48" s="1"/>
  <c r="G32" i="49"/>
  <c r="I24" i="49" s="1"/>
  <c r="G31" i="49"/>
  <c r="G31" i="48"/>
  <c r="G32" i="48"/>
  <c r="I17" i="48"/>
  <c r="I28" i="48"/>
  <c r="I19" i="48"/>
  <c r="I29" i="48"/>
  <c r="I21" i="48"/>
  <c r="I20" i="48"/>
  <c r="I24" i="48"/>
  <c r="I27" i="48"/>
  <c r="I23" i="48"/>
  <c r="I26" i="48"/>
  <c r="I18" i="48"/>
  <c r="I19" i="49"/>
  <c r="I21" i="49"/>
  <c r="I23" i="49"/>
  <c r="I25" i="49"/>
  <c r="I22" i="48"/>
  <c r="I26" i="49"/>
  <c r="I17" i="49" l="1"/>
  <c r="I20" i="49"/>
  <c r="I18" i="49"/>
  <c r="I28" i="49"/>
  <c r="I29" i="49"/>
  <c r="I27" i="49"/>
  <c r="I22" i="49"/>
  <c r="I49" i="47"/>
  <c r="O76" i="33" l="1"/>
  <c r="P78" i="33"/>
  <c r="O78" i="33"/>
  <c r="B10" i="30" l="1"/>
  <c r="E10" i="30"/>
  <c r="K3" i="30"/>
  <c r="P76" i="33" l="1"/>
  <c r="O12" i="38"/>
  <c r="N12" i="38"/>
  <c r="M12" i="38"/>
  <c r="O4" i="38"/>
  <c r="N4" i="38"/>
  <c r="O16" i="33"/>
  <c r="D15" i="38"/>
  <c r="D14" i="38"/>
  <c r="D13" i="38"/>
  <c r="D12" i="38"/>
  <c r="D11" i="38"/>
  <c r="D10" i="38"/>
  <c r="D9" i="38"/>
  <c r="D8" i="38"/>
  <c r="D7" i="38"/>
  <c r="D6" i="38"/>
  <c r="D4" i="38"/>
  <c r="D3" i="38"/>
  <c r="D5" i="38"/>
  <c r="O79" i="33" l="1"/>
  <c r="P79" i="33"/>
  <c r="O80" i="33"/>
  <c r="P80" i="33"/>
  <c r="O81" i="33"/>
  <c r="P81" i="33"/>
  <c r="O82" i="33"/>
  <c r="P82" i="33"/>
  <c r="O83" i="33"/>
  <c r="P83" i="33"/>
  <c r="O84" i="33"/>
  <c r="P84" i="33"/>
  <c r="O85" i="33"/>
  <c r="P85" i="33"/>
  <c r="O86" i="33"/>
  <c r="P86" i="33"/>
  <c r="O87" i="33"/>
  <c r="P87" i="33"/>
  <c r="O88" i="33"/>
  <c r="P88" i="33"/>
  <c r="O89" i="33"/>
  <c r="P89" i="33"/>
  <c r="P90" i="33"/>
  <c r="O90" i="33"/>
  <c r="P45" i="47" l="1"/>
  <c r="P59" i="33" s="1"/>
  <c r="P50" i="47"/>
  <c r="P64" i="33" s="1"/>
  <c r="P49" i="47"/>
  <c r="P63" i="33" s="1"/>
  <c r="P48" i="47"/>
  <c r="P62" i="33" s="1"/>
  <c r="P47" i="47"/>
  <c r="P61" i="33" s="1"/>
  <c r="O49" i="47"/>
  <c r="O63" i="33" s="1"/>
  <c r="O48" i="47"/>
  <c r="O62" i="33" s="1"/>
  <c r="N50" i="47"/>
  <c r="N64" i="33" s="1"/>
  <c r="N49" i="47"/>
  <c r="N63" i="33" s="1"/>
  <c r="N48" i="47"/>
  <c r="N62" i="33" s="1"/>
  <c r="N47" i="47"/>
  <c r="N61" i="33" s="1"/>
  <c r="L50" i="47"/>
  <c r="L64" i="33" s="1"/>
  <c r="L49" i="47"/>
  <c r="L63" i="33" s="1"/>
  <c r="L48" i="47"/>
  <c r="L62" i="33" s="1"/>
  <c r="L47" i="47"/>
  <c r="L61" i="33" s="1"/>
  <c r="K50" i="47"/>
  <c r="K64" i="33" s="1"/>
  <c r="K47" i="47"/>
  <c r="K61" i="33" s="1"/>
  <c r="J48" i="47"/>
  <c r="J62" i="33" s="1"/>
  <c r="I48" i="47"/>
  <c r="I62" i="33" s="1"/>
  <c r="K49" i="47"/>
  <c r="K63" i="33" s="1"/>
  <c r="J49" i="47"/>
  <c r="J63" i="33" s="1"/>
  <c r="I63" i="33"/>
  <c r="H49" i="47"/>
  <c r="H63" i="33" s="1"/>
  <c r="F49" i="47"/>
  <c r="F63" i="33" s="1"/>
  <c r="F48" i="47"/>
  <c r="F62" i="33" s="1"/>
  <c r="N45" i="47"/>
  <c r="N59" i="33" s="1"/>
  <c r="L45" i="47"/>
  <c r="L59" i="33" s="1"/>
  <c r="K45" i="47"/>
  <c r="K59" i="33" s="1"/>
  <c r="M44" i="47"/>
  <c r="M58" i="33" s="1"/>
  <c r="L44" i="47"/>
  <c r="L58" i="33" s="1"/>
  <c r="E44" i="47"/>
  <c r="E58" i="33" s="1"/>
  <c r="F58" i="33"/>
  <c r="M64" i="33"/>
  <c r="J64" i="33"/>
  <c r="I64" i="33"/>
  <c r="H64" i="33"/>
  <c r="G64" i="33"/>
  <c r="F64" i="33"/>
  <c r="E64" i="33"/>
  <c r="M63" i="33"/>
  <c r="G63" i="33"/>
  <c r="E63" i="33"/>
  <c r="M62" i="33"/>
  <c r="K62" i="33"/>
  <c r="H62" i="33"/>
  <c r="G62" i="33"/>
  <c r="E62" i="33"/>
  <c r="M61" i="33"/>
  <c r="J61" i="33"/>
  <c r="I61" i="33"/>
  <c r="H61" i="33"/>
  <c r="G61" i="33"/>
  <c r="F61" i="33"/>
  <c r="E61" i="33"/>
  <c r="P60" i="33"/>
  <c r="O60" i="33"/>
  <c r="N60" i="33"/>
  <c r="M60" i="33"/>
  <c r="L60" i="33"/>
  <c r="J60" i="33"/>
  <c r="I60" i="33"/>
  <c r="H60" i="33"/>
  <c r="G60" i="33"/>
  <c r="F60" i="33"/>
  <c r="E60" i="33"/>
  <c r="O59" i="33"/>
  <c r="M59" i="33"/>
  <c r="J59" i="33"/>
  <c r="I59" i="33"/>
  <c r="H59" i="33"/>
  <c r="F59" i="33"/>
  <c r="E59" i="33"/>
  <c r="P58" i="33"/>
  <c r="O58" i="33"/>
  <c r="N58" i="33"/>
  <c r="K58" i="33"/>
  <c r="J58" i="33"/>
  <c r="I58" i="33"/>
  <c r="H58" i="33"/>
  <c r="G58" i="33"/>
  <c r="P70" i="33"/>
  <c r="O70" i="33"/>
  <c r="N70" i="33"/>
  <c r="M70" i="33"/>
  <c r="L70" i="33"/>
  <c r="K70" i="33"/>
  <c r="J70" i="33"/>
  <c r="I70" i="33"/>
  <c r="H70" i="33"/>
  <c r="G70" i="33"/>
  <c r="F70" i="33"/>
  <c r="E70" i="33"/>
  <c r="P69" i="33"/>
  <c r="O69" i="33"/>
  <c r="N69" i="33"/>
  <c r="M69" i="33"/>
  <c r="L69" i="33"/>
  <c r="K69" i="33"/>
  <c r="J69" i="33"/>
  <c r="I69" i="33"/>
  <c r="H69" i="33"/>
  <c r="G69" i="33"/>
  <c r="F69" i="33"/>
  <c r="E69" i="33"/>
  <c r="P68" i="33"/>
  <c r="O68" i="33"/>
  <c r="N68" i="33"/>
  <c r="M68" i="33"/>
  <c r="L68" i="33"/>
  <c r="K68" i="33"/>
  <c r="J68" i="33"/>
  <c r="I68" i="33"/>
  <c r="H68" i="33"/>
  <c r="G68" i="33"/>
  <c r="F68" i="33"/>
  <c r="E68" i="33"/>
  <c r="P67" i="33"/>
  <c r="O67" i="33"/>
  <c r="N67" i="33"/>
  <c r="M67" i="33"/>
  <c r="L67" i="33"/>
  <c r="K67" i="33"/>
  <c r="J67" i="33"/>
  <c r="I67" i="33"/>
  <c r="H67" i="33"/>
  <c r="G67" i="33"/>
  <c r="F67" i="33"/>
  <c r="E67" i="33"/>
  <c r="P66" i="33"/>
  <c r="O66" i="33"/>
  <c r="N66" i="33"/>
  <c r="M66" i="33"/>
  <c r="L66" i="33"/>
  <c r="K66" i="33"/>
  <c r="J66" i="33"/>
  <c r="I66" i="33"/>
  <c r="H66" i="33"/>
  <c r="G66" i="33"/>
  <c r="F66" i="33"/>
  <c r="E66" i="33"/>
  <c r="P65" i="33"/>
  <c r="O65" i="33"/>
  <c r="N65" i="33"/>
  <c r="M65" i="33"/>
  <c r="L65" i="33"/>
  <c r="K65" i="33"/>
  <c r="J65" i="33"/>
  <c r="I65" i="33"/>
  <c r="H65" i="33"/>
  <c r="G65" i="33"/>
  <c r="F65" i="33"/>
  <c r="E65" i="33"/>
  <c r="O64" i="33"/>
  <c r="O61" i="33"/>
  <c r="K60" i="33"/>
  <c r="G59" i="33"/>
  <c r="Q65" i="33" l="1"/>
  <c r="Q66" i="33"/>
  <c r="Q67" i="33"/>
  <c r="Q68" i="33"/>
  <c r="Q69" i="33"/>
  <c r="F90" i="33"/>
  <c r="Q70" i="33"/>
  <c r="Q58" i="33"/>
  <c r="Q59" i="33"/>
  <c r="Q61" i="33"/>
  <c r="Q62" i="33"/>
  <c r="F78" i="33"/>
  <c r="Q64" i="33"/>
  <c r="Q60" i="33"/>
  <c r="R58" i="33"/>
  <c r="Q63" i="33"/>
  <c r="R48" i="47"/>
  <c r="R47" i="47"/>
  <c r="R50" i="47"/>
  <c r="R46" i="47"/>
  <c r="R49" i="47"/>
  <c r="R45" i="47"/>
  <c r="E63" i="32" l="1"/>
  <c r="J66" i="32"/>
  <c r="K66" i="32"/>
  <c r="L66" i="32"/>
  <c r="M66" i="32"/>
  <c r="N66" i="32"/>
  <c r="O66" i="32"/>
  <c r="P66" i="32"/>
  <c r="Q66" i="32"/>
  <c r="R66" i="32"/>
  <c r="S66" i="32"/>
  <c r="J67" i="32"/>
  <c r="K67" i="32"/>
  <c r="L67" i="32"/>
  <c r="M67" i="32"/>
  <c r="N67" i="32"/>
  <c r="O67" i="32"/>
  <c r="P67" i="32"/>
  <c r="Q67" i="32"/>
  <c r="R67" i="32"/>
  <c r="S67" i="32"/>
  <c r="J68" i="32"/>
  <c r="K68" i="32"/>
  <c r="L68" i="32"/>
  <c r="M68" i="32"/>
  <c r="N68" i="32"/>
  <c r="O68" i="32"/>
  <c r="P68" i="32"/>
  <c r="Q68" i="32"/>
  <c r="R68" i="32"/>
  <c r="S68" i="32"/>
  <c r="J69" i="32"/>
  <c r="K69" i="32"/>
  <c r="L69" i="32"/>
  <c r="M69" i="32"/>
  <c r="N69" i="32"/>
  <c r="O69" i="32"/>
  <c r="P69" i="32"/>
  <c r="Q69" i="32"/>
  <c r="R69" i="32"/>
  <c r="S69" i="32"/>
  <c r="J70" i="32"/>
  <c r="K70" i="32"/>
  <c r="L70" i="32"/>
  <c r="M70" i="32"/>
  <c r="N70" i="32"/>
  <c r="O70" i="32"/>
  <c r="P70" i="32"/>
  <c r="Q70" i="32"/>
  <c r="R70" i="32"/>
  <c r="S70" i="32"/>
  <c r="J71" i="32"/>
  <c r="K71" i="32"/>
  <c r="L71" i="32"/>
  <c r="M71" i="32"/>
  <c r="N71" i="32"/>
  <c r="O71" i="32"/>
  <c r="P71" i="32"/>
  <c r="Q71" i="32"/>
  <c r="R71" i="32"/>
  <c r="S71" i="32"/>
  <c r="J72" i="32"/>
  <c r="K72" i="32"/>
  <c r="L72" i="32"/>
  <c r="M72" i="32"/>
  <c r="N72" i="32"/>
  <c r="O72" i="32"/>
  <c r="P72" i="32"/>
  <c r="Q72" i="32"/>
  <c r="R72" i="32"/>
  <c r="S72" i="32"/>
  <c r="J73" i="32"/>
  <c r="K73" i="32"/>
  <c r="L73" i="32"/>
  <c r="M73" i="32"/>
  <c r="N73" i="32"/>
  <c r="O73" i="32"/>
  <c r="P73" i="32"/>
  <c r="Q73" i="32"/>
  <c r="R73" i="32"/>
  <c r="S73" i="32"/>
  <c r="J74" i="32"/>
  <c r="K74" i="32"/>
  <c r="L74" i="32"/>
  <c r="M74" i="32"/>
  <c r="N74" i="32"/>
  <c r="O74" i="32"/>
  <c r="P74" i="32"/>
  <c r="Q74" i="32"/>
  <c r="R74" i="32"/>
  <c r="S74" i="32"/>
  <c r="J75" i="32"/>
  <c r="K75" i="32"/>
  <c r="L75" i="32"/>
  <c r="M75" i="32"/>
  <c r="N75" i="32"/>
  <c r="O75" i="32"/>
  <c r="P75" i="32"/>
  <c r="Q75" i="32"/>
  <c r="R75" i="32"/>
  <c r="S75" i="32"/>
  <c r="J76" i="32"/>
  <c r="K76" i="32"/>
  <c r="L76" i="32"/>
  <c r="M76" i="32"/>
  <c r="N76" i="32"/>
  <c r="O76" i="32"/>
  <c r="P76" i="32"/>
  <c r="Q76" i="32"/>
  <c r="R76" i="32"/>
  <c r="S76" i="32"/>
  <c r="J77" i="32"/>
  <c r="K77" i="32"/>
  <c r="L77" i="32"/>
  <c r="M77" i="32"/>
  <c r="N77" i="32"/>
  <c r="O77" i="32"/>
  <c r="P77" i="32"/>
  <c r="Q77" i="32"/>
  <c r="R77" i="32"/>
  <c r="S77" i="32"/>
  <c r="J78" i="32"/>
  <c r="K78" i="32"/>
  <c r="L78" i="32"/>
  <c r="M78" i="32"/>
  <c r="N78" i="32"/>
  <c r="O78" i="32"/>
  <c r="P78" i="32"/>
  <c r="Q78" i="32"/>
  <c r="R78" i="32"/>
  <c r="S78" i="32"/>
  <c r="I82" i="32"/>
  <c r="I83" i="32"/>
  <c r="J102" i="32"/>
  <c r="K102" i="32"/>
  <c r="L102" i="32"/>
  <c r="M102" i="32"/>
  <c r="N102" i="32"/>
  <c r="O102" i="32"/>
  <c r="P102" i="32"/>
  <c r="Q102" i="32"/>
  <c r="R102" i="32"/>
  <c r="S102" i="32"/>
  <c r="E102" i="32" s="1"/>
  <c r="C5" i="15" s="1"/>
  <c r="J103" i="32"/>
  <c r="K103" i="32"/>
  <c r="L103" i="32"/>
  <c r="M103" i="32"/>
  <c r="N103" i="32"/>
  <c r="O103" i="32"/>
  <c r="P103" i="32"/>
  <c r="Q103" i="32"/>
  <c r="R103" i="32"/>
  <c r="S103" i="32"/>
  <c r="E103" i="32" s="1"/>
  <c r="C6" i="15" s="1"/>
  <c r="J104" i="32"/>
  <c r="K104" i="32"/>
  <c r="L104" i="32"/>
  <c r="M104" i="32"/>
  <c r="N104" i="32"/>
  <c r="O104" i="32"/>
  <c r="P104" i="32"/>
  <c r="Q104" i="32"/>
  <c r="R104" i="32"/>
  <c r="S104" i="32"/>
  <c r="J105" i="32"/>
  <c r="K105" i="32"/>
  <c r="L105" i="32"/>
  <c r="M105" i="32"/>
  <c r="N105" i="32"/>
  <c r="O105" i="32"/>
  <c r="P105" i="32"/>
  <c r="Q105" i="32"/>
  <c r="R105" i="32"/>
  <c r="S105" i="32"/>
  <c r="E105" i="32" s="1"/>
  <c r="C8" i="15" s="1"/>
  <c r="J106" i="32"/>
  <c r="K106" i="32"/>
  <c r="L106" i="32"/>
  <c r="M106" i="32"/>
  <c r="N106" i="32"/>
  <c r="O106" i="32"/>
  <c r="P106" i="32"/>
  <c r="Q106" i="32"/>
  <c r="R106" i="32"/>
  <c r="S106" i="32"/>
  <c r="E106" i="32" s="1"/>
  <c r="C9" i="15" s="1"/>
  <c r="J107" i="32"/>
  <c r="K107" i="32"/>
  <c r="L107" i="32"/>
  <c r="M107" i="32"/>
  <c r="N107" i="32"/>
  <c r="O107" i="32"/>
  <c r="P107" i="32"/>
  <c r="Q107" i="32"/>
  <c r="R107" i="32"/>
  <c r="S107" i="32"/>
  <c r="E107" i="32" s="1"/>
  <c r="C10" i="15" s="1"/>
  <c r="J108" i="32"/>
  <c r="K108" i="32"/>
  <c r="L108" i="32"/>
  <c r="M108" i="32"/>
  <c r="N108" i="32"/>
  <c r="O108" i="32"/>
  <c r="P108" i="32"/>
  <c r="Q108" i="32"/>
  <c r="R108" i="32"/>
  <c r="S108" i="32"/>
  <c r="E108" i="32" s="1"/>
  <c r="C11" i="15" s="1"/>
  <c r="J109" i="32"/>
  <c r="K109" i="32"/>
  <c r="L109" i="32"/>
  <c r="M109" i="32"/>
  <c r="N109" i="32"/>
  <c r="O109" i="32"/>
  <c r="P109" i="32"/>
  <c r="Q109" i="32"/>
  <c r="R109" i="32"/>
  <c r="S109" i="32"/>
  <c r="E109" i="32" s="1"/>
  <c r="C12" i="15" s="1"/>
  <c r="J110" i="32"/>
  <c r="K110" i="32"/>
  <c r="L110" i="32"/>
  <c r="M110" i="32"/>
  <c r="N110" i="32"/>
  <c r="O110" i="32"/>
  <c r="P110" i="32"/>
  <c r="Q110" i="32"/>
  <c r="R110" i="32"/>
  <c r="S110" i="32"/>
  <c r="J111" i="32"/>
  <c r="K111" i="32"/>
  <c r="L111" i="32"/>
  <c r="M111" i="32"/>
  <c r="N111" i="32"/>
  <c r="O111" i="32"/>
  <c r="P111" i="32"/>
  <c r="Q111" i="32"/>
  <c r="R111" i="32"/>
  <c r="S111" i="32"/>
  <c r="J112" i="32"/>
  <c r="K112" i="32"/>
  <c r="L112" i="32"/>
  <c r="M112" i="32"/>
  <c r="N112" i="32"/>
  <c r="O112" i="32"/>
  <c r="P112" i="32"/>
  <c r="Q112" i="32"/>
  <c r="R112" i="32"/>
  <c r="S112" i="32"/>
  <c r="E112" i="32" s="1"/>
  <c r="C15" i="15" s="1"/>
  <c r="B5" i="30" s="1"/>
  <c r="J113" i="32"/>
  <c r="K113" i="32"/>
  <c r="L113" i="32"/>
  <c r="M113" i="32"/>
  <c r="N113" i="32"/>
  <c r="O113" i="32"/>
  <c r="P113" i="32"/>
  <c r="Q113" i="32"/>
  <c r="R113" i="32"/>
  <c r="S113" i="32"/>
  <c r="E113" i="32" s="1"/>
  <c r="C16" i="15" s="1"/>
  <c r="J114" i="32"/>
  <c r="K114" i="32"/>
  <c r="L114" i="32"/>
  <c r="M114" i="32"/>
  <c r="N114" i="32"/>
  <c r="O114" i="32"/>
  <c r="P114" i="32"/>
  <c r="Q114" i="32"/>
  <c r="R114" i="32"/>
  <c r="S114" i="32"/>
  <c r="E111" i="32" l="1"/>
  <c r="C14" i="15" s="1"/>
  <c r="B4" i="30" s="1"/>
  <c r="E110" i="32"/>
  <c r="C13" i="15" s="1"/>
  <c r="B3" i="30" s="1"/>
  <c r="E104" i="32"/>
  <c r="C7" i="15" s="1"/>
  <c r="B6" i="30" s="1"/>
  <c r="E114" i="32"/>
  <c r="C17" i="15" s="1"/>
  <c r="B2" i="30" s="1"/>
  <c r="T105" i="32"/>
  <c r="T103" i="32"/>
  <c r="T68" i="32"/>
  <c r="T113" i="32"/>
  <c r="T109" i="32"/>
  <c r="T77" i="32"/>
  <c r="T73" i="32"/>
  <c r="T70" i="32"/>
  <c r="T104" i="32"/>
  <c r="T102" i="32"/>
  <c r="T71" i="32"/>
  <c r="T108" i="32"/>
  <c r="T106" i="32"/>
  <c r="T76" i="32"/>
  <c r="T67" i="32"/>
  <c r="T66" i="32"/>
  <c r="T112" i="32"/>
  <c r="T110" i="32"/>
  <c r="T107" i="32"/>
  <c r="T78" i="32"/>
  <c r="T72" i="32"/>
  <c r="T69" i="32"/>
  <c r="T111" i="32"/>
  <c r="T75" i="32"/>
  <c r="T74" i="32"/>
  <c r="T114" i="32"/>
  <c r="Q56" i="47" l="1"/>
  <c r="R56" i="47" s="1"/>
  <c r="Q55" i="47"/>
  <c r="R55" i="47" s="1"/>
  <c r="Q54" i="47"/>
  <c r="R54" i="47" s="1"/>
  <c r="R53" i="47"/>
  <c r="R52" i="47"/>
  <c r="R51" i="47"/>
  <c r="R44" i="47"/>
  <c r="W35" i="47"/>
  <c r="X35" i="47" s="1"/>
  <c r="B35" i="47"/>
  <c r="W34" i="47"/>
  <c r="X34" i="47" s="1"/>
  <c r="B34" i="47"/>
  <c r="W33" i="47"/>
  <c r="X33" i="47" s="1"/>
  <c r="B33" i="47"/>
  <c r="W32" i="47"/>
  <c r="X32" i="47" s="1"/>
  <c r="B32" i="47"/>
  <c r="W31" i="47"/>
  <c r="X31" i="47" s="1"/>
  <c r="B31" i="47"/>
  <c r="W30" i="47"/>
  <c r="X30" i="47" s="1"/>
  <c r="B30" i="47"/>
  <c r="W29" i="47"/>
  <c r="X29" i="47" s="1"/>
  <c r="B29" i="47"/>
  <c r="W28" i="47"/>
  <c r="X28" i="47" s="1"/>
  <c r="B28" i="47"/>
  <c r="W27" i="47"/>
  <c r="X27" i="47" s="1"/>
  <c r="B27" i="47"/>
  <c r="W26" i="47"/>
  <c r="X26" i="47" s="1"/>
  <c r="B26" i="47"/>
  <c r="W25" i="47"/>
  <c r="X25" i="47" s="1"/>
  <c r="B25" i="47"/>
  <c r="W24" i="47"/>
  <c r="X24" i="47" s="1"/>
  <c r="B24" i="47"/>
  <c r="W23" i="47"/>
  <c r="X23" i="47" s="1"/>
  <c r="B23" i="47"/>
  <c r="C15" i="47"/>
  <c r="C14" i="47"/>
  <c r="C13" i="47"/>
  <c r="C12" i="47"/>
  <c r="C11" i="47"/>
  <c r="C10" i="47"/>
  <c r="C9" i="47"/>
  <c r="C8" i="47"/>
  <c r="C7" i="47"/>
  <c r="C6" i="47"/>
  <c r="C5" i="47"/>
  <c r="C4" i="47"/>
  <c r="C3" i="47"/>
  <c r="F26" i="47" l="1"/>
  <c r="F35" i="47"/>
  <c r="F27" i="47"/>
  <c r="F25" i="47"/>
  <c r="F29" i="47"/>
  <c r="F33" i="47"/>
  <c r="F30" i="47"/>
  <c r="F34" i="47"/>
  <c r="F23" i="47"/>
  <c r="F31" i="47"/>
  <c r="F24" i="47"/>
  <c r="F28" i="47"/>
  <c r="F32" i="47"/>
  <c r="B17" i="47"/>
  <c r="D3" i="47" s="1"/>
  <c r="B39" i="47"/>
  <c r="B38" i="47"/>
  <c r="B37" i="47"/>
  <c r="D4" i="47" l="1"/>
  <c r="D8" i="47"/>
  <c r="D12" i="47"/>
  <c r="D5" i="47"/>
  <c r="D9" i="47"/>
  <c r="D13" i="47"/>
  <c r="D6" i="47"/>
  <c r="D10" i="47"/>
  <c r="D14" i="47"/>
  <c r="D7" i="47"/>
  <c r="D11" i="47"/>
  <c r="D15" i="47"/>
  <c r="C33" i="47" l="1"/>
  <c r="H33" i="47" s="1"/>
  <c r="F7" i="47"/>
  <c r="F10" i="47"/>
  <c r="C30" i="47"/>
  <c r="H30" i="47" s="1"/>
  <c r="F13" i="47"/>
  <c r="F14" i="47" l="1"/>
  <c r="F6" i="47"/>
  <c r="F15" i="47"/>
  <c r="F5" i="47"/>
  <c r="C24" i="47"/>
  <c r="H24" i="47" s="1"/>
  <c r="F4" i="47"/>
  <c r="F12" i="47"/>
  <c r="F11" i="47"/>
  <c r="C32" i="47"/>
  <c r="H32" i="47" s="1"/>
  <c r="C23" i="47"/>
  <c r="H23" i="47" s="1"/>
  <c r="F9" i="47"/>
  <c r="F3" i="47"/>
  <c r="C29" i="47"/>
  <c r="H29" i="47" s="1"/>
  <c r="C26" i="47"/>
  <c r="H26" i="47" s="1"/>
  <c r="C34" i="47"/>
  <c r="H34" i="47" s="1"/>
  <c r="C31" i="47"/>
  <c r="H31" i="47" s="1"/>
  <c r="C28" i="47"/>
  <c r="H28" i="47" s="1"/>
  <c r="C27" i="47"/>
  <c r="H27" i="47" s="1"/>
  <c r="F8" i="47"/>
  <c r="C25" i="47"/>
  <c r="H25" i="47" s="1"/>
  <c r="C35" i="47"/>
  <c r="H35" i="47" s="1"/>
  <c r="D30" i="47"/>
  <c r="D33" i="47"/>
  <c r="D27" i="47"/>
  <c r="D32" i="47" l="1"/>
  <c r="E32" i="47" s="1"/>
  <c r="D35" i="47"/>
  <c r="E35" i="47" s="1"/>
  <c r="D24" i="47"/>
  <c r="D23" i="47"/>
  <c r="D31" i="47"/>
  <c r="G31" i="47" s="1"/>
  <c r="I31" i="47" s="1"/>
  <c r="D25" i="47"/>
  <c r="G25" i="47" s="1"/>
  <c r="I25" i="47" s="1"/>
  <c r="E33" i="47"/>
  <c r="G30" i="47"/>
  <c r="I30" i="47" s="1"/>
  <c r="G27" i="47"/>
  <c r="I27" i="47" s="1"/>
  <c r="D29" i="47"/>
  <c r="G29" i="47" s="1"/>
  <c r="I29" i="47" s="1"/>
  <c r="D26" i="47"/>
  <c r="G26" i="47" s="1"/>
  <c r="I26" i="47" s="1"/>
  <c r="D34" i="47"/>
  <c r="D28" i="47"/>
  <c r="E30" i="47"/>
  <c r="G33" i="47"/>
  <c r="I33" i="47" s="1"/>
  <c r="E27" i="47"/>
  <c r="G24" i="47" l="1"/>
  <c r="I24" i="47" s="1"/>
  <c r="E24" i="47"/>
  <c r="G23" i="47"/>
  <c r="I23" i="47" s="1"/>
  <c r="E31" i="47"/>
  <c r="E23" i="47"/>
  <c r="G35" i="47"/>
  <c r="I35" i="47" s="1"/>
  <c r="E25" i="47"/>
  <c r="G32" i="47"/>
  <c r="I32" i="47" s="1"/>
  <c r="E28" i="47"/>
  <c r="E29" i="47"/>
  <c r="G34" i="47"/>
  <c r="I34" i="47" s="1"/>
  <c r="E26" i="47"/>
  <c r="E34" i="47"/>
  <c r="D37" i="47"/>
  <c r="C37" i="47" s="1"/>
  <c r="D39" i="47"/>
  <c r="C39" i="47" s="1"/>
  <c r="D38" i="47"/>
  <c r="C38" i="47" s="1"/>
  <c r="G28" i="47"/>
  <c r="I28" i="47" s="1"/>
  <c r="E38" i="47" l="1"/>
  <c r="E39" i="47"/>
  <c r="I38" i="47"/>
  <c r="H38" i="47" s="1"/>
  <c r="E37" i="47"/>
  <c r="I37" i="47"/>
  <c r="H37" i="47" s="1"/>
  <c r="G39" i="47"/>
  <c r="F39" i="47" s="1"/>
  <c r="G37" i="47"/>
  <c r="F37" i="47" s="1"/>
  <c r="I39" i="47"/>
  <c r="H39" i="47" s="1"/>
  <c r="G38" i="47"/>
  <c r="F38" i="47" s="1"/>
  <c r="S70" i="33"/>
  <c r="S69" i="33"/>
  <c r="S68" i="33"/>
  <c r="S67" i="33"/>
  <c r="S66" i="33"/>
  <c r="S65" i="33"/>
  <c r="S64" i="33"/>
  <c r="S63" i="33"/>
  <c r="S62" i="33"/>
  <c r="S61" i="33"/>
  <c r="S60" i="33"/>
  <c r="S59" i="33"/>
  <c r="S58" i="33"/>
  <c r="I25" i="33" l="1"/>
  <c r="I26" i="33"/>
  <c r="I27" i="33"/>
  <c r="I28" i="33"/>
  <c r="T58" i="33" l="1"/>
  <c r="V23" i="33" l="1"/>
  <c r="V24" i="33"/>
  <c r="V25" i="33"/>
  <c r="V26" i="33"/>
  <c r="V27" i="33"/>
  <c r="V28" i="33"/>
  <c r="V29" i="33"/>
  <c r="V30" i="33"/>
  <c r="V31" i="33"/>
  <c r="V32" i="33"/>
  <c r="V33" i="33"/>
  <c r="V34" i="33"/>
  <c r="V22" i="33"/>
  <c r="T65" i="33" l="1"/>
  <c r="T66" i="33"/>
  <c r="T67" i="33"/>
  <c r="T68" i="33"/>
  <c r="T69" i="33"/>
  <c r="T70" i="33"/>
  <c r="T64" i="33"/>
  <c r="T63" i="33"/>
  <c r="T62" i="33"/>
  <c r="T61" i="33"/>
  <c r="T60" i="33"/>
  <c r="T59" i="33"/>
  <c r="O59" i="32" l="1"/>
  <c r="B85" i="32" l="1"/>
  <c r="B87" i="32"/>
  <c r="B89" i="32"/>
  <c r="B91" i="32"/>
  <c r="B93" i="32"/>
  <c r="B95" i="32"/>
  <c r="B97" i="32"/>
  <c r="B86" i="32"/>
  <c r="B88" i="32"/>
  <c r="B90" i="32"/>
  <c r="B92" i="32"/>
  <c r="B94" i="32"/>
  <c r="B96" i="32"/>
  <c r="C43" i="45" l="1"/>
  <c r="L17" i="45"/>
  <c r="C47" i="45"/>
  <c r="C46" i="45"/>
  <c r="C45" i="45"/>
  <c r="C44" i="45"/>
  <c r="F26" i="45"/>
  <c r="L21" i="45"/>
  <c r="L20" i="45"/>
  <c r="L19" i="45"/>
  <c r="L18" i="45"/>
  <c r="L12" i="45"/>
  <c r="D12" i="45" l="1"/>
  <c r="F3" i="45" s="1"/>
  <c r="I23" i="33" s="1"/>
  <c r="C12" i="45"/>
  <c r="L29" i="45"/>
  <c r="C20" i="45"/>
  <c r="D20" i="45"/>
  <c r="E6" i="45" s="1"/>
  <c r="L28" i="45"/>
  <c r="D19" i="45"/>
  <c r="E5" i="45" s="1"/>
  <c r="C19" i="45"/>
  <c r="D21" i="45"/>
  <c r="E7" i="45" s="1"/>
  <c r="C21" i="45"/>
  <c r="C17" i="45"/>
  <c r="D17" i="45"/>
  <c r="L26" i="45"/>
  <c r="D26" i="45" s="1"/>
  <c r="L27" i="45"/>
  <c r="D18" i="45"/>
  <c r="E4" i="45" s="1"/>
  <c r="C18" i="45"/>
  <c r="F30" i="45"/>
  <c r="F28" i="45"/>
  <c r="F29" i="45"/>
  <c r="L30" i="45"/>
  <c r="F27" i="45"/>
  <c r="E3" i="45" l="1"/>
  <c r="C26" i="45"/>
  <c r="D27" i="45"/>
  <c r="C27" i="45"/>
  <c r="C28" i="45"/>
  <c r="D28" i="45"/>
  <c r="C29" i="45"/>
  <c r="D29" i="45"/>
  <c r="D30" i="45"/>
  <c r="C30" i="45"/>
  <c r="AF5" i="15"/>
  <c r="AF6" i="15"/>
  <c r="AF8" i="15"/>
  <c r="AF9" i="15"/>
  <c r="AF10" i="15"/>
  <c r="AF11" i="15"/>
  <c r="AF12" i="15"/>
  <c r="AF13" i="15"/>
  <c r="AF14" i="15"/>
  <c r="AF15" i="15"/>
  <c r="AF17" i="15"/>
  <c r="AF7" i="15" l="1"/>
  <c r="AE5" i="15"/>
  <c r="AF20" i="15" l="1"/>
  <c r="AF21" i="15" s="1"/>
  <c r="AF22" i="15" l="1"/>
  <c r="C4" i="34" l="1"/>
  <c r="D4" i="34"/>
  <c r="E4" i="34"/>
  <c r="F4" i="34"/>
  <c r="G4" i="34"/>
  <c r="H4" i="34"/>
  <c r="I4" i="34"/>
  <c r="J4" i="34"/>
  <c r="K4" i="34"/>
  <c r="B4" i="34"/>
  <c r="F89" i="33" l="1"/>
  <c r="F85" i="33"/>
  <c r="F81" i="33"/>
  <c r="F84" i="33"/>
  <c r="F80" i="33"/>
  <c r="F88" i="33"/>
  <c r="F87" i="33"/>
  <c r="F83" i="33"/>
  <c r="F79" i="33"/>
  <c r="F86" i="33"/>
  <c r="F82" i="33"/>
  <c r="N6" i="38" l="1"/>
  <c r="B22" i="34" l="1"/>
  <c r="B23" i="34"/>
  <c r="E67" i="36" l="1"/>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D3" i="36" l="1"/>
  <c r="L3" i="36"/>
  <c r="L9" i="36" s="1"/>
  <c r="D4" i="36"/>
  <c r="H3" i="36"/>
  <c r="L4" i="36"/>
  <c r="H4" i="36"/>
  <c r="D2" i="36"/>
  <c r="H2" i="36"/>
  <c r="L2" i="36"/>
  <c r="M4" i="36"/>
  <c r="B2" i="36"/>
  <c r="F2" i="36"/>
  <c r="J2" i="36"/>
  <c r="B3" i="36"/>
  <c r="F3" i="36"/>
  <c r="J3" i="36"/>
  <c r="B4" i="36"/>
  <c r="F4" i="36"/>
  <c r="J4" i="36"/>
  <c r="C2" i="36"/>
  <c r="G2" i="36"/>
  <c r="K2" i="36"/>
  <c r="C3" i="36"/>
  <c r="G3" i="36"/>
  <c r="K3" i="36"/>
  <c r="C4" i="36"/>
  <c r="G4" i="36"/>
  <c r="K4" i="36"/>
  <c r="E2" i="36"/>
  <c r="I2" i="36"/>
  <c r="M2" i="36"/>
  <c r="E3" i="36"/>
  <c r="I3" i="36"/>
  <c r="M3" i="36"/>
  <c r="E4" i="36"/>
  <c r="I4" i="36"/>
  <c r="L4" i="40" l="1"/>
  <c r="S83" i="32"/>
  <c r="K5" i="30" s="1"/>
  <c r="I8" i="36"/>
  <c r="E9" i="36"/>
  <c r="L83" i="32" s="1"/>
  <c r="M9" i="36"/>
  <c r="J8" i="36"/>
  <c r="D9" i="36"/>
  <c r="K83" i="32" s="1"/>
  <c r="L8" i="36"/>
  <c r="K8" i="36"/>
  <c r="H9" i="36"/>
  <c r="M8" i="36"/>
  <c r="I9" i="36"/>
  <c r="F8" i="36"/>
  <c r="G8" i="36"/>
  <c r="K9" i="36"/>
  <c r="H8" i="36"/>
  <c r="J9" i="36"/>
  <c r="E8" i="36"/>
  <c r="L82" i="32" s="1"/>
  <c r="G9" i="36"/>
  <c r="D8" i="36"/>
  <c r="K82" i="32" s="1"/>
  <c r="F9" i="36"/>
  <c r="C9" i="36"/>
  <c r="J83" i="32" s="1"/>
  <c r="C8" i="36"/>
  <c r="F5" i="30" l="1"/>
  <c r="F6" i="30"/>
  <c r="L35" i="40"/>
  <c r="L30" i="40"/>
  <c r="L25" i="40"/>
  <c r="L31" i="40"/>
  <c r="N82" i="32"/>
  <c r="N91" i="32" s="1"/>
  <c r="M9" i="38"/>
  <c r="M8" i="38"/>
  <c r="J95" i="32"/>
  <c r="J97" i="32"/>
  <c r="J94" i="32"/>
  <c r="J92" i="32"/>
  <c r="J87" i="32"/>
  <c r="J93" i="32"/>
  <c r="L96" i="32"/>
  <c r="L90" i="32"/>
  <c r="L91" i="32"/>
  <c r="L89" i="32"/>
  <c r="L88" i="32"/>
  <c r="L85" i="32"/>
  <c r="L86" i="32"/>
  <c r="H4" i="40"/>
  <c r="O83" i="32"/>
  <c r="J3" i="40"/>
  <c r="Q82" i="32"/>
  <c r="F4" i="40"/>
  <c r="M83" i="32"/>
  <c r="J4" i="40"/>
  <c r="Q83" i="32"/>
  <c r="F3" i="40"/>
  <c r="M82" i="32"/>
  <c r="K3" i="40"/>
  <c r="R82" i="32"/>
  <c r="T83" i="32"/>
  <c r="K85" i="32"/>
  <c r="K89" i="32"/>
  <c r="K96" i="32"/>
  <c r="K90" i="32"/>
  <c r="K88" i="32"/>
  <c r="K91" i="32"/>
  <c r="K86" i="32"/>
  <c r="H3" i="40"/>
  <c r="O82" i="32"/>
  <c r="I4" i="40"/>
  <c r="P83" i="32"/>
  <c r="L3" i="40"/>
  <c r="S82" i="32"/>
  <c r="K4" i="30" s="1"/>
  <c r="L94" i="32"/>
  <c r="L93" i="32"/>
  <c r="L87" i="32"/>
  <c r="L95" i="32"/>
  <c r="L97" i="32"/>
  <c r="L92" i="32"/>
  <c r="S97" i="32"/>
  <c r="E97" i="32" s="1"/>
  <c r="B17" i="15" s="1"/>
  <c r="S95" i="32"/>
  <c r="E95" i="32" s="1"/>
  <c r="B15" i="15" s="1"/>
  <c r="S92" i="32"/>
  <c r="E92" i="32" s="1"/>
  <c r="B12" i="15" s="1"/>
  <c r="S94" i="32"/>
  <c r="E94" i="32" s="1"/>
  <c r="B14" i="15" s="1"/>
  <c r="S87" i="32"/>
  <c r="E87" i="32" s="1"/>
  <c r="B7" i="15" s="1"/>
  <c r="S93" i="32"/>
  <c r="E93" i="32" s="1"/>
  <c r="B13" i="15" s="1"/>
  <c r="C3" i="40"/>
  <c r="J82" i="32"/>
  <c r="G4" i="40"/>
  <c r="N83" i="32"/>
  <c r="K4" i="40"/>
  <c r="R83" i="32"/>
  <c r="T82" i="32"/>
  <c r="K93" i="32"/>
  <c r="K87" i="32"/>
  <c r="K95" i="32"/>
  <c r="K92" i="32"/>
  <c r="K94" i="32"/>
  <c r="K97" i="32"/>
  <c r="I3" i="40"/>
  <c r="P82" i="32"/>
  <c r="D4" i="40"/>
  <c r="G3" i="40"/>
  <c r="L19" i="38"/>
  <c r="C4" i="40"/>
  <c r="E4" i="40"/>
  <c r="E3" i="40"/>
  <c r="D3" i="40"/>
  <c r="C14" i="34" a="1"/>
  <c r="L18" i="38"/>
  <c r="L9" i="34"/>
  <c r="H11" i="34"/>
  <c r="B14" i="34"/>
  <c r="B18" i="34"/>
  <c r="B19" i="34"/>
  <c r="B20" i="34"/>
  <c r="B21" i="34"/>
  <c r="G31" i="40" l="1"/>
  <c r="G30" i="40"/>
  <c r="G35" i="40"/>
  <c r="G25" i="40"/>
  <c r="G34" i="40"/>
  <c r="G26" i="40"/>
  <c r="G32" i="40"/>
  <c r="G24" i="40"/>
  <c r="G33" i="40"/>
  <c r="G29" i="40"/>
  <c r="I26" i="40"/>
  <c r="I29" i="40"/>
  <c r="I34" i="40"/>
  <c r="I33" i="40"/>
  <c r="I32" i="40"/>
  <c r="I24" i="40"/>
  <c r="L34" i="40"/>
  <c r="L32" i="40"/>
  <c r="L24" i="40"/>
  <c r="L29" i="40"/>
  <c r="L33" i="40"/>
  <c r="L26" i="40"/>
  <c r="H34" i="40"/>
  <c r="H32" i="40"/>
  <c r="H29" i="40"/>
  <c r="H26" i="40"/>
  <c r="H33" i="40"/>
  <c r="H24" i="40"/>
  <c r="H35" i="40"/>
  <c r="H30" i="40"/>
  <c r="H25" i="40"/>
  <c r="H31" i="40"/>
  <c r="K31" i="40"/>
  <c r="K30" i="40"/>
  <c r="K35" i="40"/>
  <c r="K25" i="40"/>
  <c r="I35" i="40"/>
  <c r="I25" i="40"/>
  <c r="I31" i="40"/>
  <c r="I30" i="40"/>
  <c r="K34" i="40"/>
  <c r="K24" i="40"/>
  <c r="K26" i="40"/>
  <c r="K32" i="40"/>
  <c r="K33" i="40"/>
  <c r="K29" i="40"/>
  <c r="J25" i="40"/>
  <c r="J30" i="40"/>
  <c r="J31" i="40"/>
  <c r="J35" i="40"/>
  <c r="J34" i="40"/>
  <c r="J26" i="40"/>
  <c r="J33" i="40"/>
  <c r="J24" i="40"/>
  <c r="J29" i="40"/>
  <c r="J32" i="40"/>
  <c r="N90" i="32"/>
  <c r="N85" i="32"/>
  <c r="N89" i="32"/>
  <c r="N88" i="32"/>
  <c r="N96" i="32"/>
  <c r="N86" i="32"/>
  <c r="N9" i="38"/>
  <c r="N8" i="38"/>
  <c r="O9" i="38"/>
  <c r="O8" i="38"/>
  <c r="F92" i="32"/>
  <c r="N85" i="33" s="1"/>
  <c r="R88" i="32"/>
  <c r="R86" i="32"/>
  <c r="R91" i="32"/>
  <c r="R89" i="32"/>
  <c r="R96" i="32"/>
  <c r="R90" i="32"/>
  <c r="R85" i="32"/>
  <c r="Q93" i="32"/>
  <c r="Q97" i="32"/>
  <c r="Q95" i="32"/>
  <c r="Q92" i="32"/>
  <c r="Q94" i="32"/>
  <c r="Q87" i="32"/>
  <c r="Q86" i="32"/>
  <c r="Q90" i="32"/>
  <c r="Q96" i="32"/>
  <c r="Q85" i="32"/>
  <c r="Q91" i="32"/>
  <c r="Q88" i="32"/>
  <c r="Q89" i="32"/>
  <c r="P96" i="32"/>
  <c r="P85" i="32"/>
  <c r="P88" i="32"/>
  <c r="P86" i="32"/>
  <c r="P91" i="32"/>
  <c r="P89" i="32"/>
  <c r="P90" i="32"/>
  <c r="N95" i="32"/>
  <c r="N93" i="32"/>
  <c r="N92" i="32"/>
  <c r="N94" i="32"/>
  <c r="N97" i="32"/>
  <c r="N87" i="32"/>
  <c r="F93" i="32"/>
  <c r="N86" i="33" s="1"/>
  <c r="F95" i="32"/>
  <c r="N88" i="33" s="1"/>
  <c r="S85" i="32"/>
  <c r="E85" i="32" s="1"/>
  <c r="B5" i="15" s="1"/>
  <c r="S89" i="32"/>
  <c r="E89" i="32" s="1"/>
  <c r="B9" i="15" s="1"/>
  <c r="S88" i="32"/>
  <c r="E88" i="32" s="1"/>
  <c r="B8" i="15" s="1"/>
  <c r="S86" i="32"/>
  <c r="E86" i="32" s="1"/>
  <c r="B6" i="15" s="1"/>
  <c r="S96" i="32"/>
  <c r="E96" i="32" s="1"/>
  <c r="B16" i="15" s="1"/>
  <c r="S91" i="32"/>
  <c r="E91" i="32" s="1"/>
  <c r="B11" i="15" s="1"/>
  <c r="S90" i="32"/>
  <c r="E90" i="32" s="1"/>
  <c r="B10" i="15" s="1"/>
  <c r="O91" i="32"/>
  <c r="O90" i="32"/>
  <c r="O89" i="32"/>
  <c r="O88" i="32"/>
  <c r="O85" i="32"/>
  <c r="O86" i="32"/>
  <c r="O96" i="32"/>
  <c r="F87" i="32"/>
  <c r="N80" i="33" s="1"/>
  <c r="F97" i="32"/>
  <c r="N90" i="33" s="1"/>
  <c r="M88" i="32"/>
  <c r="M90" i="32"/>
  <c r="M85" i="32"/>
  <c r="M86" i="32"/>
  <c r="M96" i="32"/>
  <c r="M91" i="32"/>
  <c r="M89" i="32"/>
  <c r="M92" i="32"/>
  <c r="M93" i="32"/>
  <c r="M87" i="32"/>
  <c r="M95" i="32"/>
  <c r="M94" i="32"/>
  <c r="M97" i="32"/>
  <c r="O87" i="32"/>
  <c r="O94" i="32"/>
  <c r="O93" i="32"/>
  <c r="O97" i="32"/>
  <c r="O95" i="32"/>
  <c r="O92" i="32"/>
  <c r="R95" i="32"/>
  <c r="R97" i="32"/>
  <c r="R94" i="32"/>
  <c r="R87" i="32"/>
  <c r="R92" i="32"/>
  <c r="R93" i="32"/>
  <c r="J90" i="32"/>
  <c r="J96" i="32"/>
  <c r="J88" i="32"/>
  <c r="J86" i="32"/>
  <c r="J85" i="32"/>
  <c r="J91" i="32"/>
  <c r="J89" i="32"/>
  <c r="F94" i="32"/>
  <c r="N87" i="33" s="1"/>
  <c r="P94" i="32"/>
  <c r="P95" i="32"/>
  <c r="P97" i="32"/>
  <c r="P93" i="32"/>
  <c r="P92" i="32"/>
  <c r="P87" i="32"/>
  <c r="C15" i="34"/>
  <c r="C18" i="34"/>
  <c r="C24" i="34"/>
  <c r="C14" i="34"/>
  <c r="C19" i="34"/>
  <c r="C20" i="34"/>
  <c r="C21" i="34"/>
  <c r="C16" i="34"/>
  <c r="D16" i="34" s="1"/>
  <c r="C17" i="34"/>
  <c r="D17" i="34" s="1"/>
  <c r="C22" i="34"/>
  <c r="C23" i="34"/>
  <c r="M10" i="38"/>
  <c r="M13" i="38" s="1"/>
  <c r="O29" i="40" l="1"/>
  <c r="N11" i="33" s="1"/>
  <c r="O26" i="40"/>
  <c r="N8" i="33" s="1"/>
  <c r="O25" i="40"/>
  <c r="O24" i="40"/>
  <c r="N6" i="33" s="1"/>
  <c r="O32" i="40"/>
  <c r="N14" i="33" s="1"/>
  <c r="O35" i="40"/>
  <c r="N17" i="33" s="1"/>
  <c r="O30" i="40"/>
  <c r="N12" i="33" s="1"/>
  <c r="N7" i="33"/>
  <c r="O33" i="40"/>
  <c r="N15" i="33" s="1"/>
  <c r="O34" i="40"/>
  <c r="N16" i="33" s="1"/>
  <c r="O31" i="40"/>
  <c r="N13" i="33" s="1"/>
  <c r="O10" i="38"/>
  <c r="O13" i="38" s="1"/>
  <c r="N10" i="38"/>
  <c r="N13" i="38" s="1"/>
  <c r="T86" i="32"/>
  <c r="T96" i="32"/>
  <c r="T89" i="32"/>
  <c r="T90" i="32"/>
  <c r="T85" i="32"/>
  <c r="T91" i="32"/>
  <c r="T88" i="32"/>
  <c r="D20" i="34"/>
  <c r="T93" i="32"/>
  <c r="T97" i="32"/>
  <c r="F96" i="32"/>
  <c r="N89" i="33" s="1"/>
  <c r="F85" i="32"/>
  <c r="N78" i="33" s="1"/>
  <c r="F86" i="32"/>
  <c r="N79" i="33" s="1"/>
  <c r="T92" i="32"/>
  <c r="T94" i="32"/>
  <c r="F90" i="32"/>
  <c r="F88" i="32"/>
  <c r="N81" i="33" s="1"/>
  <c r="I8" i="33" s="1"/>
  <c r="T95" i="32"/>
  <c r="T87" i="32"/>
  <c r="F91" i="32"/>
  <c r="N84" i="33" s="1"/>
  <c r="I11" i="33" s="1"/>
  <c r="F89" i="32"/>
  <c r="N82" i="33" s="1"/>
  <c r="I9" i="33" s="1"/>
  <c r="D18" i="34"/>
  <c r="D15" i="34"/>
  <c r="D14" i="34"/>
  <c r="D19" i="34"/>
  <c r="D21" i="34"/>
  <c r="N17" i="38" a="1"/>
  <c r="N83" i="33" l="1"/>
  <c r="I10" i="33" s="1"/>
  <c r="C30" i="34"/>
  <c r="N16" i="38" a="1"/>
  <c r="N16" i="38" s="1"/>
  <c r="N15" i="38" a="1"/>
  <c r="O15" i="38" s="1"/>
  <c r="N17" i="38"/>
  <c r="O17" i="38"/>
  <c r="T57" i="32"/>
  <c r="L57" i="32"/>
  <c r="H57" i="32"/>
  <c r="I57" i="32" s="1"/>
  <c r="T56" i="32"/>
  <c r="L56" i="32"/>
  <c r="H56" i="32"/>
  <c r="I56" i="32" s="1"/>
  <c r="T55" i="32"/>
  <c r="L55" i="32"/>
  <c r="H55" i="32"/>
  <c r="I55" i="32" s="1"/>
  <c r="T54" i="32"/>
  <c r="L54" i="32"/>
  <c r="H54" i="32"/>
  <c r="I54" i="32" s="1"/>
  <c r="T53" i="32"/>
  <c r="L53" i="32"/>
  <c r="H53" i="32"/>
  <c r="I53" i="32" s="1"/>
  <c r="J53" i="32" s="1"/>
  <c r="P53" i="32" s="1"/>
  <c r="T52" i="32"/>
  <c r="L52" i="32"/>
  <c r="H52" i="32"/>
  <c r="I52" i="32" s="1"/>
  <c r="T51" i="32"/>
  <c r="L51" i="32"/>
  <c r="H51" i="32"/>
  <c r="I51" i="32" s="1"/>
  <c r="T50" i="32"/>
  <c r="L50" i="32"/>
  <c r="H50" i="32"/>
  <c r="I50" i="32" s="1"/>
  <c r="T49" i="32"/>
  <c r="L49" i="32"/>
  <c r="H49" i="32"/>
  <c r="I49" i="32" s="1"/>
  <c r="T48" i="32"/>
  <c r="L48" i="32"/>
  <c r="H48" i="32"/>
  <c r="I48" i="32" s="1"/>
  <c r="T47" i="32"/>
  <c r="L47" i="32"/>
  <c r="H47" i="32"/>
  <c r="I47" i="32" s="1"/>
  <c r="T46" i="32"/>
  <c r="L46" i="32"/>
  <c r="H46" i="32"/>
  <c r="I46" i="32" s="1"/>
  <c r="T45" i="32"/>
  <c r="L45" i="32"/>
  <c r="I45" i="32"/>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I13" i="32"/>
  <c r="O16" i="38" l="1"/>
  <c r="N15" i="38"/>
  <c r="J17" i="32"/>
  <c r="K17" i="32" s="1"/>
  <c r="Q49" i="32" s="1"/>
  <c r="J19" i="32"/>
  <c r="K19" i="32" s="1"/>
  <c r="Q51" i="32" s="1"/>
  <c r="U23" i="33"/>
  <c r="U27" i="33"/>
  <c r="U31" i="33"/>
  <c r="U26" i="33"/>
  <c r="U30" i="33"/>
  <c r="U34" i="33"/>
  <c r="U24" i="33"/>
  <c r="U28" i="33"/>
  <c r="U32" i="33"/>
  <c r="U25" i="33"/>
  <c r="U29" i="33"/>
  <c r="U33" i="33"/>
  <c r="J15" i="32"/>
  <c r="K15" i="32" s="1"/>
  <c r="Q47" i="32" s="1"/>
  <c r="J46" i="32"/>
  <c r="P46" i="32" s="1"/>
  <c r="J50" i="32"/>
  <c r="P50" i="32" s="1"/>
  <c r="J54" i="32"/>
  <c r="P54" i="32" s="1"/>
  <c r="J51" i="32"/>
  <c r="P51" i="32" s="1"/>
  <c r="J57" i="32"/>
  <c r="P57" i="32" s="1"/>
  <c r="J49" i="32"/>
  <c r="P49" i="32" s="1"/>
  <c r="J21" i="32"/>
  <c r="K21" i="32" s="1"/>
  <c r="Q53" i="32" s="1"/>
  <c r="J13" i="32"/>
  <c r="K13" i="32" s="1"/>
  <c r="Q45" i="32" s="1"/>
  <c r="J25" i="32"/>
  <c r="K25" i="32" s="1"/>
  <c r="Q57" i="32" s="1"/>
  <c r="J56" i="32"/>
  <c r="P56" i="32" s="1"/>
  <c r="J55" i="32"/>
  <c r="P55" i="32" s="1"/>
  <c r="J14" i="32"/>
  <c r="K14" i="32" s="1"/>
  <c r="Q46" i="32" s="1"/>
  <c r="J16" i="32"/>
  <c r="K16" i="32" s="1"/>
  <c r="Q48" i="32" s="1"/>
  <c r="J18" i="32"/>
  <c r="K18" i="32" s="1"/>
  <c r="Q50" i="32" s="1"/>
  <c r="J20" i="32"/>
  <c r="K20" i="32" s="1"/>
  <c r="Q52" i="32" s="1"/>
  <c r="J22" i="32"/>
  <c r="K22" i="32" s="1"/>
  <c r="Q54" i="32" s="1"/>
  <c r="J24" i="32"/>
  <c r="K24" i="32" s="1"/>
  <c r="Q56" i="32" s="1"/>
  <c r="J45" i="32"/>
  <c r="P45" i="32" s="1"/>
  <c r="J48" i="32"/>
  <c r="P48" i="32" s="1"/>
  <c r="J23" i="32"/>
  <c r="K23" i="32" s="1"/>
  <c r="Q55" i="32" s="1"/>
  <c r="J47" i="32"/>
  <c r="P47" i="32" s="1"/>
  <c r="J52" i="32"/>
  <c r="P52" i="32" s="1"/>
  <c r="E8" i="38" l="1"/>
  <c r="F8" i="38" s="1"/>
  <c r="O10" i="33" s="1"/>
  <c r="E3" i="38"/>
  <c r="E9" i="38"/>
  <c r="F9" i="38" s="1"/>
  <c r="O11" i="33" s="1"/>
  <c r="E4" i="38"/>
  <c r="F4" i="38" s="1"/>
  <c r="O6" i="33" s="1"/>
  <c r="E11" i="38"/>
  <c r="F11" i="38" s="1"/>
  <c r="O13" i="33" s="1"/>
  <c r="E12" i="38"/>
  <c r="F12" i="38" s="1"/>
  <c r="O14" i="33" s="1"/>
  <c r="F3" i="38"/>
  <c r="O5" i="33" s="1"/>
  <c r="E15" i="38"/>
  <c r="F15" i="38" s="1"/>
  <c r="O17" i="33" s="1"/>
  <c r="E5" i="38"/>
  <c r="F5" i="38" s="1"/>
  <c r="O7" i="33" s="1"/>
  <c r="E7" i="38"/>
  <c r="F7" i="38" s="1"/>
  <c r="O9" i="33" s="1"/>
  <c r="E13" i="38"/>
  <c r="F13" i="38" s="1"/>
  <c r="O15" i="33" s="1"/>
  <c r="E14" i="38"/>
  <c r="E10" i="38"/>
  <c r="F10" i="38" s="1"/>
  <c r="O12" i="33" s="1"/>
  <c r="E6" i="38"/>
  <c r="F6" i="38" s="1"/>
  <c r="O8" i="33" s="1"/>
  <c r="U22" i="33"/>
  <c r="AB6" i="15" l="1"/>
  <c r="AB8" i="15"/>
  <c r="AB9" i="15"/>
  <c r="AB10" i="15"/>
  <c r="AB11" i="15"/>
  <c r="AB14" i="15"/>
  <c r="AB15" i="15"/>
  <c r="AB16" i="15"/>
  <c r="AB5" i="15"/>
  <c r="AB17" i="15"/>
  <c r="AB13" i="15"/>
  <c r="AB12" i="15"/>
  <c r="AB7" i="15"/>
  <c r="S10" i="15" l="1"/>
  <c r="S6" i="15"/>
  <c r="S5" i="15"/>
  <c r="S17" i="15"/>
  <c r="S12" i="15"/>
  <c r="S11" i="15"/>
  <c r="S9" i="15"/>
  <c r="S16" i="15"/>
  <c r="S15" i="15"/>
  <c r="S14" i="15"/>
  <c r="S13" i="15"/>
  <c r="S8" i="15"/>
  <c r="S7" i="15"/>
  <c r="J6" i="15" l="1"/>
  <c r="J7" i="15"/>
  <c r="J8" i="15"/>
  <c r="J9" i="15"/>
  <c r="J10" i="15"/>
  <c r="J11" i="15"/>
  <c r="J12" i="15"/>
  <c r="J13" i="15"/>
  <c r="J14" i="15"/>
  <c r="J15" i="15"/>
  <c r="J16" i="15"/>
  <c r="J17" i="15"/>
  <c r="J5" i="15"/>
  <c r="U11" i="15" l="1"/>
  <c r="U14" i="15" l="1"/>
  <c r="T11" i="15"/>
  <c r="U10" i="15" l="1"/>
  <c r="U6" i="15"/>
  <c r="U7" i="15"/>
  <c r="U5" i="15"/>
  <c r="U15" i="15"/>
  <c r="D5" i="30" s="1"/>
  <c r="U9" i="15"/>
  <c r="U16" i="15"/>
  <c r="U12" i="15"/>
  <c r="U13" i="15"/>
  <c r="U8" i="15"/>
  <c r="T14" i="15"/>
  <c r="L13" i="15" l="1"/>
  <c r="L14" i="15"/>
  <c r="L12" i="15"/>
  <c r="L7" i="15"/>
  <c r="L9" i="15"/>
  <c r="L10" i="15"/>
  <c r="L16" i="15"/>
  <c r="L5" i="15"/>
  <c r="L15" i="15"/>
  <c r="C5" i="30" s="1"/>
  <c r="L6" i="15"/>
  <c r="L8" i="15"/>
  <c r="L11" i="15"/>
  <c r="K5" i="15"/>
  <c r="U17" i="15"/>
  <c r="AE17" i="15"/>
  <c r="T9" i="15"/>
  <c r="T5" i="15"/>
  <c r="T7" i="15"/>
  <c r="T8" i="15"/>
  <c r="T6" i="15"/>
  <c r="T16" i="15"/>
  <c r="T15" i="15"/>
  <c r="T13" i="15"/>
  <c r="D3" i="30" s="1"/>
  <c r="T10" i="15"/>
  <c r="T12" i="15"/>
  <c r="AE6" i="15"/>
  <c r="AE16" i="15"/>
  <c r="AE14" i="15"/>
  <c r="F4" i="30" s="1"/>
  <c r="AE9" i="15"/>
  <c r="AE7" i="15"/>
  <c r="E6" i="30" s="1"/>
  <c r="AE12" i="15"/>
  <c r="AE10" i="15"/>
  <c r="AE11" i="15"/>
  <c r="AE15" i="15"/>
  <c r="AE8" i="15"/>
  <c r="AE13" i="15"/>
  <c r="F3" i="30" s="1"/>
  <c r="K14" i="15"/>
  <c r="K11" i="15"/>
  <c r="K13" i="15"/>
  <c r="K8" i="15"/>
  <c r="K9" i="15"/>
  <c r="K7" i="15"/>
  <c r="K15" i="15"/>
  <c r="K12" i="15"/>
  <c r="K16" i="15"/>
  <c r="K6" i="15"/>
  <c r="K10" i="15"/>
  <c r="C3" i="30" l="1"/>
  <c r="U20" i="15"/>
  <c r="AE20" i="15"/>
  <c r="E2" i="30"/>
  <c r="F2" i="30"/>
  <c r="F7" i="30" s="1"/>
  <c r="F9" i="30" s="1"/>
  <c r="E5" i="30"/>
  <c r="E3" i="30"/>
  <c r="E4" i="30"/>
  <c r="L17" i="15"/>
  <c r="L20" i="15" s="1"/>
  <c r="K17" i="15"/>
  <c r="T17" i="15"/>
  <c r="U22" i="15" l="1"/>
  <c r="U21" i="15"/>
  <c r="AE21" i="15"/>
  <c r="AE22" i="15"/>
  <c r="L22" i="15"/>
  <c r="L21" i="15"/>
  <c r="C2" i="30"/>
  <c r="D2" i="30"/>
  <c r="E7" i="30"/>
  <c r="D6" i="30"/>
  <c r="C6" i="30"/>
  <c r="D23" i="34"/>
  <c r="D22" i="34"/>
  <c r="C7" i="30" l="1"/>
  <c r="J2" i="30"/>
  <c r="J7" i="30"/>
  <c r="J3" i="30"/>
  <c r="J5" i="30"/>
  <c r="J6" i="30"/>
  <c r="J4" i="30"/>
  <c r="D25" i="34"/>
  <c r="C29" i="34" s="1"/>
  <c r="N23" i="30" l="1"/>
  <c r="N20" i="30"/>
  <c r="N16" i="30"/>
  <c r="N15" i="30"/>
  <c r="N26" i="30"/>
  <c r="N25" i="30"/>
  <c r="N24" i="30"/>
  <c r="N19" i="30"/>
  <c r="N21" i="30"/>
  <c r="N18" i="30"/>
  <c r="N22" i="30"/>
  <c r="N14" i="30"/>
  <c r="N17" i="30"/>
  <c r="G10" i="33"/>
  <c r="C26" i="33"/>
  <c r="C27" i="33"/>
  <c r="N27" i="33" s="1"/>
  <c r="C25" i="33"/>
  <c r="N25" i="33" s="1"/>
  <c r="C32" i="33"/>
  <c r="N32" i="33" s="1"/>
  <c r="C31" i="33"/>
  <c r="N31" i="33" s="1"/>
  <c r="C29" i="33"/>
  <c r="C28" i="33"/>
  <c r="N28" i="33" s="1"/>
  <c r="C24" i="33"/>
  <c r="C34" i="33"/>
  <c r="N34" i="33" s="1"/>
  <c r="C33" i="33"/>
  <c r="N33" i="33" s="1"/>
  <c r="C23" i="33"/>
  <c r="N23" i="33" s="1"/>
  <c r="C30" i="33"/>
  <c r="C22" i="33"/>
  <c r="N22" i="33" s="1"/>
  <c r="D12" i="15"/>
  <c r="D15" i="15"/>
  <c r="D16" i="15"/>
  <c r="D17" i="15"/>
  <c r="D5" i="15"/>
  <c r="D11" i="15"/>
  <c r="D8" i="15"/>
  <c r="D9" i="15"/>
  <c r="D14" i="15"/>
  <c r="D6" i="15"/>
  <c r="D13" i="15"/>
  <c r="D10" i="15"/>
  <c r="D7" i="15"/>
  <c r="N29" i="33" l="1"/>
  <c r="N26" i="33"/>
  <c r="N30" i="33"/>
  <c r="N24" i="33"/>
  <c r="N27" i="30"/>
  <c r="O33" i="33"/>
  <c r="O29" i="33"/>
  <c r="O27" i="33"/>
  <c r="K22" i="33"/>
  <c r="O22" i="33"/>
  <c r="O34" i="33"/>
  <c r="O31" i="33"/>
  <c r="O26" i="33"/>
  <c r="O24" i="33"/>
  <c r="O32" i="33"/>
  <c r="O30" i="33"/>
  <c r="O23" i="33"/>
  <c r="O28" i="33"/>
  <c r="O25" i="33"/>
  <c r="J33" i="33"/>
  <c r="J29" i="33"/>
  <c r="J27" i="33"/>
  <c r="J22" i="33"/>
  <c r="J34" i="33"/>
  <c r="J31" i="33"/>
  <c r="J26" i="33"/>
  <c r="J24" i="33"/>
  <c r="J32" i="33"/>
  <c r="J30" i="33"/>
  <c r="J23" i="33"/>
  <c r="J28" i="33"/>
  <c r="J25" i="33"/>
  <c r="G27" i="33"/>
  <c r="E22" i="33"/>
  <c r="C32" i="34"/>
  <c r="D7" i="30" l="1"/>
  <c r="D9" i="30" s="1"/>
  <c r="C9" i="30"/>
  <c r="Q22" i="33"/>
  <c r="I2" i="30" l="1"/>
  <c r="I7" i="30"/>
  <c r="I6" i="30"/>
  <c r="I5" i="30"/>
  <c r="I4" i="30"/>
  <c r="I3" i="30"/>
  <c r="E9" i="30"/>
  <c r="I16" i="30" l="1"/>
  <c r="I23" i="30"/>
  <c r="I20" i="30"/>
  <c r="I15" i="30"/>
  <c r="I14" i="30"/>
  <c r="I19" i="30" l="1"/>
  <c r="I26" i="30"/>
  <c r="I24" i="30"/>
  <c r="I21" i="30"/>
  <c r="I17" i="30"/>
  <c r="I18" i="30"/>
  <c r="I25" i="30"/>
  <c r="I22" i="30"/>
  <c r="G78" i="33"/>
  <c r="I27" i="30" l="1"/>
  <c r="E37" i="33"/>
  <c r="G84" i="33"/>
  <c r="G83" i="33"/>
  <c r="G88" i="33"/>
  <c r="G85" i="33"/>
  <c r="G86" i="33"/>
  <c r="G80" i="33"/>
  <c r="G81" i="33"/>
  <c r="G79" i="33"/>
  <c r="G89" i="33"/>
  <c r="G90" i="33"/>
  <c r="G87" i="33"/>
  <c r="G82" i="33"/>
  <c r="E41" i="33" l="1"/>
  <c r="F37" i="33" l="1"/>
  <c r="K37" i="33" l="1"/>
  <c r="K41" i="33" l="1"/>
  <c r="Q37" i="33"/>
  <c r="Q41" i="33" l="1"/>
  <c r="G37" i="33" l="1"/>
  <c r="G46" i="33" l="1"/>
  <c r="J37" i="33"/>
  <c r="O37" i="33"/>
  <c r="N37" i="33"/>
  <c r="N46" i="33" l="1"/>
  <c r="N47" i="33"/>
  <c r="N53" i="33"/>
  <c r="N44" i="33"/>
  <c r="N50" i="33"/>
  <c r="N52" i="33"/>
  <c r="N51" i="33"/>
  <c r="N41" i="33"/>
  <c r="N42" i="33"/>
  <c r="N45" i="33"/>
  <c r="N43" i="33"/>
  <c r="N49" i="33"/>
  <c r="N48" i="33"/>
  <c r="J42" i="33"/>
  <c r="O44" i="33"/>
  <c r="J44" i="33"/>
  <c r="O42" i="33"/>
  <c r="O53" i="33"/>
  <c r="O49" i="33"/>
  <c r="O50" i="33"/>
  <c r="O51" i="33"/>
  <c r="O41" i="33"/>
  <c r="O48" i="33"/>
  <c r="O43" i="33"/>
  <c r="O52" i="33"/>
  <c r="O46" i="33"/>
  <c r="O47" i="33"/>
  <c r="O45" i="33"/>
  <c r="J41" i="33"/>
  <c r="J49" i="33"/>
  <c r="J43" i="33"/>
  <c r="J51" i="33"/>
  <c r="J52" i="33"/>
  <c r="J48" i="33"/>
  <c r="J50" i="33"/>
  <c r="J53" i="33"/>
  <c r="J46" i="33"/>
  <c r="J45" i="33"/>
  <c r="J47" i="33"/>
  <c r="C25" i="30" l="1"/>
  <c r="C26" i="30" l="1"/>
  <c r="C21" i="30"/>
  <c r="C24" i="30"/>
  <c r="C15" i="30"/>
  <c r="C23" i="30"/>
  <c r="C17" i="30"/>
  <c r="C18" i="30"/>
  <c r="C20" i="30"/>
  <c r="C19" i="30"/>
  <c r="C16" i="30"/>
  <c r="C22" i="30"/>
  <c r="C14" i="30"/>
  <c r="C27" i="30" l="1"/>
  <c r="F14" i="30" l="1"/>
  <c r="O14" i="30" s="1"/>
  <c r="P14" i="30" s="1"/>
  <c r="F22" i="30"/>
  <c r="O22" i="30" s="1"/>
  <c r="P22" i="30" s="1"/>
  <c r="F15" i="30"/>
  <c r="O15" i="30" s="1"/>
  <c r="P15" i="30" s="1"/>
  <c r="F23" i="30"/>
  <c r="O23" i="30" s="1"/>
  <c r="P23" i="30" s="1"/>
  <c r="F20" i="30"/>
  <c r="O20" i="30" s="1"/>
  <c r="P20" i="30" s="1"/>
  <c r="F17" i="30"/>
  <c r="O17" i="30" s="1"/>
  <c r="P17" i="30" s="1"/>
  <c r="F18" i="30"/>
  <c r="O18" i="30" s="1"/>
  <c r="P18" i="30" s="1"/>
  <c r="F26" i="30"/>
  <c r="O26" i="30" s="1"/>
  <c r="P26" i="30" s="1"/>
  <c r="F21" i="30"/>
  <c r="O21" i="30" s="1"/>
  <c r="P21" i="30" s="1"/>
  <c r="F25" i="30"/>
  <c r="O25" i="30" s="1"/>
  <c r="P25" i="30" s="1"/>
  <c r="F19" i="30"/>
  <c r="O19" i="30" s="1"/>
  <c r="P19" i="30" s="1"/>
  <c r="F16" i="30"/>
  <c r="O16" i="30" s="1"/>
  <c r="P16" i="30" s="1"/>
  <c r="F24" i="30"/>
  <c r="O24" i="30" s="1"/>
  <c r="P24" i="30" s="1"/>
  <c r="L8" i="33" l="1"/>
  <c r="S8" i="33" s="1"/>
  <c r="L7" i="33"/>
  <c r="S7" i="33" s="1"/>
  <c r="L6" i="33"/>
  <c r="L17" i="33"/>
  <c r="S17" i="33" s="1"/>
  <c r="L15" i="33"/>
  <c r="S15" i="33" s="1"/>
  <c r="L14" i="33"/>
  <c r="S14" i="33" s="1"/>
  <c r="L16" i="33"/>
  <c r="S16" i="33" s="1"/>
  <c r="L13" i="33"/>
  <c r="S13" i="33" s="1"/>
  <c r="L9" i="33"/>
  <c r="S9" i="33" s="1"/>
  <c r="L11" i="33"/>
  <c r="S11" i="33" s="1"/>
  <c r="L10" i="33"/>
  <c r="S10" i="33" s="1"/>
  <c r="L12" i="33"/>
  <c r="S12" i="33" s="1"/>
  <c r="L5" i="33"/>
  <c r="S5" i="33" s="1"/>
  <c r="J14" i="30"/>
  <c r="K14" i="30" s="1"/>
  <c r="J21" i="30"/>
  <c r="K21" i="30" s="1"/>
  <c r="J16" i="30"/>
  <c r="K16" i="30" s="1"/>
  <c r="J26" i="30"/>
  <c r="K26" i="30" s="1"/>
  <c r="J23" i="30"/>
  <c r="K23" i="30" s="1"/>
  <c r="F27" i="30"/>
  <c r="J18" i="30"/>
  <c r="K18" i="30" s="1"/>
  <c r="J25" i="30"/>
  <c r="K25" i="30" s="1"/>
  <c r="J17" i="30"/>
  <c r="K17" i="30" s="1"/>
  <c r="J22" i="30"/>
  <c r="K22" i="30" s="1"/>
  <c r="J24" i="30"/>
  <c r="K24" i="30" s="1"/>
  <c r="J19" i="30"/>
  <c r="K19" i="30" s="1"/>
  <c r="J20" i="30"/>
  <c r="K20" i="30" s="1"/>
  <c r="J15" i="30"/>
  <c r="K15" i="30" s="1"/>
  <c r="P5" i="33" l="1"/>
  <c r="P12" i="33"/>
  <c r="P13" i="33"/>
  <c r="P17" i="33"/>
  <c r="P10" i="33"/>
  <c r="P16" i="33"/>
  <c r="P11" i="33"/>
  <c r="P14" i="33"/>
  <c r="P7" i="33"/>
  <c r="P9" i="33"/>
  <c r="P15" i="33"/>
  <c r="P8" i="33"/>
  <c r="G25" i="30"/>
  <c r="G24" i="30"/>
  <c r="D18" i="30"/>
  <c r="G16" i="30"/>
  <c r="G19" i="30"/>
  <c r="G15" i="30"/>
  <c r="G22" i="30"/>
  <c r="G21" i="30"/>
  <c r="G20" i="30"/>
  <c r="D17" i="30"/>
  <c r="G23" i="30"/>
  <c r="G14" i="30"/>
  <c r="D14" i="30"/>
  <c r="D23" i="30"/>
  <c r="D21" i="30"/>
  <c r="D16" i="30"/>
  <c r="D22" i="30"/>
  <c r="G17" i="30"/>
  <c r="D26" i="30"/>
  <c r="G18" i="30"/>
  <c r="G26" i="30"/>
  <c r="D25" i="30"/>
  <c r="D15" i="30"/>
  <c r="D20" i="30"/>
  <c r="D19" i="30"/>
  <c r="D24" i="30"/>
  <c r="L31" i="33"/>
  <c r="S31" i="33" s="1"/>
  <c r="L34" i="33"/>
  <c r="S34" i="33" s="1"/>
  <c r="L28" i="33"/>
  <c r="S28" i="33" s="1"/>
  <c r="L30" i="33"/>
  <c r="S30" i="33" s="1"/>
  <c r="L32" i="33"/>
  <c r="S32" i="33" s="1"/>
  <c r="L24" i="33"/>
  <c r="S24" i="33" s="1"/>
  <c r="L25" i="33"/>
  <c r="S25" i="33" s="1"/>
  <c r="L29" i="33"/>
  <c r="S29" i="33" s="1"/>
  <c r="L23" i="33"/>
  <c r="S23" i="33" s="1"/>
  <c r="L27" i="33"/>
  <c r="S27" i="33" s="1"/>
  <c r="L33" i="33"/>
  <c r="S33" i="33" s="1"/>
  <c r="J27" i="30"/>
  <c r="K27" i="30" s="1"/>
  <c r="L22" i="33"/>
  <c r="S22" i="33" s="1"/>
  <c r="L26" i="33"/>
  <c r="S26" i="33" s="1"/>
  <c r="J4" i="47" l="1"/>
  <c r="J13" i="47"/>
  <c r="J20" i="47" s="1"/>
  <c r="J12" i="47"/>
  <c r="J10" i="47"/>
  <c r="J11" i="47"/>
  <c r="J14" i="47"/>
  <c r="J6" i="47"/>
  <c r="J9" i="47"/>
  <c r="J7" i="47"/>
  <c r="J8" i="47"/>
  <c r="J5" i="47"/>
  <c r="J15" i="47"/>
  <c r="J3" i="47"/>
  <c r="S37" i="33"/>
  <c r="D27" i="30"/>
  <c r="O27" i="30"/>
  <c r="P27" i="30" s="1"/>
  <c r="R22" i="33"/>
  <c r="G27" i="30"/>
  <c r="R9" i="33"/>
  <c r="R16" i="33"/>
  <c r="R12" i="33"/>
  <c r="R11" i="33"/>
  <c r="R13" i="33"/>
  <c r="R5" i="33"/>
  <c r="R10" i="33"/>
  <c r="R7" i="33"/>
  <c r="R15" i="33"/>
  <c r="R14" i="33"/>
  <c r="R8" i="33"/>
  <c r="R17" i="33"/>
  <c r="J19" i="47" l="1"/>
  <c r="U53" i="33"/>
  <c r="W15" i="47" s="1"/>
  <c r="U46" i="33"/>
  <c r="W8" i="47" s="1"/>
  <c r="U47" i="33"/>
  <c r="W9" i="47" s="1"/>
  <c r="U52" i="33"/>
  <c r="W14" i="47" s="1"/>
  <c r="U48" i="33"/>
  <c r="W10" i="47" s="1"/>
  <c r="U51" i="33"/>
  <c r="W13" i="47" s="1"/>
  <c r="U41" i="33"/>
  <c r="W3" i="47" s="1"/>
  <c r="U43" i="33"/>
  <c r="W5" i="47" s="1"/>
  <c r="U45" i="33"/>
  <c r="W7" i="47" s="1"/>
  <c r="U44" i="33"/>
  <c r="W6" i="47" s="1"/>
  <c r="U49" i="33"/>
  <c r="W11" i="47" s="1"/>
  <c r="U50" i="33"/>
  <c r="W12" i="47" s="1"/>
  <c r="U42" i="33"/>
  <c r="W4" i="47" s="1"/>
  <c r="I3" i="47"/>
  <c r="D34" i="33"/>
  <c r="D24" i="33"/>
  <c r="P25" i="33"/>
  <c r="R25" i="33"/>
  <c r="D31" i="33"/>
  <c r="P32" i="33"/>
  <c r="R32" i="33"/>
  <c r="P27" i="33"/>
  <c r="R27" i="33"/>
  <c r="P30" i="33"/>
  <c r="R30" i="33"/>
  <c r="P28" i="33"/>
  <c r="R28" i="33"/>
  <c r="R33" i="33"/>
  <c r="P33" i="33"/>
  <c r="D22" i="33"/>
  <c r="D28" i="33"/>
  <c r="D29" i="33"/>
  <c r="D33" i="33"/>
  <c r="P26" i="33"/>
  <c r="R26" i="33"/>
  <c r="D25" i="33"/>
  <c r="D27" i="33"/>
  <c r="D30" i="33"/>
  <c r="D26" i="33"/>
  <c r="D32" i="33"/>
  <c r="P34" i="33"/>
  <c r="R34" i="33"/>
  <c r="P31" i="33"/>
  <c r="R31" i="33"/>
  <c r="P24" i="33"/>
  <c r="R24" i="33"/>
  <c r="P22" i="33"/>
  <c r="L37" i="33"/>
  <c r="P29" i="33"/>
  <c r="R29" i="33"/>
  <c r="I7" i="47" l="1"/>
  <c r="I8" i="47"/>
  <c r="I10" i="47"/>
  <c r="I15" i="47"/>
  <c r="I6" i="47"/>
  <c r="I11" i="47"/>
  <c r="I13" i="47"/>
  <c r="I9" i="47"/>
  <c r="I5" i="47"/>
  <c r="I12" i="47"/>
  <c r="I14" i="47"/>
  <c r="H78" i="33"/>
  <c r="H90" i="33"/>
  <c r="H87" i="33"/>
  <c r="H82" i="33"/>
  <c r="H84" i="33"/>
  <c r="H83" i="33"/>
  <c r="H85" i="33"/>
  <c r="H80" i="33"/>
  <c r="H89" i="33"/>
  <c r="H81" i="33"/>
  <c r="H86" i="33"/>
  <c r="H88" i="33"/>
  <c r="L49" i="33"/>
  <c r="V52" i="32"/>
  <c r="W52" i="32" s="1"/>
  <c r="L43" i="33"/>
  <c r="V56" i="32"/>
  <c r="W56" i="32" s="1"/>
  <c r="V51" i="32"/>
  <c r="W51" i="32" s="1"/>
  <c r="V54" i="32"/>
  <c r="W54" i="32" s="1"/>
  <c r="L45" i="33"/>
  <c r="V53" i="32"/>
  <c r="W53" i="32" s="1"/>
  <c r="L46" i="33"/>
  <c r="L48" i="33"/>
  <c r="V47" i="32"/>
  <c r="W47" i="32" s="1"/>
  <c r="L42" i="33"/>
  <c r="L41" i="33"/>
  <c r="L50" i="33"/>
  <c r="L53" i="33"/>
  <c r="V49" i="32"/>
  <c r="W49" i="32" s="1"/>
  <c r="V50" i="32"/>
  <c r="W50" i="32" s="1"/>
  <c r="L51" i="33"/>
  <c r="L44" i="33"/>
  <c r="V45" i="32"/>
  <c r="W45" i="32" s="1"/>
  <c r="V57" i="32"/>
  <c r="W57" i="32" s="1"/>
  <c r="L52" i="33"/>
  <c r="L47" i="33"/>
  <c r="V55" i="32"/>
  <c r="W55" i="32" s="1"/>
  <c r="V48" i="32"/>
  <c r="W48" i="32" s="1"/>
  <c r="I20" i="47" l="1"/>
  <c r="S52" i="33"/>
  <c r="S51" i="33"/>
  <c r="S50" i="33"/>
  <c r="S48" i="33"/>
  <c r="S49" i="33"/>
  <c r="S53" i="33"/>
  <c r="S43" i="33"/>
  <c r="S41" i="33"/>
  <c r="I88" i="33"/>
  <c r="I80" i="33"/>
  <c r="I86" i="33"/>
  <c r="I85" i="33"/>
  <c r="I87" i="33"/>
  <c r="I83" i="33"/>
  <c r="I90" i="33"/>
  <c r="I81" i="33"/>
  <c r="R49" i="33"/>
  <c r="I89" i="33"/>
  <c r="I84" i="33"/>
  <c r="I82" i="33"/>
  <c r="I78" i="33"/>
  <c r="P41" i="33"/>
  <c r="P49" i="33"/>
  <c r="P52" i="33"/>
  <c r="R52" i="33"/>
  <c r="R41" i="33"/>
  <c r="P48" i="33"/>
  <c r="R48" i="33"/>
  <c r="R51" i="33"/>
  <c r="P51" i="33"/>
  <c r="P43" i="33"/>
  <c r="R43" i="33"/>
  <c r="R53" i="33"/>
  <c r="P53" i="33"/>
  <c r="R50" i="33"/>
  <c r="P50" i="33"/>
  <c r="P23" i="33"/>
  <c r="I37" i="33"/>
  <c r="R23" i="33"/>
  <c r="I6" i="33"/>
  <c r="I4" i="47" l="1"/>
  <c r="R37" i="33"/>
  <c r="S38" i="33"/>
  <c r="P6" i="33"/>
  <c r="S6" i="33"/>
  <c r="R6" i="33"/>
  <c r="J78" i="33"/>
  <c r="R38" i="33"/>
  <c r="J90" i="33"/>
  <c r="J88" i="33"/>
  <c r="J87" i="33"/>
  <c r="J89" i="33"/>
  <c r="J80" i="33"/>
  <c r="J85" i="33"/>
  <c r="J86" i="33"/>
  <c r="H79" i="33"/>
  <c r="P37" i="33"/>
  <c r="I42" i="33"/>
  <c r="I46" i="33"/>
  <c r="S46" i="33" s="1"/>
  <c r="V46" i="32"/>
  <c r="W46" i="32" s="1"/>
  <c r="I44" i="33"/>
  <c r="S44" i="33" s="1"/>
  <c r="I45" i="33"/>
  <c r="S45" i="33" s="1"/>
  <c r="I47" i="33"/>
  <c r="S47" i="33" s="1"/>
  <c r="T41" i="33" l="1"/>
  <c r="T49" i="33"/>
  <c r="T45" i="33"/>
  <c r="T43" i="33"/>
  <c r="T51" i="33"/>
  <c r="T47" i="33"/>
  <c r="T53" i="33"/>
  <c r="T50" i="33"/>
  <c r="T46" i="33"/>
  <c r="T44" i="33"/>
  <c r="T52" i="33"/>
  <c r="T48" i="33"/>
  <c r="T42" i="33"/>
  <c r="I19" i="47"/>
  <c r="I18" i="47" s="1"/>
  <c r="S42" i="33"/>
  <c r="D23" i="33"/>
  <c r="R42" i="33"/>
  <c r="K90" i="33"/>
  <c r="K89" i="33"/>
  <c r="K80" i="33"/>
  <c r="K86" i="33"/>
  <c r="I79" i="33"/>
  <c r="K87" i="33"/>
  <c r="K85" i="33"/>
  <c r="K88" i="33"/>
  <c r="K78" i="33"/>
  <c r="J18" i="47"/>
  <c r="H91" i="33"/>
  <c r="T37" i="33"/>
  <c r="P47" i="33"/>
  <c r="R47" i="33"/>
  <c r="R46" i="33"/>
  <c r="P46" i="33"/>
  <c r="R45" i="33"/>
  <c r="P45" i="33"/>
  <c r="P42" i="33"/>
  <c r="R44" i="33"/>
  <c r="P44" i="33"/>
  <c r="X57" i="32"/>
  <c r="X47" i="32"/>
  <c r="X52" i="32"/>
  <c r="X49" i="32"/>
  <c r="X46" i="32"/>
  <c r="X53" i="32"/>
  <c r="X56" i="32"/>
  <c r="X48" i="32"/>
  <c r="X55" i="32"/>
  <c r="X50" i="32"/>
  <c r="X51" i="32"/>
  <c r="X45" i="32"/>
  <c r="X54" i="32"/>
  <c r="V6" i="47" l="1"/>
  <c r="V9" i="47"/>
  <c r="V4" i="47"/>
  <c r="V8" i="47"/>
  <c r="V7" i="47"/>
  <c r="V10" i="47"/>
  <c r="V12" i="47"/>
  <c r="V5" i="47"/>
  <c r="V14" i="47"/>
  <c r="V15" i="47"/>
  <c r="V11" i="47"/>
  <c r="V13" i="47"/>
  <c r="V3" i="47"/>
  <c r="K3" i="47"/>
  <c r="K12" i="47"/>
  <c r="K8" i="47"/>
  <c r="K13" i="47"/>
  <c r="K9" i="47"/>
  <c r="K14" i="47"/>
  <c r="K6" i="47"/>
  <c r="K11" i="47"/>
  <c r="K5" i="47"/>
  <c r="K10" i="47"/>
  <c r="K15" i="47"/>
  <c r="K7" i="47"/>
  <c r="K4" i="47"/>
  <c r="J81" i="33"/>
  <c r="J82" i="33"/>
  <c r="J83" i="33"/>
  <c r="J84" i="33"/>
  <c r="J79" i="33"/>
  <c r="K83" i="33" l="1"/>
  <c r="K82" i="33"/>
  <c r="K79" i="33"/>
  <c r="K81" i="33"/>
  <c r="K84" i="33"/>
  <c r="Q28" i="47"/>
  <c r="K28" i="47"/>
  <c r="O8" i="47"/>
  <c r="P8" i="47"/>
  <c r="Q27" i="47"/>
  <c r="O7" i="47"/>
  <c r="K27" i="47"/>
  <c r="P7" i="47"/>
  <c r="Q31" i="47"/>
  <c r="P11" i="47"/>
  <c r="O11" i="47"/>
  <c r="K31" i="47"/>
  <c r="O5" i="47"/>
  <c r="Q25" i="47"/>
  <c r="K25" i="47"/>
  <c r="P5" i="47"/>
  <c r="Q29" i="47"/>
  <c r="O9" i="47"/>
  <c r="K29" i="47"/>
  <c r="P9" i="47"/>
  <c r="Q32" i="47"/>
  <c r="K32" i="47"/>
  <c r="P12" i="47"/>
  <c r="O12" i="47"/>
  <c r="Q26" i="47"/>
  <c r="P6" i="47"/>
  <c r="O6" i="47"/>
  <c r="K26" i="47"/>
  <c r="O13" i="47"/>
  <c r="Q33" i="47"/>
  <c r="K33" i="47"/>
  <c r="P13" i="47"/>
  <c r="Q35" i="47"/>
  <c r="O15" i="47"/>
  <c r="P15" i="47"/>
  <c r="K35" i="47"/>
  <c r="K24" i="47"/>
  <c r="P4" i="47"/>
  <c r="Q24" i="47"/>
  <c r="O4" i="47"/>
  <c r="K23" i="47"/>
  <c r="O3" i="47"/>
  <c r="Q23" i="47"/>
  <c r="P3" i="47"/>
  <c r="O14" i="47"/>
  <c r="P14" i="47"/>
  <c r="K34" i="47"/>
  <c r="Q34" i="47"/>
  <c r="P10" i="47"/>
  <c r="Q30" i="47"/>
  <c r="O10" i="47"/>
  <c r="K30" i="47"/>
  <c r="M30" i="47" l="1"/>
  <c r="L30" i="47"/>
  <c r="N30" i="47" s="1"/>
  <c r="O30" i="47" s="1"/>
  <c r="P30" i="47" s="1"/>
  <c r="Q3" i="47"/>
  <c r="M35" i="47"/>
  <c r="L35" i="47"/>
  <c r="N35" i="47" s="1"/>
  <c r="O35" i="47" s="1"/>
  <c r="P35" i="47" s="1"/>
  <c r="M26" i="47"/>
  <c r="L26" i="47"/>
  <c r="N26" i="47" s="1"/>
  <c r="O26" i="47" s="1"/>
  <c r="P26" i="47" s="1"/>
  <c r="Q9" i="47"/>
  <c r="M31" i="47"/>
  <c r="L31" i="47"/>
  <c r="N31" i="47" s="1"/>
  <c r="O31" i="47" s="1"/>
  <c r="P31" i="47" s="1"/>
  <c r="Q8" i="47"/>
  <c r="M34" i="47"/>
  <c r="L34" i="47"/>
  <c r="N34" i="47" s="1"/>
  <c r="O34" i="47" s="1"/>
  <c r="P34" i="47" s="1"/>
  <c r="Q15" i="47"/>
  <c r="M6" i="47"/>
  <c r="L6" i="47"/>
  <c r="Q12" i="47"/>
  <c r="L25" i="47"/>
  <c r="N25" i="47" s="1"/>
  <c r="O25" i="47" s="1"/>
  <c r="P25" i="47" s="1"/>
  <c r="M25" i="47"/>
  <c r="L11" i="47"/>
  <c r="M11" i="47"/>
  <c r="M8" i="47"/>
  <c r="L8" i="47"/>
  <c r="Q14" i="47"/>
  <c r="L3" i="47"/>
  <c r="M3" i="47"/>
  <c r="Q4" i="47"/>
  <c r="L15" i="47"/>
  <c r="M15" i="47"/>
  <c r="Q6" i="47"/>
  <c r="M32" i="47"/>
  <c r="L32" i="47"/>
  <c r="N32" i="47" s="1"/>
  <c r="O32" i="47" s="1"/>
  <c r="P32" i="47" s="1"/>
  <c r="M9" i="47"/>
  <c r="L9" i="47"/>
  <c r="Q11" i="47"/>
  <c r="M7" i="47"/>
  <c r="L7" i="47"/>
  <c r="M28" i="47"/>
  <c r="L28" i="47"/>
  <c r="N28" i="47" s="1"/>
  <c r="O28" i="47" s="1"/>
  <c r="P28" i="47" s="1"/>
  <c r="L4" i="47"/>
  <c r="M4" i="47"/>
  <c r="Q13" i="47"/>
  <c r="M12" i="47"/>
  <c r="L12" i="47"/>
  <c r="Q5" i="47"/>
  <c r="Q7" i="47"/>
  <c r="M10" i="47"/>
  <c r="L10" i="47"/>
  <c r="M33" i="47"/>
  <c r="L33" i="47"/>
  <c r="N33" i="47" s="1"/>
  <c r="O33" i="47" s="1"/>
  <c r="P33" i="47" s="1"/>
  <c r="M29" i="47"/>
  <c r="L29" i="47"/>
  <c r="N29" i="47" s="1"/>
  <c r="O29" i="47" s="1"/>
  <c r="P29" i="47" s="1"/>
  <c r="M27" i="47"/>
  <c r="L27" i="47"/>
  <c r="N27" i="47" s="1"/>
  <c r="O27" i="47" s="1"/>
  <c r="P27" i="47" s="1"/>
  <c r="Q10" i="47"/>
  <c r="L14" i="47"/>
  <c r="M14" i="47"/>
  <c r="M23" i="47"/>
  <c r="L23" i="47"/>
  <c r="M24" i="47"/>
  <c r="L24" i="47"/>
  <c r="N24" i="47" s="1"/>
  <c r="O24" i="47" s="1"/>
  <c r="P24" i="47" s="1"/>
  <c r="L13" i="47"/>
  <c r="M13" i="47"/>
  <c r="M5" i="47"/>
  <c r="L5" i="47"/>
  <c r="N12" i="47" l="1"/>
  <c r="N5" i="47"/>
  <c r="N7" i="47"/>
  <c r="N10" i="47"/>
  <c r="N6" i="47"/>
  <c r="N13" i="47"/>
  <c r="N8" i="47"/>
  <c r="N14" i="47"/>
  <c r="N4" i="47"/>
  <c r="N9" i="47"/>
  <c r="N15" i="47"/>
  <c r="N11" i="47"/>
  <c r="N3" i="47"/>
  <c r="L38" i="47"/>
  <c r="K38" i="47" s="1"/>
  <c r="L39" i="47"/>
  <c r="K39" i="47" s="1"/>
  <c r="N23" i="47"/>
  <c r="L37" i="47"/>
  <c r="K37" i="47" s="1"/>
  <c r="P17" i="47"/>
  <c r="N38" i="47" l="1"/>
  <c r="O23" i="47"/>
  <c r="P23" i="47" s="1"/>
  <c r="N39" i="47"/>
  <c r="N37" i="47"/>
  <c r="R14" i="47"/>
  <c r="R5" i="47"/>
  <c r="R10" i="47"/>
  <c r="R12" i="47"/>
  <c r="R13" i="47"/>
  <c r="R3" i="47"/>
  <c r="R9" i="47"/>
  <c r="R8" i="47"/>
  <c r="R15" i="47"/>
  <c r="R4" i="47"/>
  <c r="R6" i="47"/>
  <c r="R11" i="47"/>
  <c r="R7" i="47"/>
  <c r="S11" i="47" l="1"/>
  <c r="S31" i="47"/>
  <c r="T11" i="47"/>
  <c r="S28" i="47"/>
  <c r="S8" i="47"/>
  <c r="T8" i="47"/>
  <c r="S32" i="47"/>
  <c r="T12" i="47"/>
  <c r="S12" i="47"/>
  <c r="M37" i="47"/>
  <c r="O37" i="47"/>
  <c r="P37" i="47" s="1"/>
  <c r="M39" i="47"/>
  <c r="O39" i="47"/>
  <c r="P39" i="47" s="1"/>
  <c r="S4" i="47"/>
  <c r="S24" i="47"/>
  <c r="T4" i="47"/>
  <c r="S3" i="47"/>
  <c r="S23" i="47"/>
  <c r="T3" i="47"/>
  <c r="S25" i="47"/>
  <c r="S5" i="47"/>
  <c r="T5" i="47"/>
  <c r="S6" i="47"/>
  <c r="T6" i="47"/>
  <c r="S26" i="47"/>
  <c r="S9" i="47"/>
  <c r="S29" i="47"/>
  <c r="T9" i="47"/>
  <c r="S10" i="47"/>
  <c r="T10" i="47"/>
  <c r="S30" i="47"/>
  <c r="S7" i="47"/>
  <c r="T7" i="47"/>
  <c r="S27" i="47"/>
  <c r="S35" i="47"/>
  <c r="S15" i="47"/>
  <c r="T15" i="47"/>
  <c r="S13" i="47"/>
  <c r="S33" i="47"/>
  <c r="T13" i="47"/>
  <c r="S34" i="47"/>
  <c r="S14" i="47"/>
  <c r="T14" i="47"/>
  <c r="M38" i="47"/>
  <c r="O38" i="47"/>
  <c r="P38" i="47" s="1"/>
  <c r="T33" i="47" l="1"/>
  <c r="U13" i="47"/>
  <c r="T29" i="47"/>
  <c r="U9" i="47"/>
  <c r="T26" i="47"/>
  <c r="U6" i="47"/>
  <c r="T24" i="47"/>
  <c r="U4" i="47"/>
  <c r="T32" i="47"/>
  <c r="U12" i="47"/>
  <c r="T34" i="47"/>
  <c r="U14" i="47"/>
  <c r="T23" i="47"/>
  <c r="U3" i="47"/>
  <c r="T31" i="47"/>
  <c r="U11" i="47"/>
  <c r="T30" i="47"/>
  <c r="U10" i="47"/>
  <c r="T25" i="47"/>
  <c r="U5" i="47"/>
  <c r="T28" i="47"/>
  <c r="U8" i="47"/>
  <c r="T35" i="47"/>
  <c r="U15" i="47"/>
  <c r="T27" i="47"/>
  <c r="U7" i="47"/>
  <c r="R35" i="47" l="1"/>
  <c r="U35" i="47"/>
  <c r="V35" i="47" s="1"/>
  <c r="R25" i="47"/>
  <c r="U25" i="47"/>
  <c r="V25" i="47" s="1"/>
  <c r="R31" i="47"/>
  <c r="U31" i="47"/>
  <c r="V31" i="47" s="1"/>
  <c r="U34" i="47"/>
  <c r="V34" i="47" s="1"/>
  <c r="R34" i="47"/>
  <c r="U24" i="47"/>
  <c r="V24" i="47" s="1"/>
  <c r="R24" i="47"/>
  <c r="R29" i="47"/>
  <c r="U29" i="47"/>
  <c r="V29" i="47" s="1"/>
  <c r="R27" i="47"/>
  <c r="U27" i="47"/>
  <c r="V27" i="47" s="1"/>
  <c r="U28" i="47"/>
  <c r="V28" i="47" s="1"/>
  <c r="R28" i="47"/>
  <c r="R30" i="47"/>
  <c r="U30" i="47"/>
  <c r="V30" i="47" s="1"/>
  <c r="T37" i="47"/>
  <c r="U23" i="47"/>
  <c r="V23" i="47" s="1"/>
  <c r="T38" i="47"/>
  <c r="T39" i="47"/>
  <c r="R23" i="47"/>
  <c r="R32" i="47"/>
  <c r="U32" i="47"/>
  <c r="V32" i="47" s="1"/>
  <c r="R26" i="47"/>
  <c r="U26" i="47"/>
  <c r="V26" i="47" s="1"/>
  <c r="R33" i="47"/>
  <c r="U33" i="47"/>
  <c r="V33" i="47" s="1"/>
  <c r="R37" i="47" l="1"/>
  <c r="Q37" i="47" s="1"/>
  <c r="R39" i="47"/>
  <c r="Q39" i="47" s="1"/>
  <c r="R38" i="47"/>
  <c r="Q38" i="47" s="1"/>
  <c r="U37" i="47"/>
  <c r="V37" i="47" s="1"/>
  <c r="S37" i="47"/>
  <c r="S39" i="47"/>
  <c r="U39" i="47"/>
  <c r="V39" i="47" s="1"/>
  <c r="U38" i="47"/>
  <c r="V38" i="47" s="1"/>
  <c r="S38" i="47"/>
</calcChain>
</file>

<file path=xl/comments1.xml><?xml version="1.0" encoding="utf-8"?>
<comments xmlns="http://schemas.openxmlformats.org/spreadsheetml/2006/main">
  <authors>
    <author>James Swansson</author>
  </authors>
  <commentList>
    <comment ref="R41" authorId="0">
      <text>
        <r>
          <rPr>
            <b/>
            <sz val="9"/>
            <color indexed="81"/>
            <rFont val="Tahoma"/>
            <charset val="1"/>
          </rPr>
          <t>Sapere: error due to blank Taxes and levies value</t>
        </r>
        <r>
          <rPr>
            <sz val="9"/>
            <color indexed="81"/>
            <rFont val="Tahoma"/>
            <charset val="1"/>
          </rPr>
          <t xml:space="preserve">
</t>
        </r>
      </text>
    </comment>
  </commentList>
</comments>
</file>

<file path=xl/comments2.xml><?xml version="1.0" encoding="utf-8"?>
<comments xmlns="http://schemas.openxmlformats.org/spreadsheetml/2006/main">
  <authors>
    <author>Merz Consulting 1</author>
  </authors>
  <commentList>
    <comment ref="D4" authorId="0">
      <text>
        <r>
          <rPr>
            <b/>
            <sz val="9"/>
            <color indexed="81"/>
            <rFont val="Tahoma"/>
            <family val="2"/>
          </rPr>
          <t>Merz Consulting 1:</t>
        </r>
        <r>
          <rPr>
            <sz val="9"/>
            <color indexed="81"/>
            <rFont val="Tahoma"/>
            <family val="2"/>
          </rPr>
          <t xml:space="preserve">
Removed as less than 30% of  average</t>
        </r>
      </text>
    </comment>
    <comment ref="Q14" authorId="0">
      <text>
        <r>
          <rPr>
            <b/>
            <sz val="9"/>
            <color indexed="81"/>
            <rFont val="Tahoma"/>
            <family val="2"/>
          </rPr>
          <t>Merz Consulting 1:</t>
        </r>
        <r>
          <rPr>
            <sz val="9"/>
            <color indexed="81"/>
            <rFont val="Tahoma"/>
            <family val="2"/>
          </rPr>
          <t xml:space="preserve">
Negatives were published as zeos</t>
        </r>
      </text>
    </comment>
  </commentList>
</comments>
</file>

<file path=xl/comments3.xml><?xml version="1.0" encoding="utf-8"?>
<comments xmlns="http://schemas.openxmlformats.org/spreadsheetml/2006/main">
  <authors>
    <author>Author</author>
  </authors>
  <commentList>
    <comment ref="C19" authorId="0">
      <text>
        <r>
          <rPr>
            <b/>
            <sz val="9"/>
            <color indexed="81"/>
            <rFont val="Tahoma"/>
            <family val="2"/>
          </rPr>
          <t>Author:</t>
        </r>
        <r>
          <rPr>
            <sz val="9"/>
            <color indexed="81"/>
            <rFont val="Tahoma"/>
            <family val="2"/>
          </rPr>
          <t xml:space="preserve">
demand increased faster than capacity</t>
        </r>
      </text>
    </comment>
    <comment ref="C28" authorId="0">
      <text>
        <r>
          <rPr>
            <b/>
            <sz val="9"/>
            <color indexed="81"/>
            <rFont val="Tahoma"/>
            <family val="2"/>
          </rPr>
          <t>Author:</t>
        </r>
        <r>
          <rPr>
            <sz val="9"/>
            <color indexed="81"/>
            <rFont val="Tahoma"/>
            <family val="2"/>
          </rPr>
          <t xml:space="preserve">
demand increased faster than capacity</t>
        </r>
      </text>
    </comment>
  </commentList>
</comments>
</file>

<file path=xl/comments4.xml><?xml version="1.0" encoding="utf-8"?>
<comments xmlns="http://schemas.openxmlformats.org/spreadsheetml/2006/main">
  <authors>
    <author>Roberts, Jonathan</author>
  </authors>
  <commentList>
    <comment ref="K16" authorId="0">
      <text>
        <r>
          <rPr>
            <b/>
            <sz val="9"/>
            <color indexed="81"/>
            <rFont val="Tahoma"/>
            <family val="2"/>
          </rPr>
          <t>Roberts, Jonathan:</t>
        </r>
        <r>
          <rPr>
            <sz val="9"/>
            <color indexed="81"/>
            <rFont val="Tahoma"/>
            <family val="2"/>
          </rPr>
          <t xml:space="preserve">
Roberts, Jonathan:
Roberts, Jonathan:
Old numbers
Not sure why they have changed. Must be something to do with the source data it is linking to. Have checked the links and they seem fine though.</t>
        </r>
      </text>
    </comment>
  </commentList>
</comments>
</file>

<file path=xl/comments5.xml><?xml version="1.0" encoding="utf-8"?>
<comments xmlns="http://schemas.openxmlformats.org/spreadsheetml/2006/main">
  <authors>
    <author>Roberts, Jonathan</author>
  </authors>
  <commentList>
    <comment ref="K16" authorId="0">
      <text>
        <r>
          <rPr>
            <b/>
            <sz val="9"/>
            <color indexed="81"/>
            <rFont val="Tahoma"/>
            <family val="2"/>
          </rPr>
          <t>Roberts, Jonathan:</t>
        </r>
        <r>
          <rPr>
            <sz val="9"/>
            <color indexed="81"/>
            <rFont val="Tahoma"/>
            <family val="2"/>
          </rPr>
          <t xml:space="preserve">
Roberts, Jonathan:
Roberts, Jonathan:
Old numbers
Not sure why they have changed. Must be something to do with the source data it is linking to. Have checked the links and they seem fine though.</t>
        </r>
      </text>
    </comment>
  </commentList>
</comments>
</file>

<file path=xl/comments6.xml><?xml version="1.0" encoding="utf-8"?>
<comments xmlns="http://schemas.openxmlformats.org/spreadsheetml/2006/main">
  <authors>
    <author>Author</author>
  </authors>
  <commentList>
    <comment ref="A30" authorId="0">
      <text>
        <r>
          <rPr>
            <b/>
            <sz val="9"/>
            <color indexed="81"/>
            <rFont val="Tahoma"/>
            <family val="2"/>
          </rPr>
          <t>Author:</t>
        </r>
        <r>
          <rPr>
            <sz val="9"/>
            <color indexed="81"/>
            <rFont val="Tahoma"/>
            <family val="2"/>
          </rPr>
          <t xml:space="preserve">
Opex adjustment models</t>
        </r>
      </text>
    </comment>
  </commentList>
</comments>
</file>

<file path=xl/comments7.xml><?xml version="1.0" encoding="utf-8"?>
<comments xmlns="http://schemas.openxmlformats.org/spreadsheetml/2006/main">
  <authors>
    <author>Author</author>
    <author>Merz Consulting 1</author>
  </authors>
  <commentList>
    <comment ref="I4" authorId="0">
      <text>
        <r>
          <rPr>
            <b/>
            <sz val="9"/>
            <color indexed="81"/>
            <rFont val="Tahoma"/>
            <family val="2"/>
          </rPr>
          <t>Author:</t>
        </r>
        <r>
          <rPr>
            <sz val="9"/>
            <color indexed="81"/>
            <rFont val="Tahoma"/>
            <family val="2"/>
          </rPr>
          <t xml:space="preserve">
P 6</t>
        </r>
      </text>
    </comment>
    <comment ref="I5" authorId="0">
      <text>
        <r>
          <rPr>
            <b/>
            <sz val="9"/>
            <color indexed="81"/>
            <rFont val="Tahoma"/>
            <family val="2"/>
          </rPr>
          <t>Author:</t>
        </r>
        <r>
          <rPr>
            <sz val="9"/>
            <color indexed="81"/>
            <rFont val="Tahoma"/>
            <family val="2"/>
          </rPr>
          <t xml:space="preserve">
p. 29</t>
        </r>
      </text>
    </comment>
    <comment ref="O5" authorId="0">
      <text>
        <r>
          <rPr>
            <b/>
            <sz val="9"/>
            <color indexed="81"/>
            <rFont val="Tahoma"/>
            <family val="2"/>
          </rPr>
          <t>Author:</t>
        </r>
        <r>
          <rPr>
            <sz val="9"/>
            <color indexed="81"/>
            <rFont val="Tahoma"/>
            <family val="2"/>
          </rPr>
          <t xml:space="preserve">
Ergon Energy response to AER information request ERG018_4 p. 2</t>
        </r>
      </text>
    </comment>
    <comment ref="I6" authorId="0">
      <text>
        <r>
          <rPr>
            <b/>
            <sz val="9"/>
            <color indexed="81"/>
            <rFont val="Tahoma"/>
            <family val="2"/>
          </rPr>
          <t>Author:</t>
        </r>
        <r>
          <rPr>
            <sz val="9"/>
            <color indexed="81"/>
            <rFont val="Tahoma"/>
            <family val="2"/>
          </rPr>
          <t xml:space="preserve">
p. 28</t>
        </r>
      </text>
    </comment>
    <comment ref="O6" authorId="0">
      <text>
        <r>
          <rPr>
            <b/>
            <sz val="9"/>
            <color indexed="81"/>
            <rFont val="Tahoma"/>
            <family val="2"/>
          </rPr>
          <t>Author:</t>
        </r>
        <r>
          <rPr>
            <sz val="9"/>
            <color indexed="81"/>
            <rFont val="Tahoma"/>
            <family val="2"/>
          </rPr>
          <t xml:space="preserve">
Ergon Energy response to AER information request ERG018_4 p. 2</t>
        </r>
      </text>
    </comment>
    <comment ref="I7" authorId="0">
      <text>
        <r>
          <rPr>
            <b/>
            <sz val="9"/>
            <color indexed="81"/>
            <rFont val="Tahoma"/>
            <family val="2"/>
          </rPr>
          <t>Author:</t>
        </r>
        <r>
          <rPr>
            <sz val="9"/>
            <color indexed="81"/>
            <rFont val="Tahoma"/>
            <family val="2"/>
          </rPr>
          <t xml:space="preserve">
p. 28</t>
        </r>
      </text>
    </comment>
    <comment ref="I8" authorId="0">
      <text>
        <r>
          <rPr>
            <b/>
            <sz val="9"/>
            <color indexed="81"/>
            <rFont val="Tahoma"/>
            <family val="2"/>
          </rPr>
          <t>Author:</t>
        </r>
        <r>
          <rPr>
            <sz val="9"/>
            <color indexed="81"/>
            <rFont val="Tahoma"/>
            <family val="2"/>
          </rPr>
          <t xml:space="preserve">
p. 6</t>
        </r>
      </text>
    </comment>
    <comment ref="I9" authorId="0">
      <text>
        <r>
          <rPr>
            <b/>
            <sz val="9"/>
            <color indexed="81"/>
            <rFont val="Tahoma"/>
            <family val="2"/>
          </rPr>
          <t>Author:</t>
        </r>
        <r>
          <rPr>
            <sz val="9"/>
            <color indexed="81"/>
            <rFont val="Tahoma"/>
            <family val="2"/>
          </rPr>
          <t xml:space="preserve">
p. 6</t>
        </r>
      </text>
    </comment>
    <comment ref="C10" authorId="1">
      <text>
        <r>
          <rPr>
            <b/>
            <sz val="9"/>
            <color indexed="81"/>
            <rFont val="Tahoma"/>
            <family val="2"/>
          </rPr>
          <t>Merz Consulting 1:</t>
        </r>
        <r>
          <rPr>
            <sz val="9"/>
            <color indexed="81"/>
            <rFont val="Tahoma"/>
            <family val="2"/>
          </rPr>
          <t xml:space="preserve">
From Category RIN</t>
        </r>
      </text>
    </comment>
    <comment ref="I10" authorId="0">
      <text>
        <r>
          <rPr>
            <b/>
            <sz val="9"/>
            <color indexed="81"/>
            <rFont val="Tahoma"/>
            <family val="2"/>
          </rPr>
          <t>Author:</t>
        </r>
        <r>
          <rPr>
            <sz val="9"/>
            <color indexed="81"/>
            <rFont val="Tahoma"/>
            <family val="2"/>
          </rPr>
          <t xml:space="preserve">
p. 6</t>
        </r>
      </text>
    </comment>
    <comment ref="I11" authorId="0">
      <text>
        <r>
          <rPr>
            <b/>
            <sz val="9"/>
            <color indexed="81"/>
            <rFont val="Tahoma"/>
            <family val="2"/>
          </rPr>
          <t>Author:</t>
        </r>
        <r>
          <rPr>
            <sz val="9"/>
            <color indexed="81"/>
            <rFont val="Tahoma"/>
            <family val="2"/>
          </rPr>
          <t xml:space="preserve">
p. 6</t>
        </r>
      </text>
    </comment>
    <comment ref="C14" authorId="1">
      <text>
        <r>
          <rPr>
            <b/>
            <sz val="9"/>
            <color indexed="81"/>
            <rFont val="Tahoma"/>
            <family val="2"/>
          </rPr>
          <t>Merz Consulting 1:</t>
        </r>
        <r>
          <rPr>
            <sz val="9"/>
            <color indexed="81"/>
            <rFont val="Tahoma"/>
            <family val="2"/>
          </rPr>
          <t xml:space="preserve">
From Category RIN</t>
        </r>
      </text>
    </comment>
    <comment ref="F14" authorId="1">
      <text>
        <r>
          <rPr>
            <b/>
            <sz val="9"/>
            <color indexed="81"/>
            <rFont val="Tahoma"/>
            <family val="2"/>
          </rPr>
          <t>Merz Consulting 1:</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<sst xmlns="http://schemas.openxmlformats.org/spreadsheetml/2006/main" count="1467" uniqueCount="421">
  <si>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</si>
  <si>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</si>
  <si>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</si>
  <si>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</si>
  <si>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</si>
  <si>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</si>
  <si>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</si>
  <si>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</si>
  <si>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</si>
  <si>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</si>
  <si>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</si>
  <si>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</si>
  <si>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</si>
  <si>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</si>
  <si>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</si>
  <si>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</si>
  <si>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</si>
  <si>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</si>
  <si>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</si>
  <si>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</si>
  <si>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</si>
  <si>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</si>
  <si>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</si>
  <si>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</si>
  <si>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</si>
  <si>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</si>
  <si>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</si>
  <si>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</si>
  <si>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</si>
  <si>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</si>
  <si>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</si>
  <si>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</si>
  <si>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</si>
  <si>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</si>
  <si>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</si>
  <si>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OEF</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</si>
  <si>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</si>
  <si>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</si>
  <si>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</si>
  <si>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</si>
  <si>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</si>
  <si>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</si>
  <si>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</si>
  <si>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</si>
  <si>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</si>
  <si>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</si>
  <si>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</si>
  <si>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</si>
  <si>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</si>
  <si>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</si>
  <si>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</si>
  <si>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</si>
  <si>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</si>
  <si>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</si>
  <si>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</si>
  <si>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</si>
  <si>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</si>
  <si>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</si>
  <si>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</si>
  <si>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</si>
  <si>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</si>
  <si>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</si>
  <si>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</si>
  <si>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</si>
  <si>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RESULTS FOR DATABASE UPDATED TO INCLUDE 2015 DATA</t>
  </si>
  <si>
    <t>Medium Database Regression Estimates - USING NON-COINCIDENT MAX DEMAND FOR AUS &amp; ESTIMATED NON-COINCIDENT MAX DEMAND FOR NZ</t>
  </si>
  <si>
    <t>Australia &amp; NZ updated 1 year to 2015, Ontario updated 1 year to 2014</t>
  </si>
  <si>
    <t>Cobb Douglas with Dummy Variables</t>
  </si>
  <si>
    <t>        </t>
  </si>
  <si>
    <t>lvc</t>
  </si>
  <si>
    <t>Coef.  </t>
  </si>
  <si>
    <t>Std. Err.</t>
  </si>
  <si>
    <t>z</t>
  </si>
  <si>
    <t>-------------+----------------------------------------------------------------</t>
  </si>
  <si>
    <t>ly2</t>
  </si>
  <si>
    <t>ly3</t>
  </si>
  <si>
    <t>ly4</t>
  </si>
  <si>
    <t>lz1</t>
  </si>
  <si>
    <t>         </t>
  </si>
  <si>
    <t>yr</t>
  </si>
  <si>
    <t>Cobb Douglas with Dummy Variables - Efficiency Scores</t>
  </si>
  <si>
    <t>cd2</t>
  </si>
  <si>
    <t>coeff</t>
  </si>
  <si>
    <t>exp</t>
  </si>
  <si>
    <t>base d9</t>
  </si>
  <si>
    <t>eff score</t>
  </si>
  <si>
    <t>cd3</t>
  </si>
  <si>
    <t>d2</t>
  </si>
  <si>
    <t>d3</t>
  </si>
  <si>
    <t>d4</t>
  </si>
  <si>
    <t>d5</t>
  </si>
  <si>
    <t>d6</t>
  </si>
  <si>
    <t>d7</t>
  </si>
  <si>
    <t>d8</t>
  </si>
  <si>
    <t>d9</t>
  </si>
  <si>
    <t>d10</t>
  </si>
  <si>
    <t>d11</t>
  </si>
  <si>
    <t>d12</t>
  </si>
  <si>
    <t>d13</t>
  </si>
  <si>
    <t>      </t>
  </si>
  <si>
    <t>_cons</t>
  </si>
  <si>
    <t>Translog with Dummy Variables</t>
  </si>
  <si>
    <t>------------</t>
  </si>
  <si>
    <t>-----------</t>
  </si>
  <si>
    <t>---------</t>
  </si>
  <si>
    <t>--------</t>
  </si>
  <si>
    <t>Coef.</t>
  </si>
  <si>
    <t>-</t>
  </si>
  <si>
    <t>ly22</t>
  </si>
  <si>
    <t>ly23</t>
  </si>
  <si>
    <t>ly24</t>
  </si>
  <si>
    <t>ly33</t>
  </si>
  <si>
    <t>ly34</t>
  </si>
  <si>
    <t>ly44</t>
  </si>
  <si>
    <t>Translog with Dummy Variables - Efficiency Scores</t>
  </si>
  <si>
    <t>Other Efficiency Scores</t>
  </si>
  <si>
    <t>LSE TLG</t>
  </si>
  <si>
    <t>LSE CD</t>
  </si>
  <si>
    <t>Opex MPFP</t>
  </si>
  <si>
    <t>SFA CD</t>
  </si>
  <si>
    <t>Opex MPFP Score</t>
  </si>
  <si>
    <t>Avr Rel prod levels</t>
  </si>
  <si>
    <t>Rank</t>
  </si>
  <si>
    <t>pick the comparison point as AND</t>
  </si>
  <si>
    <t>pick the year to base OPEX on</t>
  </si>
  <si>
    <t>5 yr average</t>
  </si>
  <si>
    <t>OPEX</t>
  </si>
  <si>
    <t>11AND</t>
  </si>
  <si>
    <t>$'000</t>
  </si>
  <si>
    <t>Efficiency Target</t>
  </si>
  <si>
    <t>Ideal efficient base OPEX</t>
  </si>
  <si>
    <t>Total customer numbers</t>
  </si>
  <si>
    <t>number</t>
  </si>
  <si>
    <t>Multiplication factor to convert $1 in the financial year to June 2015 $</t>
  </si>
  <si>
    <t>Multiplication factor to convert $1 in the calendar year to June 2015 $</t>
  </si>
  <si>
    <t>Backyard reticulation</t>
  </si>
  <si>
    <t>Bushfires</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</si>
  <si>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</si>
  <si>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</si>
  <si>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</si>
  <si>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</si>
  <si>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</si>
  <si>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</si>
  <si>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</si>
  <si>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</si>
  <si>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</si>
  <si>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</si>
  <si>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</si>
  <si>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AER (%)</t>
  </si>
  <si>
    <t>AER ($'000)</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</si>
  <si>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</si>
  <si>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</si>
  <si>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</si>
  <si>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</si>
  <si>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</si>
  <si>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</si>
  <si>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</si>
  <si>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</si>
  <si>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</si>
  <si>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</si>
  <si>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</si>
  <si>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</si>
  <si>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</si>
  <si>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</si>
  <si>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</si>
  <si>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</si>
  <si>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</si>
  <si>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</si>
  <si>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</si>
  <si>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</si>
  <si>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</si>
  <si>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</si>
  <si>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</si>
  <si>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</si>
  <si>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</si>
  <si>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</si>
  <si>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</si>
  <si>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</si>
  <si>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</si>
  <si>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</si>
  <si>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</si>
  <si>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</si>
  <si>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</si>
  <si>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</si>
  <si>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</si>
  <si>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</si>
  <si>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</si>
  <si>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</si>
  <si>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</si>
  <si>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</si>
  <si>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</si>
  <si>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</si>
  <si>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</si>
  <si>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</si>
  <si>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</si>
  <si>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</si>
  <si>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</si>
  <si>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</si>
  <si>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</si>
  <si>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</si>
  <si>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</si>
  <si>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</si>
  <si>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</si>
  <si>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</si>
  <si>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</si>
  <si>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</si>
  <si>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</si>
  <si>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</si>
  <si>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</si>
  <si>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</si>
  <si>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table for AER OEFs</t>
  </si>
  <si>
    <t>Look up text</t>
  </si>
  <si>
    <t>$year for calculations</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</si>
  <si>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</si>
  <si>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</si>
  <si>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</si>
  <si>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</si>
  <si>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</si>
  <si>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</si>
  <si>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</si>
  <si>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</si>
  <si>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</si>
  <si>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</si>
  <si>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</si>
  <si>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</si>
  <si>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</si>
  <si>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</si>
  <si>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</si>
  <si>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</si>
  <si>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</si>
  <si>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</si>
  <si>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</si>
  <si>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</si>
  <si>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</si>
  <si>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</si>
  <si>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</si>
  <si>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</si>
  <si>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</si>
  <si>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</si>
  <si>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</si>
  <si>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</si>
  <si>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</si>
  <si>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</si>
  <si>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</si>
  <si>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</si>
  <si>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</si>
  <si>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</si>
  <si>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</si>
  <si>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Summary tables of all OEFs and all DNSPs, including reference table for AER OEFs</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</si>
  <si>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</si>
  <si>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</si>
  <si>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</si>
  <si>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</si>
  <si>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</si>
  <si>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</si>
  <si>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</si>
  <si>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</si>
  <si>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</si>
  <si>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</si>
  <si>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</si>
  <si>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</si>
  <si>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</si>
  <si>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</si>
  <si>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</si>
  <si>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</si>
  <si>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</si>
  <si>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</si>
  <si>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</si>
  <si>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</si>
  <si>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</si>
  <si>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</si>
  <si>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</si>
  <si>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</si>
  <si>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</si>
  <si>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</si>
  <si>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</si>
  <si>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</si>
  <si>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</si>
  <si>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</si>
  <si>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Productivity Score</t>
  </si>
  <si>
    <t>OEF adjustment</t>
  </si>
  <si>
    <t>OEF adj Efficiency Target</t>
  </si>
  <si>
    <t>Sub-transmission assets</t>
  </si>
  <si>
    <t>Termite Exposure</t>
  </si>
  <si>
    <t>Extreme weather</t>
  </si>
  <si>
    <t>Vegetation management</t>
  </si>
  <si>
    <t>Capitalisation Practices</t>
  </si>
  <si>
    <t>Standard control services connections</t>
  </si>
  <si>
    <t>Proportional increase in Efficiency Target</t>
  </si>
  <si>
    <t>Adjusted OPEX</t>
  </si>
  <si>
    <t>AER OEF adjustment</t>
  </si>
  <si>
    <t>comparison point for Efficiency Target</t>
  </si>
  <si>
    <t>sum inclusion</t>
  </si>
  <si>
    <t>OEF estimate (%)</t>
  </si>
  <si>
    <t>reference point</t>
  </si>
  <si>
    <t>OEF adjustment (%)</t>
  </si>
  <si>
    <t>OEF estimate ($'000)</t>
  </si>
  <si>
    <t>Customers</t>
  </si>
  <si>
    <t>Report tables for individual OEFs</t>
  </si>
  <si>
    <t>IEB OPEX</t>
  </si>
  <si>
    <t>Eff OPEC exc OEFs</t>
  </si>
  <si>
    <t xml:space="preserve">OEF adjustment - AER </t>
  </si>
  <si>
    <t xml:space="preserve">AER OEF inc OPEX </t>
  </si>
  <si>
    <t>Ref group</t>
  </si>
  <si>
    <t>Non-ref group</t>
  </si>
  <si>
    <t>All</t>
  </si>
  <si>
    <t>Reference Group</t>
  </si>
  <si>
    <t>Table 1: deriving  OEF adjustments from OEF estimates</t>
  </si>
  <si>
    <t>Ideal efficient base OPEX (Optimised OPEX)</t>
  </si>
  <si>
    <t>Table 2: comparing AER and S-M  OEF adjustments outcomes</t>
  </si>
  <si>
    <t>OPEX  removed</t>
  </si>
  <si>
    <t>AER $ OEF adjustment</t>
  </si>
  <si>
    <t xml:space="preserve">Efficiency Target post AER OEF </t>
  </si>
  <si>
    <t>SM OEF adjust</t>
  </si>
  <si>
    <t>S-M $ OEF adjustment</t>
  </si>
  <si>
    <t>Efficiency Target post S-M OEF</t>
  </si>
  <si>
    <t>S-M OEF inc OPEX</t>
  </si>
  <si>
    <t>Difference</t>
  </si>
  <si>
    <t>Change</t>
  </si>
  <si>
    <t>Non reference Group</t>
  </si>
  <si>
    <t>Table 3: Look up table for AER OEFs</t>
  </si>
  <si>
    <t>Total %</t>
  </si>
  <si>
    <t>$ OEF</t>
  </si>
  <si>
    <t>U/G OEF</t>
  </si>
  <si>
    <t>O/H OEF</t>
  </si>
  <si>
    <t>Tx Cap OEF</t>
  </si>
  <si>
    <t>Efficient O/H OEF%</t>
  </si>
  <si>
    <t>Efficient U/G OEF%</t>
  </si>
  <si>
    <t>Process B</t>
  </si>
  <si>
    <t>Process A</t>
  </si>
  <si>
    <t>Ideal optimised OPEX</t>
  </si>
  <si>
    <t>base OPEX</t>
  </si>
  <si>
    <t>Derivation of Efficiency Targets and Ideal optimised OPEX from references sources including 
• EI benchmarking results (hidden)
• nominal EB RIN OPEX data
• real EB RIN OPEX
• Customer numbers</t>
  </si>
  <si>
    <t>reference point = comparison point</t>
  </si>
  <si>
    <t>Ideal Optimised OPEX</t>
  </si>
  <si>
    <t>customer weighted reference group</t>
  </si>
  <si>
    <t>Reference point for OEF adjustment</t>
  </si>
  <si>
    <t>OEF Optimised OPEX</t>
  </si>
  <si>
    <t>Sub-t &amp; L</t>
  </si>
  <si>
    <t>United Energy</t>
  </si>
  <si>
    <t>Reference point</t>
  </si>
  <si>
    <t>LEVIES - nominal$</t>
  </si>
  <si>
    <t>Real$</t>
  </si>
  <si>
    <t>Cost per wood pole (June 2015 $)</t>
  </si>
  <si>
    <t>Distribution Only</t>
  </si>
  <si>
    <t>Transmission &amp; Distribution</t>
  </si>
  <si>
    <t>OEF estimates</t>
  </si>
  <si>
    <t>sum inclusion reference group</t>
  </si>
  <si>
    <t>Lookup column</t>
  </si>
  <si>
    <t>Termites</t>
  </si>
  <si>
    <t>OEF estimate</t>
  </si>
  <si>
    <t>NA</t>
  </si>
  <si>
    <t>S/M</t>
  </si>
  <si>
    <t>S/M OEF estimate (%)</t>
  </si>
  <si>
    <t>S/M OEF estimate ($'000)</t>
  </si>
  <si>
    <t>S/M OEF adjustment (%)</t>
  </si>
  <si>
    <t>S/M OEF adjustment ($'000)</t>
  </si>
  <si>
    <t>Processes for estimates of OEF adjusted Optimised OPEX</t>
  </si>
  <si>
    <t>Efficiency Estimates</t>
  </si>
  <si>
    <t>Summary tables</t>
  </si>
  <si>
    <t>T&amp;L</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</si>
  <si>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</si>
  <si>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</si>
  <si>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</si>
  <si>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</si>
  <si>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</si>
  <si>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</si>
  <si>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</si>
  <si>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</si>
  <si>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</si>
  <si>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</si>
  <si>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</si>
  <si>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</si>
  <si>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</si>
  <si>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</si>
  <si>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</si>
  <si>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</si>
  <si>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</si>
  <si>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</si>
  <si>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</si>
  <si>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NEM</t>
  </si>
  <si>
    <t>Comparison</t>
  </si>
  <si>
    <t>Weighted comparison</t>
  </si>
  <si>
    <t>Weights</t>
  </si>
  <si>
    <t>Customer numbers</t>
  </si>
  <si>
    <t>SPD</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</si>
  <si>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</si>
  <si>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</si>
  <si>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</si>
  <si>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</si>
  <si>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</si>
  <si>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</si>
  <si>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</si>
  <si>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</si>
  <si>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</si>
  <si>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</si>
  <si>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</si>
  <si>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</si>
  <si>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</si>
  <si>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</si>
  <si>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</si>
  <si>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</si>
  <si>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</si>
  <si>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</si>
  <si>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</si>
  <si>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</si>
  <si>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</si>
  <si>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</si>
  <si>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</si>
  <si>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</si>
  <si>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</si>
  <si>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</si>
  <si>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</si>
  <si>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</si>
  <si>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</si>
  <si>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</si>
  <si>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</si>
  <si>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Final June 2018</t>
  </si>
  <si>
    <t xml:space="preserve">Based on </t>
  </si>
  <si>
    <t>CARIN</t>
  </si>
  <si>
    <t>Response to data request, categories identified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</si>
</sst>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6" formatCode="&quot;$&quot;#,##0;[Red]\-&quot;$&quot;#,##0"/>
    <numFmt numFmtId="8" formatCode="&quot;$&quot;#,##0.00;[Red]\-&quot;$&quot;#,##0.00"/>
    <numFmt numFmtId="41" formatCode="_-* #,##0_-;\-* #,##0_-;_-* &quot;-&quot;_-;_-@_-"/>
    <numFmt numFmtId="44" formatCode="_-&quot;$&quot;* #,##0.00_-;\-&quot;$&quot;* #,##0.00_-;_-&quot;$&quot;* &quot;-&quot;??_-;_-@_-"/>
    <numFmt numFmtId="164" formatCode="_(* #,##0_);_(* \(#,##0\);_(* &quot;-&quot;_);_(@_)"/>
    <numFmt numFmtId="165" formatCode="_(&quot;$&quot;* #,##0.00_);_(&quot;$&quot;* \(#,##0.00\);_(&quot;$&quot;* &quot;-&quot;??_);_(@_)"/>
    <numFmt numFmtId="166" formatCode="_(* #,##0.00_);_(* \(#,##0.00\);_(* &quot;-&quot;??_);_(@_)"/>
    <numFmt numFmtId="167" formatCode="_(&quot;$&quot;* #,##0_);_(&quot;$&quot;* \(#,##0\);_(&quot;$&quot;* &quot;-&quot;??_);_(@_)"/>
    <numFmt numFmtId="168" formatCode="_(* #,##0_);_(* \(#,##0\);_(* &quot;-&quot;??_);_(@_)"/>
    <numFmt numFmtId="169" formatCode="_-* #,##0_-;\-* #,##0_-;_-* &quot;-&quot;??_-;_-@_-"/>
    <numFmt numFmtId="170" formatCode="0.000000"/>
    <numFmt numFmtId="171" formatCode="0.0"/>
    <numFmt numFmtId="172" formatCode="0.0%"/>
    <numFmt numFmtId="173" formatCode="_-&quot;$&quot;* #,##0_-;\-&quot;$&quot;* #,##0_-;_-&quot;$&quot;* &quot;-&quot;??_-;_-@_-"/>
    <numFmt numFmtId="174" formatCode="_([$€-2]* #,##0.00_);_([$€-2]* \(#,##0.00\);_([$€-2]* &quot;-&quot;??_)"/>
    <numFmt numFmtId="175" formatCode="_-[$€-2]* #,##0.00_-;\-[$€-2]* #,##0.00_-;_-[$€-2]* &quot;-&quot;??_-"/>
    <numFmt numFmtId="176" formatCode="_(* #,##0.0_);_(* \(#,##0.0\);_(* &quot;-&quot;?_);_(@_)"/>
    <numFmt numFmtId="177" formatCode="&quot;$&quot;#,##0.00"/>
    <numFmt numFmtId="178" formatCode="0.000"/>
    <numFmt numFmtId="179" formatCode="&quot;$&quot;#,##0.0"/>
    <numFmt numFmtId="180" formatCode="&quot;$&quot;#,##0"/>
    <numFmt numFmtId="181" formatCode="mmm\-yyyy"/>
    <numFmt numFmtId="182" formatCode="[$-C09]mmm\-yyyy;@"/>
    <numFmt numFmtId="183" formatCode="_ * #,##0_ ;_ * \-#,##0_ ;_ * &quot;-&quot;_ ;_ @_ "/>
    <numFmt numFmtId="184" formatCode="_ * #,##0.00_ ;_ * \-#,##0.00_ ;_ * &quot;-&quot;??_ ;_ @_ "/>
    <numFmt numFmtId="185" formatCode="0.0000"/>
    <numFmt numFmtId="186" formatCode="#,##0.0"/>
  </numFmts>
  <fonts count="38">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sz val="11"/>
      <color rgb="FF006100"/>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b/>
      <i/>
      <sz val="11"/>
      <color indexed="8"/>
      <name val="Calibri"/>
      <family val="2"/>
    </font>
    <font>
      <sz val="10"/>
      <color indexed="8"/>
      <name val="Arial"/>
      <family val="2"/>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b/>
      <sz val="12"/>
      <color rgb="FFFFFFFF"/>
      <name val="Arial"/>
      <family val="2"/>
    </font>
    <font>
      <sz val="12"/>
      <color theme="1"/>
      <name val="Calibri"/>
      <family val="2"/>
      <scheme val="minor"/>
    </font>
    <font>
      <sz val="12"/>
      <color theme="1"/>
      <name val="Arial"/>
      <family val="2"/>
    </font>
    <font>
      <sz val="11"/>
      <color rgb="FF00B050"/>
      <name val="Calibri"/>
      <family val="2"/>
      <scheme val="minor"/>
    </font>
    <font>
      <sz val="9"/>
      <color indexed="81"/>
      <name val="Tahoma"/>
      <charset val="1"/>
    </font>
    <font>
      <b/>
      <sz val="9"/>
      <color indexed="81"/>
      <name val="Tahoma"/>
      <charset val="1"/>
    </font>
  </fonts>
  <fills count="33">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C6EFCE"/>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5" tint="0.59999389629810485"/>
        <bgColor indexed="65"/>
      </patternFill>
    </fill>
    <fill>
      <patternFill patternType="solid">
        <fgColor theme="6" tint="0.79998168889431442"/>
        <bgColor indexed="65"/>
      </patternFill>
    </fill>
    <fill>
      <patternFill patternType="solid">
        <fgColor theme="9"/>
      </patternFill>
    </fill>
    <fill>
      <patternFill patternType="solid">
        <fgColor rgb="FFFFFF00"/>
        <bgColor indexed="64"/>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rgb="FF365F91"/>
        <bgColor indexed="64"/>
      </patternFill>
    </fill>
    <fill>
      <patternFill patternType="solid">
        <fgColor rgb="FFDBE5F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theme="4" tint="0.79998168889431442"/>
        <bgColor indexed="64"/>
      </patternFill>
    </fill>
    <fill>
      <patternFill patternType="solid">
        <fgColor theme="5"/>
        <bgColor indexed="64"/>
      </patternFill>
    </fill>
    <fill>
      <patternFill patternType="solid">
        <fgColor rgb="FF00B050"/>
        <bgColor indexed="64"/>
      </patternFill>
    </fill>
    <fill>
      <patternFill patternType="solid">
        <fgColor theme="9" tint="0.79998168889431442"/>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s>
  <cellStyleXfs count="66">
    <xf numFmtId="0" fontId="0"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7" fillId="0" borderId="3" applyNumberFormat="0" applyFill="0" applyAlignment="0" applyProtection="0"/>
    <xf numFmtId="174" fontId="3" fillId="0" borderId="0"/>
    <xf numFmtId="0" fontId="3" fillId="0" borderId="0"/>
    <xf numFmtId="0" fontId="3" fillId="0" borderId="0"/>
    <xf numFmtId="0" fontId="3" fillId="0" borderId="0"/>
    <xf numFmtId="0" fontId="3" fillId="0" borderId="0"/>
    <xf numFmtId="0" fontId="9" fillId="0" borderId="0"/>
    <xf numFmtId="0" fontId="9" fillId="0" borderId="0"/>
    <xf numFmtId="174"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1" fillId="0" borderId="0"/>
    <xf numFmtId="176" fontId="3" fillId="4" borderId="0" applyFont="0" applyBorder="0">
      <alignment horizontal="right"/>
    </xf>
    <xf numFmtId="164" fontId="3" fillId="5" borderId="0" applyFont="0" applyBorder="0" applyAlignment="0">
      <alignment horizontal="right"/>
      <protection locked="0"/>
    </xf>
    <xf numFmtId="0" fontId="14" fillId="6" borderId="0" applyNumberFormat="0" applyBorder="0" applyAlignment="0" applyProtection="0"/>
    <xf numFmtId="0" fontId="15" fillId="7" borderId="11" applyNumberFormat="0" applyAlignment="0" applyProtection="0"/>
    <xf numFmtId="0" fontId="16" fillId="7" borderId="10" applyNumberFormat="0" applyAlignment="0" applyProtection="0"/>
    <xf numFmtId="0" fontId="17" fillId="8" borderId="12" applyNumberFormat="0" applyAlignment="0" applyProtection="0"/>
    <xf numFmtId="0" fontId="18" fillId="0" borderId="0" applyNumberFormat="0" applyFill="0" applyBorder="0" applyAlignment="0" applyProtection="0"/>
    <xf numFmtId="0" fontId="7" fillId="0" borderId="0" applyNumberFormat="0" applyFill="0" applyBorder="0" applyAlignment="0" applyProtection="0"/>
    <xf numFmtId="0" fontId="22" fillId="11" borderId="10" applyNumberFormat="0" applyAlignment="0" applyProtection="0"/>
    <xf numFmtId="0" fontId="23" fillId="0" borderId="13"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6" fillId="0" borderId="14" applyNumberFormat="0" applyFill="0" applyAlignment="0" applyProtection="0"/>
    <xf numFmtId="0" fontId="24" fillId="16" borderId="0" applyNumberFormat="0" applyBorder="0" applyAlignment="0" applyProtection="0"/>
    <xf numFmtId="0" fontId="5" fillId="3" borderId="0" applyNumberFormat="0" applyBorder="0" applyAlignment="0" applyProtection="0"/>
    <xf numFmtId="0" fontId="1" fillId="17"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7" fillId="0" borderId="0"/>
    <xf numFmtId="0" fontId="3" fillId="0" borderId="0"/>
    <xf numFmtId="0" fontId="3" fillId="0" borderId="0"/>
    <xf numFmtId="0" fontId="28" fillId="0" borderId="0"/>
    <xf numFmtId="183"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9" fillId="0" borderId="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1" fillId="0" borderId="19" applyNumberFormat="0" applyFill="0" applyAlignment="0" applyProtection="0"/>
    <xf numFmtId="0" fontId="1" fillId="32" borderId="0" applyNumberFormat="0" applyBorder="0" applyAlignment="0" applyProtection="0"/>
  </cellStyleXfs>
  <cellXfs count="360">
    <xf numFmtId="0" fontId="0" fillId="0" borderId="0" xfId="0"/>
    <xf numFmtId="0" fontId="24" fillId="26" borderId="17" xfId="0" applyFont="1" applyFill="1" applyBorder="1" applyAlignment="1">
      <alignment vertical="top" wrapText="1"/>
    </xf>
    <xf numFmtId="0" fontId="24" fillId="26" borderId="17" xfId="0" applyFont="1" applyFill="1" applyBorder="1" applyAlignment="1">
      <alignment vertical="top"/>
    </xf>
    <xf numFmtId="0" fontId="0" fillId="0" borderId="0" xfId="0" applyFill="1" applyBorder="1"/>
    <xf numFmtId="0" fontId="2" fillId="0" borderId="1" xfId="0" applyFont="1" applyFill="1" applyBorder="1" applyAlignment="1">
      <alignment wrapText="1"/>
    </xf>
    <xf numFmtId="0" fontId="2" fillId="0" borderId="1" xfId="0" applyFont="1" applyFill="1" applyBorder="1"/>
    <xf numFmtId="0" fontId="0" fillId="0" borderId="0" xfId="0"/>
    <xf numFmtId="0" fontId="0" fillId="0" borderId="0" xfId="0" applyFill="1"/>
    <xf numFmtId="0" fontId="6" fillId="0" borderId="1" xfId="0" applyFont="1" applyFill="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Fill="1" applyBorder="1"/>
    <xf numFmtId="167" fontId="0" fillId="0" borderId="1" xfId="1" applyNumberFormat="1" applyFont="1" applyBorder="1"/>
    <xf numFmtId="0" fontId="0" fillId="0" borderId="0" xfId="0" applyFill="1" applyAlignment="1">
      <alignment wrapText="1"/>
    </xf>
    <xf numFmtId="1" fontId="0" fillId="0" borderId="0" xfId="0" applyNumberFormat="1" applyFill="1"/>
    <xf numFmtId="170" fontId="0" fillId="0" borderId="0" xfId="0" applyNumberFormat="1" applyFill="1"/>
    <xf numFmtId="4" fontId="0" fillId="0" borderId="1" xfId="0" applyNumberFormat="1" applyFill="1" applyBorder="1"/>
    <xf numFmtId="0" fontId="0" fillId="0" borderId="1" xfId="0" applyBorder="1" applyAlignment="1">
      <alignment wrapText="1"/>
    </xf>
    <xf numFmtId="1" fontId="0" fillId="0" borderId="1" xfId="0" applyNumberFormat="1" applyBorder="1"/>
    <xf numFmtId="171" fontId="0" fillId="0" borderId="1" xfId="0" applyNumberFormat="1" applyBorder="1"/>
    <xf numFmtId="172" fontId="0" fillId="0" borderId="0" xfId="0" applyNumberFormat="1"/>
    <xf numFmtId="167"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Fill="1"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 fontId="0" fillId="0" borderId="1" xfId="0" applyNumberFormat="1" applyFill="1" applyBorder="1"/>
    <xf numFmtId="9" fontId="0" fillId="0" borderId="0" xfId="2" applyFont="1"/>
    <xf numFmtId="0" fontId="0" fillId="0" borderId="0" xfId="0" applyBorder="1"/>
    <xf numFmtId="0" fontId="8" fillId="0" borderId="2" xfId="0" applyFont="1" applyBorder="1"/>
    <xf numFmtId="0" fontId="8" fillId="0" borderId="4" xfId="0" applyFont="1" applyBorder="1"/>
    <xf numFmtId="0" fontId="8" fillId="0" borderId="5" xfId="0" applyFont="1" applyBorder="1"/>
    <xf numFmtId="167" fontId="0" fillId="0" borderId="6" xfId="1" applyNumberFormat="1" applyFont="1" applyBorder="1"/>
    <xf numFmtId="0" fontId="8" fillId="0" borderId="7" xfId="0" applyFont="1" applyBorder="1"/>
    <xf numFmtId="0" fontId="8" fillId="0" borderId="8" xfId="0" applyFont="1" applyBorder="1"/>
    <xf numFmtId="167" fontId="8" fillId="0" borderId="8" xfId="1" applyNumberFormat="1" applyFont="1" applyBorder="1" applyAlignment="1">
      <alignment horizontal="right"/>
    </xf>
    <xf numFmtId="167" fontId="8" fillId="0" borderId="9" xfId="1" applyNumberFormat="1" applyFont="1" applyBorder="1" applyAlignment="1">
      <alignment horizontal="right"/>
    </xf>
    <xf numFmtId="0" fontId="0" fillId="0" borderId="0" xfId="0" applyNumberFormat="1"/>
    <xf numFmtId="44" fontId="0" fillId="0" borderId="0" xfId="0" applyNumberFormat="1"/>
    <xf numFmtId="0" fontId="19" fillId="0" borderId="0" xfId="0" applyFont="1"/>
    <xf numFmtId="0" fontId="20" fillId="0" borderId="0" xfId="0" applyFont="1"/>
    <xf numFmtId="0" fontId="21" fillId="0" borderId="0" xfId="0" applyFont="1" applyAlignment="1">
      <alignment vertical="center"/>
    </xf>
    <xf numFmtId="0" fontId="0" fillId="0" borderId="0" xfId="0" applyAlignment="1">
      <alignment horizontal="right"/>
    </xf>
    <xf numFmtId="17" fontId="0" fillId="0" borderId="0" xfId="0" quotePrefix="1" applyNumberFormat="1" applyAlignment="1">
      <alignment horizontal="right"/>
    </xf>
    <xf numFmtId="0" fontId="0" fillId="0" borderId="0" xfId="0"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178" fontId="0" fillId="0" borderId="0" xfId="0" applyNumberFormat="1"/>
    <xf numFmtId="178" fontId="14" fillId="6" borderId="0" xfId="33" applyNumberFormat="1"/>
    <xf numFmtId="0" fontId="16" fillId="7" borderId="10" xfId="35"/>
    <xf numFmtId="10" fontId="0" fillId="0" borderId="0" xfId="0" applyNumberFormat="1"/>
    <xf numFmtId="0" fontId="18" fillId="0" borderId="0" xfId="37" applyAlignment="1">
      <alignment horizontal="right"/>
    </xf>
    <xf numFmtId="0" fontId="17" fillId="8" borderId="12" xfId="36"/>
    <xf numFmtId="0" fontId="18" fillId="0" borderId="0" xfId="37" applyAlignment="1">
      <alignment horizontal="left"/>
    </xf>
    <xf numFmtId="0" fontId="0" fillId="9" borderId="0" xfId="0" applyFill="1"/>
    <xf numFmtId="0" fontId="0" fillId="10" borderId="0" xfId="0" applyFill="1" applyBorder="1"/>
    <xf numFmtId="9" fontId="0" fillId="0" borderId="0" xfId="0" applyNumberFormat="1"/>
    <xf numFmtId="0" fontId="0" fillId="9" borderId="0" xfId="0" applyFill="1" applyAlignment="1">
      <alignment horizontal="right"/>
    </xf>
    <xf numFmtId="0" fontId="0" fillId="10" borderId="0" xfId="0" applyFill="1" applyBorder="1" applyAlignment="1">
      <alignment horizontal="right"/>
    </xf>
    <xf numFmtId="171" fontId="0" fillId="0" borderId="0" xfId="0" applyNumberFormat="1"/>
    <xf numFmtId="171" fontId="0" fillId="0" borderId="0" xfId="0" applyNumberFormat="1" applyFont="1"/>
    <xf numFmtId="9" fontId="7" fillId="0" borderId="3" xfId="4" applyNumberFormat="1"/>
    <xf numFmtId="0" fontId="7" fillId="0" borderId="3" xfId="4"/>
    <xf numFmtId="9" fontId="16" fillId="7" borderId="10" xfId="35" applyNumberFormat="1"/>
    <xf numFmtId="179" fontId="16" fillId="7" borderId="10" xfId="35" applyNumberFormat="1"/>
    <xf numFmtId="180" fontId="15" fillId="7" borderId="11" xfId="34" applyNumberFormat="1"/>
    <xf numFmtId="179" fontId="0" fillId="0" borderId="0" xfId="0" applyNumberFormat="1"/>
    <xf numFmtId="3" fontId="0" fillId="0" borderId="0" xfId="0" applyNumberFormat="1"/>
    <xf numFmtId="169" fontId="0" fillId="0" borderId="0" xfId="0" applyNumberFormat="1" applyFont="1"/>
    <xf numFmtId="1" fontId="0" fillId="0" borderId="0" xfId="0" applyNumberFormat="1"/>
    <xf numFmtId="41" fontId="0" fillId="0" borderId="0" xfId="0" applyNumberFormat="1"/>
    <xf numFmtId="179" fontId="0" fillId="0" borderId="0" xfId="0" applyNumberFormat="1" applyAlignment="1">
      <alignment horizontal="right"/>
    </xf>
    <xf numFmtId="179" fontId="0" fillId="0" borderId="0" xfId="0" applyNumberFormat="1" applyAlignment="1">
      <alignment horizontal="left"/>
    </xf>
    <xf numFmtId="9" fontId="23" fillId="0" borderId="13" xfId="40" applyNumberFormat="1"/>
    <xf numFmtId="0" fontId="7" fillId="0" borderId="3" xfId="4" applyAlignment="1">
      <alignment wrapText="1"/>
    </xf>
    <xf numFmtId="0" fontId="7" fillId="0" borderId="3" xfId="4" applyNumberFormat="1" applyAlignment="1">
      <alignment wrapText="1"/>
    </xf>
    <xf numFmtId="0" fontId="7" fillId="0" borderId="0" xfId="38" applyNumberFormat="1"/>
    <xf numFmtId="0" fontId="2" fillId="0" borderId="0" xfId="0" applyFont="1" applyFill="1" applyBorder="1"/>
    <xf numFmtId="180" fontId="0" fillId="0" borderId="0" xfId="0" applyNumberFormat="1"/>
    <xf numFmtId="0" fontId="23" fillId="0" borderId="13" xfId="40"/>
    <xf numFmtId="177" fontId="16" fillId="7" borderId="10" xfId="35" applyNumberFormat="1"/>
    <xf numFmtId="8" fontId="0" fillId="0" borderId="0" xfId="0" applyNumberFormat="1"/>
    <xf numFmtId="8" fontId="16" fillId="7" borderId="10" xfId="35" applyNumberFormat="1"/>
    <xf numFmtId="10" fontId="16" fillId="7" borderId="10" xfId="35" applyNumberFormat="1"/>
    <xf numFmtId="2" fontId="0" fillId="0" borderId="0" xfId="0" applyNumberFormat="1"/>
    <xf numFmtId="0" fontId="0" fillId="0" borderId="0" xfId="0"/>
    <xf numFmtId="10" fontId="0" fillId="0" borderId="0" xfId="0" applyNumberFormat="1"/>
    <xf numFmtId="9" fontId="0" fillId="0" borderId="0" xfId="2" applyFont="1"/>
    <xf numFmtId="172" fontId="0" fillId="0" borderId="0" xfId="2" applyNumberFormat="1" applyFont="1"/>
    <xf numFmtId="179" fontId="0" fillId="0" borderId="0" xfId="0" applyNumberFormat="1"/>
    <xf numFmtId="178" fontId="0" fillId="0" borderId="0" xfId="0" applyNumberFormat="1"/>
    <xf numFmtId="6" fontId="0" fillId="0" borderId="0" xfId="0" applyNumberFormat="1"/>
    <xf numFmtId="0" fontId="7" fillId="0" borderId="3" xfId="4"/>
    <xf numFmtId="0" fontId="7" fillId="0" borderId="3" xfId="4" applyAlignment="1">
      <alignment wrapText="1"/>
    </xf>
    <xf numFmtId="0" fontId="0" fillId="0" borderId="0" xfId="0" applyNumberFormat="1" applyFill="1" applyBorder="1"/>
    <xf numFmtId="0" fontId="18" fillId="0" borderId="0" xfId="37" applyNumberFormat="1"/>
    <xf numFmtId="0" fontId="26" fillId="0" borderId="14" xfId="44" applyNumberFormat="1"/>
    <xf numFmtId="0" fontId="0" fillId="0" borderId="0" xfId="0"/>
    <xf numFmtId="171" fontId="18" fillId="0" borderId="0" xfId="37" applyNumberFormat="1"/>
    <xf numFmtId="0" fontId="7" fillId="0" borderId="3" xfId="4" applyAlignment="1">
      <alignment horizontal="right"/>
    </xf>
    <xf numFmtId="0" fontId="0" fillId="0" borderId="0" xfId="0" applyAlignment="1">
      <alignment horizontal="right"/>
    </xf>
    <xf numFmtId="0" fontId="22" fillId="11" borderId="10" xfId="39" applyAlignment="1">
      <alignment horizontal="right"/>
    </xf>
    <xf numFmtId="0" fontId="0" fillId="0" borderId="0" xfId="0" applyFill="1"/>
    <xf numFmtId="0" fontId="16" fillId="7" borderId="10" xfId="35" applyNumberFormat="1"/>
    <xf numFmtId="0" fontId="0" fillId="0" borderId="0" xfId="0" applyAlignment="1">
      <alignment wrapText="1"/>
    </xf>
    <xf numFmtId="182" fontId="25" fillId="0" borderId="0" xfId="0" applyNumberFormat="1" applyFont="1" applyAlignment="1" applyProtection="1">
      <alignment horizontal="left"/>
    </xf>
    <xf numFmtId="181" fontId="0" fillId="0" borderId="0" xfId="0" applyNumberFormat="1"/>
    <xf numFmtId="171" fontId="1" fillId="13" borderId="10" xfId="42" applyNumberFormat="1" applyBorder="1"/>
    <xf numFmtId="171" fontId="1" fillId="17" borderId="10" xfId="47" applyNumberFormat="1" applyBorder="1"/>
    <xf numFmtId="0" fontId="1" fillId="13" borderId="10" xfId="42" applyBorder="1"/>
    <xf numFmtId="0" fontId="0" fillId="0" borderId="0" xfId="0"/>
    <xf numFmtId="172" fontId="0" fillId="0" borderId="0" xfId="2" applyNumberFormat="1" applyFont="1"/>
    <xf numFmtId="9" fontId="0" fillId="0" borderId="0" xfId="2" applyFont="1"/>
    <xf numFmtId="0" fontId="5" fillId="3" borderId="0" xfId="46"/>
    <xf numFmtId="0" fontId="0" fillId="0" borderId="15" xfId="0" applyBorder="1"/>
    <xf numFmtId="0" fontId="2" fillId="0" borderId="15" xfId="0" applyFont="1" applyFill="1" applyBorder="1"/>
    <xf numFmtId="10" fontId="0" fillId="0" borderId="15" xfId="0" applyNumberFormat="1" applyBorder="1"/>
    <xf numFmtId="9" fontId="0" fillId="0" borderId="15" xfId="2" applyFont="1" applyBorder="1"/>
    <xf numFmtId="9" fontId="0" fillId="0" borderId="15" xfId="0" applyNumberFormat="1" applyBorder="1"/>
    <xf numFmtId="0" fontId="0" fillId="18" borderId="0" xfId="0" applyFill="1"/>
    <xf numFmtId="3" fontId="23" fillId="0" borderId="13" xfId="40" applyNumberFormat="1"/>
    <xf numFmtId="3" fontId="0" fillId="0" borderId="15" xfId="0" applyNumberFormat="1" applyBorder="1"/>
    <xf numFmtId="10" fontId="0" fillId="0" borderId="15" xfId="2" applyNumberFormat="1" applyFont="1" applyBorder="1"/>
    <xf numFmtId="180" fontId="16" fillId="7" borderId="10" xfId="35" applyNumberFormat="1"/>
    <xf numFmtId="185" fontId="0" fillId="0" borderId="15" xfId="0" applyNumberFormat="1" applyBorder="1" applyAlignment="1">
      <alignment wrapText="1"/>
    </xf>
    <xf numFmtId="0" fontId="0" fillId="0" borderId="0" xfId="0"/>
    <xf numFmtId="0" fontId="0" fillId="0" borderId="0" xfId="0" applyAlignment="1">
      <alignment horizontal="left"/>
    </xf>
    <xf numFmtId="0" fontId="0" fillId="0" borderId="0" xfId="0" applyNumberFormat="1" applyAlignment="1">
      <alignment wrapText="1"/>
    </xf>
    <xf numFmtId="0" fontId="7" fillId="2" borderId="3" xfId="4" applyFill="1" applyAlignment="1">
      <alignment wrapText="1"/>
    </xf>
    <xf numFmtId="0" fontId="0" fillId="0" borderId="0" xfId="0"/>
    <xf numFmtId="0" fontId="0" fillId="0" borderId="0" xfId="0" applyNumberFormat="1"/>
    <xf numFmtId="177" fontId="24" fillId="24" borderId="10" xfId="45" applyNumberFormat="1" applyFill="1" applyBorder="1"/>
    <xf numFmtId="0" fontId="24" fillId="28" borderId="16" xfId="0" applyFont="1" applyFill="1" applyBorder="1" applyAlignment="1">
      <alignment vertical="top"/>
    </xf>
    <xf numFmtId="0" fontId="24" fillId="28" borderId="16" xfId="0" applyFont="1" applyFill="1" applyBorder="1" applyAlignment="1">
      <alignment vertical="top" wrapText="1"/>
    </xf>
    <xf numFmtId="0" fontId="24" fillId="27" borderId="17" xfId="0" applyFont="1" applyFill="1" applyBorder="1" applyAlignment="1">
      <alignment vertical="top"/>
    </xf>
    <xf numFmtId="0" fontId="24" fillId="27" borderId="17" xfId="0" applyFont="1" applyFill="1" applyBorder="1" applyAlignment="1">
      <alignment vertical="top" wrapText="1"/>
    </xf>
    <xf numFmtId="0" fontId="24" fillId="21" borderId="17" xfId="61" applyBorder="1" applyAlignment="1">
      <alignment vertical="top"/>
    </xf>
    <xf numFmtId="0" fontId="24" fillId="21" borderId="17" xfId="61" applyBorder="1" applyAlignment="1">
      <alignment vertical="top" wrapText="1"/>
    </xf>
    <xf numFmtId="0" fontId="24" fillId="14" borderId="17" xfId="43" applyBorder="1" applyAlignment="1">
      <alignment vertical="top"/>
    </xf>
    <xf numFmtId="0" fontId="24" fillId="14" borderId="17" xfId="43" applyBorder="1" applyAlignment="1">
      <alignment vertical="top" wrapText="1"/>
    </xf>
    <xf numFmtId="0" fontId="24" fillId="23" borderId="17" xfId="63" applyBorder="1" applyAlignment="1">
      <alignment vertical="top"/>
    </xf>
    <xf numFmtId="0" fontId="24" fillId="23" borderId="17" xfId="63" applyBorder="1" applyAlignment="1">
      <alignment vertical="top" wrapText="1"/>
    </xf>
    <xf numFmtId="0" fontId="24" fillId="25" borderId="17" xfId="62" applyFill="1" applyBorder="1" applyAlignment="1">
      <alignment vertical="top"/>
    </xf>
    <xf numFmtId="0" fontId="24" fillId="25" borderId="17" xfId="62" applyFill="1" applyBorder="1" applyAlignment="1">
      <alignment vertical="top" wrapText="1"/>
    </xf>
    <xf numFmtId="167" fontId="0" fillId="0" borderId="0" xfId="0" applyNumberFormat="1" applyFill="1"/>
    <xf numFmtId="173" fontId="0" fillId="0" borderId="0" xfId="0" applyNumberFormat="1" applyFill="1"/>
    <xf numFmtId="167" fontId="0" fillId="15" borderId="1" xfId="1" applyNumberFormat="1" applyFont="1" applyFill="1" applyBorder="1"/>
    <xf numFmtId="9" fontId="0" fillId="0" borderId="0" xfId="0" applyNumberFormat="1" applyFill="1"/>
    <xf numFmtId="172" fontId="0" fillId="0" borderId="15" xfId="2" applyNumberFormat="1" applyFont="1" applyBorder="1"/>
    <xf numFmtId="4" fontId="0" fillId="0" borderId="15" xfId="0" applyNumberFormat="1" applyBorder="1"/>
    <xf numFmtId="9" fontId="0" fillId="0" borderId="0" xfId="2" applyNumberFormat="1" applyFont="1"/>
    <xf numFmtId="0" fontId="0" fillId="0" borderId="18" xfId="0" applyBorder="1"/>
    <xf numFmtId="9" fontId="22" fillId="11" borderId="10" xfId="39" applyNumberFormat="1"/>
    <xf numFmtId="3" fontId="0" fillId="0" borderId="0" xfId="0" applyNumberFormat="1" applyBorder="1"/>
    <xf numFmtId="9" fontId="0" fillId="0" borderId="0" xfId="2" applyFont="1" applyBorder="1"/>
    <xf numFmtId="9" fontId="0" fillId="0" borderId="0" xfId="2" applyFont="1"/>
    <xf numFmtId="172" fontId="0" fillId="0" borderId="0" xfId="2" applyNumberFormat="1" applyFont="1"/>
    <xf numFmtId="10" fontId="0" fillId="0" borderId="0" xfId="0" applyNumberFormat="1"/>
    <xf numFmtId="0" fontId="0" fillId="0" borderId="0" xfId="0"/>
    <xf numFmtId="0" fontId="0" fillId="0" borderId="0" xfId="0" applyFill="1"/>
    <xf numFmtId="0" fontId="8" fillId="0" borderId="0" xfId="0" applyFont="1" applyBorder="1"/>
    <xf numFmtId="167" fontId="8" fillId="0" borderId="0" xfId="1" applyNumberFormat="1" applyFont="1" applyBorder="1" applyAlignment="1">
      <alignment horizontal="right"/>
    </xf>
    <xf numFmtId="0" fontId="17" fillId="8" borderId="12" xfId="36"/>
    <xf numFmtId="9" fontId="0" fillId="0" borderId="0" xfId="0" applyNumberFormat="1"/>
    <xf numFmtId="0" fontId="0" fillId="0" borderId="0" xfId="0" applyFill="1" applyBorder="1" applyAlignment="1">
      <alignment horizontal="center" wrapText="1"/>
    </xf>
    <xf numFmtId="167" fontId="8" fillId="0" borderId="0" xfId="1" applyNumberFormat="1" applyFont="1" applyBorder="1" applyAlignment="1">
      <alignment horizontal="right"/>
    </xf>
    <xf numFmtId="0" fontId="0" fillId="0" borderId="0" xfId="0"/>
    <xf numFmtId="180" fontId="0" fillId="0" borderId="0" xfId="0" applyNumberFormat="1" applyFill="1"/>
    <xf numFmtId="178" fontId="0" fillId="0" borderId="0" xfId="2" applyNumberFormat="1" applyFont="1"/>
    <xf numFmtId="0" fontId="26" fillId="0" borderId="14" xfId="44"/>
    <xf numFmtId="9" fontId="7" fillId="17" borderId="3" xfId="4" applyNumberFormat="1" applyFill="1" applyAlignment="1">
      <alignment wrapText="1"/>
    </xf>
    <xf numFmtId="10" fontId="16" fillId="7" borderId="10" xfId="2" applyNumberFormat="1" applyFont="1" applyFill="1" applyBorder="1"/>
    <xf numFmtId="0" fontId="22" fillId="11" borderId="10" xfId="39" applyNumberFormat="1"/>
    <xf numFmtId="10" fontId="17" fillId="8" borderId="12" xfId="36" applyNumberFormat="1"/>
    <xf numFmtId="3" fontId="22" fillId="11" borderId="10" xfId="39" applyNumberFormat="1"/>
    <xf numFmtId="171" fontId="0" fillId="17" borderId="10" xfId="47" applyNumberFormat="1" applyFont="1" applyBorder="1"/>
    <xf numFmtId="0" fontId="26" fillId="0" borderId="14" xfId="44" applyNumberFormat="1" applyAlignment="1">
      <alignment horizontal="left"/>
    </xf>
    <xf numFmtId="0" fontId="26" fillId="0" borderId="14" xfId="44" applyAlignment="1">
      <alignment horizontal="left" wrapText="1"/>
    </xf>
    <xf numFmtId="167" fontId="15" fillId="7" borderId="11" xfId="34" applyNumberFormat="1"/>
    <xf numFmtId="0" fontId="0" fillId="0" borderId="0" xfId="0"/>
    <xf numFmtId="0" fontId="0" fillId="0" borderId="0" xfId="0" applyAlignment="1">
      <alignment wrapText="1"/>
    </xf>
    <xf numFmtId="172" fontId="0" fillId="0" borderId="0" xfId="0" applyNumberFormat="1"/>
    <xf numFmtId="0" fontId="0" fillId="0" borderId="0" xfId="0" applyNumberFormat="1"/>
    <xf numFmtId="172" fontId="0" fillId="0" borderId="0" xfId="2" applyNumberFormat="1" applyFont="1"/>
    <xf numFmtId="10" fontId="0" fillId="0" borderId="0" xfId="0" applyNumberFormat="1"/>
    <xf numFmtId="171" fontId="0" fillId="0" borderId="0" xfId="0" applyNumberFormat="1"/>
    <xf numFmtId="0" fontId="7" fillId="0" borderId="3" xfId="4" applyAlignment="1">
      <alignment wrapText="1"/>
    </xf>
    <xf numFmtId="0" fontId="7" fillId="0" borderId="3" xfId="4" applyNumberFormat="1" applyAlignment="1">
      <alignment wrapText="1"/>
    </xf>
    <xf numFmtId="180" fontId="0" fillId="0" borderId="0" xfId="0" applyNumberFormat="1"/>
    <xf numFmtId="0" fontId="0" fillId="0" borderId="0" xfId="0" applyNumberFormat="1" applyAlignment="1">
      <alignment wrapText="1"/>
    </xf>
    <xf numFmtId="0" fontId="31" fillId="0" borderId="19" xfId="64"/>
    <xf numFmtId="0" fontId="7" fillId="0" borderId="3" xfId="4" applyAlignment="1">
      <alignment horizontal="left"/>
    </xf>
    <xf numFmtId="10" fontId="15" fillId="7" borderId="11" xfId="34" applyNumberFormat="1"/>
    <xf numFmtId="0" fontId="31" fillId="0" borderId="19" xfId="64" applyNumberFormat="1" applyAlignment="1"/>
    <xf numFmtId="0" fontId="31" fillId="0" borderId="19" xfId="64" applyNumberFormat="1" applyAlignment="1">
      <alignment horizontal="left"/>
    </xf>
    <xf numFmtId="0" fontId="31" fillId="0" borderId="19" xfId="64" applyNumberFormat="1"/>
    <xf numFmtId="0" fontId="32" fillId="19" borderId="0" xfId="0" applyFont="1" applyFill="1" applyAlignment="1">
      <alignment vertical="center" wrapText="1"/>
    </xf>
    <xf numFmtId="0" fontId="33" fillId="0" borderId="0" xfId="0" applyFont="1"/>
    <xf numFmtId="0" fontId="34" fillId="0" borderId="0" xfId="0" applyFont="1" applyAlignment="1">
      <alignment vertical="center" wrapText="1"/>
    </xf>
    <xf numFmtId="0" fontId="34" fillId="20" borderId="0" xfId="0" applyFont="1" applyFill="1" applyAlignment="1">
      <alignment vertical="center" wrapText="1"/>
    </xf>
    <xf numFmtId="0" fontId="32" fillId="19" borderId="0" xfId="0" applyFont="1" applyFill="1" applyAlignment="1">
      <alignment horizontal="center" vertical="center" wrapText="1"/>
    </xf>
    <xf numFmtId="10" fontId="34" fillId="0" borderId="0" xfId="0" applyNumberFormat="1" applyFont="1" applyAlignment="1">
      <alignment horizontal="center" vertical="center" wrapText="1"/>
    </xf>
    <xf numFmtId="0" fontId="34" fillId="0" borderId="0" xfId="0" applyFont="1" applyAlignment="1">
      <alignment horizontal="center" vertical="center" wrapText="1"/>
    </xf>
    <xf numFmtId="10" fontId="34" fillId="20" borderId="0" xfId="0" applyNumberFormat="1" applyFont="1" applyFill="1" applyAlignment="1">
      <alignment horizontal="center" vertical="center" wrapText="1"/>
    </xf>
    <xf numFmtId="0" fontId="34" fillId="20" borderId="0" xfId="0" applyFont="1" applyFill="1" applyAlignment="1">
      <alignment horizontal="center" vertical="center" wrapText="1"/>
    </xf>
    <xf numFmtId="10" fontId="18" fillId="0" borderId="0" xfId="37" applyNumberFormat="1"/>
    <xf numFmtId="172" fontId="18" fillId="0" borderId="0" xfId="2" applyNumberFormat="1" applyFont="1"/>
    <xf numFmtId="167" fontId="0" fillId="0" borderId="0" xfId="1" applyNumberFormat="1" applyFont="1" applyFill="1" applyBorder="1"/>
    <xf numFmtId="1" fontId="0" fillId="0" borderId="0" xfId="0" applyNumberFormat="1" applyFill="1" applyBorder="1"/>
    <xf numFmtId="167" fontId="30" fillId="0" borderId="0" xfId="1" applyNumberFormat="1" applyFont="1" applyFill="1" applyBorder="1"/>
    <xf numFmtId="4" fontId="0" fillId="0" borderId="0" xfId="0" applyNumberFormat="1" applyFill="1" applyBorder="1"/>
    <xf numFmtId="185" fontId="23" fillId="0" borderId="13" xfId="40" applyNumberFormat="1"/>
    <xf numFmtId="8" fontId="15" fillId="7" borderId="11" xfId="34" applyNumberFormat="1"/>
    <xf numFmtId="0" fontId="0" fillId="0" borderId="0" xfId="0"/>
    <xf numFmtId="0" fontId="0" fillId="0" borderId="0" xfId="0" applyNumberFormat="1"/>
    <xf numFmtId="172" fontId="0" fillId="0" borderId="0" xfId="2" applyNumberFormat="1" applyFont="1"/>
    <xf numFmtId="0" fontId="7" fillId="0" borderId="3" xfId="4"/>
    <xf numFmtId="8" fontId="0" fillId="0" borderId="0" xfId="0" applyNumberFormat="1"/>
    <xf numFmtId="172" fontId="16" fillId="7" borderId="10" xfId="35" applyNumberFormat="1"/>
    <xf numFmtId="0" fontId="7" fillId="0" borderId="1" xfId="38" applyBorder="1" applyAlignment="1">
      <alignment wrapText="1"/>
    </xf>
    <xf numFmtId="173" fontId="15" fillId="7" borderId="11" xfId="34" applyNumberFormat="1"/>
    <xf numFmtId="0" fontId="7" fillId="0" borderId="15" xfId="38" applyBorder="1" applyAlignment="1">
      <alignment wrapText="1"/>
    </xf>
    <xf numFmtId="0" fontId="0" fillId="0" borderId="0" xfId="0"/>
    <xf numFmtId="173" fontId="16" fillId="7" borderId="10" xfId="35" applyNumberFormat="1"/>
    <xf numFmtId="0" fontId="0" fillId="0" borderId="0" xfId="0"/>
    <xf numFmtId="0" fontId="0" fillId="0" borderId="0" xfId="0" applyFill="1"/>
    <xf numFmtId="0" fontId="0" fillId="0" borderId="0" xfId="0" applyFill="1" applyAlignment="1">
      <alignment wrapText="1"/>
    </xf>
    <xf numFmtId="0" fontId="8" fillId="0" borderId="0" xfId="0" applyFont="1" applyBorder="1"/>
    <xf numFmtId="167" fontId="8" fillId="0" borderId="0" xfId="1" applyNumberFormat="1" applyFont="1" applyBorder="1" applyAlignment="1">
      <alignment horizontal="right"/>
    </xf>
    <xf numFmtId="167" fontId="0" fillId="0" borderId="6" xfId="1" applyNumberFormat="1" applyFont="1" applyBorder="1"/>
    <xf numFmtId="0" fontId="0" fillId="0" borderId="0" xfId="0" applyNumberFormat="1"/>
    <xf numFmtId="179" fontId="0" fillId="0" borderId="0" xfId="0" applyNumberFormat="1" applyAlignment="1">
      <alignment horizontal="left"/>
    </xf>
    <xf numFmtId="0" fontId="7" fillId="0" borderId="3" xfId="4" applyAlignment="1">
      <alignment wrapText="1"/>
    </xf>
    <xf numFmtId="167" fontId="0" fillId="0" borderId="0" xfId="0" applyNumberFormat="1" applyFill="1"/>
    <xf numFmtId="0" fontId="22" fillId="11" borderId="10" xfId="39"/>
    <xf numFmtId="0" fontId="0" fillId="0" borderId="0" xfId="0" applyFill="1" applyBorder="1" applyAlignment="1">
      <alignment wrapText="1"/>
    </xf>
    <xf numFmtId="180" fontId="0" fillId="0" borderId="0" xfId="0" applyNumberFormat="1" applyFill="1"/>
    <xf numFmtId="3" fontId="0" fillId="0" borderId="0" xfId="0" applyNumberFormat="1" applyFill="1"/>
    <xf numFmtId="167" fontId="0" fillId="0" borderId="0" xfId="1" applyNumberFormat="1" applyFont="1" applyFill="1" applyBorder="1"/>
    <xf numFmtId="0" fontId="0" fillId="0" borderId="0" xfId="0" applyNumberFormat="1"/>
    <xf numFmtId="10" fontId="0" fillId="0" borderId="0" xfId="0" applyNumberFormat="1"/>
    <xf numFmtId="0" fontId="18" fillId="0" borderId="0" xfId="37"/>
    <xf numFmtId="180" fontId="23" fillId="0" borderId="13" xfId="40" applyNumberFormat="1"/>
    <xf numFmtId="172" fontId="8" fillId="0" borderId="0" xfId="2" applyNumberFormat="1" applyFont="1"/>
    <xf numFmtId="180" fontId="8" fillId="0" borderId="0" xfId="0" applyNumberFormat="1" applyFont="1"/>
    <xf numFmtId="0" fontId="8" fillId="0" borderId="0" xfId="0" applyFont="1" applyAlignment="1">
      <alignment wrapText="1"/>
    </xf>
    <xf numFmtId="0" fontId="7" fillId="0" borderId="3" xfId="4" applyAlignment="1">
      <alignment wrapText="1"/>
    </xf>
    <xf numFmtId="0" fontId="26" fillId="0" borderId="14" xfId="44" applyNumberFormat="1" applyAlignment="1">
      <alignment horizontal="left"/>
    </xf>
    <xf numFmtId="0" fontId="0" fillId="0" borderId="0" xfId="0"/>
    <xf numFmtId="0" fontId="0" fillId="0" borderId="0" xfId="0" applyNumberFormat="1"/>
    <xf numFmtId="10" fontId="0" fillId="0" borderId="0" xfId="0" applyNumberFormat="1"/>
    <xf numFmtId="0" fontId="7" fillId="0" borderId="3" xfId="4" applyNumberFormat="1" applyAlignment="1">
      <alignment wrapText="1"/>
    </xf>
    <xf numFmtId="180" fontId="0" fillId="0" borderId="0" xfId="0" applyNumberFormat="1"/>
    <xf numFmtId="10" fontId="16" fillId="7" borderId="10" xfId="35" applyNumberFormat="1"/>
    <xf numFmtId="10" fontId="0" fillId="0" borderId="0" xfId="2" applyNumberFormat="1" applyFont="1"/>
    <xf numFmtId="9" fontId="7" fillId="0" borderId="3" xfId="4" applyNumberFormat="1" applyAlignment="1">
      <alignment wrapText="1"/>
    </xf>
    <xf numFmtId="0" fontId="0" fillId="0" borderId="0" xfId="0"/>
    <xf numFmtId="6" fontId="16" fillId="7" borderId="23" xfId="35"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6" fontId="0" fillId="0" borderId="15" xfId="0" applyNumberFormat="1" applyBorder="1" applyAlignment="1">
      <alignment horizontal="right"/>
    </xf>
    <xf numFmtId="177" fontId="0" fillId="0" borderId="15" xfId="0" applyNumberFormat="1" applyBorder="1"/>
    <xf numFmtId="0" fontId="0" fillId="0" borderId="15" xfId="0" applyBorder="1" applyAlignment="1"/>
    <xf numFmtId="9" fontId="0" fillId="0" borderId="15" xfId="0" applyNumberFormat="1" applyBorder="1" applyAlignment="1"/>
    <xf numFmtId="10" fontId="0" fillId="0" borderId="15" xfId="0" applyNumberFormat="1" applyBorder="1" applyAlignment="1"/>
    <xf numFmtId="165" fontId="0" fillId="0" borderId="15" xfId="1" applyFont="1" applyBorder="1" applyAlignment="1"/>
    <xf numFmtId="165" fontId="0" fillId="0" borderId="15" xfId="0" applyNumberFormat="1" applyBorder="1" applyAlignment="1"/>
    <xf numFmtId="1" fontId="0" fillId="0" borderId="15" xfId="0" applyNumberFormat="1" applyBorder="1" applyAlignment="1"/>
    <xf numFmtId="0" fontId="0" fillId="0" borderId="0" xfId="0" applyAlignment="1"/>
    <xf numFmtId="185" fontId="16" fillId="7" borderId="10" xfId="35"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2" fontId="1" fillId="0" borderId="9" xfId="2" applyNumberFormat="1" applyFont="1" applyBorder="1" applyAlignment="1">
      <alignment horizontal="right"/>
    </xf>
    <xf numFmtId="178" fontId="0" fillId="0" borderId="15" xfId="2" applyNumberFormat="1" applyFont="1" applyBorder="1"/>
    <xf numFmtId="1" fontId="0" fillId="0" borderId="15" xfId="2" applyNumberFormat="1" applyFont="1" applyBorder="1"/>
    <xf numFmtId="179" fontId="0" fillId="0" borderId="15" xfId="0" applyNumberFormat="1" applyBorder="1"/>
    <xf numFmtId="180" fontId="0" fillId="0" borderId="15" xfId="0" applyNumberFormat="1" applyBorder="1"/>
    <xf numFmtId="172" fontId="1" fillId="17" borderId="15" xfId="47" applyNumberFormat="1" applyBorder="1"/>
    <xf numFmtId="180" fontId="1" fillId="17" borderId="15" xfId="47" applyNumberFormat="1" applyBorder="1"/>
    <xf numFmtId="10" fontId="1" fillId="17" borderId="15" xfId="47" applyNumberFormat="1" applyBorder="1"/>
    <xf numFmtId="178" fontId="1" fillId="12" borderId="15" xfId="41" applyNumberFormat="1" applyBorder="1"/>
    <xf numFmtId="1" fontId="1" fillId="12" borderId="15" xfId="41" applyNumberFormat="1" applyBorder="1"/>
    <xf numFmtId="172" fontId="1" fillId="12" borderId="15" xfId="41" applyNumberFormat="1" applyBorder="1"/>
    <xf numFmtId="172" fontId="1" fillId="12" borderId="15" xfId="2" applyNumberFormat="1" applyFill="1" applyBorder="1"/>
    <xf numFmtId="180" fontId="1" fillId="12" borderId="15" xfId="41" applyNumberFormat="1" applyBorder="1"/>
    <xf numFmtId="9" fontId="7" fillId="12" borderId="3" xfId="4" applyNumberFormat="1" applyFill="1" applyAlignment="1">
      <alignment wrapText="1"/>
    </xf>
    <xf numFmtId="3" fontId="22" fillId="11" borderId="23" xfId="39" applyNumberFormat="1" applyBorder="1"/>
    <xf numFmtId="172" fontId="0" fillId="0" borderId="15" xfId="0" applyNumberFormat="1" applyBorder="1"/>
    <xf numFmtId="179" fontId="0" fillId="0" borderId="15" xfId="0" applyNumberFormat="1" applyBorder="1" applyAlignment="1">
      <alignment horizontal="right"/>
    </xf>
    <xf numFmtId="0" fontId="0" fillId="0" borderId="0" xfId="0"/>
    <xf numFmtId="0" fontId="31" fillId="0" borderId="19" xfId="64" applyNumberFormat="1" applyAlignment="1">
      <alignment wrapText="1"/>
    </xf>
    <xf numFmtId="0" fontId="8" fillId="0" borderId="0" xfId="0" applyNumberFormat="1" applyFont="1"/>
    <xf numFmtId="0" fontId="0" fillId="0" borderId="0" xfId="0"/>
    <xf numFmtId="4" fontId="0" fillId="0" borderId="0" xfId="0" applyNumberFormat="1"/>
    <xf numFmtId="186" fontId="0" fillId="0" borderId="0" xfId="0" applyNumberFormat="1"/>
    <xf numFmtId="172" fontId="0" fillId="29" borderId="0" xfId="0" applyNumberFormat="1" applyFill="1"/>
    <xf numFmtId="172" fontId="0" fillId="30" borderId="0" xfId="0" applyNumberFormat="1" applyFill="1"/>
    <xf numFmtId="0" fontId="0" fillId="0" borderId="0" xfId="0"/>
    <xf numFmtId="0" fontId="0" fillId="0" borderId="15" xfId="0" applyFill="1" applyBorder="1" applyAlignment="1">
      <alignment horizontal="center"/>
    </xf>
    <xf numFmtId="0" fontId="0" fillId="0" borderId="15" xfId="0" applyFill="1" applyBorder="1" applyAlignment="1">
      <alignment wrapText="1"/>
    </xf>
    <xf numFmtId="1" fontId="0" fillId="0" borderId="15" xfId="0" applyNumberFormat="1" applyFill="1" applyBorder="1"/>
    <xf numFmtId="165" fontId="0" fillId="0" borderId="15" xfId="1" applyNumberFormat="1" applyFont="1" applyFill="1" applyBorder="1"/>
    <xf numFmtId="166" fontId="0" fillId="0" borderId="0" xfId="3" applyFont="1"/>
    <xf numFmtId="0" fontId="22" fillId="0" borderId="0" xfId="39" applyFill="1" applyBorder="1"/>
    <xf numFmtId="173" fontId="0" fillId="0" borderId="0" xfId="0" applyNumberFormat="1"/>
    <xf numFmtId="167" fontId="0" fillId="0" borderId="0" xfId="1" applyNumberFormat="1" applyFont="1" applyAlignment="1">
      <alignment wrapText="1"/>
    </xf>
    <xf numFmtId="173" fontId="8" fillId="0" borderId="0" xfId="0" applyNumberFormat="1" applyFont="1"/>
    <xf numFmtId="167" fontId="8" fillId="0" borderId="0" xfId="1" applyNumberFormat="1" applyFont="1" applyAlignment="1">
      <alignment wrapText="1"/>
    </xf>
    <xf numFmtId="165" fontId="0" fillId="0" borderId="0" xfId="1" applyNumberFormat="1" applyFont="1" applyFill="1" applyBorder="1"/>
    <xf numFmtId="0" fontId="0" fillId="0" borderId="15" xfId="0" applyFill="1" applyBorder="1"/>
    <xf numFmtId="0" fontId="0" fillId="0" borderId="0" xfId="0"/>
    <xf numFmtId="177" fontId="18" fillId="0" borderId="0" xfId="37" applyNumberFormat="1"/>
    <xf numFmtId="1" fontId="1" fillId="32" borderId="15" xfId="65" applyNumberFormat="1" applyBorder="1"/>
    <xf numFmtId="167" fontId="0" fillId="0" borderId="15" xfId="1" applyNumberFormat="1" applyFont="1" applyFill="1" applyBorder="1"/>
    <xf numFmtId="173" fontId="0" fillId="0" borderId="0" xfId="0" applyNumberFormat="1" applyFill="1" applyBorder="1"/>
    <xf numFmtId="0" fontId="0" fillId="0" borderId="0" xfId="0"/>
    <xf numFmtId="0" fontId="0" fillId="0" borderId="0" xfId="0"/>
    <xf numFmtId="167" fontId="0" fillId="0" borderId="0" xfId="0" applyNumberFormat="1" applyFill="1" applyBorder="1" applyAlignment="1">
      <alignment wrapText="1"/>
    </xf>
    <xf numFmtId="173" fontId="0" fillId="0" borderId="0" xfId="0" applyNumberFormat="1" applyFill="1" applyBorder="1" applyAlignment="1">
      <alignment wrapText="1"/>
    </xf>
    <xf numFmtId="0" fontId="0" fillId="0" borderId="0" xfId="0"/>
    <xf numFmtId="1" fontId="0" fillId="0" borderId="1" xfId="0" applyNumberFormat="1" applyFill="1" applyBorder="1" applyAlignment="1">
      <alignment horizontal="center"/>
    </xf>
    <xf numFmtId="1" fontId="0" fillId="0" borderId="1" xfId="0" applyNumberFormat="1" applyFill="1" applyBorder="1" applyAlignment="1">
      <alignment wrapText="1"/>
    </xf>
    <xf numFmtId="9" fontId="0" fillId="0" borderId="0" xfId="2" applyFont="1" applyFill="1" applyBorder="1"/>
    <xf numFmtId="44" fontId="0" fillId="0" borderId="0" xfId="0" applyNumberFormat="1" applyFill="1" applyBorder="1"/>
    <xf numFmtId="172" fontId="0" fillId="0" borderId="0" xfId="2" applyNumberFormat="1" applyFont="1" applyFill="1" applyBorder="1"/>
    <xf numFmtId="173" fontId="15" fillId="7" borderId="24" xfId="34" applyNumberFormat="1" applyBorder="1"/>
    <xf numFmtId="0" fontId="7" fillId="31" borderId="25" xfId="38" applyFill="1" applyBorder="1" applyAlignment="1">
      <alignment wrapText="1"/>
    </xf>
    <xf numFmtId="173" fontId="15" fillId="31" borderId="24" xfId="34" applyNumberFormat="1" applyFill="1" applyBorder="1"/>
    <xf numFmtId="173" fontId="15" fillId="31" borderId="26" xfId="34" applyNumberFormat="1" applyFill="1" applyBorder="1"/>
    <xf numFmtId="172" fontId="4" fillId="7" borderId="10" xfId="2" applyNumberFormat="1" applyFont="1" applyFill="1" applyBorder="1"/>
    <xf numFmtId="9" fontId="4" fillId="7" borderId="10" xfId="2" applyFont="1" applyFill="1" applyBorder="1"/>
    <xf numFmtId="9" fontId="4" fillId="7" borderId="11" xfId="34" applyNumberFormat="1" applyFont="1"/>
    <xf numFmtId="168" fontId="0" fillId="0" borderId="0" xfId="3" applyNumberFormat="1" applyFont="1" applyFill="1" applyBorder="1"/>
    <xf numFmtId="165" fontId="35" fillId="0" borderId="0" xfId="1" applyNumberFormat="1" applyFont="1" applyFill="1" applyBorder="1"/>
    <xf numFmtId="167" fontId="0" fillId="0" borderId="0" xfId="1" applyNumberFormat="1" applyFont="1" applyFill="1" applyBorder="1" applyAlignment="1">
      <alignment wrapText="1"/>
    </xf>
    <xf numFmtId="1" fontId="0" fillId="0" borderId="0" xfId="0" applyNumberFormat="1" applyFill="1" applyBorder="1" applyAlignment="1">
      <alignment wrapText="1"/>
    </xf>
    <xf numFmtId="167" fontId="30" fillId="0" borderId="0" xfId="1" applyNumberFormat="1" applyFont="1" applyFill="1" applyBorder="1" applyAlignment="1">
      <alignment wrapText="1"/>
    </xf>
    <xf numFmtId="4" fontId="0" fillId="0" borderId="0" xfId="0" applyNumberFormat="1" applyFill="1" applyBorder="1" applyAlignment="1">
      <alignment wrapText="1"/>
    </xf>
    <xf numFmtId="10" fontId="17" fillId="8" borderId="20" xfId="36" applyNumberFormat="1" applyBorder="1" applyAlignment="1">
      <alignment horizontal="left"/>
    </xf>
    <xf numFmtId="0" fontId="0" fillId="0" borderId="0" xfId="0"/>
    <xf numFmtId="0" fontId="0" fillId="0" borderId="0" xfId="0" applyNumberFormat="1"/>
    <xf numFmtId="177" fontId="16" fillId="7" borderId="10" xfId="35" applyNumberFormat="1"/>
    <xf numFmtId="0" fontId="0" fillId="0" borderId="0" xfId="0"/>
    <xf numFmtId="8" fontId="22" fillId="11" borderId="10" xfId="39" applyNumberFormat="1"/>
    <xf numFmtId="0" fontId="0" fillId="0" borderId="0" xfId="0"/>
    <xf numFmtId="0" fontId="0" fillId="0" borderId="0" xfId="0"/>
    <xf numFmtId="0" fontId="0" fillId="0" borderId="0" xfId="0" applyNumberFormat="1" applyAlignment="1">
      <alignment horizontal="left" vertical="top" wrapText="1"/>
    </xf>
    <xf numFmtId="0" fontId="26" fillId="0" borderId="14" xfId="44" applyNumberFormat="1" applyAlignment="1">
      <alignment horizontal="left"/>
    </xf>
    <xf numFmtId="0" fontId="26" fillId="0" borderId="14" xfId="44" applyAlignment="1">
      <alignment horizontal="left" wrapText="1"/>
    </xf>
    <xf numFmtId="0" fontId="0" fillId="0" borderId="0" xfId="0"/>
    <xf numFmtId="10" fontId="17" fillId="8" borderId="20" xfId="36" applyNumberFormat="1" applyBorder="1" applyAlignment="1">
      <alignment horizontal="left"/>
    </xf>
    <xf numFmtId="10" fontId="17" fillId="8" borderId="21" xfId="36" applyNumberFormat="1" applyBorder="1" applyAlignment="1">
      <alignment horizontal="left"/>
    </xf>
    <xf numFmtId="10" fontId="17" fillId="8" borderId="22" xfId="36" applyNumberFormat="1" applyBorder="1" applyAlignment="1">
      <alignment horizontal="left"/>
    </xf>
    <xf numFmtId="167" fontId="0" fillId="0" borderId="15" xfId="1" applyNumberFormat="1" applyFont="1" applyFill="1" applyBorder="1"/>
  </cellXfs>
  <cellStyles count="66">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8"/>
    <cellStyle name=" 2 2" xfId="49"/>
    <cellStyle name=" Writer Import]_x000d__x000a_Display Dialog=No_x000d__x000a__x000d__x000a_[Horizontal Arrange]_x000d__x000a_Dimensions Interlocking=Yes_x000d__x000a_Sum Hierarchy=Yes_x000d__x000a_Generate" xfId="50"/>
    <cellStyle name=" Writer Import]_x000d__x000a_Display Dialog=No_x000d__x000a__x000d__x000a_[Horizontal Arrange]_x000d__x000a_Dimensions Interlocking=Yes_x000d__x000a_Sum Hierarchy=Yes_x000d__x000a_Generate 2" xfId="51"/>
    <cellStyle name=" Writer Import]_x000d__x000a_Display Dialog=No_x000d__x000a__x000d__x000a_[Horizontal Arrange]_x000d__x000a_Dimensions Interlocking=Yes_x000d__x000a_Sum Hierarchy=Yes_x000d__x000a_Generate 2 2" xfId="52"/>
    <cellStyle name=" Writer Import]_x000d__x000a_Display Dialog=No_x000d__x000a__x000d__x000a_[Horizontal Arrange]_x000d__x000a_Dimensions Interlocking=Yes_x000d__x000a_Sum Hierarchy=Yes_x000d__x000a_Generate 2 3" xfId="53"/>
    <cellStyle name=" Writer Import]_x000d__x000a_Display Dialog=No_x000d__x000a__x000d__x000a_[Horizontal Arrange]_x000d__x000a_Dimensions Interlocking=Yes_x000d__x000a_Sum Hierarchy=Yes_x000d__x000a_Generate 3" xfId="54"/>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2" builtinId="38"/>
    <cellStyle name="20% - Accent5" xfId="47" builtinId="46"/>
    <cellStyle name="20% - Accent6" xfId="65" builtinId="50"/>
    <cellStyle name="40% - Accent2" xfId="41" builtinId="35"/>
    <cellStyle name="Accent2" xfId="61" builtinId="33"/>
    <cellStyle name="Accent3" xfId="45" builtinId="37"/>
    <cellStyle name="Accent4" xfId="62" builtinId="41"/>
    <cellStyle name="Accent5" xfId="63" builtinId="45"/>
    <cellStyle name="Accent6" xfId="43" builtinId="49"/>
    <cellStyle name="c_HardInc " xfId="55"/>
    <cellStyle name="Calculation" xfId="35" builtinId="22"/>
    <cellStyle name="Check Cell" xfId="36" builtinId="23"/>
    <cellStyle name="Comma" xfId="3" builtinId="3"/>
    <cellStyle name="Currency" xfId="1" builtinId="4"/>
    <cellStyle name="Explanatory Text" xfId="37" builtinId="53"/>
    <cellStyle name="Good" xfId="33" builtinId="26"/>
    <cellStyle name="Heading 1" xfId="64" builtinId="16"/>
    <cellStyle name="Heading 2" xfId="44" builtinId="17"/>
    <cellStyle name="Heading 3" xfId="4" builtinId="18"/>
    <cellStyle name="Heading 4" xfId="38" builtinId="19"/>
    <cellStyle name="import_ICRC Electricity model 1-1  (1 Feb 2003) " xfId="31"/>
    <cellStyle name="Input" xfId="39" builtinId="20"/>
    <cellStyle name="Input1_ICRC Electricity model 1-1  (1 Feb 2003) " xfId="32"/>
    <cellStyle name="Linked Cell" xfId="40" builtinId="24"/>
    <cellStyle name="Millares [0]_2AV_M_M " xfId="56"/>
    <cellStyle name="Millares_2AV_M_M " xfId="57"/>
    <cellStyle name="Moneda [0]_2AV_M_M " xfId="58"/>
    <cellStyle name="Moneda_2AV_M_M " xfId="59"/>
    <cellStyle name="Neutral" xfId="46" builtinId="28"/>
    <cellStyle name="Normal" xfId="0" builtinId="0"/>
    <cellStyle name="Output" xfId="34" builtinId="21"/>
    <cellStyle name="Percent" xfId="2" builtinId="5"/>
    <cellStyle name="s_HardInc " xfId="60"/>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7531068765531E-2"/>
          <c:y val="4.619565217391304E-2"/>
          <c:w val="0.88019619422572171"/>
          <c:h val="0.74095607618083703"/>
        </c:manualLayout>
      </c:layout>
      <c:barChart>
        <c:barDir val="col"/>
        <c:grouping val="clustered"/>
        <c:varyColors val="0"/>
        <c:ser>
          <c:idx val="2"/>
          <c:order val="0"/>
          <c:tx>
            <c:strRef>
              <c:f>'base OPEX'!$O$44</c:f>
              <c:strCache>
                <c:ptCount val="1"/>
                <c:pt idx="0">
                  <c:v>SFA CD</c:v>
                </c:pt>
              </c:strCache>
            </c:strRef>
          </c:tx>
          <c:spPr>
            <a:solidFill>
              <a:srgbClr val="FF0000"/>
            </a:solidFill>
            <a:ln w="12700">
              <a:solidFill>
                <a:srgbClr val="800000"/>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OPEX'!$O$45:$O$57</c:f>
              <c:numCache>
                <c:formatCode>0.000</c:formatCode>
                <c:ptCount val="13"/>
                <c:pt idx="0">
                  <c:v>0.44104589999999999</c:v>
                </c:pt>
                <c:pt idx="1">
                  <c:v>0.45316469999999998</c:v>
                </c:pt>
                <c:pt idx="2">
                  <c:v>0.92178389999999999</c:v>
                </c:pt>
                <c:pt idx="3">
                  <c:v>0.58781779999999995</c:v>
                </c:pt>
                <c:pt idx="4">
                  <c:v>0.62405619999999995</c:v>
                </c:pt>
                <c:pt idx="5">
                  <c:v>0.51601269999999999</c:v>
                </c:pt>
                <c:pt idx="6">
                  <c:v>0.56640769999999996</c:v>
                </c:pt>
                <c:pt idx="7">
                  <c:v>0.72513749999999999</c:v>
                </c:pt>
                <c:pt idx="8">
                  <c:v>0.9572138</c:v>
                </c:pt>
                <c:pt idx="9">
                  <c:v>0.80943010000000004</c:v>
                </c:pt>
                <c:pt idx="10">
                  <c:v>0.77180130000000002</c:v>
                </c:pt>
                <c:pt idx="11">
                  <c:v>0.74856579999999995</c:v>
                </c:pt>
                <c:pt idx="12">
                  <c:v>0.87074419999999997</c:v>
                </c:pt>
              </c:numCache>
            </c:numRef>
          </c:val>
          <c:extLst xmlns:c16r2="http://schemas.microsoft.com/office/drawing/2015/06/chart">
            <c:ext xmlns:c16="http://schemas.microsoft.com/office/drawing/2014/chart" uri="{C3380CC4-5D6E-409C-BE32-E72D297353CC}">
              <c16:uniqueId val="{00000000-A058-41DE-A642-96F5C89ABF29}"/>
            </c:ext>
          </c:extLst>
        </c:ser>
        <c:ser>
          <c:idx val="0"/>
          <c:order val="1"/>
          <c:tx>
            <c:strRef>
              <c:f>'base OPEX'!$P$43</c:f>
              <c:strCache>
                <c:ptCount val="1"/>
                <c:pt idx="0">
                  <c:v>LSE TLG</c:v>
                </c:pt>
              </c:strCache>
            </c:strRef>
          </c:tx>
          <c:spPr>
            <a:solidFill>
              <a:srgbClr val="9999FF"/>
            </a:solidFill>
            <a:ln w="12700">
              <a:solidFill>
                <a:srgbClr val="000000"/>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OPEX'!$P$45:$P$57</c:f>
              <c:numCache>
                <c:formatCode>0.000</c:formatCode>
                <c:ptCount val="13"/>
                <c:pt idx="0">
                  <c:v>0.36887092237464614</c:v>
                </c:pt>
                <c:pt idx="1">
                  <c:v>0.49406336538993439</c:v>
                </c:pt>
                <c:pt idx="2">
                  <c:v>0.84194271625959949</c:v>
                </c:pt>
                <c:pt idx="3">
                  <c:v>0.62015117501221628</c:v>
                </c:pt>
                <c:pt idx="4">
                  <c:v>0.68179592235616204</c:v>
                </c:pt>
                <c:pt idx="5">
                  <c:v>0.53814690417823985</c:v>
                </c:pt>
                <c:pt idx="6">
                  <c:v>0.65602242904838226</c:v>
                </c:pt>
                <c:pt idx="7">
                  <c:v>0.58792910975077006</c:v>
                </c:pt>
                <c:pt idx="8">
                  <c:v>1</c:v>
                </c:pt>
                <c:pt idx="9">
                  <c:v>0.84721252568614747</c:v>
                </c:pt>
                <c:pt idx="10">
                  <c:v>0.7610723145083117</c:v>
                </c:pt>
                <c:pt idx="11">
                  <c:v>0.71550363473895151</c:v>
                </c:pt>
                <c:pt idx="12">
                  <c:v>0.77383632048300288</c:v>
                </c:pt>
              </c:numCache>
            </c:numRef>
          </c:val>
          <c:extLst xmlns:c16r2="http://schemas.microsoft.com/office/drawing/2015/06/chart">
            <c:ext xmlns:c16="http://schemas.microsoft.com/office/drawing/2014/chart" uri="{C3380CC4-5D6E-409C-BE32-E72D297353CC}">
              <c16:uniqueId val="{00000001-A058-41DE-A642-96F5C89ABF29}"/>
            </c:ext>
          </c:extLst>
        </c:ser>
        <c:ser>
          <c:idx val="1"/>
          <c:order val="2"/>
          <c:tx>
            <c:strRef>
              <c:f>'base OPEX'!$Q$43</c:f>
              <c:strCache>
                <c:ptCount val="1"/>
                <c:pt idx="0">
                  <c:v>LSE CD</c:v>
                </c:pt>
              </c:strCache>
            </c:strRef>
          </c:tx>
          <c:spPr>
            <a:solidFill>
              <a:srgbClr val="993366"/>
            </a:solidFill>
            <a:ln w="12700">
              <a:solidFill>
                <a:srgbClr val="800080"/>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OPEX'!$Q$45:$Q$57</c:f>
              <c:numCache>
                <c:formatCode>0.000</c:formatCode>
                <c:ptCount val="13"/>
                <c:pt idx="0">
                  <c:v>0.40861834516200884</c:v>
                </c:pt>
                <c:pt idx="1">
                  <c:v>0.43103206279912881</c:v>
                </c:pt>
                <c:pt idx="2">
                  <c:v>0.89280516696557644</c:v>
                </c:pt>
                <c:pt idx="3">
                  <c:v>0.57965800262530998</c:v>
                </c:pt>
                <c:pt idx="4">
                  <c:v>0.61832182787009682</c:v>
                </c:pt>
                <c:pt idx="5">
                  <c:v>0.54720865276351283</c:v>
                </c:pt>
                <c:pt idx="6">
                  <c:v>0.62905857664254006</c:v>
                </c:pt>
                <c:pt idx="7">
                  <c:v>0.68698240392932131</c:v>
                </c:pt>
                <c:pt idx="8">
                  <c:v>1</c:v>
                </c:pt>
                <c:pt idx="9">
                  <c:v>0.81354356598131605</c:v>
                </c:pt>
                <c:pt idx="10">
                  <c:v>0.78920584391637416</c:v>
                </c:pt>
                <c:pt idx="11">
                  <c:v>0.78940080183613359</c:v>
                </c:pt>
                <c:pt idx="12">
                  <c:v>0.85364898011498636</c:v>
                </c:pt>
              </c:numCache>
            </c:numRef>
          </c:val>
          <c:extLst xmlns:c16r2="http://schemas.microsoft.com/office/drawing/2015/06/chart">
            <c:ext xmlns:c16="http://schemas.microsoft.com/office/drawing/2014/chart" uri="{C3380CC4-5D6E-409C-BE32-E72D297353CC}">
              <c16:uniqueId val="{00000002-A058-41DE-A642-96F5C89ABF29}"/>
            </c:ext>
          </c:extLst>
        </c:ser>
        <c:ser>
          <c:idx val="3"/>
          <c:order val="3"/>
          <c:tx>
            <c:strRef>
              <c:f>'base OPEX'!$R$43</c:f>
              <c:strCache>
                <c:ptCount val="1"/>
                <c:pt idx="0">
                  <c:v>Opex MPFP</c:v>
                </c:pt>
              </c:strCache>
            </c:strRef>
          </c:tx>
          <c:spPr>
            <a:solidFill>
              <a:srgbClr val="FFCC00"/>
            </a:solidFill>
            <a:ln w="12700">
              <a:solidFill>
                <a:srgbClr val="FFFFCC"/>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OPEX'!$R$45:$R$57</c:f>
              <c:numCache>
                <c:formatCode>0.000</c:formatCode>
                <c:ptCount val="13"/>
                <c:pt idx="0">
                  <c:v>0.51408615384615364</c:v>
                </c:pt>
                <c:pt idx="1">
                  <c:v>0.45656615384615373</c:v>
                </c:pt>
                <c:pt idx="2">
                  <c:v>1</c:v>
                </c:pt>
                <c:pt idx="3">
                  <c:v>0.63003692307692283</c:v>
                </c:pt>
                <c:pt idx="4">
                  <c:v>0.6521969230769229</c:v>
                </c:pt>
                <c:pt idx="5">
                  <c:v>0.46578461538461535</c:v>
                </c:pt>
                <c:pt idx="6">
                  <c:v>0.49943384615384601</c:v>
                </c:pt>
                <c:pt idx="7">
                  <c:v>0.65348307692307683</c:v>
                </c:pt>
                <c:pt idx="8">
                  <c:v>0.86919384615384598</c:v>
                </c:pt>
                <c:pt idx="9">
                  <c:v>0.85729230769230746</c:v>
                </c:pt>
                <c:pt idx="10">
                  <c:v>0.66151384615384601</c:v>
                </c:pt>
                <c:pt idx="11">
                  <c:v>0.69925538461538439</c:v>
                </c:pt>
                <c:pt idx="12">
                  <c:v>0.75107692307692286</c:v>
                </c:pt>
              </c:numCache>
            </c:numRef>
          </c:val>
          <c:extLst xmlns:c16r2="http://schemas.microsoft.com/office/drawing/2015/06/chart">
            <c:ext xmlns:c16="http://schemas.microsoft.com/office/drawing/2014/chart" uri="{C3380CC4-5D6E-409C-BE32-E72D297353CC}">
              <c16:uniqueId val="{00000003-A058-41DE-A642-96F5C89ABF29}"/>
            </c:ext>
          </c:extLst>
        </c:ser>
        <c:dLbls>
          <c:showLegendKey val="0"/>
          <c:showVal val="0"/>
          <c:showCatName val="0"/>
          <c:showSerName val="0"/>
          <c:showPercent val="0"/>
          <c:showBubbleSize val="0"/>
        </c:dLbls>
        <c:gapWidth val="150"/>
        <c:axId val="89465984"/>
        <c:axId val="89467520"/>
      </c:barChart>
      <c:catAx>
        <c:axId val="89465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9467520"/>
        <c:crosses val="autoZero"/>
        <c:auto val="1"/>
        <c:lblAlgn val="ctr"/>
        <c:lblOffset val="100"/>
        <c:tickLblSkip val="1"/>
        <c:tickMarkSkip val="1"/>
        <c:noMultiLvlLbl val="0"/>
      </c:catAx>
      <c:valAx>
        <c:axId val="89467520"/>
        <c:scaling>
          <c:orientation val="minMax"/>
          <c:max val="1.1000000000000001"/>
          <c:min val="0"/>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8946598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legend>
    <c:plotVisOnly val="1"/>
    <c:dispBlanksAs val="gap"/>
    <c:showDLblsOverMax val="0"/>
  </c:chart>
  <c:spPr>
    <a:solidFill>
      <a:schemeClr val="bg1"/>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xmlns:c16r2="http://schemas.microsoft.com/office/drawing/2015/06/char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xmlns:c16r2="http://schemas.microsoft.com/office/drawing/2015/06/char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xmlns:c16r2="http://schemas.microsoft.com/office/drawing/2015/06/char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xmlns:c16r2="http://schemas.microsoft.com/office/drawing/2015/06/char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xmlns:c16r2="http://schemas.microsoft.com/office/drawing/2015/06/char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xmlns:c16r2="http://schemas.microsoft.com/office/drawing/2015/06/char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xmlns:c16r2="http://schemas.microsoft.com/office/drawing/2015/06/char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xmlns:c16r2="http://schemas.microsoft.com/office/drawing/2015/06/char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xmlns:c16r2="http://schemas.microsoft.com/office/drawing/2015/06/char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xmlns:c16r2="http://schemas.microsoft.com/office/drawing/2015/06/char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xmlns:c16r2="http://schemas.microsoft.com/office/drawing/2015/06/char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xmlns:c16r2="http://schemas.microsoft.com/office/drawing/2015/06/char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xmlns:c16r2="http://schemas.microsoft.com/office/drawing/2015/06/char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xmlns:c16r2="http://schemas.microsoft.com/office/drawing/2015/06/char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xmlns:c16r2="http://schemas.microsoft.com/office/drawing/2015/06/char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xmlns:c16r2="http://schemas.microsoft.com/office/drawing/2015/06/char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xmlns:c16r2="http://schemas.microsoft.com/office/drawing/2015/06/char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xmlns:c16r2="http://schemas.microsoft.com/office/drawing/2015/06/char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xmlns:c16r2="http://schemas.microsoft.com/office/drawing/2015/06/char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xmlns:c16r2="http://schemas.microsoft.com/office/drawing/2015/06/char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xmlns:c16r2="http://schemas.microsoft.com/office/drawing/2015/06/char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xmlns:c16r2="http://schemas.microsoft.com/office/drawing/2015/06/char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xmlns:c16r2="http://schemas.microsoft.com/office/drawing/2015/06/char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xmlns:c16r2="http://schemas.microsoft.com/office/drawing/2015/06/char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xmlns:c16r2="http://schemas.microsoft.com/office/drawing/2015/06/char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xmlns:c16r2="http://schemas.microsoft.com/office/drawing/2015/06/char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xmlns:c16r2="http://schemas.microsoft.com/office/drawing/2015/06/char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xmlns:c16r2="http://schemas.microsoft.com/office/drawing/2015/06/char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xmlns:c16r2="http://schemas.microsoft.com/office/drawing/2015/06/char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xmlns:c16r2="http://schemas.microsoft.com/office/drawing/2015/06/char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xmlns:c16r2="http://schemas.microsoft.com/office/drawing/2015/06/char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xmlns:c16r2="http://schemas.microsoft.com/office/drawing/2015/06/char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xmlns:c16r2="http://schemas.microsoft.com/office/drawing/2015/06/char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xmlns:c16r2="http://schemas.microsoft.com/office/drawing/2015/06/char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xmlns:c16r2="http://schemas.microsoft.com/office/drawing/2015/06/char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xmlns:c16r2="http://schemas.microsoft.com/office/drawing/2015/06/char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xmlns:c16r2="http://schemas.microsoft.com/office/drawing/2015/06/char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xmlns:c16r2="http://schemas.microsoft.com/office/drawing/2015/06/char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xmlns:c16r2="http://schemas.microsoft.com/office/drawing/2015/06/char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xmlns:c16r2="http://schemas.microsoft.com/office/drawing/2015/06/char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xmlns:c16r2="http://schemas.microsoft.com/office/drawing/2015/06/char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xmlns:c16r2="http://schemas.microsoft.com/office/drawing/2015/06/char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xmlns:c16r2="http://schemas.microsoft.com/office/drawing/2015/06/char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xmlns:c16r2="http://schemas.microsoft.com/office/drawing/2015/06/char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xmlns:c16r2="http://schemas.microsoft.com/office/drawing/2015/06/char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xmlns:c16r2="http://schemas.microsoft.com/office/drawing/2015/06/char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xmlns:c16r2="http://schemas.microsoft.com/office/drawing/2015/06/char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xmlns:c16r2="http://schemas.microsoft.com/office/drawing/2015/06/char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xmlns:c16r2="http://schemas.microsoft.com/office/drawing/2015/06/char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xmlns:c16r2="http://schemas.microsoft.com/office/drawing/2015/06/char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xmlns:c16r2="http://schemas.microsoft.com/office/drawing/2015/06/char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xmlns:c16r2="http://schemas.microsoft.com/office/drawing/2015/06/char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layout/>
      <c:overlay val="0"/>
      <c:spPr>
        <a:noFill/>
        <a:ln>
          <a:noFill/>
        </a:ln>
        <a:effectLst/>
      </c:sp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xmlns:c16r2="http://schemas.microsoft.com/office/drawing/2015/06/char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layout/>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95250</xdr:colOff>
      <xdr:row>42</xdr:row>
      <xdr:rowOff>23811</xdr:rowOff>
    </xdr:from>
    <xdr:to>
      <xdr:col>33</xdr:col>
      <xdr:colOff>390525</xdr:colOff>
      <xdr:row>57</xdr:row>
      <xdr:rowOff>171449</xdr:rowOff>
    </xdr:to>
    <xdr:graphicFrame macro="">
      <xdr:nvGraphicFramePr>
        <xdr:cNvPr id="2" name="Shape">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xmlns=""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xmlns=""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xmlns=""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xmlns=""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xmlns=""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xmlns=""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xmlns=""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erz%20Consulting%201/AppData/Local/Microsoft/Windows/INetCache/Content.Outlook/B9O4FQH2/Subtransmission%20OEF%20Calculation%20Sheet%20-%20Rev%20F+jas+cycl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erz%20Consulting%201/AppData/Local/Microsoft/Windows/INetCache/Content.Outlook/B9O4FQH2/OEF%20summary%20ver%20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ctewAGL%202014-15%20-%20CA%20-%2020151102%20-%20original%20-%20(D15%2016555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grid%202014-15%20-%20CA%20-%2020151030%20-%20original%20-%20(D15%2016504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CitiPower%202015%20-%20CA%20-%2020160429%20-%20original%20-%20(D16%2055141).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deavour%202014-15%20-%20CA%20-%2020150804%20-%20original%20-%20(D15_177070).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ergex%202014-15%20-%20CA%20-%2020151030%20-%20original%20-%20(D15%20164823).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rgon%202014-15%20-%20CA%20-%2020151102%20-%20original%20-%20(D15%2016577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ssential%202014-15%20-%20CA%20-%2020151127%20-%20original%20-%20(D15%20179628).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Jemena%202015%20-%20CA%20-%2020160429%20-%20original%20-%20(D16%2055275%20%20C).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Powercor%202015%20-%20CA%20-%2020160429%20-%20original%20-%20(D16%2055213)%20.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SA%20Power%20Networks%202014-15%20-%20CA%20-%2020151030%20-%20original%20-%20(D15%20164836).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Net%20(D)%202015%20-%20CA%20-%2020160430%20-%20original%20-%20(D16%2055770).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TasNetworks%20(D)%202014-15%20-%20CA%20-%2020151102%20-%20original%20-%20(D15%20165968).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
      <sheetName val="01ACT"/>
      <sheetName val="02AGD"/>
      <sheetName val="03CIT"/>
      <sheetName val="04END"/>
      <sheetName val="05ENX"/>
      <sheetName val="06ERG"/>
      <sheetName val="07ESS"/>
      <sheetName val="08JEN"/>
      <sheetName val="09PCR"/>
      <sheetName val="10SAP"/>
      <sheetName val="11SPD"/>
      <sheetName val="12TND"/>
      <sheetName val="13UED"/>
    </sheetNames>
    <sheetDataSet>
      <sheetData sheetId="0"/>
      <sheetData sheetId="1">
        <row r="43">
          <cell r="O43" t="str">
            <v>LSE TLG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master"/>
      <sheetName val="01ACT"/>
      <sheetName val="02AGD"/>
      <sheetName val="03CIT"/>
      <sheetName val="04END"/>
      <sheetName val="05ENX"/>
      <sheetName val="06ERG"/>
      <sheetName val="07ESS"/>
      <sheetName val="08JEN"/>
      <sheetName val="09PCR"/>
      <sheetName val="10SAP"/>
      <sheetName val="11SPD"/>
      <sheetName val="12TND"/>
      <sheetName val="13UED"/>
      <sheetName val="Bushfire regu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1</v>
          </cell>
          <cell r="AS85">
            <v>0</v>
          </cell>
          <cell r="AT85">
            <v>0</v>
          </cell>
          <cell r="AU85">
            <v>0</v>
          </cell>
          <cell r="AV85">
            <v>0</v>
          </cell>
          <cell r="AW85">
            <v>0</v>
          </cell>
          <cell r="AX85">
            <v>0</v>
          </cell>
          <cell r="AY85">
            <v>0</v>
          </cell>
          <cell r="AZ85">
            <v>0</v>
          </cell>
          <cell r="BA85">
            <v>0</v>
          </cell>
          <cell r="BB85">
            <v>0</v>
          </cell>
          <cell r="BC85">
            <v>0</v>
          </cell>
          <cell r="BD85">
            <v>0</v>
          </cell>
          <cell r="BE85">
            <v>1</v>
          </cell>
          <cell r="BF85">
            <v>0</v>
          </cell>
          <cell r="BG85">
            <v>0</v>
          </cell>
          <cell r="BH85">
            <v>0</v>
          </cell>
          <cell r="BI85">
            <v>0</v>
          </cell>
          <cell r="BJ85">
            <v>1</v>
          </cell>
          <cell r="BK85">
            <v>1</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row>
        <row r="86">
          <cell r="P86">
            <v>0</v>
          </cell>
          <cell r="Q86">
            <v>0</v>
          </cell>
          <cell r="R86">
            <v>0</v>
          </cell>
          <cell r="S86">
            <v>3</v>
          </cell>
          <cell r="T86">
            <v>1</v>
          </cell>
          <cell r="U86">
            <v>0</v>
          </cell>
          <cell r="V86">
            <v>0</v>
          </cell>
          <cell r="W86">
            <v>0</v>
          </cell>
          <cell r="X86">
            <v>0</v>
          </cell>
          <cell r="Y86">
            <v>0</v>
          </cell>
          <cell r="Z86">
            <v>0</v>
          </cell>
          <cell r="AA86">
            <v>0</v>
          </cell>
          <cell r="AB86">
            <v>0</v>
          </cell>
          <cell r="AC86">
            <v>0</v>
          </cell>
          <cell r="AD86">
            <v>0</v>
          </cell>
          <cell r="AE86">
            <v>1</v>
          </cell>
          <cell r="AF86">
            <v>0</v>
          </cell>
          <cell r="AG86">
            <v>1</v>
          </cell>
          <cell r="AH86">
            <v>0</v>
          </cell>
          <cell r="AI86">
            <v>0</v>
          </cell>
          <cell r="AJ86">
            <v>3</v>
          </cell>
          <cell r="AK86">
            <v>2</v>
          </cell>
          <cell r="AL86">
            <v>0</v>
          </cell>
          <cell r="AM86">
            <v>0</v>
          </cell>
          <cell r="AN86">
            <v>0</v>
          </cell>
          <cell r="AO86">
            <v>0</v>
          </cell>
          <cell r="AP86">
            <v>0</v>
          </cell>
          <cell r="AQ86">
            <v>0</v>
          </cell>
          <cell r="AR86">
            <v>0</v>
          </cell>
          <cell r="AS86">
            <v>2</v>
          </cell>
          <cell r="AT86">
            <v>0</v>
          </cell>
          <cell r="AU86">
            <v>0</v>
          </cell>
          <cell r="AV86">
            <v>4</v>
          </cell>
          <cell r="AW86">
            <v>1</v>
          </cell>
          <cell r="AX86">
            <v>1</v>
          </cell>
          <cell r="AY86">
            <v>2</v>
          </cell>
          <cell r="AZ86">
            <v>0</v>
          </cell>
          <cell r="BA86">
            <v>2</v>
          </cell>
          <cell r="BB86">
            <v>4</v>
          </cell>
          <cell r="BC86">
            <v>7</v>
          </cell>
          <cell r="BD86">
            <v>2</v>
          </cell>
          <cell r="BE86">
            <v>0</v>
          </cell>
          <cell r="BF86">
            <v>0</v>
          </cell>
          <cell r="BG86">
            <v>1</v>
          </cell>
          <cell r="BH86">
            <v>0</v>
          </cell>
          <cell r="BI86">
            <v>0</v>
          </cell>
          <cell r="BJ86">
            <v>0</v>
          </cell>
          <cell r="BK86">
            <v>1</v>
          </cell>
          <cell r="BL86">
            <v>1</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sheetData>
      <sheetData sheetId="19"/>
      <sheetData sheetId="20"/>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tabSelected="1" workbookViewId="0">
      <selection activeCell="B18" sqref="B18"/>
    </sheetView>
  </sheetViews>
  <sheetFormatPr defaultColWidth="9.28515625" defaultRowHeight="15"/>
  <cols>
    <col min="1" max="1" width="27.5703125" style="134" bestFit="1" customWidth="1"/>
    <col min="2" max="2" width="80.42578125" style="131" customWidth="1"/>
    <col min="3" max="4" width="9.28515625" style="134"/>
    <col min="5" max="5" width="48.5703125" style="134" customWidth="1"/>
    <col min="6" max="16384" width="9.28515625" style="134"/>
  </cols>
  <sheetData>
    <row r="1" spans="1:7" s="253" customFormat="1" ht="20.25" thickBot="1">
      <c r="A1" s="199" t="s">
        <v>363</v>
      </c>
      <c r="B1" s="296"/>
    </row>
    <row r="2" spans="1:7" s="253" customFormat="1" ht="15.75" thickTop="1">
      <c r="A2" s="297" t="s">
        <v>417</v>
      </c>
      <c r="B2" s="193"/>
    </row>
    <row r="3" spans="1:7" ht="15.75" thickBot="1">
      <c r="A3" s="96" t="s">
        <v>247</v>
      </c>
      <c r="B3" s="97" t="s">
        <v>257</v>
      </c>
      <c r="C3" s="253"/>
      <c r="D3" s="352" t="s">
        <v>362</v>
      </c>
      <c r="E3" s="352"/>
    </row>
    <row r="4" spans="1:7">
      <c r="A4" s="133"/>
      <c r="B4" s="108"/>
      <c r="C4" s="133"/>
      <c r="D4" s="352"/>
      <c r="E4" s="352"/>
      <c r="G4" s="260"/>
    </row>
    <row r="5" spans="1:7">
      <c r="A5" s="136" t="s">
        <v>359</v>
      </c>
      <c r="B5" s="137" t="s">
        <v>248</v>
      </c>
      <c r="C5" s="133"/>
      <c r="D5" s="352"/>
      <c r="E5" s="352"/>
      <c r="G5" s="260"/>
    </row>
    <row r="6" spans="1:7">
      <c r="A6" s="138" t="s">
        <v>358</v>
      </c>
      <c r="B6" s="139" t="s">
        <v>357</v>
      </c>
      <c r="C6" s="133"/>
      <c r="D6" s="352"/>
      <c r="E6" s="352"/>
      <c r="G6" s="260"/>
    </row>
    <row r="7" spans="1:7" s="186" customFormat="1" ht="90">
      <c r="A7" s="138" t="s">
        <v>331</v>
      </c>
      <c r="B7" s="139" t="s">
        <v>332</v>
      </c>
      <c r="C7" s="183"/>
      <c r="D7" s="352"/>
      <c r="E7" s="352"/>
      <c r="G7" s="260"/>
    </row>
    <row r="8" spans="1:7" ht="30">
      <c r="A8" s="140" t="s">
        <v>243</v>
      </c>
      <c r="B8" s="141" t="s">
        <v>250</v>
      </c>
      <c r="C8" s="133"/>
      <c r="D8" s="352"/>
      <c r="E8" s="352"/>
      <c r="G8" s="260"/>
    </row>
    <row r="9" spans="1:7">
      <c r="A9" s="140" t="s">
        <v>256</v>
      </c>
      <c r="B9" s="141" t="s">
        <v>249</v>
      </c>
      <c r="C9" s="133"/>
      <c r="D9" s="352"/>
      <c r="E9" s="352"/>
      <c r="G9" s="260"/>
    </row>
    <row r="10" spans="1:7" ht="30">
      <c r="A10" s="140" t="s">
        <v>141</v>
      </c>
      <c r="B10" s="141" t="s">
        <v>277</v>
      </c>
      <c r="C10" s="133"/>
      <c r="D10" s="352"/>
      <c r="E10" s="352"/>
      <c r="G10" s="260"/>
    </row>
    <row r="11" spans="1:7" s="346" customFormat="1">
      <c r="A11" s="140" t="s">
        <v>413</v>
      </c>
      <c r="B11" s="141" t="s">
        <v>415</v>
      </c>
      <c r="C11" s="348"/>
      <c r="D11" s="352"/>
      <c r="E11" s="352"/>
      <c r="G11" s="348"/>
    </row>
    <row r="12" spans="1:7" s="346" customFormat="1">
      <c r="A12" s="140" t="s">
        <v>414</v>
      </c>
      <c r="B12" s="141" t="s">
        <v>416</v>
      </c>
      <c r="C12" s="348"/>
      <c r="D12" s="352"/>
      <c r="E12" s="352"/>
      <c r="G12" s="348"/>
    </row>
    <row r="13" spans="1:7">
      <c r="A13" s="144" t="s">
        <v>244</v>
      </c>
      <c r="B13" s="145" t="s">
        <v>252</v>
      </c>
      <c r="C13" s="133"/>
      <c r="D13" s="352"/>
      <c r="E13" s="352"/>
      <c r="G13" s="260"/>
    </row>
    <row r="14" spans="1:7">
      <c r="A14" s="146" t="s">
        <v>245</v>
      </c>
      <c r="B14" s="147" t="s">
        <v>253</v>
      </c>
      <c r="C14" s="133"/>
      <c r="D14" s="352"/>
      <c r="E14" s="352"/>
      <c r="G14" s="260"/>
    </row>
    <row r="15" spans="1:7">
      <c r="A15" s="142" t="s">
        <v>349</v>
      </c>
      <c r="B15" s="143" t="s">
        <v>251</v>
      </c>
      <c r="C15" s="133"/>
      <c r="D15" s="133"/>
      <c r="E15" s="348"/>
      <c r="G15" s="260"/>
    </row>
    <row r="16" spans="1:7">
      <c r="A16" s="2" t="s">
        <v>246</v>
      </c>
      <c r="B16" s="1" t="s">
        <v>254</v>
      </c>
      <c r="C16" s="133"/>
      <c r="D16" s="133"/>
      <c r="E16" s="348"/>
      <c r="G16" s="260"/>
    </row>
    <row r="17" spans="1:2">
      <c r="A17" s="346"/>
      <c r="B17" s="346"/>
    </row>
    <row r="18" spans="1:2">
      <c r="B18" s="134"/>
    </row>
  </sheetData>
  <mergeCells count="1">
    <mergeCell ref="D3:E14"/>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N95"/>
  <sheetViews>
    <sheetView zoomScale="80" zoomScaleNormal="80" workbookViewId="0">
      <pane xSplit="2" ySplit="2" topLeftCell="C3" activePane="bottomRight" state="frozen"/>
      <selection pane="topRight" activeCell="C1" sqref="C1"/>
      <selection pane="bottomLeft" activeCell="A5" sqref="A5"/>
      <selection pane="bottomRight" activeCell="C4" sqref="C4"/>
    </sheetView>
  </sheetViews>
  <sheetFormatPr defaultColWidth="9.28515625" defaultRowHeight="15"/>
  <cols>
    <col min="1" max="1" width="21.5703125" style="41" bestFit="1" customWidth="1"/>
    <col min="2" max="2" width="13.5703125" style="41" bestFit="1" customWidth="1"/>
    <col min="3" max="4" width="13.5703125" style="134" customWidth="1"/>
    <col min="5" max="8" width="14.28515625" style="41" customWidth="1"/>
    <col min="9" max="9" width="15" style="41" customWidth="1"/>
    <col min="10" max="10" width="14.28515625" style="41" customWidth="1"/>
    <col min="11" max="11" width="13.5703125" style="41" customWidth="1"/>
    <col min="12" max="13" width="14.28515625" style="41" customWidth="1"/>
    <col min="14" max="14" width="20" style="41" customWidth="1"/>
    <col min="15" max="15" width="14.28515625" style="41" customWidth="1"/>
    <col min="16" max="16" width="17.42578125" style="41" bestFit="1" customWidth="1"/>
    <col min="17" max="17" width="9.7109375" style="134" bestFit="1" customWidth="1"/>
    <col min="18" max="18" width="13.140625" style="186" customWidth="1"/>
    <col min="19" max="19" width="14.28515625" style="134" customWidth="1"/>
    <col min="20" max="20" width="14.28515625" style="186" customWidth="1"/>
    <col min="21" max="21" width="12.5703125" style="134" customWidth="1"/>
    <col min="22" max="22" width="12.5703125" style="41" customWidth="1"/>
    <col min="23" max="23" width="12.5703125" style="243" customWidth="1"/>
    <col min="24" max="24" width="14.28515625" style="253" customWidth="1"/>
    <col min="25" max="25" width="12.42578125" style="41" bestFit="1" customWidth="1"/>
    <col min="26" max="28" width="16.42578125" style="41" customWidth="1"/>
    <col min="29" max="30" width="14" style="41" customWidth="1"/>
    <col min="31" max="32" width="16.42578125" style="41" customWidth="1"/>
    <col min="33" max="33" width="12" style="41" customWidth="1"/>
    <col min="34" max="35" width="13.5703125" style="41" customWidth="1"/>
    <col min="36" max="36" width="13.28515625" style="41" bestFit="1" customWidth="1"/>
    <col min="37" max="37" width="11.28515625" style="41" bestFit="1" customWidth="1"/>
    <col min="38" max="16384" width="9.28515625" style="41"/>
  </cols>
  <sheetData>
    <row r="1" spans="1:40">
      <c r="E1" s="243"/>
      <c r="F1" s="243"/>
      <c r="G1" s="243"/>
      <c r="H1" s="243"/>
      <c r="I1" s="243"/>
      <c r="J1" s="243"/>
      <c r="K1" s="243"/>
      <c r="L1" s="243"/>
      <c r="M1" s="243"/>
      <c r="N1" s="243"/>
      <c r="O1" s="243"/>
      <c r="P1" s="243"/>
      <c r="Q1" s="186"/>
      <c r="R1" s="134"/>
      <c r="S1" s="186"/>
      <c r="T1" s="134"/>
      <c r="U1" s="41"/>
      <c r="V1" s="134"/>
      <c r="X1" s="345"/>
    </row>
    <row r="2" spans="1:40" ht="60.75" thickBot="1">
      <c r="E2" s="78" t="s">
        <v>135</v>
      </c>
      <c r="F2" s="78" t="s">
        <v>137</v>
      </c>
      <c r="G2" s="78" t="s">
        <v>138</v>
      </c>
      <c r="H2" s="78" t="s">
        <v>240</v>
      </c>
      <c r="I2" s="79" t="s">
        <v>141</v>
      </c>
      <c r="J2" s="78" t="s">
        <v>142</v>
      </c>
      <c r="K2" s="78" t="s">
        <v>143</v>
      </c>
      <c r="L2" s="78" t="s">
        <v>147</v>
      </c>
      <c r="M2" s="236" t="s">
        <v>285</v>
      </c>
      <c r="N2" s="78" t="s">
        <v>145</v>
      </c>
      <c r="O2" s="78" t="s">
        <v>146</v>
      </c>
      <c r="P2" s="250" t="s">
        <v>338</v>
      </c>
      <c r="Q2" s="190"/>
      <c r="R2" s="97" t="s">
        <v>407</v>
      </c>
      <c r="S2" s="250" t="s">
        <v>409</v>
      </c>
      <c r="T2" s="97"/>
      <c r="U2" s="97"/>
      <c r="V2" s="97"/>
      <c r="W2" s="236"/>
      <c r="X2" s="345"/>
    </row>
    <row r="3" spans="1:40" s="134" customFormat="1" ht="18" thickBot="1">
      <c r="A3" s="353" t="s">
        <v>296</v>
      </c>
      <c r="B3" s="353"/>
      <c r="C3" s="180"/>
      <c r="D3" s="180"/>
      <c r="E3" s="170"/>
      <c r="F3" s="170"/>
      <c r="G3" s="170"/>
      <c r="H3" s="170"/>
      <c r="I3" s="170"/>
      <c r="J3" s="170"/>
      <c r="K3" s="170"/>
      <c r="L3" s="170"/>
      <c r="M3" s="228"/>
      <c r="N3" s="170"/>
      <c r="O3" s="170"/>
      <c r="P3" s="170"/>
      <c r="Q3" s="183"/>
      <c r="S3" s="183"/>
      <c r="T3" s="170"/>
      <c r="U3" s="170"/>
      <c r="V3" s="170"/>
      <c r="W3" s="228"/>
      <c r="X3" s="345"/>
    </row>
    <row r="4" spans="1:40" ht="61.5" thickTop="1" thickBot="1">
      <c r="A4" s="97"/>
      <c r="B4" s="97" t="s">
        <v>28</v>
      </c>
      <c r="C4" s="97"/>
      <c r="D4" s="97"/>
      <c r="E4" s="97" t="s">
        <v>135</v>
      </c>
      <c r="F4" s="97" t="s">
        <v>137</v>
      </c>
      <c r="G4" s="97" t="s">
        <v>138</v>
      </c>
      <c r="H4" s="97" t="s">
        <v>240</v>
      </c>
      <c r="I4" s="79" t="s">
        <v>141</v>
      </c>
      <c r="J4" s="97" t="s">
        <v>142</v>
      </c>
      <c r="K4" s="97" t="s">
        <v>143</v>
      </c>
      <c r="L4" s="97" t="s">
        <v>147</v>
      </c>
      <c r="M4" s="236" t="s">
        <v>285</v>
      </c>
      <c r="N4" s="97" t="s">
        <v>145</v>
      </c>
      <c r="O4" s="97" t="s">
        <v>146</v>
      </c>
      <c r="P4" s="250" t="s">
        <v>338</v>
      </c>
      <c r="Q4" s="190"/>
      <c r="R4" s="236" t="s">
        <v>407</v>
      </c>
      <c r="S4" s="250" t="s">
        <v>409</v>
      </c>
      <c r="T4" s="250"/>
      <c r="U4" s="250"/>
      <c r="X4" s="345"/>
      <c r="Y4" s="186"/>
      <c r="Z4" s="186"/>
      <c r="AA4" s="186"/>
      <c r="AB4" s="186"/>
      <c r="AC4" s="186"/>
      <c r="AD4" s="186"/>
      <c r="AE4" s="186"/>
      <c r="AF4" s="186"/>
      <c r="AG4" s="186"/>
      <c r="AH4" s="186"/>
      <c r="AI4" s="186"/>
      <c r="AJ4" s="186"/>
      <c r="AK4" s="186"/>
      <c r="AL4" s="186"/>
      <c r="AM4" s="134"/>
      <c r="AN4" s="134"/>
    </row>
    <row r="5" spans="1:40">
      <c r="A5" s="81" t="s">
        <v>0</v>
      </c>
      <c r="B5" s="6" t="s">
        <v>408</v>
      </c>
      <c r="C5" s="170"/>
      <c r="D5" s="170"/>
      <c r="E5" s="349">
        <v>704.7</v>
      </c>
      <c r="F5" s="347" t="s">
        <v>412</v>
      </c>
      <c r="G5" s="135"/>
      <c r="H5" s="84" t="s">
        <v>412</v>
      </c>
      <c r="I5" s="135"/>
      <c r="J5" s="84">
        <v>5.6</v>
      </c>
      <c r="K5" s="347" t="s">
        <v>412</v>
      </c>
      <c r="L5" s="84">
        <f ca="1">'Subtransmission - Select firm'!O14/1000</f>
        <v>1375.76315418378</v>
      </c>
      <c r="M5" s="84" t="s">
        <v>351</v>
      </c>
      <c r="N5" s="84"/>
      <c r="O5" s="84">
        <f>+Termites!F3/1000</f>
        <v>45.8446585652555</v>
      </c>
      <c r="P5" s="317">
        <f ca="1">I5+L5</f>
        <v>1375.76315418378</v>
      </c>
      <c r="Q5" s="80"/>
      <c r="R5" s="127">
        <f t="shared" ref="R5:R17" ca="1" si="0">SUMPRODUCT(E5:O5,$E$35:$O$35)</f>
        <v>2126.3078127490353</v>
      </c>
      <c r="S5" s="127">
        <f ca="1">SUMPRODUCT(E5:O5,$E$36:$O$36)</f>
        <v>2126.3078127490353</v>
      </c>
      <c r="U5" s="256"/>
      <c r="V5" s="256"/>
      <c r="W5" s="256"/>
      <c r="X5" s="345"/>
      <c r="Y5" s="351"/>
      <c r="Z5" s="186"/>
      <c r="AA5" s="186"/>
      <c r="AB5" s="186"/>
      <c r="AC5" s="186"/>
      <c r="AD5" s="186"/>
      <c r="AE5" s="186"/>
      <c r="AF5" s="186"/>
      <c r="AG5" s="186"/>
      <c r="AH5" s="186"/>
      <c r="AI5" s="186"/>
      <c r="AJ5" s="186"/>
      <c r="AK5" s="186"/>
      <c r="AL5" s="186"/>
      <c r="AM5" s="134"/>
      <c r="AN5" s="134"/>
    </row>
    <row r="6" spans="1:40">
      <c r="A6" s="5" t="s">
        <v>1</v>
      </c>
      <c r="B6" s="6" t="s">
        <v>43</v>
      </c>
      <c r="C6" s="170"/>
      <c r="D6" s="170"/>
      <c r="E6" s="135"/>
      <c r="F6" s="135"/>
      <c r="G6" s="135"/>
      <c r="H6" s="347" t="s">
        <v>412</v>
      </c>
      <c r="I6" s="84">
        <f ca="1">$N79*I23</f>
        <v>326.43777667490036</v>
      </c>
      <c r="J6" s="84">
        <v>5.6</v>
      </c>
      <c r="K6" s="135"/>
      <c r="L6" s="84">
        <f ca="1">'Subtransmission - Select firm'!O15/1000</f>
        <v>21528.17772104884</v>
      </c>
      <c r="M6" s="84" t="s">
        <v>351</v>
      </c>
      <c r="N6" s="84">
        <f>Levies!O24</f>
        <v>29.600553960251872</v>
      </c>
      <c r="O6" s="84">
        <f>+Termites!F4/1000</f>
        <v>212.91272643593081</v>
      </c>
      <c r="P6" s="317">
        <f t="shared" ref="P6:P17" ca="1" si="1">I6+L6</f>
        <v>21854.615497723742</v>
      </c>
      <c r="Q6" s="80"/>
      <c r="R6" s="127">
        <f t="shared" ca="1" si="0"/>
        <v>22097.128778119924</v>
      </c>
      <c r="S6" s="127">
        <f t="shared" ref="S6:S17" ca="1" si="2">SUMPRODUCT(E6:O6,$E$36:$O$36)</f>
        <v>22067.528224159672</v>
      </c>
      <c r="U6" s="256"/>
      <c r="V6" s="256"/>
      <c r="W6" s="256"/>
      <c r="X6" s="351"/>
      <c r="Y6" s="351"/>
      <c r="Z6" s="186"/>
      <c r="AA6" s="186"/>
      <c r="AB6" s="186"/>
      <c r="AC6" s="186"/>
      <c r="AD6" s="186"/>
      <c r="AE6" s="186"/>
      <c r="AF6" s="186"/>
      <c r="AG6" s="186"/>
      <c r="AH6" s="186"/>
      <c r="AI6" s="186"/>
      <c r="AJ6" s="186"/>
      <c r="AK6" s="186"/>
      <c r="AL6" s="186"/>
      <c r="AM6" s="134"/>
      <c r="AN6" s="134"/>
    </row>
    <row r="7" spans="1:40">
      <c r="A7" s="5" t="s">
        <v>2</v>
      </c>
      <c r="B7" s="6" t="s">
        <v>411</v>
      </c>
      <c r="C7" s="170"/>
      <c r="D7" s="170"/>
      <c r="E7" s="135"/>
      <c r="F7" s="135"/>
      <c r="G7" s="135"/>
      <c r="H7" s="347" t="s">
        <v>412</v>
      </c>
      <c r="I7" s="135"/>
      <c r="J7" s="84">
        <v>0</v>
      </c>
      <c r="K7" s="135"/>
      <c r="L7" s="84">
        <f ca="1">'Subtransmission - Select firm'!O16/1000</f>
        <v>3065.2282523059998</v>
      </c>
      <c r="M7" s="84" t="s">
        <v>351</v>
      </c>
      <c r="N7" s="84">
        <f>Levies!O25</f>
        <v>883.35193197766557</v>
      </c>
      <c r="O7" s="84">
        <f>+Termites!F5/1000</f>
        <v>19.818569039429136</v>
      </c>
      <c r="P7" s="317">
        <f t="shared" ca="1" si="1"/>
        <v>3065.2282523059998</v>
      </c>
      <c r="Q7" s="80"/>
      <c r="R7" s="127">
        <f t="shared" ca="1" si="0"/>
        <v>3968.3987533230948</v>
      </c>
      <c r="S7" s="127">
        <f t="shared" ca="1" si="2"/>
        <v>3085.0468213454292</v>
      </c>
      <c r="U7" s="256"/>
      <c r="V7" s="256"/>
      <c r="W7" s="256"/>
      <c r="X7" s="351"/>
      <c r="Y7" s="351"/>
      <c r="Z7" s="186"/>
      <c r="AA7" s="186"/>
      <c r="AB7" s="186"/>
      <c r="AC7" s="186"/>
      <c r="AD7" s="186"/>
      <c r="AE7" s="186"/>
      <c r="AF7" s="186"/>
      <c r="AG7" s="186"/>
      <c r="AH7" s="186"/>
      <c r="AI7" s="186"/>
      <c r="AJ7" s="186"/>
      <c r="AK7" s="186"/>
      <c r="AL7" s="186"/>
      <c r="AM7" s="134"/>
      <c r="AN7" s="134"/>
    </row>
    <row r="8" spans="1:40">
      <c r="A8" s="5" t="s">
        <v>3</v>
      </c>
      <c r="B8" s="6" t="s">
        <v>46</v>
      </c>
      <c r="C8" s="170"/>
      <c r="D8" s="170"/>
      <c r="E8" s="135"/>
      <c r="F8" s="135"/>
      <c r="G8" s="135"/>
      <c r="H8" s="347" t="s">
        <v>412</v>
      </c>
      <c r="I8" s="84">
        <f ca="1">$N81*I25</f>
        <v>0</v>
      </c>
      <c r="J8" s="84">
        <v>5.6</v>
      </c>
      <c r="K8" s="135"/>
      <c r="L8" s="84">
        <f ca="1">'Subtransmission - Select firm'!O17/1000</f>
        <v>16766.276295041553</v>
      </c>
      <c r="M8" s="84" t="s">
        <v>351</v>
      </c>
      <c r="N8" s="84">
        <f>Levies!O26</f>
        <v>23.25943252718325</v>
      </c>
      <c r="O8" s="84">
        <f>+Termites!F6/1000</f>
        <v>743.74230242068609</v>
      </c>
      <c r="P8" s="317">
        <f t="shared" ca="1" si="1"/>
        <v>16766.276295041553</v>
      </c>
      <c r="Q8" s="80"/>
      <c r="R8" s="127">
        <f t="shared" ca="1" si="0"/>
        <v>17533.278029989422</v>
      </c>
      <c r="S8" s="127">
        <f t="shared" ca="1" si="2"/>
        <v>17510.01859746224</v>
      </c>
      <c r="U8" s="256"/>
      <c r="V8" s="256"/>
      <c r="W8" s="256"/>
      <c r="X8" s="351"/>
      <c r="Y8" s="351"/>
      <c r="Z8" s="186"/>
      <c r="AA8" s="186"/>
      <c r="AB8" s="186"/>
      <c r="AC8" s="186"/>
      <c r="AD8" s="186"/>
      <c r="AE8" s="186"/>
      <c r="AF8" s="186"/>
      <c r="AG8" s="186"/>
      <c r="AH8" s="186"/>
      <c r="AI8" s="186"/>
      <c r="AJ8" s="186"/>
      <c r="AK8" s="186"/>
      <c r="AL8" s="186"/>
      <c r="AM8" s="134"/>
      <c r="AN8" s="134"/>
    </row>
    <row r="9" spans="1:40">
      <c r="A9" s="5" t="s">
        <v>4</v>
      </c>
      <c r="B9" s="6" t="s">
        <v>48</v>
      </c>
      <c r="C9" s="170"/>
      <c r="D9" s="170"/>
      <c r="E9" s="135"/>
      <c r="F9" s="135"/>
      <c r="G9" s="135"/>
      <c r="H9" s="347" t="s">
        <v>412</v>
      </c>
      <c r="I9" s="84">
        <f ca="1">$N82*I26</f>
        <v>0</v>
      </c>
      <c r="J9" s="84">
        <v>5.6</v>
      </c>
      <c r="K9" s="135"/>
      <c r="L9" s="84">
        <f ca="1">'Subtransmission - Select firm'!O18/1000</f>
        <v>16567.574999967557</v>
      </c>
      <c r="M9" s="84" t="s">
        <v>351</v>
      </c>
      <c r="N9" s="84">
        <f>Levies!O27</f>
        <v>8780.4401068831739</v>
      </c>
      <c r="O9" s="84">
        <f>+Termites!F7/1000</f>
        <v>1352.9131286581917</v>
      </c>
      <c r="P9" s="317">
        <f t="shared" ca="1" si="1"/>
        <v>16567.574999967557</v>
      </c>
      <c r="Q9" s="80"/>
      <c r="R9" s="127">
        <f t="shared" ca="1" si="0"/>
        <v>26700.928235508924</v>
      </c>
      <c r="S9" s="127">
        <f t="shared" ca="1" si="2"/>
        <v>17920.488128625748</v>
      </c>
      <c r="U9" s="256"/>
      <c r="V9" s="256"/>
      <c r="W9" s="256"/>
      <c r="X9" s="351"/>
      <c r="Y9" s="351"/>
      <c r="Z9" s="186"/>
      <c r="AA9" s="186"/>
      <c r="AB9" s="186"/>
      <c r="AC9" s="186"/>
      <c r="AD9" s="186"/>
      <c r="AE9" s="186"/>
      <c r="AF9" s="186"/>
      <c r="AG9" s="186"/>
      <c r="AH9" s="186"/>
      <c r="AI9" s="186"/>
      <c r="AJ9" s="186"/>
      <c r="AK9" s="186"/>
      <c r="AL9" s="186"/>
      <c r="AM9" s="134"/>
      <c r="AN9" s="134"/>
    </row>
    <row r="10" spans="1:40">
      <c r="A10" s="5" t="s">
        <v>5</v>
      </c>
      <c r="B10" s="6" t="s">
        <v>50</v>
      </c>
      <c r="C10" s="170"/>
      <c r="D10" s="170"/>
      <c r="E10" s="135"/>
      <c r="F10" s="135"/>
      <c r="G10" s="84">
        <f>+'ERG Cyclones'!C29*1000</f>
        <v>12827.953775610364</v>
      </c>
      <c r="H10" s="347" t="s">
        <v>412</v>
      </c>
      <c r="I10" s="84">
        <f ca="1">$N83*I27</f>
        <v>0</v>
      </c>
      <c r="J10" s="84">
        <v>5.6</v>
      </c>
      <c r="K10" s="135"/>
      <c r="L10" s="84">
        <f ca="1">'Subtransmission - Select firm'!O19/1000</f>
        <v>24913.561922818571</v>
      </c>
      <c r="M10" s="84" t="s">
        <v>351</v>
      </c>
      <c r="N10" s="84">
        <f>Levies!O28</f>
        <v>4900.7887178039209</v>
      </c>
      <c r="O10" s="84">
        <f>+Termites!F8/1000</f>
        <v>2950.2215094043063</v>
      </c>
      <c r="P10" s="317">
        <f t="shared" ca="1" si="1"/>
        <v>24913.561922818571</v>
      </c>
      <c r="Q10" s="80"/>
      <c r="R10" s="127">
        <f t="shared" ca="1" si="0"/>
        <v>45592.525925637165</v>
      </c>
      <c r="S10" s="127">
        <f t="shared" ca="1" si="2"/>
        <v>40691.737207833241</v>
      </c>
      <c r="U10" s="256"/>
      <c r="V10" s="256"/>
      <c r="W10" s="256"/>
      <c r="X10" s="351"/>
      <c r="Y10" s="351"/>
      <c r="Z10" s="186"/>
      <c r="AA10" s="186"/>
      <c r="AB10" s="186"/>
      <c r="AC10" s="186"/>
      <c r="AD10" s="186"/>
      <c r="AE10" s="186"/>
      <c r="AF10" s="186"/>
      <c r="AG10" s="186"/>
      <c r="AH10" s="186"/>
      <c r="AI10" s="186"/>
      <c r="AJ10" s="186"/>
      <c r="AK10" s="186"/>
      <c r="AL10" s="186"/>
      <c r="AM10" s="134"/>
      <c r="AN10" s="134"/>
    </row>
    <row r="11" spans="1:40">
      <c r="A11" s="5" t="s">
        <v>6</v>
      </c>
      <c r="B11" s="6" t="s">
        <v>52</v>
      </c>
      <c r="C11" s="170"/>
      <c r="D11" s="170"/>
      <c r="E11" s="135"/>
      <c r="F11" s="135"/>
      <c r="G11" s="135"/>
      <c r="H11" s="347" t="s">
        <v>412</v>
      </c>
      <c r="I11" s="84">
        <f ca="1">$N84*I28</f>
        <v>0</v>
      </c>
      <c r="J11" s="84">
        <v>5.6</v>
      </c>
      <c r="K11" s="135"/>
      <c r="L11" s="84">
        <f ca="1">'Subtransmission - Select firm'!O20/1000</f>
        <v>29353.437169705147</v>
      </c>
      <c r="M11" s="84" t="s">
        <v>351</v>
      </c>
      <c r="N11" s="84">
        <f>Levies!O29</f>
        <v>0</v>
      </c>
      <c r="O11" s="84">
        <f>+Termites!F9/1000</f>
        <v>3028.5314716387684</v>
      </c>
      <c r="P11" s="317">
        <f t="shared" ca="1" si="1"/>
        <v>29353.437169705147</v>
      </c>
      <c r="Q11" s="80"/>
      <c r="R11" s="127">
        <f t="shared" ca="1" si="0"/>
        <v>32381.968641343916</v>
      </c>
      <c r="S11" s="127">
        <f t="shared" ca="1" si="2"/>
        <v>32381.968641343916</v>
      </c>
      <c r="U11" s="256"/>
      <c r="V11" s="256"/>
      <c r="W11" s="256"/>
      <c r="X11" s="351"/>
      <c r="Y11" s="351"/>
      <c r="Z11" s="186"/>
      <c r="AA11" s="186"/>
      <c r="AB11" s="186"/>
      <c r="AC11" s="186"/>
      <c r="AD11" s="186"/>
      <c r="AE11" s="186"/>
      <c r="AF11" s="186"/>
      <c r="AG11" s="186"/>
      <c r="AH11" s="186"/>
      <c r="AI11" s="186"/>
      <c r="AJ11" s="186"/>
      <c r="AK11" s="186"/>
      <c r="AL11" s="186"/>
      <c r="AM11" s="134"/>
      <c r="AN11" s="134"/>
    </row>
    <row r="12" spans="1:40">
      <c r="A12" s="5" t="s">
        <v>7</v>
      </c>
      <c r="B12" s="6" t="s">
        <v>54</v>
      </c>
      <c r="C12" s="170"/>
      <c r="D12" s="170"/>
      <c r="E12" s="135"/>
      <c r="F12" s="135"/>
      <c r="G12" s="135"/>
      <c r="H12" s="347" t="s">
        <v>412</v>
      </c>
      <c r="I12" s="135"/>
      <c r="J12" s="84">
        <v>0</v>
      </c>
      <c r="K12" s="135"/>
      <c r="L12" s="84">
        <f ca="1">'Subtransmission - Select firm'!O21/1000</f>
        <v>1924.1472845533683</v>
      </c>
      <c r="M12" s="84" t="s">
        <v>351</v>
      </c>
      <c r="N12" s="84">
        <f>Levies!O30</f>
        <v>811.17883208718206</v>
      </c>
      <c r="O12" s="84">
        <f>+Termites!F10/1000</f>
        <v>18.725406277893885</v>
      </c>
      <c r="P12" s="317">
        <f t="shared" ca="1" si="1"/>
        <v>1924.1472845533683</v>
      </c>
      <c r="Q12" s="80"/>
      <c r="R12" s="127">
        <f t="shared" ca="1" si="0"/>
        <v>2754.0515229184443</v>
      </c>
      <c r="S12" s="127">
        <f t="shared" ca="1" si="2"/>
        <v>1942.8726908312622</v>
      </c>
      <c r="U12" s="256"/>
      <c r="V12" s="256"/>
      <c r="W12" s="256"/>
      <c r="X12" s="351"/>
      <c r="Y12" s="351"/>
      <c r="Z12" s="186"/>
      <c r="AA12" s="186"/>
      <c r="AB12" s="186"/>
      <c r="AC12" s="186"/>
      <c r="AD12" s="186"/>
      <c r="AE12" s="186"/>
      <c r="AF12" s="186"/>
      <c r="AG12" s="186"/>
      <c r="AH12" s="186"/>
      <c r="AI12" s="186"/>
      <c r="AJ12" s="186"/>
      <c r="AK12" s="186"/>
      <c r="AL12" s="186"/>
      <c r="AM12" s="134"/>
      <c r="AN12" s="134"/>
    </row>
    <row r="13" spans="1:40">
      <c r="A13" s="5" t="s">
        <v>8</v>
      </c>
      <c r="B13" s="6" t="s">
        <v>56</v>
      </c>
      <c r="C13" s="170"/>
      <c r="D13" s="170"/>
      <c r="E13" s="135"/>
      <c r="F13" s="135"/>
      <c r="G13" s="135"/>
      <c r="H13" s="347" t="s">
        <v>412</v>
      </c>
      <c r="I13" s="135"/>
      <c r="J13" s="84">
        <v>0</v>
      </c>
      <c r="K13" s="135"/>
      <c r="L13" s="84">
        <f ca="1">'Subtransmission - Select firm'!O22/1000</f>
        <v>7769.7017928009291</v>
      </c>
      <c r="M13" s="84" t="s">
        <v>351</v>
      </c>
      <c r="N13" s="84">
        <f>Levies!O31</f>
        <v>1639.7429000540533</v>
      </c>
      <c r="O13" s="84">
        <f>+Termites!F11/1000</f>
        <v>537.61550072813679</v>
      </c>
      <c r="P13" s="317">
        <f t="shared" ca="1" si="1"/>
        <v>7769.7017928009291</v>
      </c>
      <c r="Q13" s="80"/>
      <c r="R13" s="127">
        <f t="shared" ca="1" si="0"/>
        <v>9947.0601935831182</v>
      </c>
      <c r="S13" s="127">
        <f t="shared" ca="1" si="2"/>
        <v>8307.3172935290659</v>
      </c>
      <c r="U13" s="256"/>
      <c r="V13" s="256"/>
      <c r="W13" s="256"/>
      <c r="X13" s="351"/>
      <c r="Y13" s="351"/>
      <c r="Z13" s="186"/>
      <c r="AA13" s="186"/>
      <c r="AB13" s="186"/>
      <c r="AC13" s="186"/>
      <c r="AD13" s="186"/>
      <c r="AE13" s="186"/>
      <c r="AF13" s="186"/>
      <c r="AG13" s="186"/>
      <c r="AH13" s="186"/>
      <c r="AI13" s="186"/>
      <c r="AJ13" s="186"/>
      <c r="AK13" s="186"/>
      <c r="AL13" s="186"/>
      <c r="AM13" s="134"/>
      <c r="AN13" s="134"/>
    </row>
    <row r="14" spans="1:40">
      <c r="A14" s="5" t="s">
        <v>9</v>
      </c>
      <c r="B14" s="6" t="s">
        <v>58</v>
      </c>
      <c r="C14" s="170"/>
      <c r="D14" s="170"/>
      <c r="E14" s="135"/>
      <c r="F14" s="135"/>
      <c r="G14" s="135"/>
      <c r="H14" s="347" t="s">
        <v>412</v>
      </c>
      <c r="I14" s="135"/>
      <c r="J14" s="84">
        <v>5.6</v>
      </c>
      <c r="K14" s="135"/>
      <c r="L14" s="84">
        <f ca="1">'Subtransmission - Select firm'!O23/1000</f>
        <v>10618.531760466192</v>
      </c>
      <c r="M14" s="84" t="s">
        <v>351</v>
      </c>
      <c r="N14" s="84">
        <f>Levies!O32</f>
        <v>3525.4306293735394</v>
      </c>
      <c r="O14" s="84">
        <f>+Termites!F12/1000</f>
        <v>0</v>
      </c>
      <c r="P14" s="317">
        <f t="shared" ca="1" si="1"/>
        <v>10618.531760466192</v>
      </c>
      <c r="Q14" s="80"/>
      <c r="R14" s="127">
        <f t="shared" ca="1" si="0"/>
        <v>14143.962389839731</v>
      </c>
      <c r="S14" s="127">
        <f t="shared" ca="1" si="2"/>
        <v>10618.531760466192</v>
      </c>
      <c r="U14" s="256"/>
      <c r="V14" s="256"/>
      <c r="W14" s="256"/>
      <c r="X14" s="351"/>
      <c r="Y14" s="351"/>
      <c r="Z14" s="186"/>
      <c r="AA14" s="186"/>
      <c r="AB14" s="186"/>
      <c r="AC14" s="186"/>
      <c r="AD14" s="186"/>
      <c r="AE14" s="186"/>
      <c r="AF14" s="186"/>
      <c r="AG14" s="186"/>
      <c r="AH14" s="186"/>
      <c r="AI14" s="186"/>
      <c r="AJ14" s="186"/>
      <c r="AK14" s="186"/>
      <c r="AL14" s="186"/>
      <c r="AM14" s="134"/>
      <c r="AN14" s="134"/>
    </row>
    <row r="15" spans="1:40">
      <c r="A15" s="5" t="s">
        <v>10</v>
      </c>
      <c r="B15" s="6" t="s">
        <v>239</v>
      </c>
      <c r="C15" s="170"/>
      <c r="D15" s="170"/>
      <c r="E15" s="135"/>
      <c r="F15" s="135"/>
      <c r="G15" s="135"/>
      <c r="H15" s="347" t="s">
        <v>412</v>
      </c>
      <c r="I15" s="135"/>
      <c r="J15" s="84">
        <v>0</v>
      </c>
      <c r="K15" s="135"/>
      <c r="L15" s="84">
        <f ca="1">'Subtransmission - Select firm'!O24/1000</f>
        <v>6943.8536561422643</v>
      </c>
      <c r="M15" s="84" t="s">
        <v>351</v>
      </c>
      <c r="N15" s="84">
        <f>Levies!O33</f>
        <v>195.18368690970573</v>
      </c>
      <c r="O15" s="84">
        <f>+Termites!F13/1000</f>
        <v>273.51156486888391</v>
      </c>
      <c r="P15" s="317">
        <f t="shared" ca="1" si="1"/>
        <v>6943.8536561422643</v>
      </c>
      <c r="Q15" s="80"/>
      <c r="R15" s="127">
        <f t="shared" ca="1" si="0"/>
        <v>7412.5489079208546</v>
      </c>
      <c r="S15" s="127">
        <f t="shared" ca="1" si="2"/>
        <v>7217.3652210111486</v>
      </c>
      <c r="U15" s="256"/>
      <c r="V15" s="256"/>
      <c r="W15" s="256"/>
      <c r="X15" s="351"/>
      <c r="Y15" s="351"/>
      <c r="Z15" s="186"/>
      <c r="AA15" s="186"/>
      <c r="AB15" s="186"/>
      <c r="AC15" s="186"/>
      <c r="AD15" s="186"/>
      <c r="AE15" s="186"/>
      <c r="AF15" s="186"/>
      <c r="AG15" s="186"/>
      <c r="AH15" s="186"/>
      <c r="AI15" s="186"/>
      <c r="AJ15" s="186"/>
      <c r="AK15" s="186"/>
      <c r="AL15" s="186"/>
      <c r="AM15" s="134"/>
      <c r="AN15" s="134"/>
    </row>
    <row r="16" spans="1:40">
      <c r="A16" s="5" t="s">
        <v>11</v>
      </c>
      <c r="B16" s="6" t="s">
        <v>61</v>
      </c>
      <c r="C16" s="170"/>
      <c r="D16" s="170"/>
      <c r="E16" s="135"/>
      <c r="F16" s="135"/>
      <c r="G16" s="135"/>
      <c r="H16" s="347" t="s">
        <v>412</v>
      </c>
      <c r="I16" s="135"/>
      <c r="J16" s="84">
        <v>5.6</v>
      </c>
      <c r="K16" s="135"/>
      <c r="L16" s="84">
        <f ca="1">'Subtransmission - Select firm'!O25/1000</f>
        <v>32.047478227253215</v>
      </c>
      <c r="M16" s="84" t="s">
        <v>351</v>
      </c>
      <c r="N16" s="84">
        <f>Levies!O34</f>
        <v>3891.2692479648167</v>
      </c>
      <c r="O16" s="84">
        <f>+Termites!F14/1000</f>
        <v>0</v>
      </c>
      <c r="P16" s="317">
        <f t="shared" ca="1" si="1"/>
        <v>32.047478227253215</v>
      </c>
      <c r="Q16" s="80"/>
      <c r="R16" s="127">
        <f t="shared" ca="1" si="0"/>
        <v>3923.3167261920698</v>
      </c>
      <c r="S16" s="127">
        <f t="shared" ca="1" si="2"/>
        <v>32.047478227253215</v>
      </c>
      <c r="U16" s="256"/>
      <c r="V16" s="256"/>
      <c r="W16" s="256"/>
      <c r="X16" s="351"/>
      <c r="Y16" s="351"/>
      <c r="Z16" s="186"/>
      <c r="AA16" s="186"/>
      <c r="AB16" s="186"/>
      <c r="AC16" s="186"/>
      <c r="AD16" s="186"/>
      <c r="AE16" s="186"/>
      <c r="AF16" s="186"/>
      <c r="AG16" s="186"/>
      <c r="AH16" s="186"/>
      <c r="AI16" s="186"/>
      <c r="AJ16" s="186"/>
      <c r="AK16" s="186"/>
      <c r="AL16" s="186"/>
      <c r="AM16" s="134"/>
      <c r="AN16" s="134"/>
    </row>
    <row r="17" spans="1:40">
      <c r="A17" s="5" t="s">
        <v>12</v>
      </c>
      <c r="B17" s="6" t="s">
        <v>63</v>
      </c>
      <c r="C17" s="170"/>
      <c r="D17" s="170"/>
      <c r="E17" s="135"/>
      <c r="F17" s="135"/>
      <c r="G17" s="135"/>
      <c r="H17" s="347" t="s">
        <v>412</v>
      </c>
      <c r="I17" s="135"/>
      <c r="J17" s="84">
        <v>0</v>
      </c>
      <c r="K17" s="135"/>
      <c r="L17" s="84">
        <f ca="1">'Subtransmission - Select firm'!O26/1000</f>
        <v>4595.1939950606229</v>
      </c>
      <c r="M17" s="84" t="s">
        <v>351</v>
      </c>
      <c r="N17" s="84">
        <f>Levies!O35</f>
        <v>810.05474242313437</v>
      </c>
      <c r="O17" s="84">
        <f>+Termites!F15/1000</f>
        <v>67.936712771879101</v>
      </c>
      <c r="P17" s="317">
        <f t="shared" ca="1" si="1"/>
        <v>4595.1939950606229</v>
      </c>
      <c r="Q17" s="80"/>
      <c r="R17" s="127">
        <f t="shared" ca="1" si="0"/>
        <v>5473.1854502556362</v>
      </c>
      <c r="S17" s="127">
        <f t="shared" ca="1" si="2"/>
        <v>4663.1307078325017</v>
      </c>
      <c r="U17" s="256"/>
      <c r="V17" s="256"/>
      <c r="W17" s="256"/>
      <c r="X17" s="351"/>
      <c r="Y17" s="351"/>
      <c r="Z17" s="186"/>
      <c r="AA17" s="186"/>
      <c r="AB17" s="186"/>
      <c r="AC17" s="186"/>
      <c r="AD17" s="186"/>
      <c r="AE17" s="186"/>
      <c r="AF17" s="186"/>
      <c r="AG17" s="186"/>
      <c r="AH17" s="186"/>
      <c r="AI17" s="186"/>
      <c r="AJ17" s="186"/>
      <c r="AK17" s="186"/>
      <c r="AL17" s="186"/>
      <c r="AM17" s="134"/>
      <c r="AN17" s="134"/>
    </row>
    <row r="18" spans="1:40" s="134" customFormat="1">
      <c r="M18" s="243"/>
      <c r="P18" s="80"/>
      <c r="Q18" s="80"/>
      <c r="R18" s="228"/>
      <c r="W18" s="243"/>
      <c r="X18" s="345"/>
      <c r="Y18" s="186"/>
      <c r="Z18" s="186"/>
      <c r="AA18" s="186"/>
      <c r="AB18" s="186"/>
      <c r="AC18" s="186"/>
      <c r="AD18" s="186"/>
      <c r="AE18" s="186"/>
      <c r="AF18" s="186"/>
      <c r="AG18" s="186"/>
      <c r="AH18" s="186"/>
      <c r="AI18" s="186"/>
      <c r="AJ18" s="186"/>
      <c r="AK18" s="186"/>
      <c r="AL18" s="186"/>
    </row>
    <row r="19" spans="1:40" s="134" customFormat="1">
      <c r="M19" s="243"/>
      <c r="P19" s="80"/>
      <c r="Q19" s="80"/>
      <c r="S19" s="186"/>
      <c r="T19" s="218"/>
      <c r="U19" s="218"/>
      <c r="V19" s="218"/>
      <c r="W19" s="243"/>
      <c r="X19" s="345"/>
      <c r="Y19" s="186"/>
      <c r="Z19" s="186"/>
      <c r="AA19" s="186"/>
      <c r="AB19" s="186"/>
      <c r="AC19" s="186"/>
      <c r="AD19" s="186"/>
      <c r="AE19" s="186"/>
      <c r="AF19" s="186"/>
      <c r="AG19" s="186"/>
      <c r="AH19" s="186"/>
      <c r="AI19" s="186"/>
      <c r="AJ19" s="186"/>
      <c r="AK19" s="186"/>
      <c r="AL19" s="186"/>
    </row>
    <row r="20" spans="1:40" s="134" customFormat="1" ht="18" thickBot="1">
      <c r="A20" s="354" t="s">
        <v>293</v>
      </c>
      <c r="B20" s="354"/>
      <c r="C20" s="181"/>
      <c r="D20" s="181"/>
      <c r="M20" s="243"/>
      <c r="P20" s="80"/>
      <c r="Q20" s="80"/>
      <c r="S20" s="186"/>
      <c r="W20" s="243"/>
      <c r="X20" s="345"/>
      <c r="Y20" s="186"/>
      <c r="Z20" s="186"/>
      <c r="AA20" s="186"/>
      <c r="AB20" s="186"/>
      <c r="AC20" s="186"/>
      <c r="AD20" s="186"/>
      <c r="AE20" s="186"/>
      <c r="AF20" s="186"/>
      <c r="AG20" s="186"/>
      <c r="AH20" s="186"/>
      <c r="AI20" s="186"/>
      <c r="AJ20" s="186"/>
      <c r="AK20" s="186"/>
      <c r="AL20" s="186"/>
    </row>
    <row r="21" spans="1:40" ht="61.5" thickTop="1" thickBot="1">
      <c r="A21" s="97"/>
      <c r="B21" s="97" t="s">
        <v>28</v>
      </c>
      <c r="C21" s="97" t="s">
        <v>299</v>
      </c>
      <c r="D21" s="97" t="s">
        <v>300</v>
      </c>
      <c r="E21" s="97" t="s">
        <v>135</v>
      </c>
      <c r="F21" s="97" t="s">
        <v>137</v>
      </c>
      <c r="G21" s="97" t="s">
        <v>138</v>
      </c>
      <c r="H21" s="97" t="s">
        <v>240</v>
      </c>
      <c r="I21" s="79" t="s">
        <v>141</v>
      </c>
      <c r="J21" s="97" t="s">
        <v>142</v>
      </c>
      <c r="K21" s="97" t="s">
        <v>143</v>
      </c>
      <c r="L21" s="97" t="s">
        <v>147</v>
      </c>
      <c r="M21" s="236" t="s">
        <v>285</v>
      </c>
      <c r="N21" s="97" t="s">
        <v>145</v>
      </c>
      <c r="O21" s="97" t="s">
        <v>146</v>
      </c>
      <c r="P21" s="250" t="s">
        <v>338</v>
      </c>
      <c r="Q21" s="190"/>
      <c r="R21" s="236" t="s">
        <v>407</v>
      </c>
      <c r="S21" s="250" t="s">
        <v>409</v>
      </c>
      <c r="U21" s="250" t="s">
        <v>297</v>
      </c>
      <c r="V21" s="250" t="s">
        <v>347</v>
      </c>
      <c r="X21" s="345"/>
      <c r="Y21" s="186"/>
      <c r="Z21" s="186"/>
      <c r="AA21" s="186"/>
      <c r="AB21" s="186"/>
      <c r="AC21" s="186"/>
      <c r="AD21" s="186"/>
      <c r="AE21" s="186"/>
      <c r="AF21" s="186"/>
      <c r="AG21" s="186"/>
      <c r="AH21" s="186"/>
      <c r="AI21" s="186"/>
      <c r="AJ21" s="186"/>
      <c r="AK21" s="186"/>
      <c r="AL21" s="186"/>
      <c r="AM21" s="134"/>
      <c r="AN21" s="134"/>
    </row>
    <row r="22" spans="1:40" ht="15.75" thickBot="1">
      <c r="A22" s="81" t="s">
        <v>0</v>
      </c>
      <c r="B22" s="6" t="s">
        <v>408</v>
      </c>
      <c r="C22" s="82">
        <f ca="1">'base OPEX'!F85</f>
        <v>42402.200760789106</v>
      </c>
      <c r="D22" s="82">
        <f t="shared" ref="D22:D34" ca="1" si="3">C22-R5</f>
        <v>40275.892948040069</v>
      </c>
      <c r="E22" s="87">
        <f ca="1">IF(ISNUMBER(E5),E5/$C22,0)</f>
        <v>1.6619420392246773E-2</v>
      </c>
      <c r="F22" s="347" t="s">
        <v>412</v>
      </c>
      <c r="G22" s="135"/>
      <c r="H22" s="347" t="s">
        <v>412</v>
      </c>
      <c r="I22" s="135"/>
      <c r="J22" s="87">
        <f t="shared" ref="J22:J34" ca="1" si="4">IF(ISNUMBER(J5),J5/$C22,0)</f>
        <v>1.3206861671148277E-4</v>
      </c>
      <c r="K22" s="87">
        <f>IF(ISNUMBER(K5),K5/$C22,0)</f>
        <v>0</v>
      </c>
      <c r="L22" s="87">
        <f t="shared" ref="L22:O34" ca="1" si="5">IF(ISNUMBER(L5),L5/$C22,0)</f>
        <v>3.2445560124228258E-2</v>
      </c>
      <c r="M22" s="84" t="s">
        <v>351</v>
      </c>
      <c r="N22" s="87" t="str">
        <f>IF(ISNUMBER(N5),N5/$C22,"")</f>
        <v/>
      </c>
      <c r="O22" s="87">
        <f t="shared" ca="1" si="5"/>
        <v>1.0811858286292008E-3</v>
      </c>
      <c r="P22" s="209">
        <f t="shared" ref="P22:P34" ca="1" si="6">L22+I22</f>
        <v>3.2445560124228258E-2</v>
      </c>
      <c r="Q22" s="210" t="e">
        <f ca="1">K22+F22+E22</f>
        <v>#VALUE!</v>
      </c>
      <c r="R22" s="87">
        <f t="shared" ref="R22:R34" ca="1" si="7">SUMPRODUCT($E22:$O22,$E$35:$O$35)</f>
        <v>5.0146166345104229E-2</v>
      </c>
      <c r="S22" s="175">
        <f t="shared" ref="S22:S34" ca="1" si="8">SUMPRODUCT(E22:O22,$E$36:$O$36)</f>
        <v>5.0146166345104229E-2</v>
      </c>
      <c r="U22" s="124">
        <f ca="1">'base OPEX'!E102</f>
        <v>181851</v>
      </c>
      <c r="V22" s="178">
        <f>'base OPEX'!F102</f>
        <v>0</v>
      </c>
      <c r="W22" s="244"/>
      <c r="X22" s="345"/>
      <c r="Y22" s="188"/>
      <c r="Z22" s="188"/>
      <c r="AA22" s="188"/>
      <c r="AB22" s="188"/>
      <c r="AC22" s="188"/>
      <c r="AD22" s="188"/>
      <c r="AE22" s="188"/>
      <c r="AF22" s="188"/>
      <c r="AG22" s="188"/>
      <c r="AH22" s="188"/>
      <c r="AI22" s="188"/>
      <c r="AJ22" s="188"/>
      <c r="AK22" s="188"/>
      <c r="AL22" s="188"/>
      <c r="AM22" s="134"/>
      <c r="AN22" s="134"/>
    </row>
    <row r="23" spans="1:40" ht="16.5" thickTop="1" thickBot="1">
      <c r="A23" s="5" t="s">
        <v>1</v>
      </c>
      <c r="B23" s="6" t="s">
        <v>43</v>
      </c>
      <c r="C23" s="82">
        <f ca="1">'base OPEX'!F86</f>
        <v>383229.65413620713</v>
      </c>
      <c r="D23" s="82">
        <f t="shared" ca="1" si="3"/>
        <v>361132.52535808721</v>
      </c>
      <c r="E23" s="135"/>
      <c r="F23" s="135"/>
      <c r="G23" s="135"/>
      <c r="H23" s="347" t="s">
        <v>412</v>
      </c>
      <c r="I23" s="87">
        <f>'Licence conditions'!F3</f>
        <v>8.5180719485470225E-4</v>
      </c>
      <c r="J23" s="87">
        <f t="shared" ca="1" si="4"/>
        <v>1.4612647898092075E-5</v>
      </c>
      <c r="K23" s="135"/>
      <c r="L23" s="87">
        <f t="shared" ca="1" si="5"/>
        <v>5.6175657308078032E-2</v>
      </c>
      <c r="M23" s="84" t="s">
        <v>351</v>
      </c>
      <c r="N23" s="87">
        <f t="shared" ref="N23:N34" ca="1" si="9">IF(ISNUMBER(N6),N6/$C23,"")</f>
        <v>7.7239727251720634E-5</v>
      </c>
      <c r="O23" s="87">
        <f t="shared" ca="1" si="5"/>
        <v>5.5557476864840304E-4</v>
      </c>
      <c r="P23" s="209">
        <f t="shared" ca="1" si="6"/>
        <v>5.7027464502932737E-2</v>
      </c>
      <c r="Q23" s="209"/>
      <c r="R23" s="87">
        <f t="shared" ca="1" si="7"/>
        <v>5.7660278998832866E-2</v>
      </c>
      <c r="S23" s="175">
        <f t="shared" ca="1" si="8"/>
        <v>5.7583039271581142E-2</v>
      </c>
      <c r="U23" s="124">
        <f ca="1">'base OPEX'!E103</f>
        <v>1669558.4999999998</v>
      </c>
      <c r="V23" s="178">
        <f>'base OPEX'!F103</f>
        <v>0</v>
      </c>
      <c r="X23" s="345"/>
      <c r="Y23" s="186"/>
      <c r="Z23" s="186"/>
      <c r="AA23" s="186"/>
      <c r="AB23" s="186"/>
      <c r="AC23" s="186"/>
      <c r="AD23" s="186"/>
      <c r="AE23" s="186"/>
      <c r="AF23" s="186"/>
      <c r="AG23" s="186"/>
      <c r="AH23" s="186"/>
      <c r="AI23" s="186"/>
      <c r="AJ23" s="186"/>
      <c r="AK23" s="186"/>
      <c r="AL23" s="186"/>
    </row>
    <row r="24" spans="1:40" ht="16.5" thickTop="1" thickBot="1">
      <c r="A24" s="5" t="s">
        <v>2</v>
      </c>
      <c r="B24" s="6" t="s">
        <v>411</v>
      </c>
      <c r="C24" s="82">
        <f ca="1">'base OPEX'!F87</f>
        <v>55839.517999999902</v>
      </c>
      <c r="D24" s="82">
        <f t="shared" ca="1" si="3"/>
        <v>51871.119246676804</v>
      </c>
      <c r="E24" s="135"/>
      <c r="F24" s="135"/>
      <c r="G24" s="135"/>
      <c r="H24" s="347" t="s">
        <v>412</v>
      </c>
      <c r="I24" s="135"/>
      <c r="J24" s="87">
        <f t="shared" ca="1" si="4"/>
        <v>0</v>
      </c>
      <c r="K24" s="135"/>
      <c r="L24" s="87">
        <f t="shared" ca="1" si="5"/>
        <v>5.4893529924559974E-2</v>
      </c>
      <c r="M24" s="84" t="s">
        <v>351</v>
      </c>
      <c r="N24" s="87">
        <f t="shared" ca="1" si="9"/>
        <v>1.5819476306684222E-2</v>
      </c>
      <c r="O24" s="87">
        <f t="shared" ca="1" si="5"/>
        <v>3.549201309264376E-4</v>
      </c>
      <c r="P24" s="209">
        <f t="shared" ca="1" si="6"/>
        <v>5.4893529924559974E-2</v>
      </c>
      <c r="Q24" s="209"/>
      <c r="R24" s="87">
        <f t="shared" ca="1" si="7"/>
        <v>7.106792636217063E-2</v>
      </c>
      <c r="S24" s="175">
        <f t="shared" ca="1" si="8"/>
        <v>5.5248450055486412E-2</v>
      </c>
      <c r="U24" s="124">
        <f ca="1">'base OPEX'!E104</f>
        <v>327907.17472153297</v>
      </c>
      <c r="V24" s="178">
        <f>'base OPEX'!F104</f>
        <v>1</v>
      </c>
      <c r="X24" s="345"/>
      <c r="Y24" s="186"/>
      <c r="Z24" s="186"/>
      <c r="AA24" s="186"/>
      <c r="AB24" s="186"/>
      <c r="AC24" s="186"/>
      <c r="AD24" s="186"/>
      <c r="AE24" s="186"/>
      <c r="AF24" s="186"/>
      <c r="AG24" s="186"/>
      <c r="AH24" s="186"/>
      <c r="AI24" s="186"/>
      <c r="AJ24" s="186"/>
      <c r="AK24" s="186"/>
      <c r="AL24" s="186"/>
    </row>
    <row r="25" spans="1:40" ht="16.5" thickTop="1" thickBot="1">
      <c r="A25" s="5" t="s">
        <v>3</v>
      </c>
      <c r="B25" s="6" t="s">
        <v>46</v>
      </c>
      <c r="C25" s="82">
        <f ca="1">'base OPEX'!F88</f>
        <v>208106.07157514672</v>
      </c>
      <c r="D25" s="82">
        <f t="shared" ca="1" si="3"/>
        <v>190572.7935451573</v>
      </c>
      <c r="E25" s="135"/>
      <c r="F25" s="135"/>
      <c r="G25" s="135"/>
      <c r="H25" s="347" t="s">
        <v>412</v>
      </c>
      <c r="I25" s="87">
        <f>'Licence conditions'!F4</f>
        <v>0</v>
      </c>
      <c r="J25" s="87">
        <f t="shared" ca="1" si="4"/>
        <v>2.690935424235256E-5</v>
      </c>
      <c r="K25" s="135"/>
      <c r="L25" s="87">
        <f t="shared" ca="1" si="5"/>
        <v>8.056601216936278E-2</v>
      </c>
      <c r="M25" s="84" t="s">
        <v>351</v>
      </c>
      <c r="N25" s="87">
        <f t="shared" ca="1" si="9"/>
        <v>1.1176719809822709E-4</v>
      </c>
      <c r="O25" s="87">
        <f t="shared" ca="1" si="5"/>
        <v>3.5738616215823483E-3</v>
      </c>
      <c r="P25" s="209">
        <f t="shared" ca="1" si="6"/>
        <v>8.056601216936278E-2</v>
      </c>
      <c r="Q25" s="209"/>
      <c r="R25" s="87">
        <f t="shared" ca="1" si="7"/>
        <v>8.4251640989043364E-2</v>
      </c>
      <c r="S25" s="175">
        <f t="shared" ca="1" si="8"/>
        <v>8.4139873790945133E-2</v>
      </c>
      <c r="U25" s="124">
        <f ca="1">'base OPEX'!E105</f>
        <v>955832.5</v>
      </c>
      <c r="V25" s="178">
        <f>'base OPEX'!F105</f>
        <v>0</v>
      </c>
      <c r="X25" s="345"/>
      <c r="Y25" s="186"/>
      <c r="Z25" s="186"/>
      <c r="AA25" s="186"/>
      <c r="AB25" s="186"/>
      <c r="AC25" s="186"/>
      <c r="AD25" s="186"/>
      <c r="AE25" s="186"/>
      <c r="AF25" s="186"/>
      <c r="AG25" s="186"/>
      <c r="AH25" s="186"/>
      <c r="AI25" s="186"/>
      <c r="AJ25" s="186"/>
      <c r="AK25" s="186"/>
      <c r="AL25" s="186"/>
    </row>
    <row r="26" spans="1:40" ht="16.5" thickTop="1" thickBot="1">
      <c r="A26" s="5" t="s">
        <v>4</v>
      </c>
      <c r="B26" s="6" t="s">
        <v>48</v>
      </c>
      <c r="C26" s="82">
        <f ca="1">'base OPEX'!F89</f>
        <v>311042.84871472401</v>
      </c>
      <c r="D26" s="82">
        <f t="shared" ca="1" si="3"/>
        <v>284341.9204792151</v>
      </c>
      <c r="E26" s="135"/>
      <c r="F26" s="135"/>
      <c r="G26" s="135"/>
      <c r="H26" s="347" t="s">
        <v>412</v>
      </c>
      <c r="I26" s="87">
        <f>'Licence conditions'!F5</f>
        <v>0</v>
      </c>
      <c r="J26" s="87">
        <f t="shared" ca="1" si="4"/>
        <v>1.8003950333981458E-5</v>
      </c>
      <c r="K26" s="135"/>
      <c r="L26" s="87">
        <f t="shared" ca="1" si="5"/>
        <v>5.3264606688201571E-2</v>
      </c>
      <c r="M26" s="84" t="s">
        <v>351</v>
      </c>
      <c r="N26" s="87">
        <f t="shared" ca="1" si="9"/>
        <v>2.8229037070504202E-2</v>
      </c>
      <c r="O26" s="87">
        <f t="shared" ca="1" si="5"/>
        <v>4.349603709741706E-3</v>
      </c>
      <c r="P26" s="209">
        <f t="shared" ca="1" si="6"/>
        <v>5.3264606688201571E-2</v>
      </c>
      <c r="Q26" s="209"/>
      <c r="R26" s="87">
        <f t="shared" ca="1" si="7"/>
        <v>8.5843247468447473E-2</v>
      </c>
      <c r="S26" s="175">
        <f t="shared" ca="1" si="8"/>
        <v>5.7614210397943275E-2</v>
      </c>
      <c r="U26" s="124">
        <f ca="1">'base OPEX'!E106</f>
        <v>1397191</v>
      </c>
      <c r="V26" s="178">
        <f>'base OPEX'!F106</f>
        <v>0</v>
      </c>
      <c r="X26" s="345"/>
      <c r="Y26" s="186"/>
      <c r="Z26" s="186"/>
      <c r="AA26" s="186"/>
      <c r="AB26" s="186"/>
      <c r="AC26" s="186"/>
      <c r="AD26" s="186"/>
      <c r="AE26" s="186"/>
      <c r="AF26" s="186"/>
      <c r="AG26" s="186"/>
      <c r="AH26" s="186"/>
      <c r="AI26" s="186"/>
      <c r="AJ26" s="186"/>
      <c r="AK26" s="186"/>
      <c r="AL26" s="186"/>
    </row>
    <row r="27" spans="1:40" ht="16.5" thickTop="1" thickBot="1">
      <c r="A27" s="5" t="s">
        <v>5</v>
      </c>
      <c r="B27" s="6" t="s">
        <v>50</v>
      </c>
      <c r="C27" s="82">
        <f ca="1">'base OPEX'!F90</f>
        <v>244629.89107047871</v>
      </c>
      <c r="D27" s="82">
        <f t="shared" ca="1" si="3"/>
        <v>199037.36514484155</v>
      </c>
      <c r="E27" s="135"/>
      <c r="F27" s="135"/>
      <c r="G27" s="87">
        <f ca="1">IF(ISNUMBER(G10),G10/$C27,0)</f>
        <v>5.2438210716917608E-2</v>
      </c>
      <c r="H27" s="347" t="s">
        <v>412</v>
      </c>
      <c r="I27" s="87">
        <f>'Licence conditions'!F6</f>
        <v>0</v>
      </c>
      <c r="J27" s="87">
        <f t="shared" ca="1" si="4"/>
        <v>2.2891724210377138E-5</v>
      </c>
      <c r="K27" s="135"/>
      <c r="L27" s="87">
        <f t="shared" ca="1" si="5"/>
        <v>0.10184185511344927</v>
      </c>
      <c r="M27" s="84" t="s">
        <v>351</v>
      </c>
      <c r="N27" s="87">
        <f t="shared" ca="1" si="9"/>
        <v>2.0033482810945562E-2</v>
      </c>
      <c r="O27" s="87">
        <f t="shared" ca="1" si="5"/>
        <v>1.2059938777286776E-2</v>
      </c>
      <c r="P27" s="209">
        <f t="shared" ca="1" si="6"/>
        <v>0.10184185511344927</v>
      </c>
      <c r="Q27" s="209"/>
      <c r="R27" s="87">
        <f t="shared" ca="1" si="7"/>
        <v>0.18637348741859922</v>
      </c>
      <c r="S27" s="175">
        <f t="shared" ca="1" si="8"/>
        <v>0.16634000460765366</v>
      </c>
      <c r="U27" s="124">
        <f ca="1">'base OPEX'!E107</f>
        <v>728290.5</v>
      </c>
      <c r="V27" s="178">
        <f>'base OPEX'!F107</f>
        <v>0</v>
      </c>
      <c r="X27" s="345"/>
      <c r="Y27" s="186"/>
      <c r="Z27" s="186"/>
      <c r="AA27" s="186"/>
      <c r="AB27" s="186"/>
      <c r="AC27" s="186"/>
      <c r="AD27" s="186"/>
      <c r="AE27" s="186"/>
      <c r="AF27" s="186"/>
      <c r="AG27" s="186"/>
      <c r="AH27" s="186"/>
      <c r="AI27" s="186"/>
      <c r="AJ27" s="186"/>
      <c r="AK27" s="186"/>
      <c r="AL27" s="186"/>
    </row>
    <row r="28" spans="1:40" ht="16.5" thickTop="1" thickBot="1">
      <c r="A28" s="5" t="s">
        <v>6</v>
      </c>
      <c r="B28" s="6" t="s">
        <v>52</v>
      </c>
      <c r="C28" s="82">
        <f ca="1">'base OPEX'!F91</f>
        <v>289590.69476657984</v>
      </c>
      <c r="D28" s="82">
        <f t="shared" ca="1" si="3"/>
        <v>257208.72612523593</v>
      </c>
      <c r="E28" s="135"/>
      <c r="F28" s="135"/>
      <c r="G28" s="135"/>
      <c r="H28" s="347" t="s">
        <v>412</v>
      </c>
      <c r="I28" s="87">
        <f>'Licence conditions'!F7</f>
        <v>0</v>
      </c>
      <c r="J28" s="87">
        <f t="shared" ca="1" si="4"/>
        <v>1.9337637918627855E-5</v>
      </c>
      <c r="K28" s="135"/>
      <c r="L28" s="87">
        <f t="shared" ca="1" si="5"/>
        <v>0.10136181065266975</v>
      </c>
      <c r="M28" s="84" t="s">
        <v>351</v>
      </c>
      <c r="N28" s="87">
        <f t="shared" ca="1" si="9"/>
        <v>0</v>
      </c>
      <c r="O28" s="87">
        <f t="shared" ca="1" si="5"/>
        <v>1.0457972325664228E-2</v>
      </c>
      <c r="P28" s="209">
        <f t="shared" ca="1" si="6"/>
        <v>0.10136181065266975</v>
      </c>
      <c r="Q28" s="209"/>
      <c r="R28" s="87">
        <f t="shared" ca="1" si="7"/>
        <v>0.11181978297833398</v>
      </c>
      <c r="S28" s="175">
        <f t="shared" ca="1" si="8"/>
        <v>0.11181978297833398</v>
      </c>
      <c r="U28" s="124">
        <f ca="1">'base OPEX'!E108</f>
        <v>867001</v>
      </c>
      <c r="V28" s="178">
        <f>'base OPEX'!F108</f>
        <v>0</v>
      </c>
      <c r="X28" s="345"/>
      <c r="Y28" s="186"/>
      <c r="Z28" s="186"/>
      <c r="AA28" s="186"/>
      <c r="AB28" s="186"/>
      <c r="AC28" s="186"/>
      <c r="AD28" s="186"/>
      <c r="AE28" s="186"/>
      <c r="AF28" s="186"/>
      <c r="AG28" s="186"/>
      <c r="AH28" s="186"/>
      <c r="AI28" s="186"/>
      <c r="AJ28" s="186"/>
      <c r="AK28" s="186"/>
      <c r="AL28" s="186"/>
    </row>
    <row r="29" spans="1:40" ht="16.5" thickTop="1" thickBot="1">
      <c r="A29" s="5" t="s">
        <v>7</v>
      </c>
      <c r="B29" s="6" t="s">
        <v>54</v>
      </c>
      <c r="C29" s="82">
        <f ca="1">'base OPEX'!F92</f>
        <v>68661.264234324568</v>
      </c>
      <c r="D29" s="82">
        <f t="shared" ca="1" si="3"/>
        <v>65907.21271140613</v>
      </c>
      <c r="E29" s="135"/>
      <c r="F29" s="135"/>
      <c r="G29" s="135"/>
      <c r="H29" s="347" t="s">
        <v>412</v>
      </c>
      <c r="I29" s="135"/>
      <c r="J29" s="87">
        <f t="shared" ca="1" si="4"/>
        <v>0</v>
      </c>
      <c r="K29" s="135"/>
      <c r="L29" s="87">
        <f t="shared" ca="1" si="5"/>
        <v>2.8023767199897617E-2</v>
      </c>
      <c r="M29" s="84" t="s">
        <v>351</v>
      </c>
      <c r="N29" s="87">
        <f t="shared" ca="1" si="9"/>
        <v>1.1814213459845738E-2</v>
      </c>
      <c r="O29" s="87">
        <f t="shared" ca="1" si="5"/>
        <v>2.727215481204734E-4</v>
      </c>
      <c r="P29" s="209">
        <f t="shared" ca="1" si="6"/>
        <v>2.8023767199897617E-2</v>
      </c>
      <c r="Q29" s="209"/>
      <c r="R29" s="87">
        <f t="shared" ca="1" si="7"/>
        <v>4.0110702207863828E-2</v>
      </c>
      <c r="S29" s="175">
        <f t="shared" ca="1" si="8"/>
        <v>2.829648874801809E-2</v>
      </c>
      <c r="U29" s="124">
        <f ca="1">'base OPEX'!E109</f>
        <v>321417</v>
      </c>
      <c r="V29" s="178">
        <f>'base OPEX'!F109</f>
        <v>0</v>
      </c>
      <c r="X29" s="345"/>
      <c r="Y29" s="186"/>
      <c r="Z29" s="186"/>
      <c r="AA29" s="186"/>
      <c r="AB29" s="186"/>
      <c r="AC29" s="186"/>
      <c r="AD29" s="186"/>
      <c r="AE29" s="186"/>
      <c r="AF29" s="186"/>
      <c r="AG29" s="186"/>
      <c r="AH29" s="186"/>
      <c r="AI29" s="186"/>
      <c r="AJ29" s="186"/>
      <c r="AK29" s="186"/>
      <c r="AL29" s="186"/>
    </row>
    <row r="30" spans="1:40" ht="16.5" thickTop="1" thickBot="1">
      <c r="A30" s="5" t="s">
        <v>8</v>
      </c>
      <c r="B30" s="6" t="s">
        <v>56</v>
      </c>
      <c r="C30" s="82">
        <f ca="1">'base OPEX'!F93</f>
        <v>190733.859</v>
      </c>
      <c r="D30" s="82">
        <f t="shared" ca="1" si="3"/>
        <v>180786.79880641689</v>
      </c>
      <c r="E30" s="135"/>
      <c r="F30" s="135"/>
      <c r="G30" s="135"/>
      <c r="H30" s="347" t="s">
        <v>412</v>
      </c>
      <c r="I30" s="135"/>
      <c r="J30" s="87">
        <f t="shared" ca="1" si="4"/>
        <v>0</v>
      </c>
      <c r="K30" s="135"/>
      <c r="L30" s="87">
        <f t="shared" ca="1" si="5"/>
        <v>4.0735828622860973E-2</v>
      </c>
      <c r="M30" s="84" t="s">
        <v>351</v>
      </c>
      <c r="N30" s="87">
        <f t="shared" ca="1" si="9"/>
        <v>8.5970205219517599E-3</v>
      </c>
      <c r="O30" s="87">
        <f t="shared" ca="1" si="5"/>
        <v>2.8186683976657591E-3</v>
      </c>
      <c r="P30" s="209">
        <f t="shared" ca="1" si="6"/>
        <v>4.0735828622860973E-2</v>
      </c>
      <c r="Q30" s="209"/>
      <c r="R30" s="87">
        <f t="shared" ca="1" si="7"/>
        <v>5.2151517542478487E-2</v>
      </c>
      <c r="S30" s="175">
        <f t="shared" ca="1" si="8"/>
        <v>4.3554497020526731E-2</v>
      </c>
      <c r="U30" s="124">
        <f ca="1">'base OPEX'!E110</f>
        <v>777161.00874878757</v>
      </c>
      <c r="V30" s="178">
        <f>'base OPEX'!F110</f>
        <v>1</v>
      </c>
      <c r="X30" s="345"/>
      <c r="Y30" s="186"/>
      <c r="Z30" s="186"/>
      <c r="AA30" s="186"/>
      <c r="AB30" s="186"/>
      <c r="AC30" s="186"/>
      <c r="AD30" s="186"/>
      <c r="AE30" s="186"/>
      <c r="AF30" s="186"/>
      <c r="AG30" s="186"/>
      <c r="AH30" s="186"/>
      <c r="AI30" s="186"/>
      <c r="AJ30" s="186"/>
      <c r="AK30" s="186"/>
      <c r="AL30" s="186"/>
    </row>
    <row r="31" spans="1:40" ht="16.5" thickTop="1" thickBot="1">
      <c r="A31" s="5" t="s">
        <v>9</v>
      </c>
      <c r="B31" s="6" t="s">
        <v>58</v>
      </c>
      <c r="C31" s="82">
        <f ca="1">'base OPEX'!F94</f>
        <v>248377.48688966606</v>
      </c>
      <c r="D31" s="82">
        <f t="shared" ca="1" si="3"/>
        <v>234233.52449982634</v>
      </c>
      <c r="E31" s="135"/>
      <c r="F31" s="135"/>
      <c r="G31" s="135"/>
      <c r="H31" s="347" t="s">
        <v>412</v>
      </c>
      <c r="I31" s="135"/>
      <c r="J31" s="87">
        <f t="shared" ca="1" si="4"/>
        <v>2.2546326843574291E-5</v>
      </c>
      <c r="K31" s="135"/>
      <c r="L31" s="87">
        <f t="shared" ca="1" si="5"/>
        <v>4.2751587083990197E-2</v>
      </c>
      <c r="M31" s="84" t="s">
        <v>351</v>
      </c>
      <c r="N31" s="87">
        <f t="shared" ca="1" si="9"/>
        <v>1.4193841291822079E-2</v>
      </c>
      <c r="O31" s="87">
        <f t="shared" ca="1" si="5"/>
        <v>0</v>
      </c>
      <c r="P31" s="209">
        <f t="shared" ca="1" si="6"/>
        <v>4.2751587083990197E-2</v>
      </c>
      <c r="Q31" s="209"/>
      <c r="R31" s="87">
        <f t="shared" ca="1" si="7"/>
        <v>5.6945428375812276E-2</v>
      </c>
      <c r="S31" s="175">
        <f t="shared" ca="1" si="8"/>
        <v>4.2751587083990197E-2</v>
      </c>
      <c r="U31" s="124">
        <f ca="1">'base OPEX'!E111</f>
        <v>853939</v>
      </c>
      <c r="V31" s="178">
        <f>'base OPEX'!F111</f>
        <v>1</v>
      </c>
      <c r="X31" s="345"/>
      <c r="Y31" s="186"/>
      <c r="Z31" s="186"/>
      <c r="AA31" s="186"/>
      <c r="AB31" s="186"/>
      <c r="AC31" s="186"/>
      <c r="AD31" s="186"/>
      <c r="AE31" s="186"/>
      <c r="AF31" s="186"/>
      <c r="AG31" s="186"/>
      <c r="AH31" s="186"/>
      <c r="AI31" s="186"/>
      <c r="AJ31" s="186"/>
      <c r="AK31" s="186"/>
      <c r="AL31" s="186"/>
    </row>
    <row r="32" spans="1:40" ht="16.5" thickTop="1" thickBot="1">
      <c r="A32" s="5" t="s">
        <v>10</v>
      </c>
      <c r="B32" s="6" t="s">
        <v>239</v>
      </c>
      <c r="C32" s="82">
        <f ca="1">'base OPEX'!F95</f>
        <v>206141.48558197235</v>
      </c>
      <c r="D32" s="82">
        <f t="shared" ca="1" si="3"/>
        <v>198728.93667405148</v>
      </c>
      <c r="E32" s="135"/>
      <c r="F32" s="135"/>
      <c r="G32" s="135"/>
      <c r="H32" s="347" t="s">
        <v>412</v>
      </c>
      <c r="I32" s="135"/>
      <c r="J32" s="87">
        <f t="shared" ca="1" si="4"/>
        <v>0</v>
      </c>
      <c r="K32" s="135"/>
      <c r="L32" s="87">
        <f t="shared" ca="1" si="5"/>
        <v>3.3684891891307508E-2</v>
      </c>
      <c r="M32" s="84" t="s">
        <v>351</v>
      </c>
      <c r="N32" s="87">
        <f t="shared" ca="1" si="9"/>
        <v>9.4684331180921251E-4</v>
      </c>
      <c r="O32" s="87">
        <f t="shared" ca="1" si="5"/>
        <v>1.3268147558785385E-3</v>
      </c>
      <c r="P32" s="209">
        <f t="shared" ca="1" si="6"/>
        <v>3.3684891891307508E-2</v>
      </c>
      <c r="Q32" s="209"/>
      <c r="R32" s="87">
        <f t="shared" ca="1" si="7"/>
        <v>3.5958549958995258E-2</v>
      </c>
      <c r="S32" s="175">
        <f t="shared" ca="1" si="8"/>
        <v>3.5011706647186044E-2</v>
      </c>
      <c r="U32" s="124">
        <f ca="1">'base OPEX'!E112</f>
        <v>706424</v>
      </c>
      <c r="V32" s="178">
        <f>'base OPEX'!F112</f>
        <v>1</v>
      </c>
      <c r="X32" s="345"/>
      <c r="Y32" s="186"/>
      <c r="Z32" s="186"/>
      <c r="AA32" s="186"/>
      <c r="AB32" s="186"/>
      <c r="AC32" s="186"/>
      <c r="AD32" s="186"/>
      <c r="AE32" s="186"/>
      <c r="AF32" s="186"/>
      <c r="AG32" s="186"/>
      <c r="AH32" s="186"/>
      <c r="AI32" s="186"/>
      <c r="AJ32" s="186"/>
      <c r="AK32" s="186"/>
      <c r="AL32" s="186"/>
    </row>
    <row r="33" spans="1:38" ht="16.5" thickTop="1" thickBot="1">
      <c r="A33" s="5" t="s">
        <v>11</v>
      </c>
      <c r="B33" s="6" t="s">
        <v>61</v>
      </c>
      <c r="C33" s="82">
        <f ca="1">'base OPEX'!F96</f>
        <v>62683.513987646656</v>
      </c>
      <c r="D33" s="82">
        <f t="shared" ca="1" si="3"/>
        <v>58760.197261454588</v>
      </c>
      <c r="E33" s="135"/>
      <c r="F33" s="135"/>
      <c r="G33" s="135"/>
      <c r="H33" s="347" t="s">
        <v>412</v>
      </c>
      <c r="I33" s="135"/>
      <c r="J33" s="87">
        <f t="shared" ca="1" si="4"/>
        <v>8.9337684564136255E-5</v>
      </c>
      <c r="K33" s="135"/>
      <c r="L33" s="87">
        <f t="shared" ca="1" si="5"/>
        <v>5.1125848231113797E-4</v>
      </c>
      <c r="M33" s="84" t="s">
        <v>351</v>
      </c>
      <c r="N33" s="87">
        <f t="shared" ca="1" si="9"/>
        <v>6.2078032969429375E-2</v>
      </c>
      <c r="O33" s="87">
        <f t="shared" ca="1" si="5"/>
        <v>0</v>
      </c>
      <c r="P33" s="209">
        <f t="shared" ca="1" si="6"/>
        <v>5.1125848231113797E-4</v>
      </c>
      <c r="Q33" s="209"/>
      <c r="R33" s="87">
        <f t="shared" ca="1" si="7"/>
        <v>6.2589291451740511E-2</v>
      </c>
      <c r="S33" s="175">
        <f ca="1">SUMPRODUCT(E33:O33,$E$36:$O$36)</f>
        <v>5.1125848231113797E-4</v>
      </c>
      <c r="U33" s="124">
        <f ca="1">'base OPEX'!E113</f>
        <v>283059</v>
      </c>
      <c r="V33" s="178">
        <f>'base OPEX'!F113</f>
        <v>0</v>
      </c>
      <c r="X33" s="345"/>
      <c r="Y33" s="186"/>
      <c r="Z33" s="186"/>
      <c r="AA33" s="186"/>
      <c r="AB33" s="186"/>
      <c r="AC33" s="186"/>
      <c r="AD33" s="186"/>
      <c r="AE33" s="186"/>
      <c r="AF33" s="186"/>
      <c r="AG33" s="186"/>
      <c r="AH33" s="186"/>
      <c r="AI33" s="186"/>
      <c r="AJ33" s="186"/>
      <c r="AK33" s="186"/>
      <c r="AL33" s="186"/>
    </row>
    <row r="34" spans="1:38" ht="16.5" thickTop="1" thickBot="1">
      <c r="A34" s="5" t="s">
        <v>12</v>
      </c>
      <c r="B34" s="6" t="s">
        <v>63</v>
      </c>
      <c r="C34" s="82">
        <f ca="1">'base OPEX'!F97</f>
        <v>117721.494565381</v>
      </c>
      <c r="D34" s="82">
        <f t="shared" ca="1" si="3"/>
        <v>112248.30911512536</v>
      </c>
      <c r="E34" s="135"/>
      <c r="F34" s="135"/>
      <c r="G34" s="135"/>
      <c r="H34" s="347" t="s">
        <v>412</v>
      </c>
      <c r="I34" s="135"/>
      <c r="J34" s="87">
        <f t="shared" ca="1" si="4"/>
        <v>0</v>
      </c>
      <c r="K34" s="135"/>
      <c r="L34" s="87">
        <f t="shared" ca="1" si="5"/>
        <v>3.9034451711862282E-2</v>
      </c>
      <c r="M34" s="84" t="s">
        <v>351</v>
      </c>
      <c r="N34" s="87">
        <f t="shared" ca="1" si="9"/>
        <v>6.8811116050963867E-3</v>
      </c>
      <c r="O34" s="87">
        <f t="shared" ca="1" si="5"/>
        <v>5.7709692713889163E-4</v>
      </c>
      <c r="P34" s="209">
        <f t="shared" ca="1" si="6"/>
        <v>3.9034451711862282E-2</v>
      </c>
      <c r="Q34" s="209"/>
      <c r="R34" s="87">
        <f t="shared" ca="1" si="7"/>
        <v>4.649266024409756E-2</v>
      </c>
      <c r="S34" s="175">
        <f t="shared" ca="1" si="8"/>
        <v>3.9611548639001175E-2</v>
      </c>
      <c r="U34" s="124">
        <f ca="1">'base OPEX'!E114</f>
        <v>664549</v>
      </c>
      <c r="V34" s="178">
        <f>'base OPEX'!F114</f>
        <v>1</v>
      </c>
      <c r="X34" s="345"/>
      <c r="Y34" s="186"/>
      <c r="Z34" s="186"/>
      <c r="AA34" s="186"/>
      <c r="AB34" s="186"/>
      <c r="AC34" s="186"/>
      <c r="AD34" s="186"/>
      <c r="AE34" s="186"/>
      <c r="AF34" s="186"/>
      <c r="AG34" s="186"/>
      <c r="AH34" s="186"/>
      <c r="AI34" s="186"/>
      <c r="AJ34" s="186"/>
      <c r="AK34" s="186"/>
      <c r="AL34" s="186"/>
    </row>
    <row r="35" spans="1:38" ht="15.75" thickTop="1">
      <c r="B35" s="80" t="s">
        <v>292</v>
      </c>
      <c r="C35" s="80"/>
      <c r="D35" s="80"/>
      <c r="E35" s="176">
        <v>1</v>
      </c>
      <c r="F35" s="176">
        <v>0</v>
      </c>
      <c r="G35" s="176">
        <v>1</v>
      </c>
      <c r="H35" s="176">
        <v>0</v>
      </c>
      <c r="I35" s="176">
        <v>1</v>
      </c>
      <c r="J35" s="176">
        <v>0</v>
      </c>
      <c r="K35" s="176">
        <v>0</v>
      </c>
      <c r="L35" s="176">
        <v>1</v>
      </c>
      <c r="M35" s="176">
        <v>0</v>
      </c>
      <c r="N35" s="176">
        <v>1</v>
      </c>
      <c r="O35" s="176">
        <v>1</v>
      </c>
      <c r="P35" s="80"/>
      <c r="Q35" s="80"/>
      <c r="R35" s="134"/>
      <c r="S35" s="234"/>
      <c r="T35" s="134"/>
      <c r="U35" s="41"/>
      <c r="V35" s="134"/>
      <c r="X35" s="345"/>
    </row>
    <row r="36" spans="1:38" s="186" customFormat="1" ht="15.75" thickBot="1">
      <c r="B36" s="80"/>
      <c r="C36" s="80"/>
      <c r="D36" s="80"/>
      <c r="E36" s="176">
        <v>1</v>
      </c>
      <c r="F36" s="176">
        <v>0</v>
      </c>
      <c r="G36" s="176">
        <v>1</v>
      </c>
      <c r="H36" s="176">
        <v>0</v>
      </c>
      <c r="I36" s="176">
        <v>1</v>
      </c>
      <c r="J36" s="176">
        <v>0</v>
      </c>
      <c r="K36" s="176">
        <v>0</v>
      </c>
      <c r="L36" s="176">
        <v>1</v>
      </c>
      <c r="M36" s="176">
        <v>0</v>
      </c>
      <c r="N36" s="176">
        <v>0</v>
      </c>
      <c r="O36" s="176">
        <v>1</v>
      </c>
      <c r="P36" s="80"/>
      <c r="Q36" s="80"/>
      <c r="W36" s="243"/>
      <c r="X36" s="345"/>
    </row>
    <row r="37" spans="1:38" ht="16.5" thickTop="1" thickBot="1">
      <c r="B37" s="80" t="s">
        <v>294</v>
      </c>
      <c r="C37" s="80"/>
      <c r="D37" s="80"/>
      <c r="E37" s="175">
        <f ca="1">ROUND(SUMPRODUCT(E22:E34,$U$22:$U$34,$V$22:$V$34)/SUMPRODUCT($U$22:$U$34,$V$22:$V$34),5)</f>
        <v>0</v>
      </c>
      <c r="F37" s="175">
        <f ca="1">ROUND(SUMPRODUCT(F22:F34,$U$22:$U$34,$V$22:$V$34)/SUMPRODUCT($U$22:$U$34,$V$22:$V$34),5)</f>
        <v>0</v>
      </c>
      <c r="G37" s="175">
        <f ca="1">ROUND(SUMPRODUCT(G22:G34,$U$22:$U$34,$V$22:$V$34)/SUMPRODUCT($U$22:$U$34,$V$22:$V$34),5)</f>
        <v>0</v>
      </c>
      <c r="H37" s="347" t="s">
        <v>412</v>
      </c>
      <c r="I37" s="175">
        <f ca="1">ROUND(SUMPRODUCT(I22:I34,$U$22:$U$34,$V$22:$V$34)/SUMPRODUCT($U$22:$U$34,$V$22:$V$34),5)</f>
        <v>0</v>
      </c>
      <c r="J37" s="175">
        <f ca="1">ROUND(SUMPRODUCT(J22:J34,$U$22:$U$34,$V$22:$V$34)/SUMPRODUCT($U$22:$U$34,$V$22:$V$34),5)</f>
        <v>1.0000000000000001E-5</v>
      </c>
      <c r="K37" s="175">
        <f ca="1">ROUND(SUMPRODUCT(K22:K34,$U$22:$U$34,$V$22:$V$34)/SUMPRODUCT($U$22:$U$34,$V$22:$V$34),5)</f>
        <v>0</v>
      </c>
      <c r="L37" s="175">
        <f ca="1">ROUND(SUMPRODUCT(L22:L34,$U$22:$U$34,$V$22:$V$34)/SUMPRODUCT($U$22:$U$34,$V$22:$V$34),5)</f>
        <v>4.0809999999999999E-2</v>
      </c>
      <c r="M37" s="175" t="s">
        <v>351</v>
      </c>
      <c r="N37" s="175">
        <f ca="1">ROUND(SUMPRODUCT(N22:N34,$U$22:$U$34,$V$22:$V$34)/SUMPRODUCT($U$22:$U$34,$V$22:$V$34),5)</f>
        <v>8.7799999999999996E-3</v>
      </c>
      <c r="O37" s="175">
        <f ca="1">ROUND(SUMPRODUCT(O22:O34,$U$22:$U$34,$V$22:$V$34)/SUMPRODUCT($U$22:$U$34,$V$22:$V$34),5)</f>
        <v>1.09E-3</v>
      </c>
      <c r="P37" s="209">
        <f ca="1">L37+I37</f>
        <v>4.0809999999999999E-2</v>
      </c>
      <c r="Q37" s="210">
        <f ca="1">K37+F37+E37</f>
        <v>0</v>
      </c>
      <c r="R37" s="175">
        <f ca="1">ROUND(SUMPRODUCT(R22:R34,$U$22:$U$34,$V$22:$V$34)/SUMPRODUCT($U$22:$U$34,$V$22:$V$34),5)</f>
        <v>5.0680000000000003E-2</v>
      </c>
      <c r="S37" s="175">
        <f ca="1">ROUND(SUMPRODUCT(S22:S34,$U$22:$U$34,$V$22:$V$34)/SUMPRODUCT($U$22:$U$34,$V$22:$V$34),5)</f>
        <v>4.19E-2</v>
      </c>
      <c r="T37" s="177" t="b">
        <f ca="1">R37=R38</f>
        <v>1</v>
      </c>
      <c r="U37" s="41"/>
      <c r="V37" s="134"/>
      <c r="X37" s="345"/>
    </row>
    <row r="38" spans="1:38" ht="15.75" thickTop="1">
      <c r="M38" s="243"/>
      <c r="P38" s="80"/>
      <c r="Q38" s="80"/>
      <c r="R38" s="87">
        <f ca="1">SUMPRODUCT(E$37:O$37,$E$35:$O$35)</f>
        <v>5.0679999999999996E-2</v>
      </c>
      <c r="S38" s="257">
        <f ca="1">SUMPRODUCT(E$37:O$37,$E$36:$O$36)</f>
        <v>4.19E-2</v>
      </c>
      <c r="T38" s="134"/>
      <c r="U38" s="41"/>
      <c r="V38" s="134"/>
      <c r="X38" s="345"/>
    </row>
    <row r="39" spans="1:38" ht="18" thickBot="1">
      <c r="A39" s="354" t="s">
        <v>295</v>
      </c>
      <c r="B39" s="354"/>
      <c r="C39" s="181"/>
      <c r="D39" s="181"/>
      <c r="E39" s="134"/>
      <c r="F39" s="70"/>
      <c r="G39" s="54"/>
      <c r="M39" s="243"/>
      <c r="P39" s="80"/>
      <c r="Q39" s="80"/>
      <c r="S39" s="234"/>
      <c r="T39" s="134"/>
      <c r="U39" s="41"/>
      <c r="V39" s="134"/>
      <c r="X39" s="345"/>
    </row>
    <row r="40" spans="1:38" ht="62.25" thickTop="1" thickBot="1">
      <c r="A40" s="97"/>
      <c r="B40" s="97" t="s">
        <v>28</v>
      </c>
      <c r="C40" s="97"/>
      <c r="D40" s="97"/>
      <c r="E40" s="97" t="s">
        <v>135</v>
      </c>
      <c r="F40" s="97" t="s">
        <v>137</v>
      </c>
      <c r="G40" s="97" t="s">
        <v>138</v>
      </c>
      <c r="H40" s="97" t="s">
        <v>240</v>
      </c>
      <c r="I40" s="79" t="s">
        <v>141</v>
      </c>
      <c r="J40" s="97" t="s">
        <v>142</v>
      </c>
      <c r="K40" s="97" t="s">
        <v>143</v>
      </c>
      <c r="L40" s="97" t="s">
        <v>147</v>
      </c>
      <c r="M40" s="236" t="s">
        <v>285</v>
      </c>
      <c r="N40" s="97" t="s">
        <v>145</v>
      </c>
      <c r="O40" s="97" t="s">
        <v>146</v>
      </c>
      <c r="P40" s="236" t="s">
        <v>338</v>
      </c>
      <c r="Q40" s="236" t="s">
        <v>408</v>
      </c>
      <c r="R40" s="250" t="s">
        <v>407</v>
      </c>
      <c r="S40" s="250" t="s">
        <v>409</v>
      </c>
      <c r="T40" s="251"/>
      <c r="U40" s="251"/>
      <c r="V40" s="243"/>
      <c r="X40" s="345"/>
      <c r="Y40" s="186"/>
      <c r="Z40" s="186"/>
      <c r="AA40" s="186"/>
      <c r="AB40" s="186"/>
      <c r="AC40" s="186"/>
      <c r="AD40" s="186"/>
      <c r="AE40" s="186"/>
      <c r="AF40" s="186"/>
      <c r="AG40" s="186"/>
      <c r="AH40" s="186"/>
      <c r="AI40" s="186"/>
      <c r="AJ40" s="186"/>
    </row>
    <row r="41" spans="1:38" s="134" customFormat="1" ht="16.5" thickTop="1" thickBot="1">
      <c r="A41" s="81" t="s">
        <v>0</v>
      </c>
      <c r="B41" s="170" t="s">
        <v>408</v>
      </c>
      <c r="C41" s="170"/>
      <c r="D41" s="170"/>
      <c r="E41" s="87">
        <f ca="1">E22-E$37</f>
        <v>1.6619420392246773E-2</v>
      </c>
      <c r="F41" s="347" t="s">
        <v>412</v>
      </c>
      <c r="G41" s="135"/>
      <c r="H41" s="347" t="s">
        <v>412</v>
      </c>
      <c r="I41" s="135"/>
      <c r="J41" s="87">
        <f ca="1">J22-J$37</f>
        <v>1.2206861671148277E-4</v>
      </c>
      <c r="K41" s="87">
        <f ca="1">K22-K$37</f>
        <v>0</v>
      </c>
      <c r="L41" s="87">
        <f ca="1">L22-L$37</f>
        <v>-8.3644398757717411E-3</v>
      </c>
      <c r="M41" s="175" t="s">
        <v>351</v>
      </c>
      <c r="N41" s="257" t="str">
        <f t="shared" ref="N41:N47" si="10">IF(ISNUMBER(N22),N22-N$37,"")</f>
        <v/>
      </c>
      <c r="O41" s="87">
        <f ca="1">O22-O$37</f>
        <v>-8.8141713707992793E-6</v>
      </c>
      <c r="P41" s="209">
        <f t="shared" ref="P41:P53" ca="1" si="11">L41+I41</f>
        <v>-8.3644398757717411E-3</v>
      </c>
      <c r="Q41" s="210" t="e">
        <f ca="1">K41+F41+E41</f>
        <v>#VALUE!</v>
      </c>
      <c r="R41" s="87">
        <f t="shared" ref="R41:R53" ca="1" si="12">SUMPRODUCT(E41:O41,$E$35:$O$35)</f>
        <v>8.2461663451042326E-3</v>
      </c>
      <c r="S41" s="175">
        <f ca="1">SUMPRODUCT(E41:O41,$E$36:$O$36)</f>
        <v>8.2461663451042326E-3</v>
      </c>
      <c r="T41" s="177">
        <f t="shared" ref="T41:T53" ca="1" si="13">R22-R$37</f>
        <v>-5.3383365489577395E-4</v>
      </c>
      <c r="U41" s="177">
        <f t="shared" ref="U41:U53" ca="1" si="14">S22-S$37</f>
        <v>8.2461663451042291E-3</v>
      </c>
      <c r="V41" s="346"/>
      <c r="W41" s="346"/>
      <c r="X41" s="345"/>
      <c r="Y41" s="186"/>
      <c r="Z41" s="186"/>
      <c r="AA41" s="186"/>
      <c r="AB41" s="186"/>
      <c r="AC41" s="186"/>
      <c r="AD41" s="186"/>
      <c r="AE41" s="186"/>
      <c r="AF41" s="186"/>
      <c r="AG41" s="186"/>
      <c r="AH41" s="186"/>
      <c r="AI41" s="186"/>
      <c r="AJ41" s="186"/>
    </row>
    <row r="42" spans="1:38" s="134" customFormat="1" ht="16.5" thickTop="1" thickBot="1">
      <c r="A42" s="5" t="s">
        <v>1</v>
      </c>
      <c r="B42" s="170" t="s">
        <v>43</v>
      </c>
      <c r="C42" s="170"/>
      <c r="D42" s="170"/>
      <c r="E42" s="135"/>
      <c r="F42" s="135"/>
      <c r="G42" s="135"/>
      <c r="H42" s="347" t="s">
        <v>412</v>
      </c>
      <c r="I42" s="87">
        <f ca="1">I23-I$37</f>
        <v>8.5180719485470225E-4</v>
      </c>
      <c r="J42" s="87">
        <f ca="1">J23-J$37</f>
        <v>4.6126478980920738E-6</v>
      </c>
      <c r="K42" s="135"/>
      <c r="L42" s="87">
        <f t="shared" ref="L42:O53" ca="1" si="15">L23-L$37</f>
        <v>1.5365657308078033E-2</v>
      </c>
      <c r="M42" s="175" t="s">
        <v>351</v>
      </c>
      <c r="N42" s="257">
        <f t="shared" ca="1" si="10"/>
        <v>-8.7027602727482792E-3</v>
      </c>
      <c r="O42" s="87">
        <f t="shared" ca="1" si="15"/>
        <v>-5.34425231351597E-4</v>
      </c>
      <c r="P42" s="209">
        <f t="shared" ca="1" si="11"/>
        <v>1.6217464502932735E-2</v>
      </c>
      <c r="Q42" s="209"/>
      <c r="R42" s="87">
        <f ca="1">SUMPRODUCT(E42:O42,$E$35:$O$35)</f>
        <v>6.9802789988328579E-3</v>
      </c>
      <c r="S42" s="175">
        <f t="shared" ref="S42:S53" ca="1" si="16">SUMPRODUCT(E42:O42,$E$36:$O$36)</f>
        <v>1.5683039271581139E-2</v>
      </c>
      <c r="T42" s="177">
        <f t="shared" ca="1" si="13"/>
        <v>6.9802789988328631E-3</v>
      </c>
      <c r="U42" s="177">
        <f t="shared" ca="1" si="14"/>
        <v>1.5683039271581142E-2</v>
      </c>
      <c r="V42" s="346"/>
      <c r="W42" s="346"/>
      <c r="X42" s="345"/>
      <c r="Y42" s="186"/>
      <c r="Z42" s="186"/>
      <c r="AA42" s="186"/>
      <c r="AB42" s="186"/>
      <c r="AC42" s="186"/>
      <c r="AD42" s="186"/>
      <c r="AE42" s="186"/>
      <c r="AF42" s="186"/>
      <c r="AG42" s="186"/>
      <c r="AH42" s="186"/>
      <c r="AI42" s="186"/>
      <c r="AJ42" s="186"/>
    </row>
    <row r="43" spans="1:38" s="134" customFormat="1" ht="16.5" thickTop="1" thickBot="1">
      <c r="A43" s="5" t="s">
        <v>2</v>
      </c>
      <c r="B43" s="170" t="s">
        <v>411</v>
      </c>
      <c r="C43" s="170"/>
      <c r="D43" s="170"/>
      <c r="E43" s="135"/>
      <c r="F43" s="135"/>
      <c r="G43" s="135"/>
      <c r="H43" s="347" t="s">
        <v>412</v>
      </c>
      <c r="I43" s="135"/>
      <c r="J43" s="87">
        <f t="shared" ref="J43:J53" ca="1" si="17">J24-J$37</f>
        <v>-1.0000000000000001E-5</v>
      </c>
      <c r="K43" s="135"/>
      <c r="L43" s="87">
        <f t="shared" ca="1" si="15"/>
        <v>1.4083529924559975E-2</v>
      </c>
      <c r="M43" s="175" t="s">
        <v>351</v>
      </c>
      <c r="N43" s="257">
        <f t="shared" ca="1" si="10"/>
        <v>7.0394763066842225E-3</v>
      </c>
      <c r="O43" s="87">
        <f t="shared" ca="1" si="15"/>
        <v>-7.3507986907356249E-4</v>
      </c>
      <c r="P43" s="209">
        <f t="shared" ca="1" si="11"/>
        <v>1.4083529924559975E-2</v>
      </c>
      <c r="Q43" s="209"/>
      <c r="R43" s="87">
        <f t="shared" ca="1" si="12"/>
        <v>2.0387926362170634E-2</v>
      </c>
      <c r="S43" s="175">
        <f t="shared" ca="1" si="16"/>
        <v>1.3348450055486412E-2</v>
      </c>
      <c r="T43" s="177">
        <f t="shared" ca="1" si="13"/>
        <v>2.0387926362170627E-2</v>
      </c>
      <c r="U43" s="177">
        <f t="shared" ca="1" si="14"/>
        <v>1.3348450055486412E-2</v>
      </c>
      <c r="V43" s="346"/>
      <c r="W43" s="346"/>
      <c r="X43" s="345"/>
      <c r="Y43" s="186"/>
      <c r="Z43" s="186"/>
      <c r="AA43" s="186"/>
      <c r="AB43" s="186"/>
      <c r="AC43" s="186"/>
      <c r="AD43" s="186"/>
      <c r="AE43" s="186"/>
      <c r="AF43" s="186"/>
      <c r="AG43" s="186"/>
      <c r="AH43" s="186"/>
      <c r="AI43" s="186"/>
      <c r="AJ43" s="186"/>
    </row>
    <row r="44" spans="1:38" s="134" customFormat="1" ht="16.5" thickTop="1" thickBot="1">
      <c r="A44" s="5" t="s">
        <v>3</v>
      </c>
      <c r="B44" s="170" t="s">
        <v>46</v>
      </c>
      <c r="C44" s="170"/>
      <c r="D44" s="170"/>
      <c r="E44" s="135"/>
      <c r="F44" s="135"/>
      <c r="G44" s="135"/>
      <c r="H44" s="347" t="s">
        <v>412</v>
      </c>
      <c r="I44" s="87">
        <f ca="1">I25-I$37</f>
        <v>0</v>
      </c>
      <c r="J44" s="87">
        <f t="shared" ca="1" si="17"/>
        <v>1.6909354242352557E-5</v>
      </c>
      <c r="K44" s="135"/>
      <c r="L44" s="87">
        <f t="shared" ca="1" si="15"/>
        <v>3.9756012169362781E-2</v>
      </c>
      <c r="M44" s="175" t="s">
        <v>351</v>
      </c>
      <c r="N44" s="257">
        <f t="shared" ca="1" si="10"/>
        <v>-8.6682328019017721E-3</v>
      </c>
      <c r="O44" s="87">
        <f t="shared" ca="1" si="15"/>
        <v>2.4838616215823485E-3</v>
      </c>
      <c r="P44" s="209">
        <f t="shared" ca="1" si="11"/>
        <v>3.9756012169362781E-2</v>
      </c>
      <c r="Q44" s="209"/>
      <c r="R44" s="87">
        <f t="shared" ca="1" si="12"/>
        <v>3.3571640989043361E-2</v>
      </c>
      <c r="S44" s="175">
        <f t="shared" ca="1" si="16"/>
        <v>4.2239873790945126E-2</v>
      </c>
      <c r="T44" s="177">
        <f t="shared" ca="1" si="13"/>
        <v>3.3571640989043361E-2</v>
      </c>
      <c r="U44" s="177">
        <f t="shared" ca="1" si="14"/>
        <v>4.2239873790945133E-2</v>
      </c>
      <c r="V44" s="346"/>
      <c r="W44" s="346"/>
      <c r="X44" s="345"/>
      <c r="Y44" s="186"/>
      <c r="Z44" s="186"/>
      <c r="AA44" s="186"/>
      <c r="AB44" s="186"/>
      <c r="AC44" s="186"/>
      <c r="AD44" s="186"/>
      <c r="AE44" s="186"/>
      <c r="AF44" s="186"/>
      <c r="AG44" s="186"/>
      <c r="AH44" s="186"/>
      <c r="AI44" s="186"/>
      <c r="AJ44" s="186"/>
    </row>
    <row r="45" spans="1:38" s="134" customFormat="1" ht="16.5" thickTop="1" thickBot="1">
      <c r="A45" s="5" t="s">
        <v>4</v>
      </c>
      <c r="B45" s="170" t="s">
        <v>48</v>
      </c>
      <c r="C45" s="170"/>
      <c r="D45" s="170"/>
      <c r="E45" s="135"/>
      <c r="F45" s="135"/>
      <c r="G45" s="135"/>
      <c r="H45" s="347" t="s">
        <v>412</v>
      </c>
      <c r="I45" s="87">
        <f ca="1">I26-I$37</f>
        <v>0</v>
      </c>
      <c r="J45" s="87">
        <f t="shared" ca="1" si="17"/>
        <v>8.0039503339814572E-6</v>
      </c>
      <c r="K45" s="135"/>
      <c r="L45" s="87">
        <f t="shared" ca="1" si="15"/>
        <v>1.2454606688201572E-2</v>
      </c>
      <c r="M45" s="175" t="s">
        <v>351</v>
      </c>
      <c r="N45" s="257">
        <f t="shared" ca="1" si="10"/>
        <v>1.9449037070504202E-2</v>
      </c>
      <c r="O45" s="87">
        <f t="shared" ca="1" si="15"/>
        <v>3.2596037097417062E-3</v>
      </c>
      <c r="P45" s="209">
        <f t="shared" ca="1" si="11"/>
        <v>1.2454606688201572E-2</v>
      </c>
      <c r="Q45" s="209"/>
      <c r="R45" s="87">
        <f t="shared" ca="1" si="12"/>
        <v>3.5163247468447484E-2</v>
      </c>
      <c r="S45" s="175">
        <f t="shared" ca="1" si="16"/>
        <v>1.5714210397943278E-2</v>
      </c>
      <c r="T45" s="177">
        <f t="shared" ca="1" si="13"/>
        <v>3.516324746844747E-2</v>
      </c>
      <c r="U45" s="177">
        <f t="shared" ca="1" si="14"/>
        <v>1.5714210397943275E-2</v>
      </c>
      <c r="V45" s="346"/>
      <c r="W45" s="346"/>
      <c r="X45" s="345"/>
      <c r="Y45" s="186"/>
      <c r="Z45" s="186"/>
      <c r="AA45" s="186"/>
      <c r="AB45" s="186"/>
      <c r="AC45" s="186"/>
      <c r="AD45" s="186"/>
      <c r="AE45" s="186"/>
      <c r="AF45" s="186"/>
      <c r="AG45" s="186"/>
      <c r="AH45" s="186"/>
      <c r="AI45" s="186"/>
      <c r="AJ45" s="186"/>
    </row>
    <row r="46" spans="1:38" s="134" customFormat="1" ht="16.5" thickTop="1" thickBot="1">
      <c r="A46" s="5" t="s">
        <v>5</v>
      </c>
      <c r="B46" s="170" t="s">
        <v>50</v>
      </c>
      <c r="C46" s="170"/>
      <c r="D46" s="170"/>
      <c r="E46" s="135"/>
      <c r="F46" s="135"/>
      <c r="G46" s="87">
        <f ca="1">G27-G$37</f>
        <v>5.2438210716917608E-2</v>
      </c>
      <c r="H46" s="347" t="s">
        <v>412</v>
      </c>
      <c r="I46" s="87">
        <f ca="1">I27-I$37</f>
        <v>0</v>
      </c>
      <c r="J46" s="87">
        <f t="shared" ca="1" si="17"/>
        <v>1.2891724210377137E-5</v>
      </c>
      <c r="K46" s="135"/>
      <c r="L46" s="87">
        <f t="shared" ca="1" si="15"/>
        <v>6.1031855113449274E-2</v>
      </c>
      <c r="M46" s="175" t="s">
        <v>351</v>
      </c>
      <c r="N46" s="257">
        <f t="shared" ca="1" si="10"/>
        <v>1.1253482810945563E-2</v>
      </c>
      <c r="O46" s="87">
        <f t="shared" ca="1" si="15"/>
        <v>1.0969938777286775E-2</v>
      </c>
      <c r="P46" s="209">
        <f t="shared" ca="1" si="11"/>
        <v>6.1031855113449274E-2</v>
      </c>
      <c r="Q46" s="209"/>
      <c r="R46" s="87">
        <f t="shared" ca="1" si="12"/>
        <v>0.13569348741859921</v>
      </c>
      <c r="S46" s="175">
        <f t="shared" ca="1" si="16"/>
        <v>0.12444000460765366</v>
      </c>
      <c r="T46" s="177">
        <f t="shared" ca="1" si="13"/>
        <v>0.13569348741859921</v>
      </c>
      <c r="U46" s="177">
        <f t="shared" ca="1" si="14"/>
        <v>0.12444000460765367</v>
      </c>
      <c r="V46" s="346"/>
      <c r="W46" s="346"/>
      <c r="X46" s="345"/>
      <c r="Y46" s="186"/>
      <c r="Z46" s="186"/>
      <c r="AA46" s="186"/>
      <c r="AB46" s="186"/>
      <c r="AC46" s="186"/>
      <c r="AD46" s="186"/>
      <c r="AE46" s="186"/>
      <c r="AF46" s="186"/>
      <c r="AG46" s="186"/>
      <c r="AH46" s="186"/>
      <c r="AI46" s="186"/>
      <c r="AJ46" s="186"/>
    </row>
    <row r="47" spans="1:38" s="134" customFormat="1" ht="16.5" thickTop="1" thickBot="1">
      <c r="A47" s="5" t="s">
        <v>6</v>
      </c>
      <c r="B47" s="170" t="s">
        <v>52</v>
      </c>
      <c r="C47" s="170"/>
      <c r="D47" s="170"/>
      <c r="E47" s="135"/>
      <c r="F47" s="135"/>
      <c r="G47" s="135"/>
      <c r="H47" s="347" t="s">
        <v>412</v>
      </c>
      <c r="I47" s="87">
        <f ca="1">I28-I$37</f>
        <v>0</v>
      </c>
      <c r="J47" s="87">
        <f t="shared" ca="1" si="17"/>
        <v>9.3376379186278546E-6</v>
      </c>
      <c r="K47" s="135"/>
      <c r="L47" s="87">
        <f t="shared" ca="1" si="15"/>
        <v>6.0551810652669749E-2</v>
      </c>
      <c r="M47" s="175" t="s">
        <v>351</v>
      </c>
      <c r="N47" s="257">
        <f t="shared" ca="1" si="10"/>
        <v>-8.7799999999999996E-3</v>
      </c>
      <c r="O47" s="87">
        <f t="shared" ca="1" si="15"/>
        <v>9.3679723256642269E-3</v>
      </c>
      <c r="P47" s="209">
        <f t="shared" ca="1" si="11"/>
        <v>6.0551810652669749E-2</v>
      </c>
      <c r="Q47" s="209"/>
      <c r="R47" s="87">
        <f t="shared" ca="1" si="12"/>
        <v>6.113978297833398E-2</v>
      </c>
      <c r="S47" s="175">
        <f t="shared" ca="1" si="16"/>
        <v>6.9919782978333983E-2</v>
      </c>
      <c r="T47" s="177">
        <f t="shared" ca="1" si="13"/>
        <v>6.1139782978333973E-2</v>
      </c>
      <c r="U47" s="177">
        <f t="shared" ca="1" si="14"/>
        <v>6.9919782978333983E-2</v>
      </c>
      <c r="V47" s="346"/>
      <c r="W47" s="346"/>
      <c r="X47" s="345"/>
      <c r="Y47" s="186"/>
      <c r="Z47" s="186"/>
      <c r="AA47" s="186"/>
      <c r="AB47" s="186"/>
      <c r="AC47" s="186"/>
      <c r="AD47" s="186"/>
      <c r="AE47" s="186"/>
      <c r="AF47" s="186"/>
      <c r="AG47" s="186"/>
      <c r="AH47" s="186"/>
      <c r="AI47" s="186"/>
      <c r="AJ47" s="186"/>
    </row>
    <row r="48" spans="1:38" s="134" customFormat="1" ht="16.5" thickTop="1" thickBot="1">
      <c r="A48" s="5" t="s">
        <v>7</v>
      </c>
      <c r="B48" s="170" t="s">
        <v>54</v>
      </c>
      <c r="C48" s="170"/>
      <c r="D48" s="170"/>
      <c r="E48" s="135"/>
      <c r="F48" s="135"/>
      <c r="G48" s="135"/>
      <c r="H48" s="347" t="s">
        <v>412</v>
      </c>
      <c r="I48" s="135"/>
      <c r="J48" s="87">
        <f t="shared" ca="1" si="17"/>
        <v>-1.0000000000000001E-5</v>
      </c>
      <c r="K48" s="135"/>
      <c r="L48" s="87">
        <f t="shared" ca="1" si="15"/>
        <v>-1.2786232800102382E-2</v>
      </c>
      <c r="M48" s="175" t="s">
        <v>351</v>
      </c>
      <c r="N48" s="257">
        <f t="shared" ref="N48:N53" ca="1" si="18">IF(ISNUMBER(N29),N29-N$37,"")</f>
        <v>3.0342134598457388E-3</v>
      </c>
      <c r="O48" s="87">
        <f t="shared" ca="1" si="15"/>
        <v>-8.1727845187952669E-4</v>
      </c>
      <c r="P48" s="209">
        <f t="shared" ca="1" si="11"/>
        <v>-1.2786232800102382E-2</v>
      </c>
      <c r="Q48" s="209"/>
      <c r="R48" s="87">
        <f t="shared" ca="1" si="12"/>
        <v>-1.0569297792136169E-2</v>
      </c>
      <c r="S48" s="175">
        <f t="shared" ca="1" si="16"/>
        <v>-1.3603511251981908E-2</v>
      </c>
      <c r="T48" s="177">
        <f t="shared" ca="1" si="13"/>
        <v>-1.0569297792136174E-2</v>
      </c>
      <c r="U48" s="177">
        <f t="shared" ca="1" si="14"/>
        <v>-1.360351125198191E-2</v>
      </c>
      <c r="V48" s="346"/>
      <c r="W48" s="346"/>
      <c r="X48" s="345"/>
      <c r="Y48" s="186"/>
      <c r="Z48" s="186"/>
      <c r="AA48" s="186"/>
      <c r="AB48" s="186"/>
      <c r="AC48" s="186"/>
      <c r="AD48" s="186"/>
      <c r="AE48" s="186"/>
      <c r="AF48" s="186"/>
      <c r="AG48" s="186"/>
      <c r="AH48" s="186"/>
      <c r="AI48" s="186"/>
      <c r="AJ48" s="186"/>
    </row>
    <row r="49" spans="1:37" s="134" customFormat="1" ht="16.5" thickTop="1" thickBot="1">
      <c r="A49" s="5" t="s">
        <v>8</v>
      </c>
      <c r="B49" s="170" t="s">
        <v>56</v>
      </c>
      <c r="C49" s="170"/>
      <c r="D49" s="170"/>
      <c r="E49" s="135"/>
      <c r="F49" s="135"/>
      <c r="G49" s="135"/>
      <c r="H49" s="347" t="s">
        <v>412</v>
      </c>
      <c r="I49" s="135"/>
      <c r="J49" s="87">
        <f t="shared" ca="1" si="17"/>
        <v>-1.0000000000000001E-5</v>
      </c>
      <c r="K49" s="135"/>
      <c r="L49" s="87">
        <f t="shared" ca="1" si="15"/>
        <v>-7.4171377139026218E-5</v>
      </c>
      <c r="M49" s="175" t="s">
        <v>351</v>
      </c>
      <c r="N49" s="257">
        <f t="shared" ca="1" si="18"/>
        <v>-1.8297947804823966E-4</v>
      </c>
      <c r="O49" s="87">
        <f t="shared" ca="1" si="15"/>
        <v>1.7286683976657591E-3</v>
      </c>
      <c r="P49" s="209">
        <f t="shared" ca="1" si="11"/>
        <v>-7.4171377139026218E-5</v>
      </c>
      <c r="Q49" s="209"/>
      <c r="R49" s="87">
        <f t="shared" ca="1" si="12"/>
        <v>1.4715175424784932E-3</v>
      </c>
      <c r="S49" s="175">
        <f t="shared" ca="1" si="16"/>
        <v>1.6544970205267329E-3</v>
      </c>
      <c r="T49" s="177">
        <f t="shared" ca="1" si="13"/>
        <v>1.4715175424784843E-3</v>
      </c>
      <c r="U49" s="177">
        <f t="shared" ca="1" si="14"/>
        <v>1.6544970205267309E-3</v>
      </c>
      <c r="V49" s="346"/>
      <c r="W49" s="346"/>
      <c r="X49" s="345"/>
      <c r="Y49" s="186"/>
      <c r="Z49" s="186"/>
      <c r="AA49" s="186"/>
      <c r="AB49" s="186"/>
      <c r="AC49" s="186"/>
      <c r="AD49" s="186"/>
      <c r="AE49" s="186"/>
      <c r="AF49" s="186"/>
      <c r="AG49" s="186"/>
      <c r="AH49" s="186"/>
      <c r="AI49" s="186"/>
      <c r="AJ49" s="186"/>
    </row>
    <row r="50" spans="1:37" s="134" customFormat="1" ht="16.5" thickTop="1" thickBot="1">
      <c r="A50" s="5" t="s">
        <v>9</v>
      </c>
      <c r="B50" s="170" t="s">
        <v>58</v>
      </c>
      <c r="C50" s="170"/>
      <c r="D50" s="170"/>
      <c r="E50" s="135"/>
      <c r="F50" s="135"/>
      <c r="G50" s="135"/>
      <c r="H50" s="347" t="s">
        <v>412</v>
      </c>
      <c r="I50" s="135"/>
      <c r="J50" s="87">
        <f t="shared" ca="1" si="17"/>
        <v>1.254632684357429E-5</v>
      </c>
      <c r="K50" s="135"/>
      <c r="L50" s="87">
        <f t="shared" ca="1" si="15"/>
        <v>1.9415870839901983E-3</v>
      </c>
      <c r="M50" s="175" t="s">
        <v>351</v>
      </c>
      <c r="N50" s="257">
        <f t="shared" ca="1" si="18"/>
        <v>5.4138412918220795E-3</v>
      </c>
      <c r="O50" s="87">
        <f t="shared" ca="1" si="15"/>
        <v>-1.09E-3</v>
      </c>
      <c r="P50" s="209">
        <f t="shared" ca="1" si="11"/>
        <v>1.9415870839901983E-3</v>
      </c>
      <c r="Q50" s="209"/>
      <c r="R50" s="87">
        <f t="shared" ca="1" si="12"/>
        <v>6.265428375812278E-3</v>
      </c>
      <c r="S50" s="175">
        <f t="shared" ca="1" si="16"/>
        <v>8.5158708399019826E-4</v>
      </c>
      <c r="T50" s="177">
        <f t="shared" ca="1" si="13"/>
        <v>6.2654283758122736E-3</v>
      </c>
      <c r="U50" s="177">
        <f t="shared" ca="1" si="14"/>
        <v>8.5158708399019761E-4</v>
      </c>
      <c r="V50" s="346"/>
      <c r="W50" s="346"/>
      <c r="X50" s="345"/>
      <c r="Y50" s="186"/>
      <c r="Z50" s="186"/>
      <c r="AA50" s="186"/>
      <c r="AB50" s="186"/>
      <c r="AC50" s="186"/>
      <c r="AD50" s="186"/>
      <c r="AE50" s="186"/>
      <c r="AF50" s="186"/>
      <c r="AG50" s="186"/>
      <c r="AH50" s="186"/>
      <c r="AI50" s="186"/>
      <c r="AJ50" s="186"/>
    </row>
    <row r="51" spans="1:37" s="134" customFormat="1" ht="16.5" thickTop="1" thickBot="1">
      <c r="A51" s="5" t="s">
        <v>10</v>
      </c>
      <c r="B51" s="170" t="s">
        <v>239</v>
      </c>
      <c r="C51" s="170"/>
      <c r="D51" s="170"/>
      <c r="E51" s="135"/>
      <c r="F51" s="135"/>
      <c r="G51" s="135"/>
      <c r="H51" s="347" t="s">
        <v>412</v>
      </c>
      <c r="I51" s="135"/>
      <c r="J51" s="87">
        <f t="shared" ca="1" si="17"/>
        <v>-1.0000000000000001E-5</v>
      </c>
      <c r="K51" s="135"/>
      <c r="L51" s="87">
        <f t="shared" ca="1" si="15"/>
        <v>-7.1251081086924906E-3</v>
      </c>
      <c r="M51" s="175" t="s">
        <v>351</v>
      </c>
      <c r="N51" s="257">
        <f t="shared" ca="1" si="18"/>
        <v>-7.8331566881907864E-3</v>
      </c>
      <c r="O51" s="87">
        <f t="shared" ca="1" si="15"/>
        <v>2.3681475587853849E-4</v>
      </c>
      <c r="P51" s="209">
        <f t="shared" ca="1" si="11"/>
        <v>-7.1251081086924906E-3</v>
      </c>
      <c r="Q51" s="209"/>
      <c r="R51" s="87">
        <f t="shared" ca="1" si="12"/>
        <v>-1.4721450041004738E-2</v>
      </c>
      <c r="S51" s="175">
        <f t="shared" ca="1" si="16"/>
        <v>-6.8882933528139519E-3</v>
      </c>
      <c r="T51" s="177">
        <f t="shared" ca="1" si="13"/>
        <v>-1.4721450041004745E-2</v>
      </c>
      <c r="U51" s="177">
        <f t="shared" ca="1" si="14"/>
        <v>-6.8882933528139553E-3</v>
      </c>
      <c r="V51" s="346"/>
      <c r="W51" s="346"/>
      <c r="X51" s="345"/>
      <c r="Y51" s="186"/>
      <c r="Z51" s="186"/>
      <c r="AA51" s="186"/>
      <c r="AB51" s="186"/>
      <c r="AC51" s="186"/>
      <c r="AD51" s="186"/>
      <c r="AE51" s="186"/>
      <c r="AF51" s="186"/>
      <c r="AG51" s="186"/>
      <c r="AH51" s="186"/>
      <c r="AI51" s="186"/>
      <c r="AJ51" s="186"/>
    </row>
    <row r="52" spans="1:37" s="134" customFormat="1" ht="16.5" thickTop="1" thickBot="1">
      <c r="A52" s="5" t="s">
        <v>11</v>
      </c>
      <c r="B52" s="170" t="s">
        <v>61</v>
      </c>
      <c r="C52" s="170"/>
      <c r="D52" s="170"/>
      <c r="E52" s="135"/>
      <c r="F52" s="135"/>
      <c r="G52" s="135"/>
      <c r="H52" s="347" t="s">
        <v>412</v>
      </c>
      <c r="I52" s="135"/>
      <c r="J52" s="87">
        <f t="shared" ca="1" si="17"/>
        <v>7.9337684564136256E-5</v>
      </c>
      <c r="K52" s="135"/>
      <c r="L52" s="87">
        <f t="shared" ca="1" si="15"/>
        <v>-4.0298741517688863E-2</v>
      </c>
      <c r="M52" s="175" t="s">
        <v>351</v>
      </c>
      <c r="N52" s="257">
        <f t="shared" ca="1" si="18"/>
        <v>5.3298032969429379E-2</v>
      </c>
      <c r="O52" s="87">
        <f t="shared" ca="1" si="15"/>
        <v>-1.09E-3</v>
      </c>
      <c r="P52" s="209">
        <f t="shared" ca="1" si="11"/>
        <v>-4.0298741517688863E-2</v>
      </c>
      <c r="Q52" s="209"/>
      <c r="R52" s="87">
        <f t="shared" ca="1" si="12"/>
        <v>1.1909291451740515E-2</v>
      </c>
      <c r="S52" s="175">
        <f t="shared" ca="1" si="16"/>
        <v>-4.1388741517688864E-2</v>
      </c>
      <c r="T52" s="177">
        <f t="shared" ca="1" si="13"/>
        <v>1.1909291451740509E-2</v>
      </c>
      <c r="U52" s="177">
        <f t="shared" ca="1" si="14"/>
        <v>-4.1388741517688864E-2</v>
      </c>
      <c r="V52" s="346"/>
      <c r="W52" s="346"/>
      <c r="X52" s="345"/>
      <c r="Y52" s="186"/>
      <c r="Z52" s="186"/>
      <c r="AA52" s="186"/>
      <c r="AB52" s="186"/>
      <c r="AC52" s="186"/>
      <c r="AD52" s="186"/>
      <c r="AE52" s="186"/>
      <c r="AF52" s="186"/>
      <c r="AG52" s="186"/>
      <c r="AH52" s="186"/>
      <c r="AI52" s="186"/>
      <c r="AJ52" s="186"/>
    </row>
    <row r="53" spans="1:37" s="134" customFormat="1" ht="16.5" thickTop="1" thickBot="1">
      <c r="A53" s="5" t="s">
        <v>12</v>
      </c>
      <c r="B53" s="170" t="s">
        <v>63</v>
      </c>
      <c r="C53" s="170"/>
      <c r="D53" s="170"/>
      <c r="E53" s="135"/>
      <c r="F53" s="135"/>
      <c r="G53" s="135"/>
      <c r="H53" s="347" t="s">
        <v>412</v>
      </c>
      <c r="I53" s="135"/>
      <c r="J53" s="87">
        <f t="shared" ca="1" si="17"/>
        <v>-1.0000000000000001E-5</v>
      </c>
      <c r="K53" s="135"/>
      <c r="L53" s="87">
        <f t="shared" ca="1" si="15"/>
        <v>-1.7755482881377169E-3</v>
      </c>
      <c r="M53" s="175" t="s">
        <v>351</v>
      </c>
      <c r="N53" s="257">
        <f t="shared" ca="1" si="18"/>
        <v>-1.8988883949036129E-3</v>
      </c>
      <c r="O53" s="87">
        <f t="shared" ca="1" si="15"/>
        <v>-5.1290307286110841E-4</v>
      </c>
      <c r="P53" s="209">
        <f t="shared" ca="1" si="11"/>
        <v>-1.7755482881377169E-3</v>
      </c>
      <c r="Q53" s="209"/>
      <c r="R53" s="87">
        <f t="shared" ca="1" si="12"/>
        <v>-4.1873397559024379E-3</v>
      </c>
      <c r="S53" s="175">
        <f t="shared" ca="1" si="16"/>
        <v>-2.2884513609988254E-3</v>
      </c>
      <c r="T53" s="177">
        <f t="shared" ca="1" si="13"/>
        <v>-4.1873397559024431E-3</v>
      </c>
      <c r="U53" s="177">
        <f t="shared" ca="1" si="14"/>
        <v>-2.288451360998825E-3</v>
      </c>
      <c r="V53" s="346"/>
      <c r="W53" s="346"/>
      <c r="X53" s="345"/>
      <c r="Y53" s="186"/>
      <c r="Z53" s="186"/>
      <c r="AA53" s="186"/>
      <c r="AB53" s="186"/>
      <c r="AC53" s="186"/>
      <c r="AD53" s="186"/>
      <c r="AE53" s="186"/>
      <c r="AF53" s="186"/>
      <c r="AG53" s="186"/>
      <c r="AH53" s="186"/>
      <c r="AI53" s="186"/>
      <c r="AJ53" s="186"/>
    </row>
    <row r="54" spans="1:37" s="134" customFormat="1" ht="15.75" thickTop="1">
      <c r="C54" s="245" t="s">
        <v>211</v>
      </c>
      <c r="D54" s="245"/>
      <c r="E54" s="245" t="s">
        <v>135</v>
      </c>
      <c r="F54" s="245" t="s">
        <v>137</v>
      </c>
      <c r="G54" s="245" t="s">
        <v>138</v>
      </c>
      <c r="H54" s="245" t="s">
        <v>140</v>
      </c>
      <c r="I54" s="245" t="s">
        <v>141</v>
      </c>
      <c r="J54" s="245" t="s">
        <v>142</v>
      </c>
      <c r="K54" s="245" t="s">
        <v>143</v>
      </c>
      <c r="L54" s="245" t="s">
        <v>144</v>
      </c>
      <c r="M54" s="245" t="s">
        <v>139</v>
      </c>
      <c r="N54" s="245" t="s">
        <v>145</v>
      </c>
      <c r="O54" s="245" t="s">
        <v>146</v>
      </c>
      <c r="P54" s="99" t="s">
        <v>338</v>
      </c>
      <c r="Q54" s="99" t="s">
        <v>408</v>
      </c>
      <c r="T54" s="186"/>
      <c r="U54" s="186"/>
      <c r="V54" s="346"/>
      <c r="W54" s="346"/>
      <c r="X54" s="345"/>
      <c r="Y54" s="186"/>
      <c r="Z54" s="186"/>
      <c r="AA54" s="186"/>
      <c r="AB54" s="186"/>
      <c r="AC54" s="186"/>
      <c r="AD54" s="186"/>
      <c r="AE54" s="186"/>
      <c r="AF54" s="186"/>
      <c r="AG54" s="186"/>
      <c r="AH54" s="186"/>
      <c r="AI54" s="186"/>
      <c r="AJ54" s="186"/>
      <c r="AK54" s="186"/>
    </row>
    <row r="55" spans="1:37" s="134" customFormat="1">
      <c r="E55" s="170"/>
      <c r="F55" s="93"/>
      <c r="G55" s="161"/>
      <c r="H55" s="93"/>
      <c r="M55" s="243"/>
      <c r="Q55" s="80"/>
      <c r="R55" s="80"/>
      <c r="T55" s="186"/>
      <c r="U55" s="186"/>
      <c r="W55" s="243"/>
      <c r="X55" s="345"/>
    </row>
    <row r="56" spans="1:37" ht="18" thickBot="1">
      <c r="A56" s="353" t="s">
        <v>210</v>
      </c>
      <c r="B56" s="353"/>
      <c r="C56" s="180"/>
      <c r="D56" s="180"/>
      <c r="E56" s="251"/>
      <c r="F56" s="251"/>
      <c r="G56" s="251"/>
      <c r="H56" s="251"/>
      <c r="I56" s="251"/>
      <c r="J56" s="251"/>
      <c r="K56" s="251"/>
      <c r="L56" s="251"/>
      <c r="M56" s="251"/>
      <c r="N56" s="251"/>
      <c r="O56" s="251"/>
      <c r="P56" s="251"/>
      <c r="Q56" s="251"/>
      <c r="R56" s="251"/>
      <c r="S56" s="251"/>
      <c r="T56" s="251"/>
      <c r="U56" s="251"/>
      <c r="X56" s="316"/>
    </row>
    <row r="57" spans="1:37" s="131" customFormat="1" ht="61.5" thickTop="1" thickBot="1">
      <c r="A57" s="97"/>
      <c r="B57" s="97" t="s">
        <v>28</v>
      </c>
      <c r="C57" s="97"/>
      <c r="D57" s="97"/>
      <c r="E57" s="97" t="s">
        <v>135</v>
      </c>
      <c r="F57" s="97" t="s">
        <v>136</v>
      </c>
      <c r="G57" s="97" t="s">
        <v>137</v>
      </c>
      <c r="H57" s="97" t="s">
        <v>138</v>
      </c>
      <c r="I57" s="97" t="s">
        <v>139</v>
      </c>
      <c r="J57" s="97" t="s">
        <v>140</v>
      </c>
      <c r="K57" s="132" t="s">
        <v>141</v>
      </c>
      <c r="L57" s="97" t="s">
        <v>142</v>
      </c>
      <c r="M57" s="97" t="s">
        <v>143</v>
      </c>
      <c r="N57" s="97" t="s">
        <v>144</v>
      </c>
      <c r="O57" s="97" t="s">
        <v>145</v>
      </c>
      <c r="P57" s="97" t="s">
        <v>146</v>
      </c>
      <c r="Q57" s="236" t="s">
        <v>338</v>
      </c>
      <c r="R57" s="236" t="s">
        <v>408</v>
      </c>
      <c r="S57" s="134"/>
      <c r="T57" s="186"/>
      <c r="U57" s="134"/>
      <c r="W57" s="193"/>
      <c r="X57" s="316"/>
    </row>
    <row r="58" spans="1:37">
      <c r="A58" s="81" t="s">
        <v>0</v>
      </c>
      <c r="B58" s="6" t="s">
        <v>408</v>
      </c>
      <c r="C58" s="170"/>
      <c r="D58" s="170"/>
      <c r="E58" s="112">
        <f>'Efficiency Estimates'!E44</f>
        <v>5.6000000000000005</v>
      </c>
      <c r="F58" s="112">
        <f>'Efficiency Estimates'!F44</f>
        <v>0</v>
      </c>
      <c r="G58" s="112">
        <f>'Efficiency Estimates'!G44</f>
        <v>8.5</v>
      </c>
      <c r="H58" s="112">
        <f>'Efficiency Estimates'!H44</f>
        <v>0</v>
      </c>
      <c r="I58" s="112">
        <f>'Efficiency Estimates'!I44</f>
        <v>0</v>
      </c>
      <c r="J58" s="112">
        <f>'Efficiency Estimates'!J44</f>
        <v>0</v>
      </c>
      <c r="K58" s="112">
        <f>'Efficiency Estimates'!K44</f>
        <v>0</v>
      </c>
      <c r="L58" s="112">
        <f>'Efficiency Estimates'!L44</f>
        <v>0.5</v>
      </c>
      <c r="M58" s="112">
        <f>'Efficiency Estimates'!M44</f>
        <v>4</v>
      </c>
      <c r="N58" s="112">
        <f>'Efficiency Estimates'!N44</f>
        <v>0</v>
      </c>
      <c r="O58" s="112">
        <f>'Efficiency Estimates'!O44</f>
        <v>0</v>
      </c>
      <c r="P58" s="112">
        <f>'Efficiency Estimates'!P44</f>
        <v>0</v>
      </c>
      <c r="Q58" s="102">
        <f>N58+K58</f>
        <v>0</v>
      </c>
      <c r="R58" s="102">
        <f>M58+G58+E58</f>
        <v>18.100000000000001</v>
      </c>
      <c r="S58" s="63">
        <f t="shared" ref="S58:S70" si="19">SUM(E58:P58)-G58</f>
        <v>10.100000000000001</v>
      </c>
      <c r="T58" s="160">
        <f t="shared" ref="T58:T70" si="20">S58/100</f>
        <v>0.10100000000000002</v>
      </c>
      <c r="U58" s="63"/>
      <c r="X58" s="316"/>
    </row>
    <row r="59" spans="1:37">
      <c r="A59" s="5" t="s">
        <v>1</v>
      </c>
      <c r="B59" s="6" t="s">
        <v>43</v>
      </c>
      <c r="C59" s="170"/>
      <c r="D59" s="170"/>
      <c r="E59" s="112">
        <f>'Efficiency Estimates'!E45</f>
        <v>0</v>
      </c>
      <c r="F59" s="112">
        <f>'Efficiency Estimates'!F45</f>
        <v>0</v>
      </c>
      <c r="G59" s="112">
        <f>'Efficiency Estimates'!G45</f>
        <v>0</v>
      </c>
      <c r="H59" s="112">
        <f>'Efficiency Estimates'!H45</f>
        <v>0</v>
      </c>
      <c r="I59" s="112">
        <f>'Efficiency Estimates'!I45</f>
        <v>0</v>
      </c>
      <c r="J59" s="112">
        <f>'Efficiency Estimates'!J45</f>
        <v>0</v>
      </c>
      <c r="K59" s="112">
        <f>'Efficiency Estimates'!K45</f>
        <v>1.2</v>
      </c>
      <c r="L59" s="112">
        <f>'Efficiency Estimates'!L45</f>
        <v>0.5</v>
      </c>
      <c r="M59" s="112">
        <f>'Efficiency Estimates'!M45</f>
        <v>0</v>
      </c>
      <c r="N59" s="112">
        <f>'Efficiency Estimates'!N45</f>
        <v>5.2</v>
      </c>
      <c r="O59" s="112">
        <f>'Efficiency Estimates'!O45</f>
        <v>0</v>
      </c>
      <c r="P59" s="112">
        <f>'Efficiency Estimates'!P45</f>
        <v>0</v>
      </c>
      <c r="Q59" s="102">
        <f t="shared" ref="Q59:Q70" si="21">N59+K59</f>
        <v>6.4</v>
      </c>
      <c r="R59" s="102"/>
      <c r="S59" s="189">
        <f t="shared" si="19"/>
        <v>6.9</v>
      </c>
      <c r="T59" s="160">
        <f t="shared" si="20"/>
        <v>6.9000000000000006E-2</v>
      </c>
      <c r="U59" s="63"/>
      <c r="X59" s="316"/>
    </row>
    <row r="60" spans="1:37">
      <c r="A60" s="5" t="s">
        <v>2</v>
      </c>
      <c r="B60" s="6" t="s">
        <v>411</v>
      </c>
      <c r="C60" s="170"/>
      <c r="D60" s="170"/>
      <c r="E60" s="111">
        <f>'Efficiency Estimates'!E46</f>
        <v>0</v>
      </c>
      <c r="F60" s="111">
        <f>'Efficiency Estimates'!F46</f>
        <v>0</v>
      </c>
      <c r="G60" s="111">
        <f>'Efficiency Estimates'!G46</f>
        <v>0</v>
      </c>
      <c r="H60" s="111">
        <f>'Efficiency Estimates'!H46</f>
        <v>0</v>
      </c>
      <c r="I60" s="111">
        <f>'Efficiency Estimates'!I46</f>
        <v>0</v>
      </c>
      <c r="J60" s="111">
        <f>'Efficiency Estimates'!J46</f>
        <v>0</v>
      </c>
      <c r="K60" s="111">
        <f>'Efficiency Estimates'!K46</f>
        <v>0</v>
      </c>
      <c r="L60" s="111">
        <f>'Efficiency Estimates'!L46</f>
        <v>0</v>
      </c>
      <c r="M60" s="111">
        <f>'Efficiency Estimates'!M46</f>
        <v>0</v>
      </c>
      <c r="N60" s="111">
        <f>'Efficiency Estimates'!N46</f>
        <v>0</v>
      </c>
      <c r="O60" s="111">
        <f>'Efficiency Estimates'!O46</f>
        <v>0</v>
      </c>
      <c r="P60" s="111">
        <f>'Efficiency Estimates'!P46</f>
        <v>0</v>
      </c>
      <c r="Q60" s="102">
        <f t="shared" si="21"/>
        <v>0</v>
      </c>
      <c r="R60" s="102"/>
      <c r="S60" s="189">
        <f t="shared" si="19"/>
        <v>0</v>
      </c>
      <c r="T60" s="160">
        <f t="shared" si="20"/>
        <v>0</v>
      </c>
      <c r="U60" s="63"/>
      <c r="X60" s="316"/>
    </row>
    <row r="61" spans="1:37">
      <c r="A61" s="5" t="s">
        <v>3</v>
      </c>
      <c r="B61" s="6" t="s">
        <v>46</v>
      </c>
      <c r="C61" s="170"/>
      <c r="D61" s="170"/>
      <c r="E61" s="112">
        <f>'Efficiency Estimates'!E47</f>
        <v>0</v>
      </c>
      <c r="F61" s="112">
        <f>'Efficiency Estimates'!F47</f>
        <v>0</v>
      </c>
      <c r="G61" s="112">
        <f>'Efficiency Estimates'!G47</f>
        <v>0</v>
      </c>
      <c r="H61" s="112">
        <f>'Efficiency Estimates'!H47</f>
        <v>0</v>
      </c>
      <c r="I61" s="112">
        <f>'Efficiency Estimates'!I47</f>
        <v>0</v>
      </c>
      <c r="J61" s="112">
        <f>'Efficiency Estimates'!J47</f>
        <v>0</v>
      </c>
      <c r="K61" s="112">
        <f>'Efficiency Estimates'!K47</f>
        <v>0.70000000000000007</v>
      </c>
      <c r="L61" s="112">
        <f>'Efficiency Estimates'!L47</f>
        <v>0.5</v>
      </c>
      <c r="M61" s="112">
        <f>'Efficiency Estimates'!M47</f>
        <v>0</v>
      </c>
      <c r="N61" s="112">
        <f>'Efficiency Estimates'!N47</f>
        <v>4.9000000000000004</v>
      </c>
      <c r="O61" s="112">
        <f>'Efficiency Estimates'!O47</f>
        <v>0</v>
      </c>
      <c r="P61" s="112">
        <f>'Efficiency Estimates'!P47</f>
        <v>0.2</v>
      </c>
      <c r="Q61" s="102">
        <f t="shared" si="21"/>
        <v>5.6000000000000005</v>
      </c>
      <c r="R61" s="102"/>
      <c r="S61" s="189">
        <f t="shared" si="19"/>
        <v>6.3000000000000007</v>
      </c>
      <c r="T61" s="160">
        <f t="shared" si="20"/>
        <v>6.3E-2</v>
      </c>
      <c r="U61" s="63"/>
      <c r="X61" s="316"/>
    </row>
    <row r="62" spans="1:37">
      <c r="A62" s="5" t="s">
        <v>4</v>
      </c>
      <c r="B62" s="6" t="s">
        <v>48</v>
      </c>
      <c r="C62" s="170"/>
      <c r="D62" s="170"/>
      <c r="E62" s="112">
        <f>'Efficiency Estimates'!E48</f>
        <v>0</v>
      </c>
      <c r="F62" s="112">
        <f>'Efficiency Estimates'!F48</f>
        <v>-0.5</v>
      </c>
      <c r="G62" s="112">
        <f>'Efficiency Estimates'!G48</f>
        <v>0</v>
      </c>
      <c r="H62" s="112">
        <f>'Efficiency Estimates'!H48</f>
        <v>0</v>
      </c>
      <c r="I62" s="112">
        <f>'Efficiency Estimates'!I48</f>
        <v>3.4000000000000004</v>
      </c>
      <c r="J62" s="112">
        <f>'Efficiency Estimates'!J48</f>
        <v>2.7</v>
      </c>
      <c r="K62" s="112">
        <f>'Efficiency Estimates'!K48</f>
        <v>0</v>
      </c>
      <c r="L62" s="112">
        <f>'Efficiency Estimates'!L48</f>
        <v>0.5</v>
      </c>
      <c r="M62" s="112">
        <f>'Efficiency Estimates'!M48</f>
        <v>0</v>
      </c>
      <c r="N62" s="112">
        <f>'Efficiency Estimates'!N48</f>
        <v>3.2</v>
      </c>
      <c r="O62" s="112">
        <f>'Efficiency Estimates'!O48</f>
        <v>2.7</v>
      </c>
      <c r="P62" s="112">
        <f>'Efficiency Estimates'!P48</f>
        <v>0.2</v>
      </c>
      <c r="Q62" s="102">
        <f t="shared" si="21"/>
        <v>3.2</v>
      </c>
      <c r="R62" s="102"/>
      <c r="S62" s="189">
        <f t="shared" si="19"/>
        <v>12.2</v>
      </c>
      <c r="T62" s="160">
        <f t="shared" si="20"/>
        <v>0.122</v>
      </c>
      <c r="U62" s="63"/>
      <c r="X62" s="316"/>
    </row>
    <row r="63" spans="1:37">
      <c r="A63" s="5" t="s">
        <v>5</v>
      </c>
      <c r="B63" s="6" t="s">
        <v>50</v>
      </c>
      <c r="C63" s="170"/>
      <c r="D63" s="170"/>
      <c r="E63" s="112">
        <f>'Efficiency Estimates'!E49</f>
        <v>0</v>
      </c>
      <c r="F63" s="112">
        <f>'Efficiency Estimates'!F49</f>
        <v>-2.6</v>
      </c>
      <c r="G63" s="112">
        <f>'Efficiency Estimates'!G49</f>
        <v>0</v>
      </c>
      <c r="H63" s="112">
        <f>'Efficiency Estimates'!H49</f>
        <v>5.4</v>
      </c>
      <c r="I63" s="112">
        <f>'Efficiency Estimates'!I49</f>
        <v>4.1000000000000005</v>
      </c>
      <c r="J63" s="112">
        <f>'Efficiency Estimates'!J49</f>
        <v>3</v>
      </c>
      <c r="K63" s="112">
        <f>'Efficiency Estimates'!K49</f>
        <v>0.70000000000000007</v>
      </c>
      <c r="L63" s="112">
        <f>'Efficiency Estimates'!L49</f>
        <v>1.2</v>
      </c>
      <c r="M63" s="112">
        <f>'Efficiency Estimates'!M49</f>
        <v>0</v>
      </c>
      <c r="N63" s="112">
        <f>'Efficiency Estimates'!N49</f>
        <v>4.5999999999999996</v>
      </c>
      <c r="O63" s="112">
        <f>'Efficiency Estimates'!O49</f>
        <v>1.7000000000000002</v>
      </c>
      <c r="P63" s="112">
        <f>'Efficiency Estimates'!P49</f>
        <v>0.5</v>
      </c>
      <c r="Q63" s="102">
        <f t="shared" si="21"/>
        <v>5.3</v>
      </c>
      <c r="R63" s="102"/>
      <c r="S63" s="189">
        <f t="shared" si="19"/>
        <v>18.599999999999998</v>
      </c>
      <c r="T63" s="160">
        <f t="shared" si="20"/>
        <v>0.18599999999999997</v>
      </c>
      <c r="U63" s="63"/>
      <c r="X63" s="316"/>
    </row>
    <row r="64" spans="1:37">
      <c r="A64" s="5" t="s">
        <v>6</v>
      </c>
      <c r="B64" s="6" t="s">
        <v>52</v>
      </c>
      <c r="C64" s="170"/>
      <c r="D64" s="170"/>
      <c r="E64" s="112">
        <f>'Efficiency Estimates'!E50</f>
        <v>0</v>
      </c>
      <c r="F64" s="112">
        <f>'Efficiency Estimates'!F50</f>
        <v>0</v>
      </c>
      <c r="G64" s="112">
        <f>'Efficiency Estimates'!G50</f>
        <v>0</v>
      </c>
      <c r="H64" s="112">
        <f>'Efficiency Estimates'!H50</f>
        <v>0</v>
      </c>
      <c r="I64" s="112">
        <f>'Efficiency Estimates'!I50</f>
        <v>0</v>
      </c>
      <c r="J64" s="112">
        <f>'Efficiency Estimates'!J50</f>
        <v>0</v>
      </c>
      <c r="K64" s="112">
        <f>'Efficiency Estimates'!K50</f>
        <v>1.2</v>
      </c>
      <c r="L64" s="112">
        <f>'Efficiency Estimates'!L50</f>
        <v>0.5</v>
      </c>
      <c r="M64" s="112">
        <f>'Efficiency Estimates'!M50</f>
        <v>0</v>
      </c>
      <c r="N64" s="112">
        <f>'Efficiency Estimates'!N50</f>
        <v>3.1</v>
      </c>
      <c r="O64" s="112">
        <f>'Efficiency Estimates'!O50</f>
        <v>0</v>
      </c>
      <c r="P64" s="112">
        <f>'Efficiency Estimates'!P50</f>
        <v>0.6</v>
      </c>
      <c r="Q64" s="102">
        <f t="shared" si="21"/>
        <v>4.3</v>
      </c>
      <c r="R64" s="102"/>
      <c r="S64" s="189">
        <f t="shared" si="19"/>
        <v>5.3999999999999995</v>
      </c>
      <c r="T64" s="160">
        <f t="shared" si="20"/>
        <v>5.3999999999999992E-2</v>
      </c>
      <c r="U64" s="63"/>
      <c r="X64" s="316"/>
    </row>
    <row r="65" spans="1:24">
      <c r="A65" s="5" t="s">
        <v>7</v>
      </c>
      <c r="B65" s="6" t="s">
        <v>54</v>
      </c>
      <c r="C65" s="170"/>
      <c r="D65" s="170"/>
      <c r="E65" s="111">
        <f>'Efficiency Estimates'!E51</f>
        <v>0</v>
      </c>
      <c r="F65" s="179">
        <f>'Efficiency Estimates'!F51</f>
        <v>0</v>
      </c>
      <c r="G65" s="111">
        <f>'Efficiency Estimates'!G51</f>
        <v>0</v>
      </c>
      <c r="H65" s="111">
        <f>'Efficiency Estimates'!H51</f>
        <v>0</v>
      </c>
      <c r="I65" s="111">
        <f>'Efficiency Estimates'!I51</f>
        <v>0</v>
      </c>
      <c r="J65" s="111">
        <f>'Efficiency Estimates'!J51</f>
        <v>0</v>
      </c>
      <c r="K65" s="111">
        <f>'Efficiency Estimates'!K51</f>
        <v>0</v>
      </c>
      <c r="L65" s="111">
        <f>'Efficiency Estimates'!L51</f>
        <v>0</v>
      </c>
      <c r="M65" s="111">
        <f>'Efficiency Estimates'!M51</f>
        <v>0</v>
      </c>
      <c r="N65" s="111">
        <f>'Efficiency Estimates'!N51</f>
        <v>0</v>
      </c>
      <c r="O65" s="113">
        <f>'Efficiency Estimates'!O51</f>
        <v>0</v>
      </c>
      <c r="P65" s="113">
        <f>'Efficiency Estimates'!P51</f>
        <v>0</v>
      </c>
      <c r="Q65" s="102">
        <f t="shared" si="21"/>
        <v>0</v>
      </c>
      <c r="R65" s="102"/>
      <c r="S65" s="189">
        <f t="shared" si="19"/>
        <v>0</v>
      </c>
      <c r="T65" s="160">
        <f t="shared" si="20"/>
        <v>0</v>
      </c>
      <c r="X65" s="316"/>
    </row>
    <row r="66" spans="1:24">
      <c r="A66" s="5" t="s">
        <v>8</v>
      </c>
      <c r="B66" s="6" t="s">
        <v>56</v>
      </c>
      <c r="C66" s="170"/>
      <c r="D66" s="170"/>
      <c r="E66" s="111">
        <f>'Efficiency Estimates'!E52</f>
        <v>0</v>
      </c>
      <c r="F66" s="112">
        <f>'Efficiency Estimates'!F52</f>
        <v>0</v>
      </c>
      <c r="G66" s="111">
        <f>'Efficiency Estimates'!G52</f>
        <v>0</v>
      </c>
      <c r="H66" s="111">
        <f>'Efficiency Estimates'!H52</f>
        <v>0</v>
      </c>
      <c r="I66" s="111">
        <f>'Efficiency Estimates'!I52</f>
        <v>0</v>
      </c>
      <c r="J66" s="111">
        <f>'Efficiency Estimates'!J52</f>
        <v>0</v>
      </c>
      <c r="K66" s="111">
        <f>'Efficiency Estimates'!K52</f>
        <v>0</v>
      </c>
      <c r="L66" s="111">
        <f>'Efficiency Estimates'!L52</f>
        <v>0</v>
      </c>
      <c r="M66" s="111">
        <f>'Efficiency Estimates'!M52</f>
        <v>0</v>
      </c>
      <c r="N66" s="111">
        <f>'Efficiency Estimates'!N52</f>
        <v>0</v>
      </c>
      <c r="O66" s="113">
        <f>'Efficiency Estimates'!O52</f>
        <v>0</v>
      </c>
      <c r="P66" s="113">
        <f>'Efficiency Estimates'!P52</f>
        <v>0</v>
      </c>
      <c r="Q66" s="102">
        <f t="shared" si="21"/>
        <v>0</v>
      </c>
      <c r="R66" s="102"/>
      <c r="S66" s="189">
        <f t="shared" si="19"/>
        <v>0</v>
      </c>
      <c r="T66" s="160">
        <f t="shared" si="20"/>
        <v>0</v>
      </c>
      <c r="X66" s="316"/>
    </row>
    <row r="67" spans="1:24">
      <c r="A67" s="5" t="s">
        <v>9</v>
      </c>
      <c r="B67" s="6" t="s">
        <v>58</v>
      </c>
      <c r="C67" s="170"/>
      <c r="D67" s="170"/>
      <c r="E67" s="111">
        <f>'Efficiency Estimates'!E53</f>
        <v>0</v>
      </c>
      <c r="F67" s="112">
        <f>'Efficiency Estimates'!F53</f>
        <v>0</v>
      </c>
      <c r="G67" s="111">
        <f>'Efficiency Estimates'!G53</f>
        <v>0</v>
      </c>
      <c r="H67" s="111">
        <f>'Efficiency Estimates'!H53</f>
        <v>0</v>
      </c>
      <c r="I67" s="111">
        <f>'Efficiency Estimates'!I53</f>
        <v>0</v>
      </c>
      <c r="J67" s="111">
        <f>'Efficiency Estimates'!J53</f>
        <v>0</v>
      </c>
      <c r="K67" s="111">
        <f>'Efficiency Estimates'!K53</f>
        <v>0</v>
      </c>
      <c r="L67" s="111">
        <f>'Efficiency Estimates'!L53</f>
        <v>0</v>
      </c>
      <c r="M67" s="111">
        <f>'Efficiency Estimates'!M53</f>
        <v>0</v>
      </c>
      <c r="N67" s="111">
        <f>'Efficiency Estimates'!N53</f>
        <v>0</v>
      </c>
      <c r="O67" s="113">
        <f>'Efficiency Estimates'!O53</f>
        <v>0</v>
      </c>
      <c r="P67" s="113">
        <f>'Efficiency Estimates'!P53</f>
        <v>0</v>
      </c>
      <c r="Q67" s="102">
        <f t="shared" si="21"/>
        <v>0</v>
      </c>
      <c r="R67" s="102"/>
      <c r="S67" s="189">
        <f t="shared" si="19"/>
        <v>0</v>
      </c>
      <c r="T67" s="160">
        <f t="shared" si="20"/>
        <v>0</v>
      </c>
      <c r="X67" s="316"/>
    </row>
    <row r="68" spans="1:24">
      <c r="A68" s="5" t="s">
        <v>10</v>
      </c>
      <c r="B68" s="6" t="s">
        <v>239</v>
      </c>
      <c r="C68" s="170"/>
      <c r="D68" s="170"/>
      <c r="E68" s="111">
        <f>'Efficiency Estimates'!E54</f>
        <v>0</v>
      </c>
      <c r="F68" s="112">
        <f>'Efficiency Estimates'!F54</f>
        <v>0</v>
      </c>
      <c r="G68" s="111">
        <f>'Efficiency Estimates'!G54</f>
        <v>0</v>
      </c>
      <c r="H68" s="111">
        <f>'Efficiency Estimates'!H54</f>
        <v>0</v>
      </c>
      <c r="I68" s="111">
        <f>'Efficiency Estimates'!I54</f>
        <v>0</v>
      </c>
      <c r="J68" s="111">
        <f>'Efficiency Estimates'!J54</f>
        <v>0</v>
      </c>
      <c r="K68" s="111">
        <f>'Efficiency Estimates'!K54</f>
        <v>0</v>
      </c>
      <c r="L68" s="111">
        <f>'Efficiency Estimates'!L54</f>
        <v>0</v>
      </c>
      <c r="M68" s="111">
        <f>'Efficiency Estimates'!M54</f>
        <v>0</v>
      </c>
      <c r="N68" s="111">
        <f>'Efficiency Estimates'!N54</f>
        <v>0</v>
      </c>
      <c r="O68" s="113">
        <f>'Efficiency Estimates'!O54</f>
        <v>0</v>
      </c>
      <c r="P68" s="113">
        <f>'Efficiency Estimates'!P54</f>
        <v>0</v>
      </c>
      <c r="Q68" s="102">
        <f t="shared" si="21"/>
        <v>0</v>
      </c>
      <c r="R68" s="102"/>
      <c r="S68" s="189">
        <f t="shared" si="19"/>
        <v>0</v>
      </c>
      <c r="T68" s="160">
        <f t="shared" si="20"/>
        <v>0</v>
      </c>
      <c r="X68" s="316"/>
    </row>
    <row r="69" spans="1:24">
      <c r="A69" s="5" t="s">
        <v>11</v>
      </c>
      <c r="B69" s="6" t="s">
        <v>61</v>
      </c>
      <c r="C69" s="170"/>
      <c r="D69" s="170"/>
      <c r="E69" s="111">
        <f>'Efficiency Estimates'!E55</f>
        <v>0</v>
      </c>
      <c r="F69" s="179">
        <f>'Efficiency Estimates'!F55</f>
        <v>0</v>
      </c>
      <c r="G69" s="111">
        <f>'Efficiency Estimates'!G55</f>
        <v>0</v>
      </c>
      <c r="H69" s="111">
        <f>'Efficiency Estimates'!H55</f>
        <v>0</v>
      </c>
      <c r="I69" s="111">
        <f>'Efficiency Estimates'!I55</f>
        <v>0</v>
      </c>
      <c r="J69" s="111">
        <f>'Efficiency Estimates'!J55</f>
        <v>0</v>
      </c>
      <c r="K69" s="111">
        <f>'Efficiency Estimates'!K55</f>
        <v>0</v>
      </c>
      <c r="L69" s="111">
        <f>'Efficiency Estimates'!L55</f>
        <v>0</v>
      </c>
      <c r="M69" s="111">
        <f>'Efficiency Estimates'!M55</f>
        <v>0</v>
      </c>
      <c r="N69" s="111">
        <f>'Efficiency Estimates'!N55</f>
        <v>0</v>
      </c>
      <c r="O69" s="113">
        <f>'Efficiency Estimates'!O55</f>
        <v>0</v>
      </c>
      <c r="P69" s="113">
        <f>'Efficiency Estimates'!P55</f>
        <v>0</v>
      </c>
      <c r="Q69" s="102">
        <f t="shared" si="21"/>
        <v>0</v>
      </c>
      <c r="R69" s="102"/>
      <c r="S69" s="189">
        <f t="shared" si="19"/>
        <v>0</v>
      </c>
      <c r="T69" s="160">
        <f t="shared" si="20"/>
        <v>0</v>
      </c>
      <c r="X69" s="316"/>
    </row>
    <row r="70" spans="1:24">
      <c r="A70" s="5" t="s">
        <v>12</v>
      </c>
      <c r="B70" s="6" t="s">
        <v>63</v>
      </c>
      <c r="C70" s="170"/>
      <c r="D70" s="170"/>
      <c r="E70" s="111">
        <f>'Efficiency Estimates'!E56</f>
        <v>0</v>
      </c>
      <c r="F70" s="112">
        <f>'Efficiency Estimates'!F56</f>
        <v>0</v>
      </c>
      <c r="G70" s="111">
        <f>'Efficiency Estimates'!G56</f>
        <v>0</v>
      </c>
      <c r="H70" s="111">
        <f>'Efficiency Estimates'!H56</f>
        <v>0</v>
      </c>
      <c r="I70" s="111">
        <f>'Efficiency Estimates'!I56</f>
        <v>0</v>
      </c>
      <c r="J70" s="111">
        <f>'Efficiency Estimates'!J56</f>
        <v>0</v>
      </c>
      <c r="K70" s="111">
        <f>'Efficiency Estimates'!K56</f>
        <v>0</v>
      </c>
      <c r="L70" s="111">
        <f>'Efficiency Estimates'!L56</f>
        <v>0</v>
      </c>
      <c r="M70" s="111">
        <f>'Efficiency Estimates'!M56</f>
        <v>0</v>
      </c>
      <c r="N70" s="111">
        <f>'Efficiency Estimates'!N56</f>
        <v>0</v>
      </c>
      <c r="O70" s="113">
        <f>'Efficiency Estimates'!O56</f>
        <v>0</v>
      </c>
      <c r="P70" s="113">
        <f>'Efficiency Estimates'!P56</f>
        <v>0</v>
      </c>
      <c r="Q70" s="102">
        <f t="shared" si="21"/>
        <v>0</v>
      </c>
      <c r="R70" s="102"/>
      <c r="S70" s="189">
        <f t="shared" si="19"/>
        <v>0</v>
      </c>
      <c r="T70" s="160">
        <f t="shared" si="20"/>
        <v>0</v>
      </c>
      <c r="X70" s="316"/>
    </row>
    <row r="71" spans="1:24">
      <c r="C71" s="245" t="s">
        <v>211</v>
      </c>
      <c r="D71" s="245"/>
      <c r="E71" s="245" t="s">
        <v>135</v>
      </c>
      <c r="F71" s="245" t="s">
        <v>136</v>
      </c>
      <c r="G71" s="245" t="s">
        <v>137</v>
      </c>
      <c r="H71" s="245" t="s">
        <v>138</v>
      </c>
      <c r="I71" s="245" t="s">
        <v>139</v>
      </c>
      <c r="J71" s="245" t="s">
        <v>140</v>
      </c>
      <c r="K71" s="245" t="s">
        <v>141</v>
      </c>
      <c r="L71" s="245" t="s">
        <v>142</v>
      </c>
      <c r="M71" s="245" t="s">
        <v>143</v>
      </c>
      <c r="N71" s="245" t="s">
        <v>144</v>
      </c>
      <c r="O71" s="245" t="s">
        <v>145</v>
      </c>
      <c r="P71" s="245" t="s">
        <v>146</v>
      </c>
      <c r="Q71" s="245" t="s">
        <v>338</v>
      </c>
      <c r="R71" s="99" t="s">
        <v>408</v>
      </c>
      <c r="V71" s="160"/>
      <c r="W71" s="219"/>
      <c r="X71" s="316"/>
    </row>
    <row r="72" spans="1:24">
      <c r="A72" s="98" t="s">
        <v>212</v>
      </c>
      <c r="X72" s="316"/>
    </row>
    <row r="73" spans="1:24" s="134" customFormat="1">
      <c r="A73" s="98"/>
      <c r="R73" s="186"/>
      <c r="T73" s="186"/>
      <c r="W73" s="243"/>
      <c r="X73" s="316"/>
    </row>
    <row r="74" spans="1:24" s="134" customFormat="1">
      <c r="A74" s="355" t="s">
        <v>298</v>
      </c>
      <c r="B74" s="355"/>
      <c r="C74" s="228"/>
      <c r="D74" s="228"/>
      <c r="E74" s="228"/>
      <c r="F74" s="228"/>
      <c r="G74" s="228"/>
      <c r="H74" s="228"/>
      <c r="I74" s="228"/>
      <c r="J74" s="228"/>
      <c r="K74" s="228"/>
      <c r="L74" s="228"/>
      <c r="M74" s="228"/>
      <c r="N74" s="228"/>
      <c r="O74" s="228"/>
      <c r="P74" s="228"/>
      <c r="Q74" s="228"/>
      <c r="R74" s="186"/>
      <c r="T74" s="186"/>
      <c r="W74" s="243"/>
      <c r="X74" s="316"/>
    </row>
    <row r="75" spans="1:24" s="134" customFormat="1" ht="15.75" thickBot="1">
      <c r="A75" s="228"/>
      <c r="B75" s="228"/>
      <c r="C75" s="228"/>
      <c r="D75" s="228"/>
      <c r="E75" s="228"/>
      <c r="F75" s="228"/>
      <c r="G75" s="228"/>
      <c r="H75" s="228"/>
      <c r="I75" s="228"/>
      <c r="J75" s="228"/>
      <c r="K75" s="228"/>
      <c r="L75" s="228"/>
      <c r="M75" s="228"/>
      <c r="N75" s="228"/>
      <c r="O75" s="245" t="s">
        <v>352</v>
      </c>
      <c r="P75" s="245" t="s">
        <v>255</v>
      </c>
      <c r="Q75" s="228"/>
      <c r="R75" s="186"/>
      <c r="T75" s="186"/>
      <c r="W75" s="243"/>
      <c r="X75" s="316"/>
    </row>
    <row r="76" spans="1:24" ht="16.5" thickTop="1" thickBot="1">
      <c r="A76" s="166" t="s">
        <v>135</v>
      </c>
      <c r="B76" s="228"/>
      <c r="C76" s="228"/>
      <c r="D76" s="228"/>
      <c r="E76" s="228"/>
      <c r="F76" s="228"/>
      <c r="G76" s="228"/>
      <c r="H76" s="228"/>
      <c r="I76" s="228"/>
      <c r="J76" s="228"/>
      <c r="K76" s="228"/>
      <c r="L76" s="228"/>
      <c r="M76" s="228"/>
      <c r="N76" s="228"/>
      <c r="O76" s="245">
        <f>MATCH(A76,$E$54:$Q$54,0)</f>
        <v>1</v>
      </c>
      <c r="P76" s="245">
        <f>MATCH(A76,$E$57:$R$57,0)</f>
        <v>1</v>
      </c>
      <c r="Q76" s="228"/>
      <c r="X76" s="316"/>
    </row>
    <row r="77" spans="1:24" ht="46.5" thickTop="1" thickBot="1">
      <c r="A77" s="228"/>
      <c r="B77" s="228"/>
      <c r="C77" s="228"/>
      <c r="D77" s="228"/>
      <c r="E77" s="236" t="s">
        <v>28</v>
      </c>
      <c r="F77" s="236" t="s">
        <v>148</v>
      </c>
      <c r="G77" s="236" t="s">
        <v>149</v>
      </c>
      <c r="H77" s="236" t="s">
        <v>353</v>
      </c>
      <c r="I77" s="236" t="s">
        <v>354</v>
      </c>
      <c r="J77" s="236" t="s">
        <v>355</v>
      </c>
      <c r="K77" s="236" t="s">
        <v>356</v>
      </c>
      <c r="L77" s="236"/>
      <c r="M77" s="236"/>
      <c r="N77" s="236" t="s">
        <v>330</v>
      </c>
      <c r="O77" s="245"/>
      <c r="P77" s="245"/>
      <c r="Q77" s="228"/>
      <c r="X77" s="250"/>
    </row>
    <row r="78" spans="1:24" ht="15.75" thickBot="1">
      <c r="A78" s="228" t="s">
        <v>408</v>
      </c>
      <c r="B78" s="228" t="s">
        <v>41</v>
      </c>
      <c r="C78" s="228"/>
      <c r="D78" s="228"/>
      <c r="E78" s="228" t="s">
        <v>408</v>
      </c>
      <c r="F78" s="219">
        <f ca="1">OFFSET($D$57,'Summary tables'!$P78,'Summary tables'!P$76)/100</f>
        <v>5.6000000000000008E-2</v>
      </c>
      <c r="G78" s="192">
        <f t="shared" ref="G78:G90" ca="1" si="22">F78*N78</f>
        <v>2374.5232426041903</v>
      </c>
      <c r="H78" s="219">
        <f ca="1">OFFSET($D$21,'Summary tables'!$O78,'Summary tables'!O$76)</f>
        <v>1.6619420392246773E-2</v>
      </c>
      <c r="I78" s="192">
        <f ca="1">H78*N78</f>
        <v>704.7</v>
      </c>
      <c r="J78" s="219">
        <f ca="1">OFFSET($D$40,'Summary tables'!$O78,'Summary tables'!O$76)</f>
        <v>1.6619420392246773E-2</v>
      </c>
      <c r="K78" s="192">
        <f ca="1">J78*N78</f>
        <v>704.7</v>
      </c>
      <c r="L78" s="228"/>
      <c r="M78" s="228"/>
      <c r="N78" s="246">
        <f ca="1">'base OPEX'!F85</f>
        <v>42402.200760789106</v>
      </c>
      <c r="O78" s="245">
        <f>MATCH(A78,$B$5:$B$17,0)</f>
        <v>1</v>
      </c>
      <c r="P78" s="245">
        <f>MATCH(A78,$B$58:$B$70,0)</f>
        <v>1</v>
      </c>
      <c r="Q78" s="228"/>
      <c r="R78" s="243"/>
      <c r="X78" s="316"/>
    </row>
    <row r="79" spans="1:24" ht="16.5" thickTop="1" thickBot="1">
      <c r="A79" s="228" t="s">
        <v>43</v>
      </c>
      <c r="B79" s="228" t="s">
        <v>42</v>
      </c>
      <c r="C79" s="228"/>
      <c r="D79" s="228"/>
      <c r="E79" s="228" t="s">
        <v>43</v>
      </c>
      <c r="F79" s="219">
        <f ca="1">OFFSET($D$57,'Summary tables'!$P79,'Summary tables'!P$76)/100</f>
        <v>0</v>
      </c>
      <c r="G79" s="192">
        <f t="shared" ca="1" si="22"/>
        <v>0</v>
      </c>
      <c r="H79" s="219">
        <f ca="1">OFFSET($D$21,'Summary tables'!$O79,'Summary tables'!O$76)</f>
        <v>0</v>
      </c>
      <c r="I79" s="192">
        <f t="shared" ref="I79:I90" ca="1" si="23">H79*N79</f>
        <v>0</v>
      </c>
      <c r="J79" s="219">
        <f ca="1">OFFSET($D$40,'Summary tables'!$O79,'Summary tables'!O$76)</f>
        <v>0</v>
      </c>
      <c r="K79" s="192">
        <f t="shared" ref="K79:K90" ca="1" si="24">J79*N79</f>
        <v>0</v>
      </c>
      <c r="L79" s="228"/>
      <c r="M79" s="228"/>
      <c r="N79" s="246">
        <f ca="1">'base OPEX'!F86</f>
        <v>383229.65413620713</v>
      </c>
      <c r="O79" s="245">
        <f t="shared" ref="O79:O89" si="25">MATCH(A79,$B$5:$B$17,0)</f>
        <v>2</v>
      </c>
      <c r="P79" s="245">
        <f t="shared" ref="P79:P89" si="26">MATCH(A79,$B$58:$B$70,0)</f>
        <v>2</v>
      </c>
      <c r="Q79" s="228"/>
      <c r="R79" s="243"/>
      <c r="X79" s="316"/>
    </row>
    <row r="80" spans="1:24" ht="16.5" thickTop="1" thickBot="1">
      <c r="A80" s="228" t="s">
        <v>411</v>
      </c>
      <c r="B80" s="228" t="s">
        <v>44</v>
      </c>
      <c r="C80" s="228"/>
      <c r="D80" s="228"/>
      <c r="E80" s="228" t="s">
        <v>411</v>
      </c>
      <c r="F80" s="219">
        <f ca="1">OFFSET($D$57,'Summary tables'!$P80,'Summary tables'!P$76)/100</f>
        <v>0</v>
      </c>
      <c r="G80" s="192">
        <f t="shared" ca="1" si="22"/>
        <v>0</v>
      </c>
      <c r="H80" s="219">
        <f ca="1">OFFSET($D$21,'Summary tables'!$O80,'Summary tables'!O$76)</f>
        <v>0</v>
      </c>
      <c r="I80" s="192">
        <f t="shared" ca="1" si="23"/>
        <v>0</v>
      </c>
      <c r="J80" s="219">
        <f ca="1">OFFSET($D$40,'Summary tables'!$O80,'Summary tables'!O$76)</f>
        <v>0</v>
      </c>
      <c r="K80" s="192">
        <f t="shared" ca="1" si="24"/>
        <v>0</v>
      </c>
      <c r="L80" s="228"/>
      <c r="M80" s="228"/>
      <c r="N80" s="246">
        <f ca="1">'base OPEX'!F87</f>
        <v>55839.517999999902</v>
      </c>
      <c r="O80" s="245">
        <f t="shared" si="25"/>
        <v>3</v>
      </c>
      <c r="P80" s="245">
        <f t="shared" si="26"/>
        <v>3</v>
      </c>
      <c r="Q80" s="228"/>
      <c r="R80" s="243"/>
      <c r="X80" s="316"/>
    </row>
    <row r="81" spans="1:24" ht="16.5" thickTop="1" thickBot="1">
      <c r="A81" s="228" t="s">
        <v>46</v>
      </c>
      <c r="B81" s="228" t="s">
        <v>45</v>
      </c>
      <c r="C81" s="228"/>
      <c r="D81" s="228"/>
      <c r="E81" s="228" t="s">
        <v>46</v>
      </c>
      <c r="F81" s="219">
        <f ca="1">OFFSET($D$57,'Summary tables'!$P81,'Summary tables'!P$76)/100</f>
        <v>0</v>
      </c>
      <c r="G81" s="192">
        <f t="shared" ca="1" si="22"/>
        <v>0</v>
      </c>
      <c r="H81" s="219">
        <f ca="1">OFFSET($D$21,'Summary tables'!$O81,'Summary tables'!O$76)</f>
        <v>0</v>
      </c>
      <c r="I81" s="192">
        <f t="shared" ca="1" si="23"/>
        <v>0</v>
      </c>
      <c r="J81" s="219">
        <f ca="1">OFFSET($D$40,'Summary tables'!$O81,'Summary tables'!O$76)</f>
        <v>0</v>
      </c>
      <c r="K81" s="192">
        <f t="shared" ca="1" si="24"/>
        <v>0</v>
      </c>
      <c r="L81" s="228"/>
      <c r="M81" s="228"/>
      <c r="N81" s="246">
        <f ca="1">'base OPEX'!F88</f>
        <v>208106.07157514672</v>
      </c>
      <c r="O81" s="245">
        <f t="shared" si="25"/>
        <v>4</v>
      </c>
      <c r="P81" s="245">
        <f t="shared" si="26"/>
        <v>4</v>
      </c>
      <c r="Q81" s="228"/>
      <c r="R81" s="243"/>
      <c r="X81" s="316"/>
    </row>
    <row r="82" spans="1:24" ht="16.5" thickTop="1" thickBot="1">
      <c r="A82" s="228" t="s">
        <v>48</v>
      </c>
      <c r="B82" s="228" t="s">
        <v>47</v>
      </c>
      <c r="C82" s="228"/>
      <c r="D82" s="228"/>
      <c r="E82" s="228" t="s">
        <v>48</v>
      </c>
      <c r="F82" s="219">
        <f ca="1">OFFSET($D$57,'Summary tables'!$P82,'Summary tables'!P$76)/100</f>
        <v>0</v>
      </c>
      <c r="G82" s="192">
        <f t="shared" ca="1" si="22"/>
        <v>0</v>
      </c>
      <c r="H82" s="219">
        <f ca="1">OFFSET($D$21,'Summary tables'!$O82,'Summary tables'!O$76)</f>
        <v>0</v>
      </c>
      <c r="I82" s="192">
        <f t="shared" ca="1" si="23"/>
        <v>0</v>
      </c>
      <c r="J82" s="219">
        <f ca="1">OFFSET($D$40,'Summary tables'!$O82,'Summary tables'!O$76)</f>
        <v>0</v>
      </c>
      <c r="K82" s="192">
        <f t="shared" ca="1" si="24"/>
        <v>0</v>
      </c>
      <c r="L82" s="228"/>
      <c r="M82" s="228"/>
      <c r="N82" s="246">
        <f ca="1">'base OPEX'!F89</f>
        <v>311042.84871472401</v>
      </c>
      <c r="O82" s="245">
        <f t="shared" si="25"/>
        <v>5</v>
      </c>
      <c r="P82" s="245">
        <f t="shared" si="26"/>
        <v>5</v>
      </c>
      <c r="Q82" s="228"/>
      <c r="R82" s="243"/>
      <c r="X82" s="316"/>
    </row>
    <row r="83" spans="1:24" ht="16.5" thickTop="1" thickBot="1">
      <c r="A83" s="228" t="s">
        <v>50</v>
      </c>
      <c r="B83" s="228" t="s">
        <v>49</v>
      </c>
      <c r="C83" s="228"/>
      <c r="D83" s="228"/>
      <c r="E83" s="228" t="s">
        <v>50</v>
      </c>
      <c r="F83" s="219">
        <f ca="1">OFFSET($D$57,'Summary tables'!$P83,'Summary tables'!P$76)/100</f>
        <v>0</v>
      </c>
      <c r="G83" s="192">
        <f t="shared" ca="1" si="22"/>
        <v>0</v>
      </c>
      <c r="H83" s="219">
        <f ca="1">OFFSET($D$21,'Summary tables'!$O83,'Summary tables'!O$76)</f>
        <v>0</v>
      </c>
      <c r="I83" s="192">
        <f t="shared" ca="1" si="23"/>
        <v>0</v>
      </c>
      <c r="J83" s="219">
        <f ca="1">OFFSET($D$40,'Summary tables'!$O83,'Summary tables'!O$76)</f>
        <v>0</v>
      </c>
      <c r="K83" s="192">
        <f t="shared" ca="1" si="24"/>
        <v>0</v>
      </c>
      <c r="L83" s="228"/>
      <c r="M83" s="228"/>
      <c r="N83" s="246">
        <f ca="1">'base OPEX'!F90</f>
        <v>244629.89107047871</v>
      </c>
      <c r="O83" s="245">
        <f t="shared" si="25"/>
        <v>6</v>
      </c>
      <c r="P83" s="245">
        <f t="shared" si="26"/>
        <v>6</v>
      </c>
      <c r="Q83" s="228"/>
      <c r="R83" s="243"/>
      <c r="X83" s="316"/>
    </row>
    <row r="84" spans="1:24" ht="16.5" thickTop="1" thickBot="1">
      <c r="A84" s="228" t="s">
        <v>52</v>
      </c>
      <c r="B84" s="228" t="s">
        <v>51</v>
      </c>
      <c r="C84" s="228"/>
      <c r="D84" s="228"/>
      <c r="E84" s="228" t="s">
        <v>52</v>
      </c>
      <c r="F84" s="219">
        <f ca="1">OFFSET($D$57,'Summary tables'!$P84,'Summary tables'!P$76)/100</f>
        <v>0</v>
      </c>
      <c r="G84" s="192">
        <f t="shared" ca="1" si="22"/>
        <v>0</v>
      </c>
      <c r="H84" s="219">
        <f ca="1">OFFSET($D$21,'Summary tables'!$O84,'Summary tables'!O$76)</f>
        <v>0</v>
      </c>
      <c r="I84" s="192">
        <f t="shared" ca="1" si="23"/>
        <v>0</v>
      </c>
      <c r="J84" s="219">
        <f ca="1">OFFSET($D$40,'Summary tables'!$O84,'Summary tables'!O$76)</f>
        <v>0</v>
      </c>
      <c r="K84" s="192">
        <f t="shared" ca="1" si="24"/>
        <v>0</v>
      </c>
      <c r="L84" s="228"/>
      <c r="M84" s="228"/>
      <c r="N84" s="246">
        <f ca="1">'base OPEX'!F91</f>
        <v>289590.69476657984</v>
      </c>
      <c r="O84" s="245">
        <f t="shared" si="25"/>
        <v>7</v>
      </c>
      <c r="P84" s="245">
        <f t="shared" si="26"/>
        <v>7</v>
      </c>
      <c r="Q84" s="228"/>
      <c r="R84" s="243"/>
      <c r="X84" s="316"/>
    </row>
    <row r="85" spans="1:24" ht="16.5" thickTop="1" thickBot="1">
      <c r="A85" s="228" t="s">
        <v>54</v>
      </c>
      <c r="B85" s="228" t="s">
        <v>53</v>
      </c>
      <c r="C85" s="228"/>
      <c r="D85" s="228"/>
      <c r="E85" s="228" t="s">
        <v>54</v>
      </c>
      <c r="F85" s="219">
        <f ca="1">OFFSET($D$57,'Summary tables'!$P85,'Summary tables'!P$76)/100</f>
        <v>0</v>
      </c>
      <c r="G85" s="192">
        <f t="shared" ca="1" si="22"/>
        <v>0</v>
      </c>
      <c r="H85" s="219">
        <f ca="1">OFFSET($D$21,'Summary tables'!$O85,'Summary tables'!O$76)</f>
        <v>0</v>
      </c>
      <c r="I85" s="192">
        <f t="shared" ca="1" si="23"/>
        <v>0</v>
      </c>
      <c r="J85" s="219">
        <f ca="1">OFFSET($D$40,'Summary tables'!$O85,'Summary tables'!O$76)</f>
        <v>0</v>
      </c>
      <c r="K85" s="192">
        <f t="shared" ca="1" si="24"/>
        <v>0</v>
      </c>
      <c r="L85" s="228"/>
      <c r="M85" s="228"/>
      <c r="N85" s="246">
        <f ca="1">'base OPEX'!F92</f>
        <v>68661.264234324568</v>
      </c>
      <c r="O85" s="245">
        <f t="shared" si="25"/>
        <v>8</v>
      </c>
      <c r="P85" s="245">
        <f t="shared" si="26"/>
        <v>8</v>
      </c>
      <c r="Q85" s="228"/>
      <c r="R85" s="243"/>
      <c r="X85" s="316"/>
    </row>
    <row r="86" spans="1:24" ht="16.5" thickTop="1" thickBot="1">
      <c r="A86" s="228" t="s">
        <v>56</v>
      </c>
      <c r="B86" s="228" t="s">
        <v>55</v>
      </c>
      <c r="C86" s="228"/>
      <c r="D86" s="228"/>
      <c r="E86" s="228" t="s">
        <v>56</v>
      </c>
      <c r="F86" s="219">
        <f ca="1">OFFSET($D$57,'Summary tables'!$P86,'Summary tables'!P$76)/100</f>
        <v>0</v>
      </c>
      <c r="G86" s="192">
        <f t="shared" ca="1" si="22"/>
        <v>0</v>
      </c>
      <c r="H86" s="219">
        <f ca="1">OFFSET($D$21,'Summary tables'!$O86,'Summary tables'!O$76)</f>
        <v>0</v>
      </c>
      <c r="I86" s="192">
        <f t="shared" ca="1" si="23"/>
        <v>0</v>
      </c>
      <c r="J86" s="219">
        <f ca="1">OFFSET($D$40,'Summary tables'!$O86,'Summary tables'!O$76)</f>
        <v>0</v>
      </c>
      <c r="K86" s="192">
        <f t="shared" ca="1" si="24"/>
        <v>0</v>
      </c>
      <c r="L86" s="228"/>
      <c r="M86" s="228"/>
      <c r="N86" s="246">
        <f ca="1">'base OPEX'!F93</f>
        <v>190733.859</v>
      </c>
      <c r="O86" s="245">
        <f t="shared" si="25"/>
        <v>9</v>
      </c>
      <c r="P86" s="245">
        <f t="shared" si="26"/>
        <v>9</v>
      </c>
      <c r="Q86" s="228"/>
      <c r="R86" s="243"/>
      <c r="X86" s="316"/>
    </row>
    <row r="87" spans="1:24" ht="16.5" thickTop="1" thickBot="1">
      <c r="A87" s="228" t="s">
        <v>58</v>
      </c>
      <c r="B87" s="228" t="s">
        <v>57</v>
      </c>
      <c r="C87" s="228"/>
      <c r="D87" s="228"/>
      <c r="E87" s="228" t="s">
        <v>58</v>
      </c>
      <c r="F87" s="219">
        <f ca="1">OFFSET($D$57,'Summary tables'!$P87,'Summary tables'!P$76)/100</f>
        <v>0</v>
      </c>
      <c r="G87" s="192">
        <f t="shared" ca="1" si="22"/>
        <v>0</v>
      </c>
      <c r="H87" s="219">
        <f ca="1">OFFSET($D$21,'Summary tables'!$O87,'Summary tables'!O$76)</f>
        <v>0</v>
      </c>
      <c r="I87" s="192">
        <f t="shared" ca="1" si="23"/>
        <v>0</v>
      </c>
      <c r="J87" s="219">
        <f ca="1">OFFSET($D$40,'Summary tables'!$O87,'Summary tables'!O$76)</f>
        <v>0</v>
      </c>
      <c r="K87" s="192">
        <f t="shared" ca="1" si="24"/>
        <v>0</v>
      </c>
      <c r="L87" s="228"/>
      <c r="M87" s="228"/>
      <c r="N87" s="246">
        <f ca="1">'base OPEX'!F94</f>
        <v>248377.48688966606</v>
      </c>
      <c r="O87" s="245">
        <f t="shared" si="25"/>
        <v>10</v>
      </c>
      <c r="P87" s="245">
        <f t="shared" si="26"/>
        <v>10</v>
      </c>
      <c r="Q87" s="228"/>
      <c r="R87" s="243"/>
      <c r="X87" s="316"/>
    </row>
    <row r="88" spans="1:24" ht="16.5" thickTop="1" thickBot="1">
      <c r="A88" s="228" t="s">
        <v>239</v>
      </c>
      <c r="B88" s="228" t="s">
        <v>59</v>
      </c>
      <c r="C88" s="228"/>
      <c r="D88" s="228"/>
      <c r="E88" s="228" t="s">
        <v>239</v>
      </c>
      <c r="F88" s="219">
        <f ca="1">OFFSET($D$57,'Summary tables'!$P88,'Summary tables'!P$76)/100</f>
        <v>0</v>
      </c>
      <c r="G88" s="192">
        <f t="shared" ca="1" si="22"/>
        <v>0</v>
      </c>
      <c r="H88" s="219">
        <f ca="1">OFFSET($D$21,'Summary tables'!$O88,'Summary tables'!O$76)</f>
        <v>0</v>
      </c>
      <c r="I88" s="192">
        <f t="shared" ca="1" si="23"/>
        <v>0</v>
      </c>
      <c r="J88" s="219">
        <f ca="1">OFFSET($D$40,'Summary tables'!$O88,'Summary tables'!O$76)</f>
        <v>0</v>
      </c>
      <c r="K88" s="192">
        <f t="shared" ca="1" si="24"/>
        <v>0</v>
      </c>
      <c r="L88" s="228"/>
      <c r="M88" s="228"/>
      <c r="N88" s="246">
        <f ca="1">'base OPEX'!F95</f>
        <v>206141.48558197235</v>
      </c>
      <c r="O88" s="245">
        <f t="shared" si="25"/>
        <v>11</v>
      </c>
      <c r="P88" s="245">
        <f t="shared" si="26"/>
        <v>11</v>
      </c>
      <c r="Q88" s="228"/>
      <c r="R88" s="243"/>
      <c r="X88" s="316"/>
    </row>
    <row r="89" spans="1:24" ht="16.5" thickTop="1" thickBot="1">
      <c r="A89" s="228" t="s">
        <v>61</v>
      </c>
      <c r="B89" s="228" t="s">
        <v>60</v>
      </c>
      <c r="C89" s="228"/>
      <c r="D89" s="228"/>
      <c r="E89" s="228" t="s">
        <v>61</v>
      </c>
      <c r="F89" s="219">
        <f ca="1">OFFSET($D$57,'Summary tables'!$P89,'Summary tables'!P$76)/100</f>
        <v>0</v>
      </c>
      <c r="G89" s="192">
        <f t="shared" ca="1" si="22"/>
        <v>0</v>
      </c>
      <c r="H89" s="219">
        <f ca="1">OFFSET($D$21,'Summary tables'!$O89,'Summary tables'!O$76)</f>
        <v>0</v>
      </c>
      <c r="I89" s="192">
        <f t="shared" ca="1" si="23"/>
        <v>0</v>
      </c>
      <c r="J89" s="219">
        <f ca="1">OFFSET($D$40,'Summary tables'!$O89,'Summary tables'!O$76)</f>
        <v>0</v>
      </c>
      <c r="K89" s="192">
        <f t="shared" ca="1" si="24"/>
        <v>0</v>
      </c>
      <c r="L89" s="228"/>
      <c r="M89" s="228"/>
      <c r="N89" s="246">
        <f ca="1">'base OPEX'!F96</f>
        <v>62683.513987646656</v>
      </c>
      <c r="O89" s="245">
        <f t="shared" si="25"/>
        <v>12</v>
      </c>
      <c r="P89" s="245">
        <f t="shared" si="26"/>
        <v>12</v>
      </c>
      <c r="Q89" s="228"/>
      <c r="R89" s="243"/>
      <c r="X89" s="316"/>
    </row>
    <row r="90" spans="1:24" ht="16.5" thickTop="1" thickBot="1">
      <c r="A90" s="228" t="s">
        <v>63</v>
      </c>
      <c r="B90" s="228" t="s">
        <v>62</v>
      </c>
      <c r="C90" s="228"/>
      <c r="D90" s="228"/>
      <c r="E90" s="228" t="s">
        <v>339</v>
      </c>
      <c r="F90" s="219">
        <f ca="1">OFFSET($D$57,'Summary tables'!$P90,'Summary tables'!P$76)/100</f>
        <v>0</v>
      </c>
      <c r="G90" s="192">
        <f t="shared" ca="1" si="22"/>
        <v>0</v>
      </c>
      <c r="H90" s="219">
        <f ca="1">OFFSET($D$21,'Summary tables'!$O90,'Summary tables'!O$76)</f>
        <v>0</v>
      </c>
      <c r="I90" s="192">
        <f t="shared" ca="1" si="23"/>
        <v>0</v>
      </c>
      <c r="J90" s="219">
        <f ca="1">OFFSET($D$40,'Summary tables'!$O90,'Summary tables'!O$76)</f>
        <v>0</v>
      </c>
      <c r="K90" s="192">
        <f t="shared" ca="1" si="24"/>
        <v>0</v>
      </c>
      <c r="L90" s="228"/>
      <c r="M90" s="228"/>
      <c r="N90" s="246">
        <f ca="1">'base OPEX'!F97</f>
        <v>117721.494565381</v>
      </c>
      <c r="O90" s="245">
        <f>MATCH(A90,$B$5:$B$17,0)</f>
        <v>13</v>
      </c>
      <c r="P90" s="245">
        <f>MATCH(A90,$B$58:$B$70,0)</f>
        <v>13</v>
      </c>
      <c r="Q90" s="228"/>
      <c r="R90" s="243"/>
      <c r="X90" s="316"/>
    </row>
    <row r="91" spans="1:24" ht="30.75" thickTop="1">
      <c r="A91" s="228"/>
      <c r="B91" s="228"/>
      <c r="C91" s="228"/>
      <c r="D91" s="228"/>
      <c r="E91" s="249" t="s">
        <v>340</v>
      </c>
      <c r="F91" s="247">
        <v>0</v>
      </c>
      <c r="G91" s="248"/>
      <c r="H91" s="247">
        <f ca="1">OFFSET($D$21,'Summary tables'!$O91,'Summary tables'!O$76)</f>
        <v>0</v>
      </c>
      <c r="I91" s="228"/>
      <c r="J91" s="219"/>
      <c r="K91" s="228"/>
      <c r="L91" s="228"/>
      <c r="M91" s="228"/>
      <c r="N91" s="228"/>
      <c r="O91" s="245">
        <v>16</v>
      </c>
      <c r="P91" s="245">
        <v>16</v>
      </c>
      <c r="Q91" s="228"/>
      <c r="R91" s="243"/>
      <c r="X91" s="316"/>
    </row>
    <row r="92" spans="1:24">
      <c r="A92" s="228"/>
      <c r="B92" s="228"/>
      <c r="C92" s="228"/>
      <c r="D92" s="228"/>
      <c r="E92" s="228"/>
      <c r="F92" s="228"/>
      <c r="G92" s="228"/>
      <c r="H92" s="228"/>
      <c r="I92" s="228"/>
      <c r="J92" s="228"/>
      <c r="K92" s="228"/>
      <c r="L92" s="228"/>
      <c r="M92" s="228"/>
      <c r="N92" s="228"/>
      <c r="O92" s="228"/>
      <c r="P92" s="228"/>
      <c r="Q92" s="228"/>
      <c r="R92" s="243"/>
      <c r="X92" s="316"/>
    </row>
    <row r="93" spans="1:24">
      <c r="R93" s="243"/>
    </row>
    <row r="94" spans="1:24">
      <c r="R94" s="243"/>
    </row>
    <row r="95" spans="1:24">
      <c r="R95" s="243"/>
    </row>
  </sheetData>
  <mergeCells count="5">
    <mergeCell ref="A56:B56"/>
    <mergeCell ref="A39:B39"/>
    <mergeCell ref="A3:B3"/>
    <mergeCell ref="A20:B20"/>
    <mergeCell ref="A74:B74"/>
  </mergeCells>
  <conditionalFormatting sqref="V22:V34">
    <cfRule type="cellIs" dxfId="2" priority="1" operator="greaterThan">
      <formula>0</formula>
    </cfRule>
  </conditionalFormatting>
  <dataValidations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C74"/>
  <sheetViews>
    <sheetView zoomScale="70" zoomScaleNormal="70" workbookViewId="0">
      <selection activeCell="Q5" sqref="Q5"/>
    </sheetView>
  </sheetViews>
  <sheetFormatPr defaultColWidth="9.28515625" defaultRowHeight="15"/>
  <cols>
    <col min="1" max="1" width="14.42578125" style="183" customWidth="1"/>
    <col min="2" max="2" width="15.42578125" style="183" customWidth="1"/>
    <col min="3" max="3" width="12.5703125" style="183" customWidth="1"/>
    <col min="4" max="4" width="17.42578125" style="183" customWidth="1"/>
    <col min="5" max="5" width="23.5703125" style="183" bestFit="1" customWidth="1"/>
    <col min="6" max="6" width="17.42578125" style="183" customWidth="1"/>
    <col min="7" max="7" width="15.5703125" style="183" customWidth="1"/>
    <col min="8" max="8" width="15.28515625" style="186" customWidth="1"/>
    <col min="9" max="9" width="14.28515625" style="183" customWidth="1"/>
    <col min="10" max="10" width="14.28515625" style="252" customWidth="1"/>
    <col min="11" max="11" width="15" style="183" customWidth="1"/>
    <col min="12" max="12" width="15.5703125" style="183" customWidth="1"/>
    <col min="13" max="13" width="19.5703125" style="183" customWidth="1"/>
    <col min="14" max="14" width="14.5703125" style="183" customWidth="1"/>
    <col min="15" max="16" width="15.28515625" style="183" customWidth="1"/>
    <col min="17" max="17" width="15.42578125" style="183" customWidth="1"/>
    <col min="18" max="18" width="15" style="183" customWidth="1"/>
    <col min="19" max="19" width="15.42578125" style="183" customWidth="1"/>
    <col min="20" max="20" width="14.5703125" style="183" customWidth="1"/>
    <col min="21" max="21" width="13.5703125" style="183" bestFit="1" customWidth="1"/>
    <col min="22" max="22" width="14.5703125" style="183" customWidth="1"/>
    <col min="23" max="23" width="15.42578125" style="183" customWidth="1"/>
    <col min="24" max="24" width="11.5703125" style="183" customWidth="1"/>
    <col min="25" max="25" width="15.5703125" style="183" customWidth="1"/>
    <col min="26" max="26" width="17.5703125" style="183" bestFit="1" customWidth="1"/>
    <col min="27" max="27" width="11.5703125" style="183" bestFit="1" customWidth="1"/>
    <col min="28" max="28" width="9.28515625" style="183"/>
    <col min="29" max="29" width="12.42578125" style="183" bestFit="1" customWidth="1"/>
    <col min="30" max="30" width="11.5703125" style="183" customWidth="1"/>
    <col min="31" max="33" width="9.28515625" style="183"/>
    <col min="34" max="39" width="9.42578125" style="183" bestFit="1" customWidth="1"/>
    <col min="40" max="16384" width="9.28515625" style="183"/>
  </cols>
  <sheetData>
    <row r="1" spans="1:23" ht="20.25" thickBot="1">
      <c r="A1" s="194" t="s">
        <v>307</v>
      </c>
      <c r="B1" s="194"/>
      <c r="C1" s="194"/>
      <c r="D1" s="194"/>
      <c r="E1" s="194"/>
      <c r="F1" s="194"/>
      <c r="H1" s="183"/>
      <c r="K1" s="100" t="s">
        <v>329</v>
      </c>
      <c r="L1" s="173"/>
      <c r="M1" s="173"/>
      <c r="N1" s="173"/>
      <c r="O1" s="100"/>
      <c r="P1" s="100" t="s">
        <v>328</v>
      </c>
      <c r="Q1" s="100"/>
      <c r="R1" s="100"/>
      <c r="S1" s="100"/>
    </row>
    <row r="2" spans="1:23" ht="61.5" thickTop="1" thickBot="1">
      <c r="A2" s="259" t="s">
        <v>28</v>
      </c>
      <c r="B2" s="259" t="s">
        <v>279</v>
      </c>
      <c r="C2" s="259" t="s">
        <v>122</v>
      </c>
      <c r="D2" s="259" t="s">
        <v>129</v>
      </c>
      <c r="E2" s="250" t="s">
        <v>126</v>
      </c>
      <c r="F2" s="250" t="s">
        <v>334</v>
      </c>
      <c r="G2" s="250" t="s">
        <v>131</v>
      </c>
      <c r="H2" s="250" t="s">
        <v>306</v>
      </c>
      <c r="I2" s="259" t="s">
        <v>350</v>
      </c>
      <c r="J2" s="259" t="s">
        <v>360</v>
      </c>
      <c r="K2" s="174" t="s">
        <v>280</v>
      </c>
      <c r="L2" s="174" t="s">
        <v>322</v>
      </c>
      <c r="M2" s="174" t="s">
        <v>281</v>
      </c>
      <c r="N2" s="174" t="s">
        <v>288</v>
      </c>
      <c r="O2" s="174" t="s">
        <v>337</v>
      </c>
      <c r="P2" s="291" t="s">
        <v>290</v>
      </c>
      <c r="Q2" s="291" t="s">
        <v>122</v>
      </c>
      <c r="R2" s="291" t="s">
        <v>281</v>
      </c>
      <c r="S2" s="291" t="s">
        <v>288</v>
      </c>
      <c r="T2" s="291" t="s">
        <v>289</v>
      </c>
    </row>
    <row r="3" spans="1:23" ht="16.5" thickTop="1" thickBot="1">
      <c r="A3" s="279" t="s">
        <v>41</v>
      </c>
      <c r="B3" s="279">
        <v>0.44104589999999999</v>
      </c>
      <c r="C3" s="280">
        <f t="shared" ref="C3:C15" si="0">_xlfn.RANK.AVG(B3,$B$3:$B$15)</f>
        <v>13</v>
      </c>
      <c r="D3" s="121">
        <f t="shared" ref="D3:D15" ca="1" si="1">MIN(B3/$B$17,1)</f>
        <v>0.57145006104550478</v>
      </c>
      <c r="E3" s="281">
        <v>74201.060864726387</v>
      </c>
      <c r="F3" s="282">
        <f t="shared" ref="F3:F15" ca="1" si="2">D3*$E3</f>
        <v>42402.200760789106</v>
      </c>
      <c r="G3" s="125">
        <v>181851</v>
      </c>
      <c r="H3" s="118">
        <v>0</v>
      </c>
      <c r="I3" s="126">
        <f ca="1">'Summary tables'!R22</f>
        <v>5.0146166345104229E-2</v>
      </c>
      <c r="J3" s="126">
        <f ca="1">'Summary tables'!S22</f>
        <v>5.0146166345104229E-2</v>
      </c>
      <c r="K3" s="285">
        <f ca="1">IF($K$16=$I$16,I3-$I$18,J3-$J$18)</f>
        <v>8.2461663451042291E-3</v>
      </c>
      <c r="L3" s="284">
        <f t="shared" ref="L3:L15" ca="1" si="3">O3-F3</f>
        <v>349.65560087197809</v>
      </c>
      <c r="M3" s="283">
        <f t="shared" ref="M3:M15" ca="1" si="4">O3/E3</f>
        <v>0.576162333306806</v>
      </c>
      <c r="N3" s="285">
        <f t="shared" ref="N3:N15" ca="1" si="5">M3/$D3-1</f>
        <v>8.2461663451043332E-3</v>
      </c>
      <c r="O3" s="284">
        <f t="shared" ref="O3:O15" ca="1" si="6">D3*(1+K3)*$E3</f>
        <v>42751.856361661085</v>
      </c>
      <c r="P3" s="286">
        <f t="shared" ref="P3:P15" ca="1" si="7">B3*(1+K3)</f>
        <v>0.44468283785722623</v>
      </c>
      <c r="Q3" s="287">
        <f t="shared" ref="Q3:Q15" ca="1" si="8">_xlfn.RANK.AVG(P3,$P$3:$P$15)</f>
        <v>13</v>
      </c>
      <c r="R3" s="288">
        <f t="shared" ref="R3:R15" ca="1" si="9">MIN(P3/$P$17,1)</f>
        <v>0.58015863618400998</v>
      </c>
      <c r="S3" s="289">
        <f t="shared" ref="S3:S15" ca="1" si="10">R3/$D3-1</f>
        <v>1.5239433385608958E-2</v>
      </c>
      <c r="T3" s="290">
        <f t="shared" ref="T3:T15" ca="1" si="11">R3*$E3</f>
        <v>43048.386274686374</v>
      </c>
      <c r="U3" s="183" t="b">
        <f t="shared" ref="U3:U15" ca="1" si="12">ROUND(O3,1)=ROUND(T3,1)</f>
        <v>0</v>
      </c>
      <c r="V3" s="177">
        <f ca="1">'Summary tables'!T41</f>
        <v>-5.3383365489577395E-4</v>
      </c>
      <c r="W3" s="177">
        <f ca="1">'Summary tables'!U41</f>
        <v>8.2461663451042291E-3</v>
      </c>
    </row>
    <row r="4" spans="1:23" ht="16.5" thickTop="1" thickBot="1">
      <c r="A4" s="279" t="s">
        <v>42</v>
      </c>
      <c r="B4" s="279">
        <v>0.45316469999999998</v>
      </c>
      <c r="C4" s="280">
        <f t="shared" si="0"/>
        <v>12</v>
      </c>
      <c r="D4" s="121">
        <f t="shared" ca="1" si="1"/>
        <v>0.58715202993309279</v>
      </c>
      <c r="E4" s="281">
        <v>652692.37710014719</v>
      </c>
      <c r="F4" s="282">
        <f t="shared" ca="1" si="2"/>
        <v>383229.65413620713</v>
      </c>
      <c r="G4" s="125">
        <v>1669558.4999999998</v>
      </c>
      <c r="H4" s="118">
        <v>0</v>
      </c>
      <c r="I4" s="126">
        <f ca="1">'Summary tables'!R23</f>
        <v>5.7660278998832866E-2</v>
      </c>
      <c r="J4" s="126">
        <f ca="1">'Summary tables'!S23</f>
        <v>5.7583039271581142E-2</v>
      </c>
      <c r="K4" s="285">
        <f t="shared" ref="K4:K15" ca="1" si="13">IF($K$16=$I$16,I4-$I$18,J4-$J$18)</f>
        <v>1.5683039271581142E-2</v>
      </c>
      <c r="L4" s="284">
        <f t="shared" ca="1" si="3"/>
        <v>6010.205715852615</v>
      </c>
      <c r="M4" s="283">
        <f t="shared" ca="1" si="4"/>
        <v>0.59636035827692213</v>
      </c>
      <c r="N4" s="285">
        <f t="shared" ca="1" si="5"/>
        <v>1.5683039271581212E-2</v>
      </c>
      <c r="O4" s="284">
        <f t="shared" ca="1" si="6"/>
        <v>389239.85985205974</v>
      </c>
      <c r="P4" s="286">
        <f t="shared" ca="1" si="7"/>
        <v>0.46027169978659427</v>
      </c>
      <c r="Q4" s="287">
        <f t="shared" ca="1" si="8"/>
        <v>12</v>
      </c>
      <c r="R4" s="288">
        <f t="shared" ca="1" si="9"/>
        <v>0.60049675609028519</v>
      </c>
      <c r="S4" s="289">
        <f t="shared" ca="1" si="10"/>
        <v>2.2727888991055822E-2</v>
      </c>
      <c r="T4" s="290">
        <f t="shared" ca="1" si="11"/>
        <v>391939.65517349553</v>
      </c>
      <c r="U4" s="183" t="b">
        <f t="shared" ca="1" si="12"/>
        <v>0</v>
      </c>
      <c r="V4" s="177">
        <f ca="1">'Summary tables'!T42</f>
        <v>6.9802789988328631E-3</v>
      </c>
      <c r="W4" s="177">
        <f ca="1">'Summary tables'!U42</f>
        <v>1.5683039271581142E-2</v>
      </c>
    </row>
    <row r="5" spans="1:23" ht="16.5" thickTop="1" thickBot="1">
      <c r="A5" s="279" t="s">
        <v>44</v>
      </c>
      <c r="B5" s="279">
        <v>0.92178389999999999</v>
      </c>
      <c r="C5" s="280">
        <f t="shared" si="0"/>
        <v>2</v>
      </c>
      <c r="D5" s="121">
        <f t="shared" ca="1" si="1"/>
        <v>1</v>
      </c>
      <c r="E5" s="281">
        <v>55839.517999999902</v>
      </c>
      <c r="F5" s="282">
        <f t="shared" ca="1" si="2"/>
        <v>55839.517999999902</v>
      </c>
      <c r="G5" s="125">
        <v>327907.17472153297</v>
      </c>
      <c r="H5" s="118">
        <v>1</v>
      </c>
      <c r="I5" s="126">
        <f ca="1">'Summary tables'!R24</f>
        <v>7.106792636217063E-2</v>
      </c>
      <c r="J5" s="126">
        <f ca="1">'Summary tables'!S24</f>
        <v>5.5248450055486412E-2</v>
      </c>
      <c r="K5" s="285">
        <f t="shared" ca="1" si="13"/>
        <v>1.3348450055486412E-2</v>
      </c>
      <c r="L5" s="284">
        <f t="shared" ca="1" si="3"/>
        <v>745.37101714542951</v>
      </c>
      <c r="M5" s="283">
        <f t="shared" ca="1" si="4"/>
        <v>1.0133484500554863</v>
      </c>
      <c r="N5" s="285">
        <f t="shared" ca="1" si="5"/>
        <v>1.3348450055486349E-2</v>
      </c>
      <c r="O5" s="284">
        <f t="shared" ca="1" si="6"/>
        <v>56584.889017145331</v>
      </c>
      <c r="P5" s="286">
        <f t="shared" ca="1" si="7"/>
        <v>0.93408828635110142</v>
      </c>
      <c r="Q5" s="318">
        <f t="shared" ca="1" si="8"/>
        <v>2</v>
      </c>
      <c r="R5" s="288">
        <f t="shared" ca="1" si="9"/>
        <v>1</v>
      </c>
      <c r="S5" s="289">
        <f t="shared" ca="1" si="10"/>
        <v>0</v>
      </c>
      <c r="T5" s="290">
        <f t="shared" ca="1" si="11"/>
        <v>55839.517999999902</v>
      </c>
      <c r="U5" s="183" t="b">
        <f t="shared" ca="1" si="12"/>
        <v>0</v>
      </c>
      <c r="V5" s="177">
        <f ca="1">'Summary tables'!T43</f>
        <v>2.0387926362170627E-2</v>
      </c>
      <c r="W5" s="177">
        <f ca="1">'Summary tables'!U43</f>
        <v>1.3348450055486412E-2</v>
      </c>
    </row>
    <row r="6" spans="1:23" ht="16.5" thickTop="1" thickBot="1">
      <c r="A6" s="279" t="s">
        <v>45</v>
      </c>
      <c r="B6" s="279">
        <v>0.58781779999999995</v>
      </c>
      <c r="C6" s="280">
        <f t="shared" si="0"/>
        <v>9</v>
      </c>
      <c r="D6" s="121">
        <f t="shared" ca="1" si="1"/>
        <v>0.76161804858322979</v>
      </c>
      <c r="E6" s="281">
        <v>273242.04299289902</v>
      </c>
      <c r="F6" s="282">
        <f t="shared" ca="1" si="2"/>
        <v>208106.07157514672</v>
      </c>
      <c r="G6" s="125">
        <v>955832.5</v>
      </c>
      <c r="H6" s="118">
        <v>0</v>
      </c>
      <c r="I6" s="126">
        <f ca="1">'Summary tables'!R25</f>
        <v>8.4251640989043364E-2</v>
      </c>
      <c r="J6" s="126">
        <f ca="1">'Summary tables'!S25</f>
        <v>8.4139873790945133E-2</v>
      </c>
      <c r="K6" s="285">
        <f t="shared" ca="1" si="13"/>
        <v>4.2239873790945133E-2</v>
      </c>
      <c r="L6" s="284">
        <f t="shared" ca="1" si="3"/>
        <v>8790.3741984635999</v>
      </c>
      <c r="M6" s="283">
        <f t="shared" ca="1" si="4"/>
        <v>0.79378869883229131</v>
      </c>
      <c r="N6" s="285">
        <f t="shared" ca="1" si="5"/>
        <v>4.2239873790945071E-2</v>
      </c>
      <c r="O6" s="284">
        <f t="shared" ca="1" si="6"/>
        <v>216896.44577361032</v>
      </c>
      <c r="P6" s="286">
        <f t="shared" ca="1" si="7"/>
        <v>0.61264714968407097</v>
      </c>
      <c r="Q6" s="287">
        <f t="shared" ca="1" si="8"/>
        <v>9</v>
      </c>
      <c r="R6" s="288">
        <f t="shared" ca="1" si="9"/>
        <v>0.79929447364202055</v>
      </c>
      <c r="S6" s="289">
        <f t="shared" ca="1" si="10"/>
        <v>4.9468923601373227E-2</v>
      </c>
      <c r="T6" s="290">
        <f t="shared" ca="1" si="11"/>
        <v>218400.85493087958</v>
      </c>
      <c r="U6" s="183" t="b">
        <f t="shared" ca="1" si="12"/>
        <v>0</v>
      </c>
      <c r="V6" s="177">
        <f ca="1">'Summary tables'!T44</f>
        <v>3.3571640989043361E-2</v>
      </c>
      <c r="W6" s="177">
        <f ca="1">'Summary tables'!U44</f>
        <v>4.2239873790945133E-2</v>
      </c>
    </row>
    <row r="7" spans="1:23" ht="16.5" thickTop="1" thickBot="1">
      <c r="A7" s="279" t="s">
        <v>47</v>
      </c>
      <c r="B7" s="279">
        <v>0.62405619999999995</v>
      </c>
      <c r="C7" s="280">
        <f t="shared" si="0"/>
        <v>8</v>
      </c>
      <c r="D7" s="121">
        <f t="shared" ca="1" si="1"/>
        <v>0.80857106615394392</v>
      </c>
      <c r="E7" s="281">
        <v>384682.14079713868</v>
      </c>
      <c r="F7" s="282">
        <f t="shared" ca="1" si="2"/>
        <v>311042.84871472401</v>
      </c>
      <c r="G7" s="125">
        <v>1397191</v>
      </c>
      <c r="H7" s="118">
        <v>0</v>
      </c>
      <c r="I7" s="126">
        <f ca="1">'Summary tables'!R26</f>
        <v>8.5843247468447473E-2</v>
      </c>
      <c r="J7" s="126">
        <f ca="1">'Summary tables'!S26</f>
        <v>5.7614210397943275E-2</v>
      </c>
      <c r="K7" s="285">
        <f t="shared" ca="1" si="13"/>
        <v>1.5714210397943275E-2</v>
      </c>
      <c r="L7" s="284">
        <f t="shared" ca="1" si="3"/>
        <v>4887.7927674787934</v>
      </c>
      <c r="M7" s="283">
        <f t="shared" ca="1" si="4"/>
        <v>0.82127712200917635</v>
      </c>
      <c r="N7" s="285">
        <f t="shared" ca="1" si="5"/>
        <v>1.5714210397943296E-2</v>
      </c>
      <c r="O7" s="284">
        <f t="shared" ca="1" si="6"/>
        <v>315930.6414822028</v>
      </c>
      <c r="P7" s="286">
        <f t="shared" ca="1" si="7"/>
        <v>0.63386275042694096</v>
      </c>
      <c r="Q7" s="287">
        <f t="shared" ca="1" si="8"/>
        <v>8</v>
      </c>
      <c r="R7" s="288">
        <f t="shared" ca="1" si="9"/>
        <v>0.82697355847497234</v>
      </c>
      <c r="S7" s="289">
        <f t="shared" ca="1" si="10"/>
        <v>2.2759276322564803E-2</v>
      </c>
      <c r="T7" s="290">
        <f t="shared" ca="1" si="11"/>
        <v>318121.95885678008</v>
      </c>
      <c r="U7" s="183" t="b">
        <f t="shared" ca="1" si="12"/>
        <v>0</v>
      </c>
      <c r="V7" s="177">
        <f ca="1">'Summary tables'!T45</f>
        <v>3.516324746844747E-2</v>
      </c>
      <c r="W7" s="177">
        <f ca="1">'Summary tables'!U45</f>
        <v>1.5714210397943275E-2</v>
      </c>
    </row>
    <row r="8" spans="1:23" ht="16.5" thickTop="1" thickBot="1">
      <c r="A8" s="279" t="s">
        <v>49</v>
      </c>
      <c r="B8" s="279">
        <v>0.51601269999999999</v>
      </c>
      <c r="C8" s="280">
        <f t="shared" si="0"/>
        <v>11</v>
      </c>
      <c r="D8" s="121">
        <f t="shared" ca="1" si="1"/>
        <v>0.66858231516324207</v>
      </c>
      <c r="E8" s="281">
        <v>365893.45174460608</v>
      </c>
      <c r="F8" s="282">
        <f t="shared" ca="1" si="2"/>
        <v>244629.89107047871</v>
      </c>
      <c r="G8" s="125">
        <v>728290.5</v>
      </c>
      <c r="H8" s="118">
        <v>0</v>
      </c>
      <c r="I8" s="126">
        <f ca="1">'Summary tables'!R27</f>
        <v>0.18637348741859922</v>
      </c>
      <c r="J8" s="126">
        <f ca="1">'Summary tables'!S27</f>
        <v>0.16634000460765366</v>
      </c>
      <c r="K8" s="285">
        <f t="shared" ca="1" si="13"/>
        <v>0.12444000460765367</v>
      </c>
      <c r="L8" s="284">
        <f t="shared" ca="1" si="3"/>
        <v>30441.744771980215</v>
      </c>
      <c r="M8" s="283">
        <f t="shared" ca="1" si="4"/>
        <v>0.75178070154275167</v>
      </c>
      <c r="N8" s="285">
        <f t="shared" ca="1" si="5"/>
        <v>0.1244400046076537</v>
      </c>
      <c r="O8" s="284">
        <f t="shared" ca="1" si="6"/>
        <v>275071.63584245893</v>
      </c>
      <c r="P8" s="286">
        <f t="shared" ca="1" si="7"/>
        <v>0.58022532276560779</v>
      </c>
      <c r="Q8" s="287">
        <f t="shared" ca="1" si="8"/>
        <v>11</v>
      </c>
      <c r="R8" s="288">
        <f t="shared" ca="1" si="9"/>
        <v>0.75699510589882724</v>
      </c>
      <c r="S8" s="289">
        <f t="shared" ca="1" si="10"/>
        <v>0.13223920036532544</v>
      </c>
      <c r="T8" s="290">
        <f t="shared" ca="1" si="11"/>
        <v>276979.55225109553</v>
      </c>
      <c r="U8" s="183" t="b">
        <f t="shared" ca="1" si="12"/>
        <v>0</v>
      </c>
      <c r="V8" s="177">
        <f ca="1">'Summary tables'!T46</f>
        <v>0.13569348741859921</v>
      </c>
      <c r="W8" s="177">
        <f ca="1">'Summary tables'!U46</f>
        <v>0.12444000460765367</v>
      </c>
    </row>
    <row r="9" spans="1:23" ht="16.5" thickTop="1" thickBot="1">
      <c r="A9" s="279" t="s">
        <v>51</v>
      </c>
      <c r="B9" s="279">
        <v>0.56640769999999996</v>
      </c>
      <c r="C9" s="280">
        <f t="shared" si="0"/>
        <v>10</v>
      </c>
      <c r="D9" s="121">
        <f t="shared" ca="1" si="1"/>
        <v>0.73387761850103117</v>
      </c>
      <c r="E9" s="281">
        <v>394603.52443787316</v>
      </c>
      <c r="F9" s="282">
        <f t="shared" ca="1" si="2"/>
        <v>289590.69476657984</v>
      </c>
      <c r="G9" s="125">
        <v>867001</v>
      </c>
      <c r="H9" s="118">
        <v>0</v>
      </c>
      <c r="I9" s="126">
        <f ca="1">'Summary tables'!R28</f>
        <v>0.11181978297833398</v>
      </c>
      <c r="J9" s="126">
        <f ca="1">'Summary tables'!S28</f>
        <v>0.11181978297833398</v>
      </c>
      <c r="K9" s="285">
        <f t="shared" ca="1" si="13"/>
        <v>6.9919782978333983E-2</v>
      </c>
      <c r="L9" s="284">
        <f t="shared" ca="1" si="3"/>
        <v>20248.118530624197</v>
      </c>
      <c r="M9" s="283">
        <f t="shared" ca="1" si="4"/>
        <v>0.78519018231927984</v>
      </c>
      <c r="N9" s="285">
        <f t="shared" ca="1" si="5"/>
        <v>6.9919782978334011E-2</v>
      </c>
      <c r="O9" s="284">
        <f t="shared" ca="1" si="6"/>
        <v>309838.81329720403</v>
      </c>
      <c r="P9" s="286">
        <f t="shared" ca="1" si="7"/>
        <v>0.60601080346125724</v>
      </c>
      <c r="Q9" s="287">
        <f t="shared" ca="1" si="8"/>
        <v>10</v>
      </c>
      <c r="R9" s="288">
        <f t="shared" ca="1" si="9"/>
        <v>0.7906363172075942</v>
      </c>
      <c r="S9" s="289">
        <f t="shared" ca="1" si="10"/>
        <v>7.734082260540176E-2</v>
      </c>
      <c r="T9" s="290">
        <f t="shared" ca="1" si="11"/>
        <v>311987.87731869693</v>
      </c>
      <c r="U9" s="183" t="b">
        <f t="shared" ca="1" si="12"/>
        <v>0</v>
      </c>
      <c r="V9" s="177">
        <f ca="1">'Summary tables'!T47</f>
        <v>6.1139782978333973E-2</v>
      </c>
      <c r="W9" s="177">
        <f ca="1">'Summary tables'!U47</f>
        <v>6.9919782978333983E-2</v>
      </c>
    </row>
    <row r="10" spans="1:23" ht="16.5" thickTop="1" thickBot="1">
      <c r="A10" s="279" t="s">
        <v>53</v>
      </c>
      <c r="B10" s="279">
        <v>0.72513749999999999</v>
      </c>
      <c r="C10" s="280">
        <f t="shared" si="0"/>
        <v>7</v>
      </c>
      <c r="D10" s="121">
        <f t="shared" ca="1" si="1"/>
        <v>0.93953910157964227</v>
      </c>
      <c r="E10" s="281">
        <v>73079.730390022873</v>
      </c>
      <c r="F10" s="282">
        <f t="shared" ca="1" si="2"/>
        <v>68661.264234324568</v>
      </c>
      <c r="G10" s="125">
        <v>321417</v>
      </c>
      <c r="H10" s="118">
        <v>0</v>
      </c>
      <c r="I10" s="126">
        <f ca="1">'Summary tables'!R29</f>
        <v>4.0110702207863828E-2</v>
      </c>
      <c r="J10" s="126">
        <f ca="1">'Summary tables'!S29</f>
        <v>2.829648874801809E-2</v>
      </c>
      <c r="K10" s="285">
        <f t="shared" ca="1" si="13"/>
        <v>-1.360351125198191E-2</v>
      </c>
      <c r="L10" s="284">
        <f t="shared" ca="1" si="3"/>
        <v>-934.03428058692953</v>
      </c>
      <c r="M10" s="283">
        <f t="shared" ca="1" si="4"/>
        <v>0.92675807083962669</v>
      </c>
      <c r="N10" s="285">
        <f t="shared" ca="1" si="5"/>
        <v>-1.3603511251981892E-2</v>
      </c>
      <c r="O10" s="284">
        <f t="shared" ca="1" si="6"/>
        <v>67727.229953737638</v>
      </c>
      <c r="P10" s="286">
        <f t="shared" ca="1" si="7"/>
        <v>0.71527308385951593</v>
      </c>
      <c r="Q10" s="287">
        <f t="shared" ca="1" si="8"/>
        <v>7</v>
      </c>
      <c r="R10" s="288">
        <f t="shared" ca="1" si="9"/>
        <v>0.93318613066039269</v>
      </c>
      <c r="S10" s="289">
        <f t="shared" ca="1" si="10"/>
        <v>-6.7617951275985577E-3</v>
      </c>
      <c r="T10" s="290">
        <f t="shared" ca="1" si="11"/>
        <v>68196.990832370153</v>
      </c>
      <c r="U10" s="183" t="b">
        <f t="shared" ca="1" si="12"/>
        <v>0</v>
      </c>
      <c r="V10" s="177">
        <f ca="1">'Summary tables'!T48</f>
        <v>-1.0569297792136174E-2</v>
      </c>
      <c r="W10" s="177">
        <f ca="1">'Summary tables'!U48</f>
        <v>-1.360351125198191E-2</v>
      </c>
    </row>
    <row r="11" spans="1:23" ht="16.5" thickTop="1" thickBot="1">
      <c r="A11" s="279" t="s">
        <v>55</v>
      </c>
      <c r="B11" s="279">
        <v>0.9572138</v>
      </c>
      <c r="C11" s="280">
        <f t="shared" si="0"/>
        <v>1</v>
      </c>
      <c r="D11" s="121">
        <f t="shared" ca="1" si="1"/>
        <v>1</v>
      </c>
      <c r="E11" s="281">
        <v>190733.859</v>
      </c>
      <c r="F11" s="282">
        <f t="shared" ca="1" si="2"/>
        <v>190733.859</v>
      </c>
      <c r="G11" s="125">
        <v>777161.00874878757</v>
      </c>
      <c r="H11" s="118">
        <v>1</v>
      </c>
      <c r="I11" s="126">
        <f ca="1">'Summary tables'!R30</f>
        <v>5.2151517542478487E-2</v>
      </c>
      <c r="J11" s="126">
        <f ca="1">'Summary tables'!S30</f>
        <v>4.3554497020526731E-2</v>
      </c>
      <c r="K11" s="285">
        <f t="shared" ca="1" si="13"/>
        <v>1.6544970205267309E-3</v>
      </c>
      <c r="L11" s="284">
        <f t="shared" ca="1" si="3"/>
        <v>315.56860142908408</v>
      </c>
      <c r="M11" s="283">
        <f t="shared" ca="1" si="4"/>
        <v>1.0016544970205268</v>
      </c>
      <c r="N11" s="285">
        <f t="shared" ca="1" si="5"/>
        <v>1.6544970205267795E-3</v>
      </c>
      <c r="O11" s="284">
        <f t="shared" ca="1" si="6"/>
        <v>191049.42760142908</v>
      </c>
      <c r="P11" s="286">
        <f t="shared" ca="1" si="7"/>
        <v>0.95879750738010716</v>
      </c>
      <c r="Q11" s="318">
        <f t="shared" ca="1" si="8"/>
        <v>1</v>
      </c>
      <c r="R11" s="288">
        <f t="shared" ca="1" si="9"/>
        <v>1</v>
      </c>
      <c r="S11" s="289">
        <f t="shared" ca="1" si="10"/>
        <v>0</v>
      </c>
      <c r="T11" s="290">
        <f t="shared" ca="1" si="11"/>
        <v>190733.859</v>
      </c>
      <c r="U11" s="183" t="b">
        <f t="shared" ca="1" si="12"/>
        <v>0</v>
      </c>
      <c r="V11" s="177">
        <f ca="1">'Summary tables'!T49</f>
        <v>1.4715175424784843E-3</v>
      </c>
      <c r="W11" s="177">
        <f ca="1">'Summary tables'!U49</f>
        <v>1.6544970205267309E-3</v>
      </c>
    </row>
    <row r="12" spans="1:23" ht="16.5" thickTop="1" thickBot="1">
      <c r="A12" s="279" t="s">
        <v>57</v>
      </c>
      <c r="B12" s="279">
        <v>0.80943010000000004</v>
      </c>
      <c r="C12" s="280">
        <f t="shared" si="0"/>
        <v>4</v>
      </c>
      <c r="D12" s="121">
        <f t="shared" ca="1" si="1"/>
        <v>1</v>
      </c>
      <c r="E12" s="281">
        <v>248377.48688966606</v>
      </c>
      <c r="F12" s="282">
        <f t="shared" ca="1" si="2"/>
        <v>248377.48688966606</v>
      </c>
      <c r="G12" s="125">
        <v>853939</v>
      </c>
      <c r="H12" s="118">
        <v>1</v>
      </c>
      <c r="I12" s="126">
        <f ca="1">'Summary tables'!R31</f>
        <v>5.6945428375812276E-2</v>
      </c>
      <c r="J12" s="126">
        <f ca="1">'Summary tables'!S31</f>
        <v>4.2751587083990197E-2</v>
      </c>
      <c r="K12" s="285">
        <f t="shared" ca="1" si="13"/>
        <v>8.5158708399019761E-4</v>
      </c>
      <c r="L12" s="284">
        <f t="shared" ca="1" si="3"/>
        <v>211.51505978920613</v>
      </c>
      <c r="M12" s="283">
        <f t="shared" ca="1" si="4"/>
        <v>1.0008515870839902</v>
      </c>
      <c r="N12" s="285">
        <f t="shared" ca="1" si="5"/>
        <v>8.5158708399024619E-4</v>
      </c>
      <c r="O12" s="284">
        <f t="shared" ca="1" si="6"/>
        <v>248589.00194945527</v>
      </c>
      <c r="P12" s="286">
        <f t="shared" ca="1" si="7"/>
        <v>0.810119400218553</v>
      </c>
      <c r="Q12" s="318">
        <f t="shared" ca="1" si="8"/>
        <v>4</v>
      </c>
      <c r="R12" s="288">
        <f t="shared" ca="1" si="9"/>
        <v>1</v>
      </c>
      <c r="S12" s="289">
        <f t="shared" ca="1" si="10"/>
        <v>0</v>
      </c>
      <c r="T12" s="290">
        <f t="shared" ca="1" si="11"/>
        <v>248377.48688966606</v>
      </c>
      <c r="U12" s="183" t="b">
        <f t="shared" ca="1" si="12"/>
        <v>0</v>
      </c>
      <c r="V12" s="177">
        <f ca="1">'Summary tables'!T50</f>
        <v>6.2654283758122736E-3</v>
      </c>
      <c r="W12" s="177">
        <f ca="1">'Summary tables'!U50</f>
        <v>8.5158708399019761E-4</v>
      </c>
    </row>
    <row r="13" spans="1:23" ht="16.5" thickTop="1" thickBot="1">
      <c r="A13" s="279" t="s">
        <v>59</v>
      </c>
      <c r="B13" s="279">
        <v>0.77180130000000002</v>
      </c>
      <c r="C13" s="280">
        <f t="shared" si="0"/>
        <v>5</v>
      </c>
      <c r="D13" s="121">
        <f t="shared" ca="1" si="1"/>
        <v>1</v>
      </c>
      <c r="E13" s="281">
        <v>206141.48558197235</v>
      </c>
      <c r="F13" s="282">
        <f t="shared" ca="1" si="2"/>
        <v>206141.48558197235</v>
      </c>
      <c r="G13" s="125">
        <v>706424</v>
      </c>
      <c r="H13" s="118">
        <v>1</v>
      </c>
      <c r="I13" s="126">
        <f ca="1">'Summary tables'!R32</f>
        <v>3.5958549958995258E-2</v>
      </c>
      <c r="J13" s="126">
        <f ca="1">'Summary tables'!S32</f>
        <v>3.5011706647186044E-2</v>
      </c>
      <c r="K13" s="285">
        <f t="shared" ca="1" si="13"/>
        <v>-6.8882933528139553E-3</v>
      </c>
      <c r="L13" s="284">
        <f t="shared" ca="1" si="3"/>
        <v>-1419.9630248734902</v>
      </c>
      <c r="M13" s="283">
        <f t="shared" ca="1" si="4"/>
        <v>0.99311170664718607</v>
      </c>
      <c r="N13" s="285">
        <f t="shared" ca="1" si="5"/>
        <v>-6.8882933528139345E-3</v>
      </c>
      <c r="O13" s="284">
        <f t="shared" ca="1" si="6"/>
        <v>204721.52255709886</v>
      </c>
      <c r="P13" s="286">
        <f t="shared" ca="1" si="7"/>
        <v>0.76648490623551691</v>
      </c>
      <c r="Q13" s="318">
        <f t="shared" ca="1" si="8"/>
        <v>5</v>
      </c>
      <c r="R13" s="288">
        <f t="shared" ca="1" si="9"/>
        <v>1</v>
      </c>
      <c r="S13" s="289">
        <f t="shared" ca="1" si="10"/>
        <v>0</v>
      </c>
      <c r="T13" s="290">
        <f t="shared" ca="1" si="11"/>
        <v>206141.48558197235</v>
      </c>
      <c r="U13" s="183" t="b">
        <f t="shared" ca="1" si="12"/>
        <v>0</v>
      </c>
      <c r="V13" s="177">
        <f ca="1">'Summary tables'!T51</f>
        <v>-1.4721450041004745E-2</v>
      </c>
      <c r="W13" s="177">
        <f ca="1">'Summary tables'!U51</f>
        <v>-6.8882933528139553E-3</v>
      </c>
    </row>
    <row r="14" spans="1:23" ht="16.5" thickTop="1" thickBot="1">
      <c r="A14" s="279" t="s">
        <v>60</v>
      </c>
      <c r="B14" s="279">
        <v>0.74856579999999995</v>
      </c>
      <c r="C14" s="280">
        <f t="shared" si="0"/>
        <v>6</v>
      </c>
      <c r="D14" s="121">
        <f t="shared" ca="1" si="1"/>
        <v>0.96989445340400426</v>
      </c>
      <c r="E14" s="281">
        <v>64629.211732935008</v>
      </c>
      <c r="F14" s="282">
        <f t="shared" ca="1" si="2"/>
        <v>62683.513987646656</v>
      </c>
      <c r="G14" s="125">
        <v>283059</v>
      </c>
      <c r="H14" s="118">
        <v>0</v>
      </c>
      <c r="I14" s="126">
        <f ca="1">'Summary tables'!R33</f>
        <v>6.2589291451740511E-2</v>
      </c>
      <c r="J14" s="126">
        <f ca="1">'Summary tables'!S33</f>
        <v>5.1125848231113797E-4</v>
      </c>
      <c r="K14" s="285">
        <f t="shared" ca="1" si="13"/>
        <v>-4.1388741517688864E-2</v>
      </c>
      <c r="L14" s="284">
        <f t="shared" ca="1" si="3"/>
        <v>-2594.3917578551482</v>
      </c>
      <c r="M14" s="283">
        <f t="shared" ca="1" si="4"/>
        <v>0.92975174257262572</v>
      </c>
      <c r="N14" s="285">
        <f t="shared" ca="1" si="5"/>
        <v>-4.1388741517689009E-2</v>
      </c>
      <c r="O14" s="284">
        <f t="shared" ca="1" si="6"/>
        <v>60089.122229791508</v>
      </c>
      <c r="P14" s="286">
        <f t="shared" ca="1" si="7"/>
        <v>0.71758360359481799</v>
      </c>
      <c r="Q14" s="287">
        <f t="shared" ca="1" si="8"/>
        <v>6</v>
      </c>
      <c r="R14" s="288">
        <f t="shared" ca="1" si="9"/>
        <v>0.93620056671321705</v>
      </c>
      <c r="S14" s="289">
        <f t="shared" ca="1" si="10"/>
        <v>-3.4739745724426951E-2</v>
      </c>
      <c r="T14" s="290">
        <f t="shared" ca="1" si="11"/>
        <v>60505.90465060225</v>
      </c>
      <c r="U14" s="183" t="b">
        <f t="shared" ca="1" si="12"/>
        <v>0</v>
      </c>
      <c r="V14" s="177">
        <f ca="1">'Summary tables'!T52</f>
        <v>1.1909291451740509E-2</v>
      </c>
      <c r="W14" s="177">
        <f ca="1">'Summary tables'!U52</f>
        <v>-4.1388741517688864E-2</v>
      </c>
    </row>
    <row r="15" spans="1:23" ht="16.5" thickTop="1" thickBot="1">
      <c r="A15" s="279" t="s">
        <v>62</v>
      </c>
      <c r="B15" s="279">
        <v>0.87074419999999997</v>
      </c>
      <c r="C15" s="280">
        <f t="shared" si="0"/>
        <v>3</v>
      </c>
      <c r="D15" s="121">
        <f t="shared" ca="1" si="1"/>
        <v>1</v>
      </c>
      <c r="E15" s="281">
        <v>117721.494565381</v>
      </c>
      <c r="F15" s="282">
        <f t="shared" ca="1" si="2"/>
        <v>117721.494565381</v>
      </c>
      <c r="G15" s="125">
        <v>664549</v>
      </c>
      <c r="H15" s="118">
        <v>1</v>
      </c>
      <c r="I15" s="126">
        <f ca="1">'Summary tables'!R34</f>
        <v>4.649266024409756E-2</v>
      </c>
      <c r="J15" s="126">
        <f ca="1">'Summary tables'!S34</f>
        <v>3.9611548639001175E-2</v>
      </c>
      <c r="K15" s="285">
        <f t="shared" ca="1" si="13"/>
        <v>-2.288451360998825E-3</v>
      </c>
      <c r="L15" s="284">
        <f t="shared" ca="1" si="3"/>
        <v>-269.39991445696796</v>
      </c>
      <c r="M15" s="283">
        <f t="shared" ca="1" si="4"/>
        <v>0.99771154863900113</v>
      </c>
      <c r="N15" s="285">
        <f t="shared" ca="1" si="5"/>
        <v>-2.2884513609988666E-3</v>
      </c>
      <c r="O15" s="284">
        <f t="shared" ca="1" si="6"/>
        <v>117452.09465092403</v>
      </c>
      <c r="P15" s="286">
        <f t="shared" ca="1" si="7"/>
        <v>0.86875154425042811</v>
      </c>
      <c r="Q15" s="318">
        <f t="shared" ca="1" si="8"/>
        <v>3</v>
      </c>
      <c r="R15" s="288">
        <f t="shared" ca="1" si="9"/>
        <v>1</v>
      </c>
      <c r="S15" s="289">
        <f t="shared" ca="1" si="10"/>
        <v>0</v>
      </c>
      <c r="T15" s="290">
        <f t="shared" ca="1" si="11"/>
        <v>117721.494565381</v>
      </c>
      <c r="U15" s="183" t="b">
        <f t="shared" ca="1" si="12"/>
        <v>0</v>
      </c>
      <c r="V15" s="177">
        <f ca="1">'Summary tables'!T53</f>
        <v>-4.1873397559024431E-3</v>
      </c>
      <c r="W15" s="177">
        <f ca="1">'Summary tables'!U53</f>
        <v>-2.288451360998825E-3</v>
      </c>
    </row>
    <row r="16" spans="1:23" ht="16.5" thickTop="1" thickBot="1">
      <c r="B16" s="183" t="s">
        <v>291</v>
      </c>
      <c r="H16" s="183"/>
      <c r="I16" s="183" t="s">
        <v>407</v>
      </c>
      <c r="J16" s="345" t="s">
        <v>409</v>
      </c>
      <c r="K16" s="344" t="s">
        <v>409</v>
      </c>
    </row>
    <row r="17" spans="1:29" ht="16.5" thickTop="1" thickBot="1">
      <c r="B17" s="94">
        <f ca="1">OFFSET(B2,MATCH(5,C3:C15,0),0)</f>
        <v>0.77180130000000002</v>
      </c>
      <c r="I17" s="183" t="s">
        <v>336</v>
      </c>
      <c r="J17" s="258"/>
      <c r="K17" s="186"/>
      <c r="P17" s="94">
        <f ca="1">OFFSET(P2,MATCH(5,Q3:Q15,0),0)</f>
        <v>0.76648490623551691</v>
      </c>
    </row>
    <row r="18" spans="1:29" ht="16.5" thickTop="1" thickBot="1">
      <c r="I18" s="257">
        <f ca="1">IF($K$18=$K$19,I$19,I$20)</f>
        <v>5.0680000000000003E-2</v>
      </c>
      <c r="J18" s="257">
        <f ca="1">IF($K$18=$K$19,J$19,J$20)</f>
        <v>4.19E-2</v>
      </c>
      <c r="K18" s="356" t="s">
        <v>335</v>
      </c>
      <c r="L18" s="357"/>
      <c r="M18" s="358"/>
    </row>
    <row r="19" spans="1:29" ht="15.75" thickTop="1">
      <c r="B19" s="172"/>
      <c r="I19" s="258">
        <f ca="1">'Summary tables'!R37</f>
        <v>5.0680000000000003E-2</v>
      </c>
      <c r="J19" s="258">
        <f ca="1">'Summary tables'!S37</f>
        <v>4.19E-2</v>
      </c>
      <c r="K19" s="345" t="s">
        <v>335</v>
      </c>
      <c r="L19" s="345"/>
      <c r="M19" s="345"/>
    </row>
    <row r="20" spans="1:29" ht="20.25" thickBot="1">
      <c r="A20" s="194" t="s">
        <v>309</v>
      </c>
      <c r="B20" s="194"/>
      <c r="C20" s="194"/>
      <c r="D20" s="194"/>
      <c r="E20" s="194"/>
      <c r="F20" s="194"/>
      <c r="G20" s="194"/>
      <c r="I20" s="254">
        <f ca="1">OFFSET(I$2,MATCH(5,$C$3:$C$15,0),0)</f>
        <v>3.5958549958995258E-2</v>
      </c>
      <c r="J20" s="254">
        <f ca="1">OFFSET(J$2,MATCH(5,$C$3:$C$15,0),0)</f>
        <v>3.5011706647186044E-2</v>
      </c>
      <c r="K20" s="345" t="s">
        <v>333</v>
      </c>
      <c r="L20" s="345"/>
      <c r="M20" s="345"/>
    </row>
    <row r="21" spans="1:29" ht="18.75" thickTop="1" thickBot="1">
      <c r="H21" s="183"/>
      <c r="I21" s="186"/>
      <c r="J21" s="258"/>
      <c r="K21" s="100" t="s">
        <v>329</v>
      </c>
      <c r="L21" s="173"/>
      <c r="M21" s="173"/>
      <c r="N21" s="173"/>
      <c r="O21" s="173"/>
      <c r="P21" s="173"/>
      <c r="Q21" s="100" t="s">
        <v>328</v>
      </c>
      <c r="R21" s="173"/>
      <c r="S21" s="173"/>
      <c r="T21" s="173"/>
      <c r="U21" s="173"/>
      <c r="V21" s="173"/>
    </row>
    <row r="22" spans="1:29" s="184" customFormat="1" ht="46.5" thickTop="1" thickBot="1">
      <c r="A22" s="250"/>
      <c r="B22" s="250" t="s">
        <v>126</v>
      </c>
      <c r="C22" s="259" t="s">
        <v>129</v>
      </c>
      <c r="D22" s="250" t="s">
        <v>308</v>
      </c>
      <c r="E22" s="250" t="s">
        <v>310</v>
      </c>
      <c r="F22" s="250" t="s">
        <v>301</v>
      </c>
      <c r="G22" s="250" t="s">
        <v>311</v>
      </c>
      <c r="H22" s="250" t="s">
        <v>312</v>
      </c>
      <c r="I22" s="255" t="s">
        <v>302</v>
      </c>
      <c r="J22" s="255"/>
      <c r="K22" s="250" t="s">
        <v>313</v>
      </c>
      <c r="L22" s="250" t="s">
        <v>314</v>
      </c>
      <c r="M22" s="255" t="s">
        <v>315</v>
      </c>
      <c r="N22" s="255" t="s">
        <v>316</v>
      </c>
      <c r="O22" s="195" t="s">
        <v>317</v>
      </c>
      <c r="P22" s="250" t="s">
        <v>318</v>
      </c>
      <c r="Q22" s="250" t="s">
        <v>313</v>
      </c>
      <c r="R22" s="250" t="s">
        <v>314</v>
      </c>
      <c r="S22" s="255" t="s">
        <v>315</v>
      </c>
      <c r="T22" s="255" t="s">
        <v>316</v>
      </c>
      <c r="U22" s="195" t="s">
        <v>317</v>
      </c>
      <c r="V22" s="250" t="s">
        <v>318</v>
      </c>
      <c r="W22" s="191" t="s">
        <v>303</v>
      </c>
      <c r="X22" s="190" t="s">
        <v>304</v>
      </c>
      <c r="Y22" s="183"/>
      <c r="Z22" s="183"/>
      <c r="AA22" s="183"/>
      <c r="AB22" s="183"/>
      <c r="AC22" s="183"/>
    </row>
    <row r="23" spans="1:29">
      <c r="A23" s="118" t="s">
        <v>41</v>
      </c>
      <c r="B23" s="282">
        <f t="shared" ref="B23:B35" si="14">E3</f>
        <v>74201.060864726387</v>
      </c>
      <c r="C23" s="293">
        <f t="shared" ref="C23:C35" ca="1" si="15">D3</f>
        <v>0.57145006104550478</v>
      </c>
      <c r="D23" s="282">
        <f t="shared" ref="D23:D35" ca="1" si="16">F3</f>
        <v>42402.200760789106</v>
      </c>
      <c r="E23" s="282">
        <f t="shared" ref="E23:E35" ca="1" si="17">B23-D23</f>
        <v>31798.860103937281</v>
      </c>
      <c r="F23" s="293">
        <f t="shared" ref="F23:F35" si="18">R44</f>
        <v>6.1000000000000013E-2</v>
      </c>
      <c r="G23" s="282">
        <f t="shared" ref="G23:G35" ca="1" si="19">$D23*F23</f>
        <v>2586.5342464081359</v>
      </c>
      <c r="H23" s="152">
        <f t="shared" ref="H23:H35" ca="1" si="20">$C23*(1+F23)</f>
        <v>0.60630851476928049</v>
      </c>
      <c r="I23" s="282">
        <f t="shared" ref="I23:I35" ca="1" si="21">G23+$D23</f>
        <v>44988.73500719724</v>
      </c>
      <c r="J23" s="282"/>
      <c r="K23" s="120">
        <f t="shared" ref="K23:K35" ca="1" si="22">K3</f>
        <v>8.2461663451042291E-3</v>
      </c>
      <c r="L23" s="282">
        <f t="shared" ref="L23:L35" ca="1" si="23">$D23*K23</f>
        <v>349.65560087197207</v>
      </c>
      <c r="M23" s="152">
        <f t="shared" ref="M23:M35" ca="1" si="24">$C23*(1+K23)</f>
        <v>0.576162333306806</v>
      </c>
      <c r="N23" s="282">
        <f t="shared" ref="N23:N35" ca="1" si="25">L23+$D23</f>
        <v>42751.856361661077</v>
      </c>
      <c r="O23" s="282">
        <f t="shared" ref="O23:O35" ca="1" si="26">N23-$I23</f>
        <v>-2236.8786455361624</v>
      </c>
      <c r="P23" s="126">
        <f t="shared" ref="P23:P35" ca="1" si="27">O23/$I23</f>
        <v>-4.9720861126197689E-2</v>
      </c>
      <c r="Q23" s="293">
        <f t="shared" ref="Q23:Q35" ca="1" si="28">K3</f>
        <v>8.2461663451042291E-3</v>
      </c>
      <c r="R23" s="282">
        <f ca="1">T23-D23</f>
        <v>646.18551389726781</v>
      </c>
      <c r="S23" s="293">
        <f t="shared" ref="S23:S35" ca="1" si="29">R3</f>
        <v>0.58015863618400998</v>
      </c>
      <c r="T23" s="282">
        <f t="shared" ref="T23:T35" ca="1" si="30">T3</f>
        <v>43048.386274686374</v>
      </c>
      <c r="U23" s="282">
        <f t="shared" ref="U23:U35" ca="1" si="31">T23-$I23</f>
        <v>-1940.3487325108654</v>
      </c>
      <c r="V23" s="126">
        <f t="shared" ref="V23:V35" ca="1" si="32">U23/$I23</f>
        <v>-4.3129657506494702E-2</v>
      </c>
      <c r="W23" s="292">
        <f t="shared" ref="W23:W35" si="33">H3</f>
        <v>0</v>
      </c>
      <c r="X23" s="292">
        <f t="shared" ref="X23:X35" si="34">1-W23</f>
        <v>1</v>
      </c>
    </row>
    <row r="24" spans="1:29">
      <c r="A24" s="118" t="s">
        <v>42</v>
      </c>
      <c r="B24" s="282">
        <f t="shared" si="14"/>
        <v>652692.37710014719</v>
      </c>
      <c r="C24" s="293">
        <f t="shared" ca="1" si="15"/>
        <v>0.58715202993309279</v>
      </c>
      <c r="D24" s="282">
        <f t="shared" ca="1" si="16"/>
        <v>383229.65413620713</v>
      </c>
      <c r="E24" s="282">
        <f t="shared" ca="1" si="17"/>
        <v>269462.72296394006</v>
      </c>
      <c r="F24" s="293">
        <f t="shared" si="18"/>
        <v>6.9000000000000006E-2</v>
      </c>
      <c r="G24" s="282">
        <f t="shared" ca="1" si="19"/>
        <v>26442.846135398293</v>
      </c>
      <c r="H24" s="152">
        <f t="shared" ca="1" si="20"/>
        <v>0.6276655199984762</v>
      </c>
      <c r="I24" s="282">
        <f t="shared" ca="1" si="21"/>
        <v>409672.50027160544</v>
      </c>
      <c r="J24" s="282"/>
      <c r="K24" s="120">
        <f t="shared" ca="1" si="22"/>
        <v>1.5683039271581142E-2</v>
      </c>
      <c r="L24" s="282">
        <f t="shared" ca="1" si="23"/>
        <v>6010.2057158525949</v>
      </c>
      <c r="M24" s="152">
        <f t="shared" ca="1" si="24"/>
        <v>0.59636035827692213</v>
      </c>
      <c r="N24" s="282">
        <f t="shared" ca="1" si="25"/>
        <v>389239.85985205974</v>
      </c>
      <c r="O24" s="282">
        <f t="shared" ca="1" si="26"/>
        <v>-20432.6404195457</v>
      </c>
      <c r="P24" s="126">
        <f t="shared" ca="1" si="27"/>
        <v>-4.9875547921813715E-2</v>
      </c>
      <c r="Q24" s="293">
        <f t="shared" ca="1" si="28"/>
        <v>1.5683039271581142E-2</v>
      </c>
      <c r="R24" s="282">
        <f t="shared" ref="R24:R35" ca="1" si="35">T24-D24</f>
        <v>8710.0010372883989</v>
      </c>
      <c r="S24" s="293">
        <f t="shared" ca="1" si="29"/>
        <v>0.60049675609028519</v>
      </c>
      <c r="T24" s="282">
        <f t="shared" ca="1" si="30"/>
        <v>391939.65517349553</v>
      </c>
      <c r="U24" s="282">
        <f t="shared" ca="1" si="31"/>
        <v>-17732.845098109916</v>
      </c>
      <c r="V24" s="126">
        <f t="shared" ca="1" si="32"/>
        <v>-4.3285417220714988E-2</v>
      </c>
      <c r="W24" s="292">
        <f t="shared" si="33"/>
        <v>0</v>
      </c>
      <c r="X24" s="292">
        <f t="shared" si="34"/>
        <v>1</v>
      </c>
      <c r="Y24" s="3"/>
    </row>
    <row r="25" spans="1:29">
      <c r="A25" s="118" t="s">
        <v>44</v>
      </c>
      <c r="B25" s="282">
        <f t="shared" si="14"/>
        <v>55839.517999999902</v>
      </c>
      <c r="C25" s="293">
        <f t="shared" ca="1" si="15"/>
        <v>1</v>
      </c>
      <c r="D25" s="282">
        <f t="shared" ca="1" si="16"/>
        <v>55839.517999999902</v>
      </c>
      <c r="E25" s="282">
        <f t="shared" ca="1" si="17"/>
        <v>0</v>
      </c>
      <c r="F25" s="293">
        <f t="shared" si="18"/>
        <v>0</v>
      </c>
      <c r="G25" s="282">
        <f t="shared" ca="1" si="19"/>
        <v>0</v>
      </c>
      <c r="H25" s="152">
        <f t="shared" ca="1" si="20"/>
        <v>1</v>
      </c>
      <c r="I25" s="282">
        <f t="shared" ca="1" si="21"/>
        <v>55839.517999999902</v>
      </c>
      <c r="J25" s="282"/>
      <c r="K25" s="120">
        <f t="shared" ca="1" si="22"/>
        <v>1.3348450055486412E-2</v>
      </c>
      <c r="L25" s="282">
        <f t="shared" ca="1" si="23"/>
        <v>745.37101714543314</v>
      </c>
      <c r="M25" s="152">
        <f t="shared" ca="1" si="24"/>
        <v>1.0133484500554863</v>
      </c>
      <c r="N25" s="282">
        <f t="shared" ca="1" si="25"/>
        <v>56584.889017145339</v>
      </c>
      <c r="O25" s="282">
        <f t="shared" ca="1" si="26"/>
        <v>745.37101714543678</v>
      </c>
      <c r="P25" s="126">
        <f t="shared" ca="1" si="27"/>
        <v>1.3348450055486476E-2</v>
      </c>
      <c r="Q25" s="293">
        <f t="shared" ca="1" si="28"/>
        <v>1.3348450055486412E-2</v>
      </c>
      <c r="R25" s="282">
        <f t="shared" ca="1" si="35"/>
        <v>0</v>
      </c>
      <c r="S25" s="293">
        <f t="shared" ca="1" si="29"/>
        <v>1</v>
      </c>
      <c r="T25" s="282">
        <f t="shared" ca="1" si="30"/>
        <v>55839.517999999902</v>
      </c>
      <c r="U25" s="282">
        <f t="shared" ca="1" si="31"/>
        <v>0</v>
      </c>
      <c r="V25" s="126">
        <f t="shared" ca="1" si="32"/>
        <v>0</v>
      </c>
      <c r="W25" s="292">
        <f t="shared" si="33"/>
        <v>1</v>
      </c>
      <c r="X25" s="292">
        <f t="shared" si="34"/>
        <v>0</v>
      </c>
      <c r="Y25" s="3"/>
      <c r="Z25" s="3"/>
    </row>
    <row r="26" spans="1:29">
      <c r="A26" s="118" t="s">
        <v>45</v>
      </c>
      <c r="B26" s="282">
        <f t="shared" si="14"/>
        <v>273242.04299289902</v>
      </c>
      <c r="C26" s="293">
        <f t="shared" ca="1" si="15"/>
        <v>0.76161804858322979</v>
      </c>
      <c r="D26" s="282">
        <f t="shared" ca="1" si="16"/>
        <v>208106.07157514672</v>
      </c>
      <c r="E26" s="282">
        <f t="shared" ca="1" si="17"/>
        <v>65135.971417752298</v>
      </c>
      <c r="F26" s="293">
        <f t="shared" si="18"/>
        <v>6.3E-2</v>
      </c>
      <c r="G26" s="282">
        <f t="shared" ca="1" si="19"/>
        <v>13110.682509234244</v>
      </c>
      <c r="H26" s="152">
        <f t="shared" ca="1" si="20"/>
        <v>0.80959998564397317</v>
      </c>
      <c r="I26" s="282">
        <f t="shared" ca="1" si="21"/>
        <v>221216.75408438095</v>
      </c>
      <c r="J26" s="282"/>
      <c r="K26" s="120">
        <f t="shared" ca="1" si="22"/>
        <v>4.2239873790945133E-2</v>
      </c>
      <c r="L26" s="282">
        <f t="shared" ca="1" si="23"/>
        <v>8790.3741984635926</v>
      </c>
      <c r="M26" s="152">
        <f t="shared" ca="1" si="24"/>
        <v>0.79378869883229131</v>
      </c>
      <c r="N26" s="282">
        <f t="shared" ca="1" si="25"/>
        <v>216896.44577361032</v>
      </c>
      <c r="O26" s="282">
        <f t="shared" ca="1" si="26"/>
        <v>-4320.3083107706334</v>
      </c>
      <c r="P26" s="126">
        <f t="shared" ca="1" si="27"/>
        <v>-1.9529751842948993E-2</v>
      </c>
      <c r="Q26" s="293">
        <f t="shared" ca="1" si="28"/>
        <v>4.2239873790945133E-2</v>
      </c>
      <c r="R26" s="282">
        <f t="shared" ca="1" si="35"/>
        <v>10294.783355732856</v>
      </c>
      <c r="S26" s="293">
        <f t="shared" ca="1" si="29"/>
        <v>0.79929447364202055</v>
      </c>
      <c r="T26" s="282">
        <f t="shared" ca="1" si="30"/>
        <v>218400.85493087958</v>
      </c>
      <c r="U26" s="282">
        <f t="shared" ca="1" si="31"/>
        <v>-2815.8991535013774</v>
      </c>
      <c r="V26" s="126">
        <f t="shared" ca="1" si="32"/>
        <v>-1.2729140544333637E-2</v>
      </c>
      <c r="W26" s="292">
        <f t="shared" si="33"/>
        <v>0</v>
      </c>
      <c r="X26" s="292">
        <f t="shared" si="34"/>
        <v>1</v>
      </c>
      <c r="Y26" s="3"/>
    </row>
    <row r="27" spans="1:29">
      <c r="A27" s="118" t="s">
        <v>47</v>
      </c>
      <c r="B27" s="282">
        <f t="shared" si="14"/>
        <v>384682.14079713868</v>
      </c>
      <c r="C27" s="293">
        <f t="shared" ca="1" si="15"/>
        <v>0.80857106615394392</v>
      </c>
      <c r="D27" s="282">
        <f t="shared" ca="1" si="16"/>
        <v>311042.84871472401</v>
      </c>
      <c r="E27" s="282">
        <f t="shared" ca="1" si="17"/>
        <v>73639.292082414671</v>
      </c>
      <c r="F27" s="293">
        <f t="shared" si="18"/>
        <v>0.122</v>
      </c>
      <c r="G27" s="282">
        <f t="shared" ca="1" si="19"/>
        <v>37947.227543196328</v>
      </c>
      <c r="H27" s="152">
        <f t="shared" ca="1" si="20"/>
        <v>0.90721673622472498</v>
      </c>
      <c r="I27" s="282">
        <f t="shared" ca="1" si="21"/>
        <v>348990.07625792036</v>
      </c>
      <c r="J27" s="282"/>
      <c r="K27" s="120">
        <f t="shared" ca="1" si="22"/>
        <v>1.5714210397943275E-2</v>
      </c>
      <c r="L27" s="282">
        <f t="shared" ca="1" si="23"/>
        <v>4887.7927674788134</v>
      </c>
      <c r="M27" s="152">
        <f t="shared" ca="1" si="24"/>
        <v>0.82127712200917635</v>
      </c>
      <c r="N27" s="282">
        <f t="shared" ca="1" si="25"/>
        <v>315930.6414822028</v>
      </c>
      <c r="O27" s="282">
        <f t="shared" ca="1" si="26"/>
        <v>-33059.434775717556</v>
      </c>
      <c r="P27" s="126">
        <f t="shared" ca="1" si="27"/>
        <v>-9.4728867738018585E-2</v>
      </c>
      <c r="Q27" s="293">
        <f t="shared" ca="1" si="28"/>
        <v>1.5714210397943275E-2</v>
      </c>
      <c r="R27" s="282">
        <f t="shared" ca="1" si="35"/>
        <v>7079.1101420560735</v>
      </c>
      <c r="S27" s="293">
        <f t="shared" ca="1" si="29"/>
        <v>0.82697355847497234</v>
      </c>
      <c r="T27" s="282">
        <f t="shared" ca="1" si="30"/>
        <v>318121.95885678008</v>
      </c>
      <c r="U27" s="282">
        <f t="shared" ca="1" si="31"/>
        <v>-30868.117401140276</v>
      </c>
      <c r="V27" s="126">
        <f t="shared" ca="1" si="32"/>
        <v>-8.844984284976419E-2</v>
      </c>
      <c r="W27" s="292">
        <f t="shared" si="33"/>
        <v>0</v>
      </c>
      <c r="X27" s="292">
        <f t="shared" si="34"/>
        <v>1</v>
      </c>
      <c r="Y27" s="3"/>
    </row>
    <row r="28" spans="1:29">
      <c r="A28" s="118" t="s">
        <v>49</v>
      </c>
      <c r="B28" s="282">
        <f t="shared" si="14"/>
        <v>365893.45174460608</v>
      </c>
      <c r="C28" s="293">
        <f t="shared" ca="1" si="15"/>
        <v>0.66858231516324207</v>
      </c>
      <c r="D28" s="282">
        <f t="shared" ca="1" si="16"/>
        <v>244629.89107047871</v>
      </c>
      <c r="E28" s="282">
        <f t="shared" ca="1" si="17"/>
        <v>121263.56067412737</v>
      </c>
      <c r="F28" s="293">
        <f t="shared" si="18"/>
        <v>0.18599999999999997</v>
      </c>
      <c r="G28" s="282">
        <f t="shared" ca="1" si="19"/>
        <v>45501.159739109033</v>
      </c>
      <c r="H28" s="152">
        <f t="shared" ca="1" si="20"/>
        <v>0.79293862578360508</v>
      </c>
      <c r="I28" s="282">
        <f t="shared" ca="1" si="21"/>
        <v>290131.05080958776</v>
      </c>
      <c r="J28" s="282"/>
      <c r="K28" s="120">
        <f t="shared" ca="1" si="22"/>
        <v>0.12444000460765367</v>
      </c>
      <c r="L28" s="282">
        <f t="shared" ca="1" si="23"/>
        <v>30441.744771980186</v>
      </c>
      <c r="M28" s="152">
        <f t="shared" ca="1" si="24"/>
        <v>0.75178070154275167</v>
      </c>
      <c r="N28" s="282">
        <f t="shared" ca="1" si="25"/>
        <v>275071.63584245893</v>
      </c>
      <c r="O28" s="282">
        <f t="shared" ca="1" si="26"/>
        <v>-15059.414967128832</v>
      </c>
      <c r="P28" s="126">
        <f t="shared" ca="1" si="27"/>
        <v>-5.1905561039077772E-2</v>
      </c>
      <c r="Q28" s="293">
        <f t="shared" ca="1" si="28"/>
        <v>0.12444000460765367</v>
      </c>
      <c r="R28" s="282">
        <f t="shared" ca="1" si="35"/>
        <v>32349.661180616822</v>
      </c>
      <c r="S28" s="293">
        <f t="shared" ca="1" si="29"/>
        <v>0.75699510589882724</v>
      </c>
      <c r="T28" s="282">
        <f t="shared" ca="1" si="30"/>
        <v>276979.55225109553</v>
      </c>
      <c r="U28" s="282">
        <f t="shared" ca="1" si="31"/>
        <v>-13151.498558492225</v>
      </c>
      <c r="V28" s="126">
        <f t="shared" ca="1" si="32"/>
        <v>-4.5329510653182442E-2</v>
      </c>
      <c r="W28" s="292">
        <f t="shared" si="33"/>
        <v>0</v>
      </c>
      <c r="X28" s="292">
        <f t="shared" si="34"/>
        <v>1</v>
      </c>
      <c r="Y28" s="3"/>
      <c r="Z28" s="3"/>
    </row>
    <row r="29" spans="1:29">
      <c r="A29" s="118" t="s">
        <v>51</v>
      </c>
      <c r="B29" s="282">
        <f t="shared" si="14"/>
        <v>394603.52443787316</v>
      </c>
      <c r="C29" s="293">
        <f t="shared" ca="1" si="15"/>
        <v>0.73387761850103117</v>
      </c>
      <c r="D29" s="282">
        <f t="shared" ca="1" si="16"/>
        <v>289590.69476657984</v>
      </c>
      <c r="E29" s="282">
        <f t="shared" ca="1" si="17"/>
        <v>105012.82967129332</v>
      </c>
      <c r="F29" s="293">
        <f t="shared" si="18"/>
        <v>5.3999999999999992E-2</v>
      </c>
      <c r="G29" s="282">
        <f t="shared" ca="1" si="19"/>
        <v>15637.897517395309</v>
      </c>
      <c r="H29" s="152">
        <f t="shared" ca="1" si="20"/>
        <v>0.77350700990008692</v>
      </c>
      <c r="I29" s="282">
        <f t="shared" ca="1" si="21"/>
        <v>305228.59228397516</v>
      </c>
      <c r="J29" s="282"/>
      <c r="K29" s="120">
        <f t="shared" ca="1" si="22"/>
        <v>6.9919782978333983E-2</v>
      </c>
      <c r="L29" s="282">
        <f t="shared" ca="1" si="23"/>
        <v>20248.118530624222</v>
      </c>
      <c r="M29" s="152">
        <f t="shared" ca="1" si="24"/>
        <v>0.78519018231927984</v>
      </c>
      <c r="N29" s="282">
        <f t="shared" ca="1" si="25"/>
        <v>309838.81329720403</v>
      </c>
      <c r="O29" s="282">
        <f t="shared" ca="1" si="26"/>
        <v>4610.2210132288747</v>
      </c>
      <c r="P29" s="126">
        <f t="shared" ca="1" si="27"/>
        <v>1.5104158423466662E-2</v>
      </c>
      <c r="Q29" s="293">
        <f t="shared" ca="1" si="28"/>
        <v>6.9919782978333983E-2</v>
      </c>
      <c r="R29" s="282">
        <f t="shared" ca="1" si="35"/>
        <v>22397.182552117098</v>
      </c>
      <c r="S29" s="293">
        <f t="shared" ca="1" si="29"/>
        <v>0.7906363172075942</v>
      </c>
      <c r="T29" s="282">
        <f t="shared" ca="1" si="30"/>
        <v>311987.87731869693</v>
      </c>
      <c r="U29" s="282">
        <f t="shared" ca="1" si="31"/>
        <v>6759.2850347217754</v>
      </c>
      <c r="V29" s="126">
        <f t="shared" ca="1" si="32"/>
        <v>2.2144992984252102E-2</v>
      </c>
      <c r="W29" s="292">
        <f t="shared" si="33"/>
        <v>0</v>
      </c>
      <c r="X29" s="292">
        <f t="shared" si="34"/>
        <v>1</v>
      </c>
      <c r="Y29" s="3"/>
      <c r="Z29" s="3"/>
    </row>
    <row r="30" spans="1:29">
      <c r="A30" s="118" t="s">
        <v>53</v>
      </c>
      <c r="B30" s="282">
        <f t="shared" si="14"/>
        <v>73079.730390022873</v>
      </c>
      <c r="C30" s="293">
        <f t="shared" ca="1" si="15"/>
        <v>0.93953910157964227</v>
      </c>
      <c r="D30" s="282">
        <f t="shared" ca="1" si="16"/>
        <v>68661.264234324568</v>
      </c>
      <c r="E30" s="282">
        <f t="shared" ca="1" si="17"/>
        <v>4418.4661556983046</v>
      </c>
      <c r="F30" s="293">
        <f t="shared" si="18"/>
        <v>0</v>
      </c>
      <c r="G30" s="282">
        <f t="shared" ca="1" si="19"/>
        <v>0</v>
      </c>
      <c r="H30" s="152">
        <f t="shared" ca="1" si="20"/>
        <v>0.93953910157964227</v>
      </c>
      <c r="I30" s="282">
        <f t="shared" ca="1" si="21"/>
        <v>68661.264234324568</v>
      </c>
      <c r="J30" s="282"/>
      <c r="K30" s="120">
        <f t="shared" ca="1" si="22"/>
        <v>-1.360351125198191E-2</v>
      </c>
      <c r="L30" s="282">
        <f t="shared" ca="1" si="23"/>
        <v>-934.03428058693737</v>
      </c>
      <c r="M30" s="152">
        <f t="shared" ca="1" si="24"/>
        <v>0.92675807083962669</v>
      </c>
      <c r="N30" s="282">
        <f t="shared" ca="1" si="25"/>
        <v>67727.229953737624</v>
      </c>
      <c r="O30" s="282">
        <f t="shared" ca="1" si="26"/>
        <v>-934.03428058694408</v>
      </c>
      <c r="P30" s="126">
        <f t="shared" ca="1" si="27"/>
        <v>-1.3603511251982009E-2</v>
      </c>
      <c r="Q30" s="293">
        <f t="shared" ca="1" si="28"/>
        <v>-1.360351125198191E-2</v>
      </c>
      <c r="R30" s="282">
        <f t="shared" ca="1" si="35"/>
        <v>-464.27340195441502</v>
      </c>
      <c r="S30" s="293">
        <f t="shared" ca="1" si="29"/>
        <v>0.93318613066039269</v>
      </c>
      <c r="T30" s="282">
        <f t="shared" ca="1" si="30"/>
        <v>68196.990832370153</v>
      </c>
      <c r="U30" s="282">
        <f t="shared" ca="1" si="31"/>
        <v>-464.27340195441502</v>
      </c>
      <c r="V30" s="126">
        <f t="shared" ca="1" si="32"/>
        <v>-6.7617951275985872E-3</v>
      </c>
      <c r="W30" s="292">
        <f t="shared" si="33"/>
        <v>0</v>
      </c>
      <c r="X30" s="292">
        <f t="shared" si="34"/>
        <v>1</v>
      </c>
      <c r="Y30" s="3"/>
    </row>
    <row r="31" spans="1:29">
      <c r="A31" s="118" t="s">
        <v>55</v>
      </c>
      <c r="B31" s="282">
        <f t="shared" si="14"/>
        <v>190733.859</v>
      </c>
      <c r="C31" s="293">
        <f t="shared" ca="1" si="15"/>
        <v>1</v>
      </c>
      <c r="D31" s="282">
        <f t="shared" ca="1" si="16"/>
        <v>190733.859</v>
      </c>
      <c r="E31" s="282">
        <f t="shared" ca="1" si="17"/>
        <v>0</v>
      </c>
      <c r="F31" s="293">
        <f t="shared" si="18"/>
        <v>0</v>
      </c>
      <c r="G31" s="282">
        <f t="shared" ca="1" si="19"/>
        <v>0</v>
      </c>
      <c r="H31" s="152">
        <f t="shared" ca="1" si="20"/>
        <v>1</v>
      </c>
      <c r="I31" s="282">
        <f t="shared" ca="1" si="21"/>
        <v>190733.859</v>
      </c>
      <c r="J31" s="282"/>
      <c r="K31" s="120">
        <f t="shared" ca="1" si="22"/>
        <v>1.6544970205267309E-3</v>
      </c>
      <c r="L31" s="282">
        <f t="shared" ca="1" si="23"/>
        <v>315.56860142906561</v>
      </c>
      <c r="M31" s="152">
        <f t="shared" ca="1" si="24"/>
        <v>1.0016544970205268</v>
      </c>
      <c r="N31" s="282">
        <f t="shared" ca="1" si="25"/>
        <v>191049.42760142905</v>
      </c>
      <c r="O31" s="282">
        <f t="shared" ca="1" si="26"/>
        <v>315.56860142905498</v>
      </c>
      <c r="P31" s="126">
        <f t="shared" ca="1" si="27"/>
        <v>1.6544970205266752E-3</v>
      </c>
      <c r="Q31" s="293">
        <f t="shared" ca="1" si="28"/>
        <v>1.6544970205267309E-3</v>
      </c>
      <c r="R31" s="282">
        <f t="shared" ca="1" si="35"/>
        <v>0</v>
      </c>
      <c r="S31" s="293">
        <f t="shared" ca="1" si="29"/>
        <v>1</v>
      </c>
      <c r="T31" s="282">
        <f t="shared" ca="1" si="30"/>
        <v>190733.859</v>
      </c>
      <c r="U31" s="282">
        <f t="shared" ca="1" si="31"/>
        <v>0</v>
      </c>
      <c r="V31" s="126">
        <f t="shared" ca="1" si="32"/>
        <v>0</v>
      </c>
      <c r="W31" s="292">
        <f t="shared" si="33"/>
        <v>1</v>
      </c>
      <c r="X31" s="292">
        <f t="shared" si="34"/>
        <v>0</v>
      </c>
      <c r="Y31" s="3"/>
      <c r="Z31" s="3"/>
    </row>
    <row r="32" spans="1:29">
      <c r="A32" s="118" t="s">
        <v>57</v>
      </c>
      <c r="B32" s="282">
        <f t="shared" si="14"/>
        <v>248377.48688966606</v>
      </c>
      <c r="C32" s="293">
        <f t="shared" ca="1" si="15"/>
        <v>1</v>
      </c>
      <c r="D32" s="282">
        <f t="shared" ca="1" si="16"/>
        <v>248377.48688966606</v>
      </c>
      <c r="E32" s="282">
        <f t="shared" ca="1" si="17"/>
        <v>0</v>
      </c>
      <c r="F32" s="293">
        <f t="shared" si="18"/>
        <v>0</v>
      </c>
      <c r="G32" s="282">
        <f t="shared" ca="1" si="19"/>
        <v>0</v>
      </c>
      <c r="H32" s="152">
        <f t="shared" ca="1" si="20"/>
        <v>1</v>
      </c>
      <c r="I32" s="282">
        <f t="shared" ca="1" si="21"/>
        <v>248377.48688966606</v>
      </c>
      <c r="J32" s="282"/>
      <c r="K32" s="120">
        <f t="shared" ca="1" si="22"/>
        <v>8.5158708399019761E-4</v>
      </c>
      <c r="L32" s="282">
        <f t="shared" ca="1" si="23"/>
        <v>211.51505978918425</v>
      </c>
      <c r="M32" s="152">
        <f t="shared" ca="1" si="24"/>
        <v>1.0008515870839902</v>
      </c>
      <c r="N32" s="282">
        <f t="shared" ca="1" si="25"/>
        <v>248589.00194945524</v>
      </c>
      <c r="O32" s="282">
        <f t="shared" ca="1" si="26"/>
        <v>211.51505978917703</v>
      </c>
      <c r="P32" s="126">
        <f t="shared" ca="1" si="27"/>
        <v>8.5158708399016856E-4</v>
      </c>
      <c r="Q32" s="293">
        <f t="shared" ca="1" si="28"/>
        <v>8.5158708399019761E-4</v>
      </c>
      <c r="R32" s="282">
        <f t="shared" ca="1" si="35"/>
        <v>0</v>
      </c>
      <c r="S32" s="293">
        <f t="shared" ca="1" si="29"/>
        <v>1</v>
      </c>
      <c r="T32" s="282">
        <f t="shared" ca="1" si="30"/>
        <v>248377.48688966606</v>
      </c>
      <c r="U32" s="282">
        <f t="shared" ca="1" si="31"/>
        <v>0</v>
      </c>
      <c r="V32" s="126">
        <f t="shared" ca="1" si="32"/>
        <v>0</v>
      </c>
      <c r="W32" s="292">
        <f t="shared" si="33"/>
        <v>1</v>
      </c>
      <c r="X32" s="292">
        <f t="shared" si="34"/>
        <v>0</v>
      </c>
      <c r="Y32" s="3"/>
      <c r="Z32" s="3"/>
    </row>
    <row r="33" spans="1:26">
      <c r="A33" s="118" t="s">
        <v>59</v>
      </c>
      <c r="B33" s="282">
        <f t="shared" si="14"/>
        <v>206141.48558197235</v>
      </c>
      <c r="C33" s="293">
        <f t="shared" ca="1" si="15"/>
        <v>1</v>
      </c>
      <c r="D33" s="282">
        <f t="shared" ca="1" si="16"/>
        <v>206141.48558197235</v>
      </c>
      <c r="E33" s="282">
        <f t="shared" ca="1" si="17"/>
        <v>0</v>
      </c>
      <c r="F33" s="293">
        <f t="shared" si="18"/>
        <v>0</v>
      </c>
      <c r="G33" s="282">
        <f t="shared" ca="1" si="19"/>
        <v>0</v>
      </c>
      <c r="H33" s="152">
        <f t="shared" ca="1" si="20"/>
        <v>1</v>
      </c>
      <c r="I33" s="282">
        <f t="shared" ca="1" si="21"/>
        <v>206141.48558197235</v>
      </c>
      <c r="J33" s="282"/>
      <c r="K33" s="120">
        <f t="shared" ca="1" si="22"/>
        <v>-6.8882933528139553E-3</v>
      </c>
      <c r="L33" s="282">
        <f t="shared" ca="1" si="23"/>
        <v>-1419.9630248734939</v>
      </c>
      <c r="M33" s="152">
        <f t="shared" ca="1" si="24"/>
        <v>0.99311170664718607</v>
      </c>
      <c r="N33" s="282">
        <f t="shared" ca="1" si="25"/>
        <v>204721.52255709886</v>
      </c>
      <c r="O33" s="282">
        <f t="shared" ca="1" si="26"/>
        <v>-1419.9630248734902</v>
      </c>
      <c r="P33" s="126">
        <f t="shared" ca="1" si="27"/>
        <v>-6.8882933528139371E-3</v>
      </c>
      <c r="Q33" s="293">
        <f t="shared" ca="1" si="28"/>
        <v>-6.8882933528139553E-3</v>
      </c>
      <c r="R33" s="282">
        <f t="shared" ca="1" si="35"/>
        <v>0</v>
      </c>
      <c r="S33" s="293">
        <f t="shared" ca="1" si="29"/>
        <v>1</v>
      </c>
      <c r="T33" s="282">
        <f t="shared" ca="1" si="30"/>
        <v>206141.48558197235</v>
      </c>
      <c r="U33" s="282">
        <f t="shared" ca="1" si="31"/>
        <v>0</v>
      </c>
      <c r="V33" s="126">
        <f t="shared" ca="1" si="32"/>
        <v>0</v>
      </c>
      <c r="W33" s="292">
        <f t="shared" si="33"/>
        <v>1</v>
      </c>
      <c r="X33" s="292">
        <f t="shared" si="34"/>
        <v>0</v>
      </c>
      <c r="Y33" s="3"/>
      <c r="Z33" s="3"/>
    </row>
    <row r="34" spans="1:26">
      <c r="A34" s="118" t="s">
        <v>60</v>
      </c>
      <c r="B34" s="282">
        <f t="shared" si="14"/>
        <v>64629.211732935008</v>
      </c>
      <c r="C34" s="293">
        <f t="shared" ca="1" si="15"/>
        <v>0.96989445340400426</v>
      </c>
      <c r="D34" s="282">
        <f t="shared" ca="1" si="16"/>
        <v>62683.513987646656</v>
      </c>
      <c r="E34" s="282">
        <f t="shared" ca="1" si="17"/>
        <v>1945.6977452883511</v>
      </c>
      <c r="F34" s="293">
        <f t="shared" si="18"/>
        <v>0</v>
      </c>
      <c r="G34" s="282">
        <f t="shared" ca="1" si="19"/>
        <v>0</v>
      </c>
      <c r="H34" s="152">
        <f t="shared" ca="1" si="20"/>
        <v>0.96989445340400426</v>
      </c>
      <c r="I34" s="282">
        <f t="shared" ca="1" si="21"/>
        <v>62683.513987646656</v>
      </c>
      <c r="J34" s="282"/>
      <c r="K34" s="120">
        <f t="shared" ca="1" si="22"/>
        <v>-4.1388741517688864E-2</v>
      </c>
      <c r="L34" s="282">
        <f t="shared" ca="1" si="23"/>
        <v>-2594.3917578551418</v>
      </c>
      <c r="M34" s="152">
        <f t="shared" ca="1" si="24"/>
        <v>0.92975174257262572</v>
      </c>
      <c r="N34" s="282">
        <f t="shared" ca="1" si="25"/>
        <v>60089.122229791516</v>
      </c>
      <c r="O34" s="282">
        <f t="shared" ca="1" si="26"/>
        <v>-2594.3917578551409</v>
      </c>
      <c r="P34" s="126">
        <f t="shared" ca="1" si="27"/>
        <v>-4.138874151768885E-2</v>
      </c>
      <c r="Q34" s="293">
        <f t="shared" ca="1" si="28"/>
        <v>-4.1388741517688864E-2</v>
      </c>
      <c r="R34" s="282">
        <f t="shared" ca="1" si="35"/>
        <v>-2177.6093370444069</v>
      </c>
      <c r="S34" s="293">
        <f t="shared" ca="1" si="29"/>
        <v>0.93620056671321705</v>
      </c>
      <c r="T34" s="282">
        <f t="shared" ca="1" si="30"/>
        <v>60505.90465060225</v>
      </c>
      <c r="U34" s="282">
        <f t="shared" ca="1" si="31"/>
        <v>-2177.6093370444069</v>
      </c>
      <c r="V34" s="126">
        <f t="shared" ca="1" si="32"/>
        <v>-3.4739745724426979E-2</v>
      </c>
      <c r="W34" s="292">
        <f t="shared" si="33"/>
        <v>0</v>
      </c>
      <c r="X34" s="292">
        <f t="shared" si="34"/>
        <v>1</v>
      </c>
      <c r="Y34" s="3"/>
      <c r="Z34" s="3"/>
    </row>
    <row r="35" spans="1:26">
      <c r="A35" s="118" t="s">
        <v>62</v>
      </c>
      <c r="B35" s="282">
        <f t="shared" si="14"/>
        <v>117721.494565381</v>
      </c>
      <c r="C35" s="293">
        <f t="shared" ca="1" si="15"/>
        <v>1</v>
      </c>
      <c r="D35" s="282">
        <f t="shared" ca="1" si="16"/>
        <v>117721.494565381</v>
      </c>
      <c r="E35" s="282">
        <f t="shared" ca="1" si="17"/>
        <v>0</v>
      </c>
      <c r="F35" s="293">
        <f t="shared" si="18"/>
        <v>0</v>
      </c>
      <c r="G35" s="282">
        <f t="shared" ca="1" si="19"/>
        <v>0</v>
      </c>
      <c r="H35" s="152">
        <f t="shared" ca="1" si="20"/>
        <v>1</v>
      </c>
      <c r="I35" s="282">
        <f t="shared" ca="1" si="21"/>
        <v>117721.494565381</v>
      </c>
      <c r="J35" s="282"/>
      <c r="K35" s="120">
        <f t="shared" ca="1" si="22"/>
        <v>-2.288451360998825E-3</v>
      </c>
      <c r="L35" s="282">
        <f t="shared" ca="1" si="23"/>
        <v>-269.39991445696194</v>
      </c>
      <c r="M35" s="152">
        <f t="shared" ca="1" si="24"/>
        <v>0.99771154863900113</v>
      </c>
      <c r="N35" s="282">
        <f t="shared" ca="1" si="25"/>
        <v>117452.09465092403</v>
      </c>
      <c r="O35" s="282">
        <f t="shared" ca="1" si="26"/>
        <v>-269.39991445696796</v>
      </c>
      <c r="P35" s="126">
        <f t="shared" ca="1" si="27"/>
        <v>-2.2884513609988761E-3</v>
      </c>
      <c r="Q35" s="293">
        <f t="shared" ca="1" si="28"/>
        <v>-2.288451360998825E-3</v>
      </c>
      <c r="R35" s="282">
        <f t="shared" ca="1" si="35"/>
        <v>0</v>
      </c>
      <c r="S35" s="293">
        <f t="shared" ca="1" si="29"/>
        <v>1</v>
      </c>
      <c r="T35" s="282">
        <f t="shared" ca="1" si="30"/>
        <v>117721.494565381</v>
      </c>
      <c r="U35" s="282">
        <f t="shared" ca="1" si="31"/>
        <v>0</v>
      </c>
      <c r="V35" s="126">
        <f t="shared" ca="1" si="32"/>
        <v>0</v>
      </c>
      <c r="W35" s="292">
        <f t="shared" si="33"/>
        <v>1</v>
      </c>
      <c r="X35" s="292">
        <f t="shared" si="34"/>
        <v>0</v>
      </c>
      <c r="Y35" s="3"/>
    </row>
    <row r="36" spans="1:26">
      <c r="H36" s="183"/>
      <c r="I36" s="186"/>
      <c r="J36" s="253"/>
    </row>
    <row r="37" spans="1:26">
      <c r="A37" s="183" t="s">
        <v>305</v>
      </c>
      <c r="B37" s="192">
        <f>SUM(B23:B35)</f>
        <v>3101837.384097368</v>
      </c>
      <c r="C37" s="185">
        <f ca="1">D37/$B37</f>
        <v>0.78313582644172031</v>
      </c>
      <c r="D37" s="192">
        <f ca="1">SUM(D23:D35)</f>
        <v>2429159.9832829162</v>
      </c>
      <c r="E37" s="192">
        <f ca="1">SUM(E23:E35)</f>
        <v>672677.40081445163</v>
      </c>
      <c r="F37" s="185">
        <f ca="1">G37/$D37</f>
        <v>5.8137936020121399E-2</v>
      </c>
      <c r="G37" s="192">
        <f ca="1">SUM(G23:G35)</f>
        <v>141226.34769074136</v>
      </c>
      <c r="H37" s="185">
        <f ca="1">I37/$B37</f>
        <v>0.82866572701445385</v>
      </c>
      <c r="I37" s="192">
        <f ca="1">SUM(I23:I35)</f>
        <v>2570386.3309736573</v>
      </c>
      <c r="J37" s="256"/>
      <c r="K37" s="185">
        <f ca="1">L37/$D37</f>
        <v>2.7492037471985871E-2</v>
      </c>
      <c r="L37" s="192">
        <f ca="1">SUM(L23:L35)</f>
        <v>66782.557285862509</v>
      </c>
      <c r="M37" s="185">
        <f ca="1">N37/$B37</f>
        <v>0.8046658259279108</v>
      </c>
      <c r="N37" s="192">
        <f ca="1">SUM(N23:N35)</f>
        <v>2495942.5405687788</v>
      </c>
      <c r="O37" s="69">
        <f ca="1">N37-$I37</f>
        <v>-74443.790404878557</v>
      </c>
      <c r="P37" s="196">
        <f ca="1">O37/$I37</f>
        <v>-2.8962101730707304E-2</v>
      </c>
      <c r="Q37" s="185">
        <f ca="1">R37/$D37</f>
        <v>3.2453622480709224E-2</v>
      </c>
      <c r="R37" s="192">
        <f ca="1">SUM(R23:R35)</f>
        <v>78835.041042709694</v>
      </c>
      <c r="S37" s="185">
        <f ca="1">T37/$B37</f>
        <v>0.8085514209041782</v>
      </c>
      <c r="T37" s="192">
        <f ca="1">SUM(T23:T35)</f>
        <v>2507995.024325626</v>
      </c>
      <c r="U37" s="69">
        <f ca="1">T37-$I37</f>
        <v>-62391.306648031343</v>
      </c>
      <c r="V37" s="196">
        <f ca="1">U37/$I37</f>
        <v>-2.4273124197792338E-2</v>
      </c>
    </row>
    <row r="38" spans="1:26">
      <c r="A38" s="183" t="s">
        <v>306</v>
      </c>
      <c r="B38" s="192">
        <f>SUMPRODUCT(B23:B35,$W$23:$W$35)</f>
        <v>818813.84403701918</v>
      </c>
      <c r="C38" s="185">
        <f ca="1">D38/$B38</f>
        <v>1</v>
      </c>
      <c r="D38" s="192">
        <f ca="1">SUMPRODUCT(D23:D35,$W$23:$W$35)</f>
        <v>818813.84403701918</v>
      </c>
      <c r="E38" s="192">
        <f ca="1">SUMPRODUCT(E23:E35,$W$23:$W$35)</f>
        <v>0</v>
      </c>
      <c r="F38" s="185">
        <f ca="1">G38/$D38</f>
        <v>0</v>
      </c>
      <c r="G38" s="192">
        <f ca="1">SUMPRODUCT(G23:G35,$W$23:$W$35)</f>
        <v>0</v>
      </c>
      <c r="H38" s="185">
        <f ca="1">I38/$B38</f>
        <v>1</v>
      </c>
      <c r="I38" s="192">
        <f ca="1">SUMPRODUCT(I23:I35,$W$23:$W$35)</f>
        <v>818813.84403701918</v>
      </c>
      <c r="J38" s="256"/>
      <c r="K38" s="185">
        <f ca="1">L38/$D38</f>
        <v>-5.0916122633110235E-4</v>
      </c>
      <c r="L38" s="192">
        <f ca="1">SUMPRODUCT(L23:L35,$W$23:$W$35)</f>
        <v>-416.90826096677267</v>
      </c>
      <c r="M38" s="185">
        <f ca="1">N38/$B38</f>
        <v>0.99949083877366907</v>
      </c>
      <c r="N38" s="192">
        <f ca="1">SUMPRODUCT(N23:N35,$W$23:$W$35)</f>
        <v>818396.93577605253</v>
      </c>
      <c r="O38" s="69">
        <f ca="1">N38-$I38</f>
        <v>-416.90826096665114</v>
      </c>
      <c r="P38" s="196">
        <f ca="1">O38/$I38</f>
        <v>-5.0916122633095392E-4</v>
      </c>
      <c r="Q38" s="185">
        <f ca="1">R38/$D38</f>
        <v>0</v>
      </c>
      <c r="R38" s="192">
        <f ca="1">SUMPRODUCT(R23:R35,$W$23:$W$35)</f>
        <v>0</v>
      </c>
      <c r="S38" s="185">
        <f ca="1">T38/$B38</f>
        <v>1</v>
      </c>
      <c r="T38" s="192">
        <f ca="1">SUMPRODUCT(T23:T35,$W$23:$W$35)</f>
        <v>818813.84403701918</v>
      </c>
      <c r="U38" s="69">
        <f ca="1">T38-$I38</f>
        <v>0</v>
      </c>
      <c r="V38" s="196">
        <f ca="1">U38/$I38</f>
        <v>0</v>
      </c>
    </row>
    <row r="39" spans="1:26">
      <c r="A39" s="183" t="s">
        <v>319</v>
      </c>
      <c r="B39" s="192">
        <f>SUMPRODUCT(B23:B35,$X$23:$X$35)</f>
        <v>2283023.5400603483</v>
      </c>
      <c r="C39" s="185">
        <f ca="1">D39/$B39</f>
        <v>0.70535678278785063</v>
      </c>
      <c r="D39" s="192">
        <f ca="1">SUMPRODUCT(D23:D35,$X$23:$X$35)</f>
        <v>1610346.1392458968</v>
      </c>
      <c r="E39" s="192">
        <f ca="1">SUMPRODUCT(E23:E35,$X$23:$X$35)</f>
        <v>672677.40081445163</v>
      </c>
      <c r="F39" s="185">
        <f ca="1">G39/$D39</f>
        <v>8.769937359981235E-2</v>
      </c>
      <c r="G39" s="192">
        <f ca="1">SUMPRODUCT(G23:G35,$X$23:$X$35)</f>
        <v>141226.34769074136</v>
      </c>
      <c r="H39" s="185">
        <f ca="1">I39/$B39</f>
        <v>0.76721613080272388</v>
      </c>
      <c r="I39" s="192">
        <f ca="1">SUMPRODUCT(I23:I35,$X$23:$X$35)</f>
        <v>1751572.4869366379</v>
      </c>
      <c r="J39" s="256"/>
      <c r="K39" s="185">
        <f ca="1">L39/$D39</f>
        <v>4.1729826842257581E-2</v>
      </c>
      <c r="L39" s="192">
        <f ca="1">SUMPRODUCT(L23:L35,$X$23:$X$35)</f>
        <v>67199.465546829291</v>
      </c>
      <c r="M39" s="185">
        <f ca="1">N39/$B39</f>
        <v>0.73479119919559943</v>
      </c>
      <c r="N39" s="192">
        <f ca="1">SUMPRODUCT(N23:N35,$X$23:$X$35)</f>
        <v>1677545.604792726</v>
      </c>
      <c r="O39" s="69">
        <f ca="1">N39-$I39</f>
        <v>-74026.882143911906</v>
      </c>
      <c r="P39" s="196">
        <f ca="1">O39/$I39</f>
        <v>-4.2263099412676371E-2</v>
      </c>
      <c r="Q39" s="185">
        <f ca="1">R39/$D39</f>
        <v>4.8955338930813393E-2</v>
      </c>
      <c r="R39" s="192">
        <f ca="1">SUMPRODUCT(R23:R35,$X$23:$X$35)</f>
        <v>78835.041042709694</v>
      </c>
      <c r="S39" s="185">
        <f ca="1">T39/$B39</f>
        <v>0.73988776315637794</v>
      </c>
      <c r="T39" s="192">
        <f ca="1">SUMPRODUCT(T23:T35,$X$23:$X$35)</f>
        <v>1689181.1802886066</v>
      </c>
      <c r="U39" s="69">
        <f ca="1">T39-$I39</f>
        <v>-62391.306648031343</v>
      </c>
      <c r="V39" s="196">
        <f ca="1">U39/$I39</f>
        <v>-3.562016822789265E-2</v>
      </c>
    </row>
    <row r="40" spans="1:26">
      <c r="H40" s="183"/>
      <c r="I40" s="186"/>
      <c r="J40" s="253"/>
    </row>
    <row r="42" spans="1:26" ht="20.25" thickBot="1">
      <c r="A42" s="197" t="s">
        <v>320</v>
      </c>
      <c r="B42" s="197"/>
      <c r="C42" s="198"/>
      <c r="D42" s="198"/>
      <c r="E42" s="199"/>
      <c r="F42" s="199"/>
      <c r="G42" s="199"/>
      <c r="I42" s="186"/>
      <c r="J42" s="186"/>
      <c r="K42" s="186"/>
      <c r="L42" s="186"/>
      <c r="M42" s="186"/>
      <c r="N42" s="186"/>
      <c r="O42" s="186"/>
      <c r="P42" s="186"/>
      <c r="Q42" s="186"/>
      <c r="R42" s="186"/>
      <c r="S42" s="186"/>
      <c r="T42" s="186"/>
    </row>
    <row r="43" spans="1:26" ht="61.5" thickTop="1" thickBot="1">
      <c r="A43" s="190"/>
      <c r="B43" s="190" t="s">
        <v>28</v>
      </c>
      <c r="C43" s="190"/>
      <c r="D43" s="190"/>
      <c r="E43" s="190" t="s">
        <v>135</v>
      </c>
      <c r="F43" s="190" t="s">
        <v>136</v>
      </c>
      <c r="G43" s="190" t="s">
        <v>137</v>
      </c>
      <c r="H43" s="190" t="s">
        <v>138</v>
      </c>
      <c r="I43" s="190" t="s">
        <v>139</v>
      </c>
      <c r="J43" s="190" t="s">
        <v>140</v>
      </c>
      <c r="K43" s="132" t="s">
        <v>141</v>
      </c>
      <c r="L43" s="190" t="s">
        <v>142</v>
      </c>
      <c r="M43" s="190" t="s">
        <v>143</v>
      </c>
      <c r="N43" s="190" t="s">
        <v>144</v>
      </c>
      <c r="O43" s="190" t="s">
        <v>145</v>
      </c>
      <c r="P43" s="190" t="s">
        <v>146</v>
      </c>
      <c r="Q43" s="190" t="s">
        <v>19</v>
      </c>
      <c r="R43" s="190" t="s">
        <v>321</v>
      </c>
      <c r="S43" s="186"/>
      <c r="T43" s="193"/>
    </row>
    <row r="44" spans="1:26">
      <c r="A44" s="81" t="s">
        <v>0</v>
      </c>
      <c r="B44" s="183" t="s">
        <v>408</v>
      </c>
      <c r="E44" s="112">
        <f>E61*100</f>
        <v>5.6000000000000005</v>
      </c>
      <c r="F44" s="112"/>
      <c r="G44" s="112">
        <v>8.5</v>
      </c>
      <c r="H44" s="112"/>
      <c r="I44" s="112"/>
      <c r="J44" s="112"/>
      <c r="K44" s="112"/>
      <c r="L44" s="112">
        <f>L61*100</f>
        <v>0.5</v>
      </c>
      <c r="M44" s="112">
        <f>M61*100</f>
        <v>4</v>
      </c>
      <c r="N44" s="112"/>
      <c r="O44" s="112"/>
      <c r="P44" s="112"/>
      <c r="Q44" s="189">
        <f>SUM(E44:P44)-G44-M44</f>
        <v>6.1000000000000014</v>
      </c>
      <c r="R44" s="187">
        <f t="shared" ref="R44:R56" si="36">Q44/100</f>
        <v>6.1000000000000013E-2</v>
      </c>
    </row>
    <row r="45" spans="1:26">
      <c r="A45" s="119" t="s">
        <v>1</v>
      </c>
      <c r="B45" s="183" t="s">
        <v>43</v>
      </c>
      <c r="E45" s="112"/>
      <c r="F45" s="112"/>
      <c r="G45" s="112"/>
      <c r="H45" s="112"/>
      <c r="I45" s="112"/>
      <c r="J45" s="112"/>
      <c r="K45" s="112">
        <f t="shared" ref="K45:L45" si="37">K62*100</f>
        <v>1.2</v>
      </c>
      <c r="L45" s="112">
        <f t="shared" si="37"/>
        <v>0.5</v>
      </c>
      <c r="M45" s="112"/>
      <c r="N45" s="112">
        <f>N62*100</f>
        <v>5.2</v>
      </c>
      <c r="O45" s="112"/>
      <c r="P45" s="112">
        <f>P62*100</f>
        <v>0</v>
      </c>
      <c r="Q45" s="189">
        <f t="shared" ref="Q45:Q56" si="38">SUM(E45:P45)-G45</f>
        <v>6.9</v>
      </c>
      <c r="R45" s="187">
        <f t="shared" si="36"/>
        <v>6.9000000000000006E-2</v>
      </c>
    </row>
    <row r="46" spans="1:26">
      <c r="A46" s="119" t="s">
        <v>2</v>
      </c>
      <c r="B46" s="183" t="s">
        <v>411</v>
      </c>
      <c r="E46" s="111"/>
      <c r="F46" s="111"/>
      <c r="G46" s="111"/>
      <c r="H46" s="111"/>
      <c r="I46" s="111"/>
      <c r="J46" s="111"/>
      <c r="K46" s="111"/>
      <c r="L46" s="111"/>
      <c r="M46" s="111"/>
      <c r="N46" s="111"/>
      <c r="O46" s="111"/>
      <c r="P46" s="111"/>
      <c r="Q46" s="189">
        <f t="shared" si="38"/>
        <v>0</v>
      </c>
      <c r="R46" s="187">
        <f t="shared" si="36"/>
        <v>0</v>
      </c>
    </row>
    <row r="47" spans="1:26">
      <c r="A47" s="119" t="s">
        <v>3</v>
      </c>
      <c r="B47" s="183" t="s">
        <v>46</v>
      </c>
      <c r="E47" s="112"/>
      <c r="F47" s="112"/>
      <c r="G47" s="112"/>
      <c r="H47" s="112"/>
      <c r="I47" s="112"/>
      <c r="J47" s="112"/>
      <c r="K47" s="112">
        <f>K64*100</f>
        <v>0.70000000000000007</v>
      </c>
      <c r="L47" s="112">
        <f t="shared" ref="L47:L50" si="39">L64*100</f>
        <v>0.5</v>
      </c>
      <c r="M47" s="112"/>
      <c r="N47" s="112">
        <f t="shared" ref="N47:O50" si="40">N64*100</f>
        <v>4.9000000000000004</v>
      </c>
      <c r="O47" s="112"/>
      <c r="P47" s="112">
        <f t="shared" ref="P47:P50" si="41">P64*100</f>
        <v>0.2</v>
      </c>
      <c r="Q47" s="189">
        <f t="shared" si="38"/>
        <v>6.3000000000000007</v>
      </c>
      <c r="R47" s="187">
        <f t="shared" si="36"/>
        <v>6.3E-2</v>
      </c>
    </row>
    <row r="48" spans="1:26">
      <c r="A48" s="119" t="s">
        <v>4</v>
      </c>
      <c r="B48" s="183" t="s">
        <v>48</v>
      </c>
      <c r="E48" s="112"/>
      <c r="F48" s="112">
        <f t="shared" ref="F48:F49" si="42">F65*100</f>
        <v>-0.5</v>
      </c>
      <c r="G48" s="112"/>
      <c r="H48" s="112"/>
      <c r="I48" s="112">
        <f t="shared" ref="I48:J48" si="43">I65*100</f>
        <v>3.4000000000000004</v>
      </c>
      <c r="J48" s="112">
        <f t="shared" si="43"/>
        <v>2.7</v>
      </c>
      <c r="K48" s="112"/>
      <c r="L48" s="112">
        <f t="shared" si="39"/>
        <v>0.5</v>
      </c>
      <c r="M48" s="112"/>
      <c r="N48" s="112">
        <f t="shared" si="40"/>
        <v>3.2</v>
      </c>
      <c r="O48" s="112">
        <f t="shared" si="40"/>
        <v>2.7</v>
      </c>
      <c r="P48" s="112">
        <f t="shared" si="41"/>
        <v>0.2</v>
      </c>
      <c r="Q48" s="189">
        <f t="shared" si="38"/>
        <v>12.2</v>
      </c>
      <c r="R48" s="187">
        <f t="shared" si="36"/>
        <v>0.122</v>
      </c>
    </row>
    <row r="49" spans="1:18">
      <c r="A49" s="119" t="s">
        <v>5</v>
      </c>
      <c r="B49" s="183" t="s">
        <v>50</v>
      </c>
      <c r="E49" s="112"/>
      <c r="F49" s="112">
        <f t="shared" si="42"/>
        <v>-2.6</v>
      </c>
      <c r="G49" s="112"/>
      <c r="H49" s="112">
        <f t="shared" ref="H49:K49" si="44">H66*100</f>
        <v>5.4</v>
      </c>
      <c r="I49" s="112">
        <f>I66*100</f>
        <v>4.1000000000000005</v>
      </c>
      <c r="J49" s="112">
        <f t="shared" si="44"/>
        <v>3</v>
      </c>
      <c r="K49" s="112">
        <f t="shared" si="44"/>
        <v>0.70000000000000007</v>
      </c>
      <c r="L49" s="112">
        <f t="shared" si="39"/>
        <v>1.2</v>
      </c>
      <c r="M49" s="112"/>
      <c r="N49" s="112">
        <f t="shared" si="40"/>
        <v>4.5999999999999996</v>
      </c>
      <c r="O49" s="112">
        <f t="shared" si="40"/>
        <v>1.7000000000000002</v>
      </c>
      <c r="P49" s="112">
        <f t="shared" si="41"/>
        <v>0.5</v>
      </c>
      <c r="Q49" s="189">
        <f t="shared" si="38"/>
        <v>18.599999999999998</v>
      </c>
      <c r="R49" s="187">
        <f t="shared" si="36"/>
        <v>0.18599999999999997</v>
      </c>
    </row>
    <row r="50" spans="1:18">
      <c r="A50" s="119" t="s">
        <v>6</v>
      </c>
      <c r="B50" s="183" t="s">
        <v>52</v>
      </c>
      <c r="E50" s="112"/>
      <c r="F50" s="112"/>
      <c r="G50" s="112"/>
      <c r="H50" s="112"/>
      <c r="I50" s="112"/>
      <c r="J50" s="112"/>
      <c r="K50" s="112">
        <f>K67*100</f>
        <v>1.2</v>
      </c>
      <c r="L50" s="112">
        <f t="shared" si="39"/>
        <v>0.5</v>
      </c>
      <c r="M50" s="112"/>
      <c r="N50" s="112">
        <f t="shared" si="40"/>
        <v>3.1</v>
      </c>
      <c r="O50" s="112"/>
      <c r="P50" s="112">
        <f t="shared" si="41"/>
        <v>0.6</v>
      </c>
      <c r="Q50" s="189">
        <f t="shared" si="38"/>
        <v>5.3999999999999995</v>
      </c>
      <c r="R50" s="187">
        <f t="shared" si="36"/>
        <v>5.3999999999999992E-2</v>
      </c>
    </row>
    <row r="51" spans="1:18">
      <c r="A51" s="119" t="s">
        <v>7</v>
      </c>
      <c r="B51" s="183" t="s">
        <v>54</v>
      </c>
      <c r="E51" s="111"/>
      <c r="F51" s="111"/>
      <c r="G51" s="111"/>
      <c r="H51" s="111"/>
      <c r="I51" s="111"/>
      <c r="J51" s="111"/>
      <c r="K51" s="111"/>
      <c r="L51" s="111"/>
      <c r="M51" s="111"/>
      <c r="N51" s="111"/>
      <c r="O51" s="113"/>
      <c r="P51" s="113"/>
      <c r="Q51" s="189">
        <f t="shared" si="38"/>
        <v>0</v>
      </c>
      <c r="R51" s="187">
        <f t="shared" si="36"/>
        <v>0</v>
      </c>
    </row>
    <row r="52" spans="1:18">
      <c r="A52" s="119" t="s">
        <v>8</v>
      </c>
      <c r="B52" s="183" t="s">
        <v>56</v>
      </c>
      <c r="E52" s="111"/>
      <c r="F52" s="111"/>
      <c r="G52" s="111"/>
      <c r="H52" s="111"/>
      <c r="I52" s="111"/>
      <c r="J52" s="111"/>
      <c r="K52" s="111"/>
      <c r="L52" s="111"/>
      <c r="M52" s="111"/>
      <c r="N52" s="111"/>
      <c r="O52" s="113"/>
      <c r="P52" s="113"/>
      <c r="Q52" s="189">
        <f t="shared" si="38"/>
        <v>0</v>
      </c>
      <c r="R52" s="187">
        <f t="shared" si="36"/>
        <v>0</v>
      </c>
    </row>
    <row r="53" spans="1:18">
      <c r="A53" s="119" t="s">
        <v>9</v>
      </c>
      <c r="B53" s="183" t="s">
        <v>58</v>
      </c>
      <c r="E53" s="111"/>
      <c r="F53" s="111"/>
      <c r="G53" s="111"/>
      <c r="H53" s="111"/>
      <c r="I53" s="111"/>
      <c r="J53" s="111"/>
      <c r="K53" s="111"/>
      <c r="L53" s="111"/>
      <c r="M53" s="111"/>
      <c r="N53" s="111"/>
      <c r="O53" s="113"/>
      <c r="P53" s="113"/>
      <c r="Q53" s="189">
        <f t="shared" si="38"/>
        <v>0</v>
      </c>
      <c r="R53" s="187">
        <f t="shared" si="36"/>
        <v>0</v>
      </c>
    </row>
    <row r="54" spans="1:18">
      <c r="A54" s="119" t="s">
        <v>10</v>
      </c>
      <c r="B54" s="183" t="s">
        <v>239</v>
      </c>
      <c r="E54" s="111"/>
      <c r="F54" s="111"/>
      <c r="G54" s="111"/>
      <c r="H54" s="111"/>
      <c r="I54" s="111"/>
      <c r="J54" s="111"/>
      <c r="K54" s="111"/>
      <c r="L54" s="111"/>
      <c r="M54" s="111"/>
      <c r="N54" s="111"/>
      <c r="O54" s="113"/>
      <c r="P54" s="113"/>
      <c r="Q54" s="189">
        <f t="shared" si="38"/>
        <v>0</v>
      </c>
      <c r="R54" s="187">
        <f t="shared" si="36"/>
        <v>0</v>
      </c>
    </row>
    <row r="55" spans="1:18">
      <c r="A55" s="119" t="s">
        <v>11</v>
      </c>
      <c r="B55" s="183" t="s">
        <v>61</v>
      </c>
      <c r="E55" s="111"/>
      <c r="F55" s="111"/>
      <c r="G55" s="111"/>
      <c r="H55" s="111"/>
      <c r="I55" s="111"/>
      <c r="J55" s="111"/>
      <c r="K55" s="111"/>
      <c r="L55" s="111"/>
      <c r="M55" s="111"/>
      <c r="N55" s="111"/>
      <c r="O55" s="113"/>
      <c r="P55" s="113"/>
      <c r="Q55" s="189">
        <f t="shared" si="38"/>
        <v>0</v>
      </c>
      <c r="R55" s="187">
        <f t="shared" si="36"/>
        <v>0</v>
      </c>
    </row>
    <row r="56" spans="1:18">
      <c r="A56" s="119" t="s">
        <v>12</v>
      </c>
      <c r="B56" s="183" t="s">
        <v>63</v>
      </c>
      <c r="E56" s="111"/>
      <c r="F56" s="111"/>
      <c r="G56" s="111"/>
      <c r="H56" s="111"/>
      <c r="I56" s="111"/>
      <c r="J56" s="111"/>
      <c r="K56" s="111"/>
      <c r="L56" s="111"/>
      <c r="M56" s="111"/>
      <c r="N56" s="111"/>
      <c r="O56" s="113"/>
      <c r="P56" s="113"/>
      <c r="Q56" s="189">
        <f t="shared" si="38"/>
        <v>0</v>
      </c>
      <c r="R56" s="187">
        <f t="shared" si="36"/>
        <v>0</v>
      </c>
    </row>
    <row r="57" spans="1:18">
      <c r="J57" s="183"/>
      <c r="Q57" s="186"/>
    </row>
    <row r="58" spans="1:18">
      <c r="J58" s="183"/>
    </row>
    <row r="59" spans="1:18">
      <c r="H59" s="183"/>
      <c r="J59" s="183"/>
    </row>
    <row r="60" spans="1:18" ht="45">
      <c r="B60" s="200" t="s">
        <v>35</v>
      </c>
      <c r="C60" s="201"/>
      <c r="D60" s="201"/>
      <c r="E60" s="202" t="s">
        <v>135</v>
      </c>
      <c r="F60" s="202" t="s">
        <v>136</v>
      </c>
      <c r="G60" s="203" t="s">
        <v>286</v>
      </c>
      <c r="H60" s="202" t="s">
        <v>138</v>
      </c>
      <c r="I60" s="203" t="s">
        <v>285</v>
      </c>
      <c r="J60" s="203" t="s">
        <v>284</v>
      </c>
      <c r="K60" s="203" t="s">
        <v>141</v>
      </c>
      <c r="L60" s="202" t="s">
        <v>142</v>
      </c>
      <c r="M60" s="203" t="s">
        <v>287</v>
      </c>
      <c r="N60" s="202" t="s">
        <v>282</v>
      </c>
      <c r="O60" s="202" t="s">
        <v>145</v>
      </c>
      <c r="P60" s="203" t="s">
        <v>283</v>
      </c>
    </row>
    <row r="61" spans="1:18" ht="15.75">
      <c r="B61" s="204" t="s">
        <v>408</v>
      </c>
      <c r="C61" s="201"/>
      <c r="D61" s="201"/>
      <c r="E61" s="205">
        <v>5.6000000000000001E-2</v>
      </c>
      <c r="F61" s="206"/>
      <c r="G61" s="207">
        <v>8.5000000000000006E-2</v>
      </c>
      <c r="H61" s="206"/>
      <c r="I61" s="208"/>
      <c r="J61" s="208"/>
      <c r="K61" s="208"/>
      <c r="L61" s="205">
        <v>5.0000000000000001E-3</v>
      </c>
      <c r="M61" s="207">
        <v>0.04</v>
      </c>
      <c r="N61" s="206"/>
      <c r="O61" s="206"/>
      <c r="P61" s="208"/>
    </row>
    <row r="62" spans="1:18" ht="15.75">
      <c r="B62" s="204" t="s">
        <v>43</v>
      </c>
      <c r="C62" s="201"/>
      <c r="D62" s="201"/>
      <c r="E62" s="206"/>
      <c r="F62" s="206"/>
      <c r="G62" s="208"/>
      <c r="H62" s="206"/>
      <c r="I62" s="208"/>
      <c r="J62" s="208"/>
      <c r="K62" s="207">
        <v>1.2E-2</v>
      </c>
      <c r="L62" s="205">
        <v>5.0000000000000001E-3</v>
      </c>
      <c r="M62" s="208"/>
      <c r="N62" s="205">
        <v>5.1999999999999998E-2</v>
      </c>
      <c r="O62" s="206"/>
      <c r="P62" s="207">
        <v>0</v>
      </c>
    </row>
    <row r="63" spans="1:18" ht="15.75">
      <c r="B63" s="201"/>
      <c r="C63" s="201"/>
      <c r="D63" s="201"/>
      <c r="E63" s="201"/>
      <c r="F63" s="201"/>
      <c r="G63" s="201"/>
      <c r="H63" s="201"/>
      <c r="I63" s="201"/>
      <c r="J63" s="201"/>
      <c r="K63" s="201"/>
      <c r="L63" s="201"/>
      <c r="M63" s="201"/>
      <c r="N63" s="201"/>
      <c r="O63" s="201"/>
      <c r="P63" s="201"/>
    </row>
    <row r="64" spans="1:18" ht="15.75">
      <c r="B64" s="204" t="s">
        <v>46</v>
      </c>
      <c r="C64" s="201"/>
      <c r="D64" s="201"/>
      <c r="E64" s="206"/>
      <c r="F64" s="206"/>
      <c r="G64" s="208"/>
      <c r="H64" s="206"/>
      <c r="I64" s="208"/>
      <c r="J64" s="208"/>
      <c r="K64" s="207">
        <v>7.0000000000000001E-3</v>
      </c>
      <c r="L64" s="205">
        <v>5.0000000000000001E-3</v>
      </c>
      <c r="M64" s="208"/>
      <c r="N64" s="205">
        <v>4.9000000000000002E-2</v>
      </c>
      <c r="O64" s="206"/>
      <c r="P64" s="207">
        <v>2E-3</v>
      </c>
    </row>
    <row r="65" spans="2:16" ht="15.75">
      <c r="B65" s="204" t="s">
        <v>48</v>
      </c>
      <c r="C65" s="201"/>
      <c r="D65" s="201"/>
      <c r="E65" s="206"/>
      <c r="F65" s="205">
        <v>-5.0000000000000001E-3</v>
      </c>
      <c r="G65" s="208"/>
      <c r="H65" s="206"/>
      <c r="I65" s="207">
        <v>3.4000000000000002E-2</v>
      </c>
      <c r="J65" s="207">
        <v>2.7E-2</v>
      </c>
      <c r="K65" s="208"/>
      <c r="L65" s="205">
        <v>5.0000000000000001E-3</v>
      </c>
      <c r="M65" s="208"/>
      <c r="N65" s="205">
        <v>3.2000000000000001E-2</v>
      </c>
      <c r="O65" s="205">
        <v>2.7E-2</v>
      </c>
      <c r="P65" s="207">
        <v>2E-3</v>
      </c>
    </row>
    <row r="66" spans="2:16" ht="15.75">
      <c r="B66" s="204" t="s">
        <v>50</v>
      </c>
      <c r="C66" s="201"/>
      <c r="D66" s="201"/>
      <c r="E66" s="206"/>
      <c r="F66" s="205">
        <v>-2.5999999999999999E-2</v>
      </c>
      <c r="G66" s="208"/>
      <c r="H66" s="205">
        <v>5.3999999999999999E-2</v>
      </c>
      <c r="I66" s="207">
        <v>4.1000000000000002E-2</v>
      </c>
      <c r="J66" s="207">
        <v>0.03</v>
      </c>
      <c r="K66" s="207">
        <v>7.0000000000000001E-3</v>
      </c>
      <c r="L66" s="205">
        <v>1.2E-2</v>
      </c>
      <c r="M66" s="208"/>
      <c r="N66" s="205">
        <v>4.5999999999999999E-2</v>
      </c>
      <c r="O66" s="205">
        <v>1.7000000000000001E-2</v>
      </c>
      <c r="P66" s="207">
        <v>5.0000000000000001E-3</v>
      </c>
    </row>
    <row r="67" spans="2:16" ht="15.75">
      <c r="B67" s="204" t="s">
        <v>52</v>
      </c>
      <c r="C67" s="201"/>
      <c r="D67" s="201"/>
      <c r="E67" s="206"/>
      <c r="F67" s="206"/>
      <c r="G67" s="208"/>
      <c r="H67" s="206"/>
      <c r="I67" s="208"/>
      <c r="J67" s="208"/>
      <c r="K67" s="207">
        <v>1.2E-2</v>
      </c>
      <c r="L67" s="205">
        <v>5.0000000000000001E-3</v>
      </c>
      <c r="M67" s="208"/>
      <c r="N67" s="205">
        <v>3.1E-2</v>
      </c>
      <c r="O67" s="206"/>
      <c r="P67" s="207">
        <v>6.0000000000000001E-3</v>
      </c>
    </row>
    <row r="68" spans="2:16">
      <c r="J68" s="183"/>
    </row>
    <row r="69" spans="2:16">
      <c r="J69" s="183"/>
    </row>
    <row r="70" spans="2:16">
      <c r="J70" s="183"/>
    </row>
    <row r="71" spans="2:16">
      <c r="J71" s="183"/>
    </row>
    <row r="72" spans="2:16">
      <c r="J72" s="183"/>
    </row>
    <row r="73" spans="2:16">
      <c r="J73" s="183"/>
    </row>
    <row r="74" spans="2:16">
      <c r="J74" s="183"/>
    </row>
  </sheetData>
  <sortState ref="B59:P72">
    <sortCondition ref="B59:B72"/>
  </sortState>
  <dataConsolidate/>
  <mergeCells count="1">
    <mergeCell ref="K18:M18"/>
  </mergeCells>
  <conditionalFormatting sqref="W23:W35">
    <cfRule type="cellIs" dxfId="1" priority="2" operator="greaterThan">
      <formula>0</formula>
    </cfRule>
  </conditionalFormatting>
  <conditionalFormatting sqref="X23:X35">
    <cfRule type="cellIs" dxfId="0" priority="1" operator="greaterThan">
      <formula>0</formula>
    </cfRule>
  </conditionalFormatting>
  <dataValidations count="2">
    <dataValidation type="list" allowBlank="1" showInputMessage="1" showErrorMessage="1" sqref="K18">
      <formula1>$K$19:$K$20</formula1>
    </dataValidation>
    <dataValidation type="list" allowBlank="1" showInputMessage="1" showErrorMessage="1" sqref="K16">
      <formula1>$I$16:$J$16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EH115"/>
  <sheetViews>
    <sheetView topLeftCell="A82" zoomScale="90" zoomScaleNormal="90" workbookViewId="0"/>
  </sheetViews>
  <sheetFormatPr defaultColWidth="9.28515625" defaultRowHeight="15" outlineLevelRow="1"/>
  <cols>
    <col min="1" max="1" width="9.28515625" style="6"/>
    <col min="2" max="2" width="14" style="6" customWidth="1"/>
    <col min="3" max="3" width="10.5703125" style="170" customWidth="1"/>
    <col min="4" max="4" width="15" style="6" customWidth="1"/>
    <col min="5" max="6" width="23.5703125" style="6" bestFit="1" customWidth="1"/>
    <col min="7" max="7" width="11" style="6" customWidth="1"/>
    <col min="8" max="8" width="15.28515625" style="41" customWidth="1"/>
    <col min="9" max="9" width="11" style="6" customWidth="1"/>
    <col min="10" max="10" width="11.28515625" style="6" bestFit="1" customWidth="1"/>
    <col min="11" max="11" width="11.28515625" style="6" customWidth="1"/>
    <col min="12" max="12" width="20.42578125" style="6" bestFit="1" customWidth="1"/>
    <col min="13" max="13" width="11.28515625" style="6" bestFit="1" customWidth="1"/>
    <col min="14" max="14" width="24.42578125" style="6" bestFit="1" customWidth="1"/>
    <col min="15" max="15" width="22.5703125" style="6" customWidth="1"/>
    <col min="16" max="16" width="13.42578125" style="6" customWidth="1"/>
    <col min="17" max="17" width="14" style="6" customWidth="1"/>
    <col min="18" max="18" width="11.28515625" style="6" bestFit="1" customWidth="1"/>
    <col min="19" max="19" width="14.5703125" style="6" customWidth="1"/>
    <col min="20" max="20" width="11.5703125" style="6" bestFit="1" customWidth="1"/>
    <col min="21" max="21" width="14.5703125" style="6" customWidth="1"/>
    <col min="22" max="22" width="15.42578125" style="6" customWidth="1"/>
    <col min="23" max="23" width="11.5703125" style="6" customWidth="1"/>
    <col min="24" max="24" width="15.5703125" style="6" customWidth="1"/>
    <col min="25" max="32" width="9.28515625" style="6"/>
    <col min="33" max="38" width="9.42578125" style="6" bestFit="1" customWidth="1"/>
    <col min="39" max="16384" width="9.28515625" style="6"/>
  </cols>
  <sheetData>
    <row r="1" spans="1:11" outlineLevel="1">
      <c r="A1" s="43" t="s">
        <v>64</v>
      </c>
    </row>
    <row r="2" spans="1:11" outlineLevel="1">
      <c r="A2" s="43" t="s">
        <v>65</v>
      </c>
    </row>
    <row r="3" spans="1:11" outlineLevel="1">
      <c r="A3" s="44" t="s">
        <v>66</v>
      </c>
    </row>
    <row r="4" spans="1:11" outlineLevel="1">
      <c r="B4" s="43" t="s">
        <v>67</v>
      </c>
      <c r="C4" s="43"/>
    </row>
    <row r="5" spans="1:11" outlineLevel="1">
      <c r="A5" s="45" t="s">
        <v>68</v>
      </c>
      <c r="B5" s="6" t="s">
        <v>69</v>
      </c>
      <c r="D5" s="6" t="s">
        <v>70</v>
      </c>
      <c r="E5" s="6" t="s">
        <v>71</v>
      </c>
      <c r="F5" s="6" t="s">
        <v>72</v>
      </c>
      <c r="G5" s="41"/>
      <c r="H5" s="6"/>
    </row>
    <row r="6" spans="1:11" outlineLevel="1">
      <c r="A6" s="45" t="s">
        <v>73</v>
      </c>
    </row>
    <row r="7" spans="1:11" outlineLevel="1">
      <c r="A7" s="45" t="s">
        <v>68</v>
      </c>
      <c r="B7" s="6" t="s">
        <v>74</v>
      </c>
      <c r="D7" s="6">
        <v>0.72193560000000001</v>
      </c>
      <c r="E7" s="6">
        <v>6.1640599999999997E-2</v>
      </c>
      <c r="F7" s="6">
        <v>11.71</v>
      </c>
    </row>
    <row r="8" spans="1:11" outlineLevel="1">
      <c r="A8" s="45" t="s">
        <v>68</v>
      </c>
      <c r="B8" s="6" t="s">
        <v>75</v>
      </c>
      <c r="D8" s="6">
        <v>0.1058521</v>
      </c>
      <c r="E8" s="6">
        <v>2.84202E-2</v>
      </c>
      <c r="F8" s="6">
        <v>3.72</v>
      </c>
    </row>
    <row r="9" spans="1:11" outlineLevel="1">
      <c r="A9" s="45" t="s">
        <v>68</v>
      </c>
      <c r="B9" s="6" t="s">
        <v>76</v>
      </c>
      <c r="D9" s="6">
        <v>0.17401259999999999</v>
      </c>
      <c r="E9" s="6">
        <v>6.0255700000000002E-2</v>
      </c>
      <c r="F9" s="6">
        <v>2.89</v>
      </c>
    </row>
    <row r="10" spans="1:11" outlineLevel="1">
      <c r="A10" s="45" t="s">
        <v>68</v>
      </c>
      <c r="B10" s="6" t="s">
        <v>77</v>
      </c>
      <c r="D10" s="6">
        <v>-0.18059259999999999</v>
      </c>
      <c r="E10" s="6">
        <v>2.14915E-2</v>
      </c>
      <c r="F10" s="6">
        <v>-8.4</v>
      </c>
    </row>
    <row r="11" spans="1:11" outlineLevel="1">
      <c r="A11" s="45" t="s">
        <v>78</v>
      </c>
      <c r="B11" s="6" t="s">
        <v>79</v>
      </c>
      <c r="D11" s="6">
        <v>2.0597299999999999E-2</v>
      </c>
      <c r="E11" s="6">
        <v>2.4301000000000001E-3</v>
      </c>
      <c r="F11" s="6">
        <v>8.48</v>
      </c>
      <c r="G11" s="43" t="s">
        <v>80</v>
      </c>
    </row>
    <row r="12" spans="1:11" outlineLevel="1">
      <c r="A12" s="45" t="s">
        <v>68</v>
      </c>
      <c r="B12" s="6" t="s">
        <v>81</v>
      </c>
      <c r="D12" s="6">
        <v>-0.421516</v>
      </c>
      <c r="E12" s="6">
        <v>5.8704300000000001E-2</v>
      </c>
      <c r="F12" s="6">
        <v>-7.18</v>
      </c>
      <c r="H12" s="41" t="s">
        <v>82</v>
      </c>
      <c r="I12" s="6" t="s">
        <v>83</v>
      </c>
      <c r="J12" s="6" t="s">
        <v>84</v>
      </c>
      <c r="K12" s="6" t="s">
        <v>85</v>
      </c>
    </row>
    <row r="13" spans="1:11" outlineLevel="1">
      <c r="A13" s="45" t="s">
        <v>68</v>
      </c>
      <c r="B13" s="6" t="s">
        <v>86</v>
      </c>
      <c r="D13" s="6">
        <v>-0.2282255</v>
      </c>
      <c r="E13" s="6">
        <v>5.6978899999999999E-2</v>
      </c>
      <c r="F13" s="6">
        <v>-4.01</v>
      </c>
      <c r="G13" s="6">
        <v>1</v>
      </c>
      <c r="H13" s="41">
        <v>0</v>
      </c>
      <c r="I13" s="6">
        <f>EXP(H13)</f>
        <v>1</v>
      </c>
      <c r="J13" s="6">
        <f t="shared" ref="J13:J20" si="0">I13/I$21</f>
        <v>2.4472714253774397</v>
      </c>
      <c r="K13" s="6">
        <f>1/J13</f>
        <v>0.40861834516200884</v>
      </c>
    </row>
    <row r="14" spans="1:11" outlineLevel="1">
      <c r="A14" s="45" t="s">
        <v>78</v>
      </c>
      <c r="B14" s="6" t="s">
        <v>87</v>
      </c>
      <c r="D14" s="6">
        <v>-5.3400900000000001E-2</v>
      </c>
      <c r="E14" s="6">
        <v>0.1128991</v>
      </c>
      <c r="F14" s="6">
        <v>-0.47</v>
      </c>
      <c r="G14" s="6">
        <v>2</v>
      </c>
      <c r="H14" s="41">
        <f>D14</f>
        <v>-5.3400900000000001E-2</v>
      </c>
      <c r="I14" s="6">
        <f t="shared" ref="I14:I25" si="1">EXP(H14)</f>
        <v>0.94799988313731243</v>
      </c>
      <c r="J14" s="6">
        <f t="shared" si="0"/>
        <v>2.3200130252630968</v>
      </c>
      <c r="K14" s="6">
        <f t="shared" ref="K14:K25" si="2">1/J14</f>
        <v>0.43103206279912881</v>
      </c>
    </row>
    <row r="15" spans="1:11" outlineLevel="1">
      <c r="A15" s="45" t="s">
        <v>78</v>
      </c>
      <c r="B15" s="6" t="s">
        <v>88</v>
      </c>
      <c r="D15" s="6">
        <v>-0.78158680000000003</v>
      </c>
      <c r="E15" s="6">
        <v>8.6641899999999994E-2</v>
      </c>
      <c r="F15" s="6">
        <v>-9.02</v>
      </c>
      <c r="G15" s="6">
        <v>3</v>
      </c>
      <c r="H15" s="41">
        <f t="shared" ref="H15:H25" si="3">D15</f>
        <v>-0.78158680000000003</v>
      </c>
      <c r="I15" s="6">
        <f t="shared" si="1"/>
        <v>0.4576791894594443</v>
      </c>
      <c r="J15" s="6">
        <f t="shared" si="0"/>
        <v>1.1200652023540054</v>
      </c>
      <c r="K15" s="6">
        <f t="shared" si="2"/>
        <v>0.89280516696557644</v>
      </c>
    </row>
    <row r="16" spans="1:11" outlineLevel="1">
      <c r="A16" s="45" t="s">
        <v>78</v>
      </c>
      <c r="B16" s="6" t="s">
        <v>89</v>
      </c>
      <c r="D16" s="6">
        <v>-0.34965669999999999</v>
      </c>
      <c r="E16" s="6">
        <v>7.7368999999999993E-2</v>
      </c>
      <c r="F16" s="6">
        <v>-4.5199999999999996</v>
      </c>
      <c r="G16" s="6">
        <v>4</v>
      </c>
      <c r="H16" s="41">
        <f t="shared" si="3"/>
        <v>-0.34965669999999999</v>
      </c>
      <c r="I16" s="6">
        <f t="shared" si="1"/>
        <v>0.70493005067013481</v>
      </c>
      <c r="J16" s="6">
        <f t="shared" si="0"/>
        <v>1.7251551698948915</v>
      </c>
      <c r="K16" s="6">
        <f t="shared" si="2"/>
        <v>0.57965800262530998</v>
      </c>
    </row>
    <row r="17" spans="1:11" outlineLevel="1">
      <c r="A17" s="45" t="s">
        <v>78</v>
      </c>
      <c r="B17" s="6" t="s">
        <v>90</v>
      </c>
      <c r="D17" s="6">
        <v>-0.41422750000000003</v>
      </c>
      <c r="E17" s="6">
        <v>6.6800700000000005E-2</v>
      </c>
      <c r="F17" s="6">
        <v>-6.2</v>
      </c>
      <c r="G17" s="6">
        <v>5</v>
      </c>
      <c r="H17" s="41">
        <f t="shared" si="3"/>
        <v>-0.41422750000000003</v>
      </c>
      <c r="I17" s="6">
        <f t="shared" si="1"/>
        <v>0.66085059065366758</v>
      </c>
      <c r="J17" s="6">
        <f t="shared" si="0"/>
        <v>1.617280766950524</v>
      </c>
      <c r="K17" s="6">
        <f t="shared" si="2"/>
        <v>0.61832182787009682</v>
      </c>
    </row>
    <row r="18" spans="1:11" outlineLevel="1">
      <c r="A18" s="45" t="s">
        <v>78</v>
      </c>
      <c r="B18" s="6" t="s">
        <v>91</v>
      </c>
      <c r="D18" s="6">
        <v>-0.29204859999999999</v>
      </c>
      <c r="E18" s="6">
        <v>9.8917099999999994E-2</v>
      </c>
      <c r="F18" s="6">
        <v>-2.95</v>
      </c>
      <c r="G18" s="6">
        <v>6</v>
      </c>
      <c r="H18" s="41">
        <f t="shared" si="3"/>
        <v>-0.29204859999999999</v>
      </c>
      <c r="I18" s="6">
        <f t="shared" si="1"/>
        <v>0.74673224390441328</v>
      </c>
      <c r="J18" s="6">
        <f t="shared" si="0"/>
        <v>1.8274564829152473</v>
      </c>
      <c r="K18" s="6">
        <f t="shared" si="2"/>
        <v>0.54720865276351283</v>
      </c>
    </row>
    <row r="19" spans="1:11" outlineLevel="1">
      <c r="A19" s="45" t="s">
        <v>78</v>
      </c>
      <c r="B19" s="6" t="s">
        <v>92</v>
      </c>
      <c r="D19" s="6">
        <v>-0.43144280000000002</v>
      </c>
      <c r="E19" s="6">
        <v>0.1038999</v>
      </c>
      <c r="F19" s="6">
        <v>-4.1500000000000004</v>
      </c>
      <c r="G19" s="6">
        <v>7</v>
      </c>
      <c r="H19" s="41">
        <f t="shared" si="3"/>
        <v>-0.43144280000000002</v>
      </c>
      <c r="I19" s="6">
        <f t="shared" si="1"/>
        <v>0.64957121694917219</v>
      </c>
      <c r="J19" s="6">
        <f t="shared" si="0"/>
        <v>1.5896770779873588</v>
      </c>
      <c r="K19" s="6">
        <f t="shared" si="2"/>
        <v>0.62905857664254006</v>
      </c>
    </row>
    <row r="20" spans="1:11" outlineLevel="1">
      <c r="A20" s="45" t="s">
        <v>78</v>
      </c>
      <c r="B20" s="6" t="s">
        <v>93</v>
      </c>
      <c r="D20" s="6">
        <v>-0.51952710000000002</v>
      </c>
      <c r="E20" s="6">
        <v>8.2604800000000006E-2</v>
      </c>
      <c r="F20" s="6">
        <v>-6.29</v>
      </c>
      <c r="G20" s="6">
        <v>8</v>
      </c>
      <c r="H20" s="41">
        <f t="shared" si="3"/>
        <v>-0.51952710000000002</v>
      </c>
      <c r="I20" s="6">
        <f t="shared" si="1"/>
        <v>0.59480176322543576</v>
      </c>
      <c r="J20" s="6">
        <f t="shared" si="0"/>
        <v>1.4556413589057264</v>
      </c>
      <c r="K20" s="6">
        <f t="shared" si="2"/>
        <v>0.68698240392932131</v>
      </c>
    </row>
    <row r="21" spans="1:11" outlineLevel="1">
      <c r="A21" s="45" t="s">
        <v>78</v>
      </c>
      <c r="B21" s="6" t="s">
        <v>94</v>
      </c>
      <c r="D21" s="6">
        <v>-0.89497369999999998</v>
      </c>
      <c r="E21" s="6">
        <v>8.2761500000000002E-2</v>
      </c>
      <c r="F21" s="6">
        <v>-10.81</v>
      </c>
      <c r="G21" s="6">
        <v>9</v>
      </c>
      <c r="H21" s="41">
        <f t="shared" si="3"/>
        <v>-0.89497369999999998</v>
      </c>
      <c r="I21" s="6">
        <f t="shared" si="1"/>
        <v>0.40861834516200884</v>
      </c>
      <c r="J21" s="6">
        <f>I21/I$21</f>
        <v>1</v>
      </c>
      <c r="K21" s="6">
        <f t="shared" si="2"/>
        <v>1</v>
      </c>
    </row>
    <row r="22" spans="1:11" outlineLevel="1">
      <c r="A22" s="45" t="s">
        <v>68</v>
      </c>
      <c r="B22" s="6" t="s">
        <v>95</v>
      </c>
      <c r="D22" s="6">
        <v>-0.68861790000000001</v>
      </c>
      <c r="E22" s="6">
        <v>8.2021499999999997E-2</v>
      </c>
      <c r="F22" s="6">
        <v>-8.4</v>
      </c>
      <c r="G22" s="6">
        <v>10</v>
      </c>
      <c r="H22" s="41">
        <f t="shared" si="3"/>
        <v>-0.68861790000000001</v>
      </c>
      <c r="I22" s="6">
        <f t="shared" si="1"/>
        <v>0.50226977662729522</v>
      </c>
      <c r="J22" s="6">
        <f>I22/I$21</f>
        <v>1.229190472170689</v>
      </c>
      <c r="K22" s="6">
        <f t="shared" si="2"/>
        <v>0.81354356598131605</v>
      </c>
    </row>
    <row r="23" spans="1:11" outlineLevel="1">
      <c r="A23" s="45" t="s">
        <v>68</v>
      </c>
      <c r="B23" s="6" t="s">
        <v>96</v>
      </c>
      <c r="D23" s="6">
        <v>-0.65824559999999999</v>
      </c>
      <c r="E23" s="6">
        <v>8.2416400000000001E-2</v>
      </c>
      <c r="F23" s="6">
        <v>-7.99</v>
      </c>
      <c r="G23" s="6">
        <v>11</v>
      </c>
      <c r="H23" s="41">
        <f t="shared" si="3"/>
        <v>-0.65824559999999999</v>
      </c>
      <c r="I23" s="6">
        <f t="shared" si="1"/>
        <v>0.51775889435165767</v>
      </c>
      <c r="J23" s="6">
        <f>I23/I$21</f>
        <v>1.2670965473818285</v>
      </c>
      <c r="K23" s="6">
        <f t="shared" si="2"/>
        <v>0.78920584391637416</v>
      </c>
    </row>
    <row r="24" spans="1:11" outlineLevel="1">
      <c r="A24" s="45" t="s">
        <v>68</v>
      </c>
      <c r="B24" s="6" t="s">
        <v>97</v>
      </c>
      <c r="D24" s="6">
        <v>-0.65849259999999998</v>
      </c>
      <c r="E24" s="6">
        <v>9.5644099999999996E-2</v>
      </c>
      <c r="F24" s="6">
        <v>-6.88</v>
      </c>
      <c r="G24" s="6">
        <v>12</v>
      </c>
      <c r="H24" s="41">
        <f t="shared" si="3"/>
        <v>-0.65849259999999998</v>
      </c>
      <c r="I24" s="6">
        <f t="shared" si="1"/>
        <v>0.51763102369742864</v>
      </c>
      <c r="J24" s="6">
        <f>I24/I$21</f>
        <v>1.2667836131835895</v>
      </c>
      <c r="K24" s="6">
        <f t="shared" si="2"/>
        <v>0.78940080183613359</v>
      </c>
    </row>
    <row r="25" spans="1:11" outlineLevel="1">
      <c r="A25" s="45" t="s">
        <v>68</v>
      </c>
      <c r="B25" s="6" t="s">
        <v>98</v>
      </c>
      <c r="D25" s="6">
        <v>-0.73673849999999996</v>
      </c>
      <c r="E25" s="6">
        <v>8.0481200000000003E-2</v>
      </c>
      <c r="F25" s="6">
        <v>-9.15</v>
      </c>
      <c r="G25" s="6">
        <v>13</v>
      </c>
      <c r="H25" s="41">
        <f t="shared" si="3"/>
        <v>-0.73673849999999996</v>
      </c>
      <c r="I25" s="6">
        <f t="shared" si="1"/>
        <v>0.47867256293912286</v>
      </c>
      <c r="J25" s="6">
        <f>I25/I$21</f>
        <v>1.1714416853930993</v>
      </c>
      <c r="K25" s="6">
        <f t="shared" si="2"/>
        <v>0.85364898011498636</v>
      </c>
    </row>
    <row r="26" spans="1:11" outlineLevel="1">
      <c r="A26" s="45" t="s">
        <v>99</v>
      </c>
      <c r="B26" s="6" t="s">
        <v>100</v>
      </c>
      <c r="D26" s="6">
        <v>-31.24926</v>
      </c>
      <c r="E26" s="6">
        <v>4.887035</v>
      </c>
      <c r="F26" s="6">
        <v>-6.39</v>
      </c>
    </row>
    <row r="27" spans="1:11" outlineLevel="1">
      <c r="A27" s="45" t="s">
        <v>73</v>
      </c>
    </row>
    <row r="28" spans="1:11" outlineLevel="1"/>
    <row r="29" spans="1:11" outlineLevel="1">
      <c r="B29" s="43" t="s">
        <v>101</v>
      </c>
      <c r="C29" s="43"/>
    </row>
    <row r="30" spans="1:11" outlineLevel="1">
      <c r="B30" s="6" t="s">
        <v>102</v>
      </c>
      <c r="D30" s="6" t="s">
        <v>103</v>
      </c>
      <c r="E30" s="6" t="s">
        <v>104</v>
      </c>
      <c r="F30" s="6" t="s">
        <v>105</v>
      </c>
    </row>
    <row r="31" spans="1:11" outlineLevel="1">
      <c r="B31" s="6" t="s">
        <v>69</v>
      </c>
      <c r="D31" s="6" t="s">
        <v>106</v>
      </c>
      <c r="E31" s="6" t="s">
        <v>71</v>
      </c>
      <c r="F31" s="6" t="s">
        <v>72</v>
      </c>
    </row>
    <row r="32" spans="1:11" outlineLevel="1">
      <c r="B32" s="6" t="s">
        <v>102</v>
      </c>
      <c r="D32" s="6" t="s">
        <v>103</v>
      </c>
      <c r="E32" s="6" t="s">
        <v>104</v>
      </c>
      <c r="F32" s="6" t="s">
        <v>105</v>
      </c>
    </row>
    <row r="33" spans="2:47" outlineLevel="1">
      <c r="B33" s="6" t="s">
        <v>74</v>
      </c>
      <c r="D33" s="6">
        <v>0.6151238</v>
      </c>
      <c r="E33" s="6">
        <v>6.9881600000000002E-2</v>
      </c>
      <c r="F33" s="6">
        <v>8.8000000000000007</v>
      </c>
      <c r="N33" s="6" t="s">
        <v>107</v>
      </c>
    </row>
    <row r="34" spans="2:47" outlineLevel="1">
      <c r="B34" s="6" t="s">
        <v>75</v>
      </c>
      <c r="D34" s="6">
        <v>9.96166E-2</v>
      </c>
      <c r="E34" s="6">
        <v>2.8988799999999999E-2</v>
      </c>
      <c r="F34" s="6">
        <v>3.44</v>
      </c>
    </row>
    <row r="35" spans="2:47" outlineLevel="1">
      <c r="B35" s="6" t="s">
        <v>76</v>
      </c>
      <c r="D35" s="6">
        <v>0.2577528</v>
      </c>
      <c r="E35" s="6">
        <v>6.1460399999999998E-2</v>
      </c>
      <c r="F35" s="6">
        <v>4.1900000000000004</v>
      </c>
    </row>
    <row r="36" spans="2:47" outlineLevel="1">
      <c r="B36" s="6" t="s">
        <v>108</v>
      </c>
      <c r="D36" s="6">
        <v>-0.25924510000000001</v>
      </c>
      <c r="E36" s="6">
        <v>0.30846780000000001</v>
      </c>
      <c r="F36" s="6">
        <v>-0.84</v>
      </c>
    </row>
    <row r="37" spans="2:47" outlineLevel="1">
      <c r="B37" s="6" t="s">
        <v>109</v>
      </c>
      <c r="D37" s="6">
        <v>0.18453349999999999</v>
      </c>
      <c r="E37" s="6">
        <v>9.6415100000000004E-2</v>
      </c>
      <c r="F37" s="6">
        <v>1.91</v>
      </c>
      <c r="AG37" s="260"/>
      <c r="AH37" s="260"/>
      <c r="AI37" s="260"/>
      <c r="AJ37" s="260"/>
      <c r="AK37" s="260"/>
      <c r="AL37" s="260"/>
      <c r="AM37" s="260"/>
      <c r="AN37" s="260"/>
      <c r="AO37" s="260"/>
      <c r="AP37" s="260"/>
      <c r="AQ37" s="260"/>
      <c r="AR37" s="260"/>
      <c r="AS37" s="260"/>
      <c r="AT37" s="260"/>
      <c r="AU37" s="260"/>
    </row>
    <row r="38" spans="2:47" outlineLevel="1">
      <c r="B38" s="6" t="s">
        <v>110</v>
      </c>
      <c r="D38" s="6">
        <v>9.4502699999999995E-2</v>
      </c>
      <c r="E38" s="6">
        <v>0.2351462</v>
      </c>
      <c r="F38" s="6">
        <v>0.4</v>
      </c>
      <c r="AG38" s="260"/>
      <c r="AH38" s="260"/>
      <c r="AI38" s="260"/>
      <c r="AJ38" s="260"/>
      <c r="AK38" s="260"/>
      <c r="AL38" s="260"/>
      <c r="AM38" s="260"/>
      <c r="AN38" s="260"/>
      <c r="AO38" s="260"/>
      <c r="AP38" s="260"/>
      <c r="AQ38" s="260"/>
      <c r="AR38" s="260"/>
      <c r="AS38" s="260"/>
      <c r="AT38" s="260"/>
      <c r="AU38" s="260"/>
    </row>
    <row r="39" spans="2:47" outlineLevel="1">
      <c r="B39" s="6" t="s">
        <v>111</v>
      </c>
      <c r="D39" s="6">
        <v>-1.4815999999999999E-2</v>
      </c>
      <c r="E39" s="6">
        <v>3.7748200000000003E-2</v>
      </c>
      <c r="F39" s="6">
        <v>-0.39</v>
      </c>
      <c r="T39" s="43"/>
      <c r="AG39" s="260"/>
      <c r="AH39" s="260"/>
      <c r="AI39" s="260"/>
      <c r="AJ39" s="260"/>
      <c r="AK39" s="260"/>
      <c r="AL39" s="260"/>
      <c r="AM39" s="260"/>
      <c r="AN39" s="260"/>
      <c r="AO39" s="260"/>
      <c r="AP39" s="260"/>
      <c r="AQ39" s="260"/>
      <c r="AR39" s="260"/>
      <c r="AS39" s="260"/>
      <c r="AT39" s="260"/>
      <c r="AU39" s="260"/>
    </row>
    <row r="40" spans="2:47" outlineLevel="1">
      <c r="B40" s="6" t="s">
        <v>112</v>
      </c>
      <c r="D40" s="6">
        <v>-0.15961800000000001</v>
      </c>
      <c r="E40" s="6">
        <v>7.6128399999999999E-2</v>
      </c>
      <c r="F40" s="6">
        <v>-2.1</v>
      </c>
      <c r="U40" s="46"/>
      <c r="V40" s="47"/>
      <c r="X40" s="47"/>
      <c r="AG40" s="260"/>
      <c r="AH40" s="260"/>
      <c r="AI40" s="260"/>
      <c r="AJ40" s="260"/>
      <c r="AK40" s="260"/>
      <c r="AL40" s="260"/>
      <c r="AM40" s="260"/>
      <c r="AN40" s="260"/>
      <c r="AO40" s="260"/>
      <c r="AP40" s="260"/>
      <c r="AQ40" s="260"/>
      <c r="AR40" s="260"/>
      <c r="AS40" s="260"/>
      <c r="AT40" s="260"/>
      <c r="AU40" s="260"/>
    </row>
    <row r="41" spans="2:47" outlineLevel="1">
      <c r="B41" s="6" t="s">
        <v>113</v>
      </c>
      <c r="D41" s="6">
        <v>0.1190553</v>
      </c>
      <c r="E41" s="6">
        <v>0.1883869</v>
      </c>
      <c r="F41" s="6">
        <v>0.63</v>
      </c>
      <c r="U41" s="46"/>
      <c r="V41" s="46"/>
      <c r="W41" s="46"/>
      <c r="X41" s="46"/>
      <c r="AG41" s="260"/>
      <c r="AH41" s="260"/>
      <c r="AI41" s="260"/>
      <c r="AJ41" s="260"/>
      <c r="AK41" s="260"/>
      <c r="AL41" s="260"/>
      <c r="AM41" s="260"/>
      <c r="AN41" s="260"/>
      <c r="AO41" s="260"/>
      <c r="AP41" s="260"/>
      <c r="AQ41" s="260"/>
      <c r="AR41" s="260"/>
      <c r="AS41" s="260"/>
      <c r="AT41" s="260"/>
      <c r="AU41" s="260"/>
    </row>
    <row r="42" spans="2:47" outlineLevel="1">
      <c r="B42" s="6" t="s">
        <v>77</v>
      </c>
      <c r="D42" s="6">
        <v>-0.16398460000000001</v>
      </c>
      <c r="E42" s="6">
        <v>2.54243E-2</v>
      </c>
      <c r="F42" s="6">
        <v>-6.45</v>
      </c>
      <c r="G42" s="43" t="s">
        <v>114</v>
      </c>
      <c r="L42" s="43" t="s">
        <v>115</v>
      </c>
      <c r="U42" s="46"/>
      <c r="V42" s="46"/>
      <c r="W42" s="46"/>
      <c r="X42" s="46"/>
      <c r="Y42" s="43"/>
      <c r="AG42" s="260"/>
      <c r="AH42" s="260"/>
      <c r="AI42" s="260"/>
      <c r="AJ42" s="260"/>
      <c r="AK42" s="260"/>
      <c r="AL42" s="260"/>
      <c r="AM42" s="260"/>
      <c r="AN42" s="260"/>
      <c r="AO42" s="260"/>
      <c r="AP42" s="260"/>
      <c r="AQ42" s="260"/>
      <c r="AR42" s="260"/>
      <c r="AS42" s="260"/>
      <c r="AT42" s="260"/>
      <c r="AU42" s="260"/>
    </row>
    <row r="43" spans="2:47" outlineLevel="1">
      <c r="B43" s="6" t="s">
        <v>79</v>
      </c>
      <c r="D43" s="6">
        <v>2.1170399999999999E-2</v>
      </c>
      <c r="E43" s="6">
        <v>2.3754000000000002E-3</v>
      </c>
      <c r="F43" s="6">
        <v>8.91</v>
      </c>
      <c r="P43" s="6" t="s">
        <v>116</v>
      </c>
      <c r="Q43" s="6" t="s">
        <v>117</v>
      </c>
      <c r="R43" s="6" t="s">
        <v>118</v>
      </c>
      <c r="W43" s="46"/>
      <c r="AG43" s="260"/>
      <c r="AH43" s="260"/>
      <c r="AI43" s="260"/>
      <c r="AJ43" s="260"/>
      <c r="AK43" s="260"/>
      <c r="AL43" s="260"/>
      <c r="AM43" s="260"/>
      <c r="AN43" s="260"/>
      <c r="AO43" s="260"/>
      <c r="AP43" s="260"/>
      <c r="AQ43" s="260"/>
      <c r="AR43" s="260"/>
      <c r="AS43" s="260"/>
      <c r="AT43" s="260"/>
      <c r="AU43" s="260"/>
    </row>
    <row r="44" spans="2:47" ht="32.1" customHeight="1" outlineLevel="1">
      <c r="B44" s="6" t="s">
        <v>81</v>
      </c>
      <c r="D44" s="6">
        <v>-0.50342149999999997</v>
      </c>
      <c r="E44" s="6">
        <v>5.9377899999999997E-2</v>
      </c>
      <c r="F44" s="6">
        <v>-8.48</v>
      </c>
      <c r="H44" s="41" t="s">
        <v>82</v>
      </c>
      <c r="I44" s="6" t="s">
        <v>83</v>
      </c>
      <c r="J44" s="6" t="s">
        <v>84</v>
      </c>
      <c r="O44" s="6" t="s">
        <v>119</v>
      </c>
      <c r="P44" s="6" t="s">
        <v>85</v>
      </c>
      <c r="Q44" s="6" t="s">
        <v>85</v>
      </c>
      <c r="R44" s="10" t="s">
        <v>120</v>
      </c>
      <c r="S44" s="10" t="s">
        <v>121</v>
      </c>
      <c r="T44" s="6" t="s">
        <v>122</v>
      </c>
      <c r="U44" s="48"/>
      <c r="V44" s="48"/>
      <c r="W44" s="48"/>
      <c r="X44" s="48"/>
      <c r="Y44" s="49"/>
      <c r="Z44" s="50"/>
      <c r="AG44" s="260"/>
      <c r="AH44" s="260"/>
      <c r="AI44" s="260"/>
      <c r="AJ44" s="260"/>
      <c r="AK44" s="260"/>
      <c r="AL44" s="260"/>
      <c r="AM44" s="260"/>
      <c r="AN44" s="260"/>
      <c r="AO44" s="260"/>
      <c r="AP44" s="260"/>
      <c r="AQ44" s="260"/>
      <c r="AR44" s="260"/>
      <c r="AS44" s="260"/>
      <c r="AT44" s="260"/>
      <c r="AU44" s="260"/>
    </row>
    <row r="45" spans="2:47" outlineLevel="1">
      <c r="B45" s="6" t="s">
        <v>86</v>
      </c>
      <c r="D45" s="6">
        <v>-0.3348855</v>
      </c>
      <c r="E45" s="6">
        <v>5.6940999999999999E-2</v>
      </c>
      <c r="F45" s="6">
        <v>-5.88</v>
      </c>
      <c r="G45" s="6">
        <v>1</v>
      </c>
      <c r="H45" s="41">
        <v>0</v>
      </c>
      <c r="I45" s="6">
        <f>EXP(H45)</f>
        <v>1</v>
      </c>
      <c r="J45" s="6">
        <f>I45/I$53</f>
        <v>2.7109754099412138</v>
      </c>
      <c r="L45" s="51">
        <f t="shared" ref="L45:L57" si="4">S45/$S$47</f>
        <v>0.44510798258949946</v>
      </c>
      <c r="N45" s="6" t="s">
        <v>41</v>
      </c>
      <c r="O45" s="52">
        <v>0.44104589999999999</v>
      </c>
      <c r="P45" s="51">
        <f t="shared" ref="P45:P57" si="5">1/J45</f>
        <v>0.36887092237464614</v>
      </c>
      <c r="Q45" s="51">
        <f t="shared" ref="Q45:Q57" si="6">K13</f>
        <v>0.40861834516200884</v>
      </c>
      <c r="R45" s="51">
        <v>0.51408615384615364</v>
      </c>
      <c r="S45" s="51">
        <v>0.85490999999999995</v>
      </c>
      <c r="T45" s="53">
        <f>_xlfn.RANK.AVG(O45,$O$45:$O$57)</f>
        <v>13</v>
      </c>
      <c r="U45" s="6" t="s">
        <v>408</v>
      </c>
      <c r="V45" s="161">
        <f ca="1">'Summary tables'!R22</f>
        <v>5.0146166345104229E-2</v>
      </c>
      <c r="W45" s="54">
        <f ca="1">O45*(1+V45)</f>
        <v>0.46316266106722614</v>
      </c>
      <c r="X45" s="73">
        <f ca="1">_xlfn.RANK.AVG(W45,$W$45:$W$57)</f>
        <v>13</v>
      </c>
      <c r="Z45" s="51"/>
      <c r="AC45" s="6">
        <v>1</v>
      </c>
      <c r="AD45" s="6" t="s">
        <v>56</v>
      </c>
      <c r="AG45" s="260"/>
      <c r="AH45" s="260"/>
      <c r="AI45" s="260"/>
      <c r="AJ45" s="260"/>
      <c r="AK45" s="260"/>
      <c r="AL45" s="260"/>
      <c r="AM45" s="260"/>
      <c r="AN45" s="260"/>
      <c r="AO45" s="260"/>
      <c r="AP45" s="260"/>
      <c r="AQ45" s="260"/>
      <c r="AR45" s="260"/>
      <c r="AS45" s="260"/>
      <c r="AT45" s="260"/>
      <c r="AU45" s="260"/>
    </row>
    <row r="46" spans="2:47" outlineLevel="1">
      <c r="B46" s="6" t="s">
        <v>87</v>
      </c>
      <c r="D46" s="6">
        <v>-0.292217</v>
      </c>
      <c r="E46" s="6">
        <v>0.1225415</v>
      </c>
      <c r="F46" s="6">
        <v>-2.38</v>
      </c>
      <c r="G46" s="6">
        <v>2</v>
      </c>
      <c r="H46" s="6">
        <f>D46</f>
        <v>-0.292217</v>
      </c>
      <c r="I46" s="6">
        <f t="shared" ref="I46:I57" si="7">EXP(H46)</f>
        <v>0.74660650478207102</v>
      </c>
      <c r="J46" s="6">
        <f t="shared" ref="J46:J57" si="8">I46/I$53</f>
        <v>2.0240318753663518</v>
      </c>
      <c r="L46" s="51">
        <f t="shared" si="4"/>
        <v>0.45656225919986659</v>
      </c>
      <c r="N46" s="6" t="s">
        <v>42</v>
      </c>
      <c r="O46" s="52">
        <v>0.45316469999999998</v>
      </c>
      <c r="P46" s="51">
        <f t="shared" si="5"/>
        <v>0.49406336538993439</v>
      </c>
      <c r="Q46" s="51">
        <f t="shared" si="6"/>
        <v>0.43103206279912881</v>
      </c>
      <c r="R46" s="51">
        <v>0.45656615384615373</v>
      </c>
      <c r="S46" s="51">
        <v>0.87690999999999997</v>
      </c>
      <c r="T46" s="53">
        <f t="shared" ref="T46:T57" si="9">_xlfn.RANK.AVG(O46,$O$45:$O$57)</f>
        <v>12</v>
      </c>
      <c r="U46" s="6" t="s">
        <v>43</v>
      </c>
      <c r="V46" s="161">
        <f ca="1">'Summary tables'!R23</f>
        <v>5.7660278998832866E-2</v>
      </c>
      <c r="W46" s="161">
        <f t="shared" ref="W46:W57" ca="1" si="10">O46*(1+V46)</f>
        <v>0.47929430303442244</v>
      </c>
      <c r="X46" s="73">
        <f t="shared" ref="X46:X57" ca="1" si="11">_xlfn.RANK.AVG(W46,$W$45:$W$57)</f>
        <v>12</v>
      </c>
      <c r="Z46" s="51"/>
      <c r="AC46" s="6">
        <v>2</v>
      </c>
      <c r="AD46" s="6" t="s">
        <v>411</v>
      </c>
      <c r="AG46" s="260"/>
      <c r="AH46" s="260"/>
      <c r="AI46" s="260"/>
      <c r="AJ46" s="260"/>
      <c r="AK46" s="260"/>
      <c r="AL46" s="260"/>
      <c r="AM46" s="260"/>
      <c r="AN46" s="260"/>
      <c r="AO46" s="260"/>
      <c r="AP46" s="260"/>
      <c r="AQ46" s="260"/>
      <c r="AR46" s="260"/>
      <c r="AS46" s="260"/>
      <c r="AT46" s="260"/>
      <c r="AU46" s="260"/>
    </row>
    <row r="47" spans="2:47" outlineLevel="1">
      <c r="B47" s="6" t="s">
        <v>88</v>
      </c>
      <c r="D47" s="6">
        <v>-0.82526520000000003</v>
      </c>
      <c r="E47" s="6">
        <v>8.3982100000000004E-2</v>
      </c>
      <c r="F47" s="6">
        <v>-9.83</v>
      </c>
      <c r="G47" s="6">
        <v>3</v>
      </c>
      <c r="H47" s="6">
        <f t="shared" ref="H47:H57" si="12">D47</f>
        <v>-0.82526520000000003</v>
      </c>
      <c r="I47" s="6">
        <f t="shared" si="7"/>
        <v>0.43811878795434667</v>
      </c>
      <c r="J47" s="6">
        <f t="shared" si="8"/>
        <v>1.1877292607774828</v>
      </c>
      <c r="L47" s="51">
        <f t="shared" si="4"/>
        <v>1</v>
      </c>
      <c r="N47" s="6" t="s">
        <v>44</v>
      </c>
      <c r="O47" s="52">
        <v>0.92178389999999999</v>
      </c>
      <c r="P47" s="51">
        <f t="shared" si="5"/>
        <v>0.84194271625959949</v>
      </c>
      <c r="Q47" s="51">
        <f t="shared" si="6"/>
        <v>0.89280516696557644</v>
      </c>
      <c r="R47" s="51">
        <v>1</v>
      </c>
      <c r="S47" s="51">
        <v>1.9206800000000004</v>
      </c>
      <c r="T47" s="53">
        <f t="shared" si="9"/>
        <v>2</v>
      </c>
      <c r="U47" s="6" t="s">
        <v>411</v>
      </c>
      <c r="V47" s="161">
        <f ca="1">'Summary tables'!R24</f>
        <v>7.106792636217063E-2</v>
      </c>
      <c r="W47" s="161">
        <f t="shared" ca="1" si="10"/>
        <v>0.98729317032703456</v>
      </c>
      <c r="X47" s="73">
        <f t="shared" ca="1" si="11"/>
        <v>2</v>
      </c>
      <c r="Z47" s="51"/>
      <c r="AC47" s="6">
        <v>3</v>
      </c>
      <c r="AD47" s="6" t="s">
        <v>63</v>
      </c>
      <c r="AG47" s="260"/>
      <c r="AH47" s="260"/>
      <c r="AI47" s="260"/>
      <c r="AJ47" s="260"/>
      <c r="AK47" s="260"/>
      <c r="AL47" s="260"/>
      <c r="AM47" s="260"/>
      <c r="AN47" s="260"/>
      <c r="AO47" s="260"/>
      <c r="AP47" s="260"/>
      <c r="AQ47" s="260"/>
      <c r="AR47" s="260"/>
      <c r="AS47" s="260"/>
      <c r="AT47" s="260"/>
      <c r="AU47" s="260"/>
    </row>
    <row r="48" spans="2:47" outlineLevel="1">
      <c r="B48" s="6" t="s">
        <v>89</v>
      </c>
      <c r="D48" s="6">
        <v>-0.51951650000000005</v>
      </c>
      <c r="E48" s="6">
        <v>8.0211500000000005E-2</v>
      </c>
      <c r="F48" s="6">
        <v>-6.48</v>
      </c>
      <c r="G48" s="6">
        <v>4</v>
      </c>
      <c r="H48" s="6">
        <f t="shared" si="12"/>
        <v>-0.51951650000000005</v>
      </c>
      <c r="I48" s="6">
        <f t="shared" si="7"/>
        <v>0.59480806815754206</v>
      </c>
      <c r="J48" s="6">
        <f t="shared" si="8"/>
        <v>1.6125100464097342</v>
      </c>
      <c r="L48" s="51">
        <f t="shared" si="4"/>
        <v>0.63003727846387725</v>
      </c>
      <c r="N48" s="6" t="s">
        <v>45</v>
      </c>
      <c r="O48" s="52">
        <v>0.58781779999999995</v>
      </c>
      <c r="P48" s="51">
        <f t="shared" si="5"/>
        <v>0.62015117501221628</v>
      </c>
      <c r="Q48" s="51">
        <f t="shared" si="6"/>
        <v>0.57965800262530998</v>
      </c>
      <c r="R48" s="51">
        <v>0.63003692307692283</v>
      </c>
      <c r="S48" s="51">
        <v>1.2101</v>
      </c>
      <c r="T48" s="53">
        <f t="shared" si="9"/>
        <v>9</v>
      </c>
      <c r="U48" s="6" t="s">
        <v>46</v>
      </c>
      <c r="V48" s="161">
        <f ca="1">'Summary tables'!R25</f>
        <v>8.4251640989043364E-2</v>
      </c>
      <c r="W48" s="161">
        <f t="shared" ca="1" si="10"/>
        <v>0.63734241425256921</v>
      </c>
      <c r="X48" s="73">
        <f t="shared" ca="1" si="11"/>
        <v>9</v>
      </c>
      <c r="Z48" s="51"/>
      <c r="AC48" s="6">
        <v>4</v>
      </c>
      <c r="AD48" s="6" t="s">
        <v>58</v>
      </c>
      <c r="AG48" s="260"/>
      <c r="AH48" s="260"/>
      <c r="AI48" s="260"/>
      <c r="AJ48" s="260"/>
      <c r="AK48" s="260"/>
      <c r="AL48" s="260"/>
      <c r="AM48" s="260"/>
      <c r="AN48" s="260"/>
      <c r="AO48" s="260"/>
      <c r="AP48" s="260"/>
      <c r="AQ48" s="260"/>
      <c r="AR48" s="260"/>
      <c r="AS48" s="260"/>
      <c r="AT48" s="260"/>
      <c r="AU48" s="260"/>
    </row>
    <row r="49" spans="1:138" outlineLevel="1">
      <c r="B49" s="6" t="s">
        <v>90</v>
      </c>
      <c r="D49" s="6">
        <v>-0.61428360000000004</v>
      </c>
      <c r="E49" s="6">
        <v>7.6610200000000003E-2</v>
      </c>
      <c r="F49" s="6">
        <v>-8.02</v>
      </c>
      <c r="G49" s="6">
        <v>5</v>
      </c>
      <c r="H49" s="6">
        <f t="shared" si="12"/>
        <v>-0.61428360000000004</v>
      </c>
      <c r="I49" s="6">
        <f t="shared" si="7"/>
        <v>0.54102834921613452</v>
      </c>
      <c r="J49" s="6">
        <f t="shared" si="8"/>
        <v>1.4667145508060284</v>
      </c>
      <c r="L49" s="51">
        <f t="shared" si="4"/>
        <v>0.65220651019430598</v>
      </c>
      <c r="N49" s="6" t="s">
        <v>47</v>
      </c>
      <c r="O49" s="52">
        <v>0.62405619999999995</v>
      </c>
      <c r="P49" s="51">
        <f t="shared" si="5"/>
        <v>0.68179592235616204</v>
      </c>
      <c r="Q49" s="51">
        <f t="shared" si="6"/>
        <v>0.61832182787009682</v>
      </c>
      <c r="R49" s="51">
        <v>0.6521969230769229</v>
      </c>
      <c r="S49" s="51">
        <v>1.2526799999999998</v>
      </c>
      <c r="T49" s="53">
        <f t="shared" si="9"/>
        <v>8</v>
      </c>
      <c r="U49" s="6" t="s">
        <v>48</v>
      </c>
      <c r="V49" s="161">
        <f ca="1">'Summary tables'!R26</f>
        <v>8.5843247468447473E-2</v>
      </c>
      <c r="W49" s="161">
        <f t="shared" ca="1" si="10"/>
        <v>0.67762721081081889</v>
      </c>
      <c r="X49" s="73">
        <f t="shared" ca="1" si="11"/>
        <v>8</v>
      </c>
      <c r="Z49" s="51"/>
      <c r="AC49" s="6">
        <v>5</v>
      </c>
      <c r="AD49" s="6" t="s">
        <v>239</v>
      </c>
      <c r="AG49" s="260"/>
      <c r="AH49" s="260"/>
      <c r="AI49" s="260"/>
      <c r="AJ49" s="260"/>
      <c r="AK49" s="260"/>
      <c r="AL49" s="260"/>
      <c r="AM49" s="260"/>
      <c r="AN49" s="260"/>
      <c r="AO49" s="260"/>
      <c r="AP49" s="260"/>
      <c r="AQ49" s="260"/>
      <c r="AR49" s="260"/>
      <c r="AS49" s="260"/>
      <c r="AT49" s="260"/>
      <c r="AU49" s="260"/>
    </row>
    <row r="50" spans="1:138" outlineLevel="1">
      <c r="B50" s="6" t="s">
        <v>91</v>
      </c>
      <c r="D50" s="6">
        <v>-0.37768479999999999</v>
      </c>
      <c r="E50" s="6">
        <v>0.1171097</v>
      </c>
      <c r="F50" s="6">
        <v>-3.23</v>
      </c>
      <c r="G50" s="6">
        <v>6</v>
      </c>
      <c r="H50" s="6">
        <f t="shared" si="12"/>
        <v>-0.37768479999999999</v>
      </c>
      <c r="I50" s="6">
        <f t="shared" si="7"/>
        <v>0.68544651936243828</v>
      </c>
      <c r="J50" s="6">
        <f t="shared" si="8"/>
        <v>1.8582286588213643</v>
      </c>
      <c r="L50" s="51">
        <f t="shared" si="4"/>
        <v>0.46578815836058057</v>
      </c>
      <c r="N50" s="6" t="s">
        <v>49</v>
      </c>
      <c r="O50" s="52">
        <v>0.51601269999999999</v>
      </c>
      <c r="P50" s="51">
        <f t="shared" si="5"/>
        <v>0.53814690417823985</v>
      </c>
      <c r="Q50" s="51">
        <f t="shared" si="6"/>
        <v>0.54720865276351283</v>
      </c>
      <c r="R50" s="51">
        <v>0.46578461538461535</v>
      </c>
      <c r="S50" s="51">
        <v>0.89463000000000004</v>
      </c>
      <c r="T50" s="53">
        <f t="shared" si="9"/>
        <v>11</v>
      </c>
      <c r="U50" s="6" t="s">
        <v>50</v>
      </c>
      <c r="V50" s="161">
        <f ca="1">'Summary tables'!R27</f>
        <v>0.18637348741859922</v>
      </c>
      <c r="W50" s="161">
        <f t="shared" ca="1" si="10"/>
        <v>0.61218378645128735</v>
      </c>
      <c r="X50" s="73">
        <f t="shared" ca="1" si="11"/>
        <v>11</v>
      </c>
      <c r="Z50" s="51"/>
      <c r="AC50" s="6">
        <v>6</v>
      </c>
      <c r="AD50" s="6" t="s">
        <v>61</v>
      </c>
      <c r="AG50" s="260"/>
      <c r="AH50" s="260"/>
      <c r="AI50" s="260"/>
      <c r="AJ50" s="260"/>
      <c r="AK50" s="260"/>
      <c r="AL50" s="260"/>
      <c r="AM50" s="260"/>
      <c r="AN50" s="260"/>
      <c r="AO50" s="260"/>
      <c r="AP50" s="260"/>
      <c r="AQ50" s="260"/>
      <c r="AR50" s="260"/>
      <c r="AS50" s="260"/>
      <c r="AT50" s="260"/>
      <c r="AU50" s="260"/>
    </row>
    <row r="51" spans="1:138" outlineLevel="1">
      <c r="B51" s="6" t="s">
        <v>92</v>
      </c>
      <c r="D51" s="6">
        <v>-0.57574820000000004</v>
      </c>
      <c r="E51" s="6">
        <v>0.12435939999999999</v>
      </c>
      <c r="F51" s="6">
        <v>-4.63</v>
      </c>
      <c r="G51" s="6">
        <v>7</v>
      </c>
      <c r="H51" s="6">
        <f t="shared" si="12"/>
        <v>-0.57574820000000004</v>
      </c>
      <c r="I51" s="6">
        <f t="shared" si="7"/>
        <v>0.56228401048684507</v>
      </c>
      <c r="J51" s="6">
        <f t="shared" si="8"/>
        <v>1.5243381258329647</v>
      </c>
      <c r="L51" s="51">
        <f t="shared" si="4"/>
        <v>0.49943249265884987</v>
      </c>
      <c r="N51" s="6" t="s">
        <v>51</v>
      </c>
      <c r="O51" s="52">
        <v>0.56640769999999996</v>
      </c>
      <c r="P51" s="51">
        <f t="shared" si="5"/>
        <v>0.65602242904838226</v>
      </c>
      <c r="Q51" s="51">
        <f t="shared" si="6"/>
        <v>0.62905857664254006</v>
      </c>
      <c r="R51" s="51">
        <v>0.49943384615384601</v>
      </c>
      <c r="S51" s="51">
        <v>0.95924999999999994</v>
      </c>
      <c r="T51" s="53">
        <f t="shared" si="9"/>
        <v>10</v>
      </c>
      <c r="U51" s="6" t="s">
        <v>52</v>
      </c>
      <c r="V51" s="161">
        <f ca="1">'Summary tables'!R28</f>
        <v>0.11181978297833398</v>
      </c>
      <c r="W51" s="161">
        <f t="shared" ca="1" si="10"/>
        <v>0.62974328609125729</v>
      </c>
      <c r="X51" s="73">
        <f t="shared" ca="1" si="11"/>
        <v>10</v>
      </c>
      <c r="Z51" s="51"/>
      <c r="AC51" s="6">
        <v>7</v>
      </c>
      <c r="AD51" s="6" t="s">
        <v>54</v>
      </c>
      <c r="AG51" s="260"/>
      <c r="AH51" s="260"/>
      <c r="AI51" s="260"/>
      <c r="AJ51" s="260"/>
      <c r="AK51" s="260"/>
      <c r="AL51" s="260"/>
      <c r="AM51" s="260"/>
      <c r="AN51" s="260"/>
      <c r="AO51" s="260"/>
      <c r="AP51" s="260"/>
      <c r="AQ51" s="260"/>
      <c r="AR51" s="260"/>
      <c r="AS51" s="260"/>
      <c r="AT51" s="260"/>
      <c r="AU51" s="260"/>
    </row>
    <row r="52" spans="1:138" outlineLevel="1">
      <c r="B52" s="6" t="s">
        <v>93</v>
      </c>
      <c r="D52" s="6">
        <v>-0.46615960000000001</v>
      </c>
      <c r="E52" s="6">
        <v>9.0032500000000001E-2</v>
      </c>
      <c r="F52" s="6">
        <v>-5.18</v>
      </c>
      <c r="G52" s="6">
        <v>8</v>
      </c>
      <c r="H52" s="6">
        <f t="shared" si="12"/>
        <v>-0.46615960000000001</v>
      </c>
      <c r="I52" s="6">
        <f t="shared" si="7"/>
        <v>0.62740714187636459</v>
      </c>
      <c r="J52" s="6">
        <f t="shared" si="8"/>
        <v>1.700885333648323</v>
      </c>
      <c r="L52" s="51">
        <f t="shared" si="4"/>
        <v>0.65349251306828815</v>
      </c>
      <c r="N52" s="6" t="s">
        <v>53</v>
      </c>
      <c r="O52" s="52">
        <v>0.72513749999999999</v>
      </c>
      <c r="P52" s="51">
        <f t="shared" si="5"/>
        <v>0.58792910975077006</v>
      </c>
      <c r="Q52" s="51">
        <f t="shared" si="6"/>
        <v>0.68698240392932131</v>
      </c>
      <c r="R52" s="51">
        <v>0.65348307692307683</v>
      </c>
      <c r="S52" s="51">
        <v>1.25515</v>
      </c>
      <c r="T52" s="53">
        <f t="shared" si="9"/>
        <v>7</v>
      </c>
      <c r="U52" s="6" t="s">
        <v>54</v>
      </c>
      <c r="V52" s="161">
        <f ca="1">'Summary tables'!R29</f>
        <v>4.0110702207863828E-2</v>
      </c>
      <c r="W52" s="161">
        <f t="shared" ca="1" si="10"/>
        <v>0.75422327432225478</v>
      </c>
      <c r="X52" s="73">
        <f t="shared" ca="1" si="11"/>
        <v>7</v>
      </c>
      <c r="Z52" s="51"/>
      <c r="AC52" s="6">
        <v>8</v>
      </c>
      <c r="AD52" s="6" t="s">
        <v>48</v>
      </c>
      <c r="AG52" s="260"/>
      <c r="AH52" s="260"/>
      <c r="AI52" s="260"/>
      <c r="AJ52" s="260"/>
      <c r="AK52" s="260"/>
      <c r="AL52" s="260"/>
      <c r="AM52" s="260"/>
      <c r="AN52" s="260"/>
      <c r="AO52" s="260"/>
      <c r="AP52" s="260"/>
      <c r="AQ52" s="260"/>
      <c r="AR52" s="260"/>
      <c r="AS52" s="260"/>
      <c r="AT52" s="260"/>
      <c r="AU52" s="260"/>
    </row>
    <row r="53" spans="1:138" outlineLevel="1">
      <c r="B53" s="6" t="s">
        <v>94</v>
      </c>
      <c r="D53" s="6">
        <v>-0.99730850000000004</v>
      </c>
      <c r="E53" s="6">
        <v>8.5363400000000006E-2</v>
      </c>
      <c r="F53" s="6">
        <v>-11.68</v>
      </c>
      <c r="G53" s="6">
        <v>9</v>
      </c>
      <c r="H53" s="6">
        <f t="shared" si="12"/>
        <v>-0.99730850000000004</v>
      </c>
      <c r="I53" s="6">
        <f t="shared" si="7"/>
        <v>0.36887092237464614</v>
      </c>
      <c r="J53" s="6">
        <f t="shared" si="8"/>
        <v>1</v>
      </c>
      <c r="L53" s="51">
        <f t="shared" si="4"/>
        <v>0.86920257408834367</v>
      </c>
      <c r="N53" s="6" t="s">
        <v>55</v>
      </c>
      <c r="O53" s="52">
        <v>0.9572138</v>
      </c>
      <c r="P53" s="51">
        <f t="shared" si="5"/>
        <v>1</v>
      </c>
      <c r="Q53" s="51">
        <f t="shared" si="6"/>
        <v>1</v>
      </c>
      <c r="R53" s="51">
        <v>0.86919384615384598</v>
      </c>
      <c r="S53" s="51">
        <v>1.6694600000000002</v>
      </c>
      <c r="T53" s="53">
        <f t="shared" si="9"/>
        <v>1</v>
      </c>
      <c r="U53" s="6" t="s">
        <v>56</v>
      </c>
      <c r="V53" s="161">
        <f ca="1">'Summary tables'!R30</f>
        <v>5.2151517542478487E-2</v>
      </c>
      <c r="W53" s="161">
        <f t="shared" ca="1" si="10"/>
        <v>1.0071339522826026</v>
      </c>
      <c r="X53" s="73">
        <f t="shared" ca="1" si="11"/>
        <v>1</v>
      </c>
      <c r="Z53" s="51"/>
      <c r="AC53" s="6">
        <v>9</v>
      </c>
      <c r="AD53" s="6" t="s">
        <v>46</v>
      </c>
      <c r="AG53" s="260"/>
      <c r="AH53" s="260"/>
      <c r="AI53" s="260"/>
      <c r="AJ53" s="260"/>
      <c r="AK53" s="260"/>
      <c r="AL53" s="260"/>
      <c r="AM53" s="260"/>
      <c r="AN53" s="260"/>
      <c r="AO53" s="260"/>
      <c r="AP53" s="260"/>
      <c r="AQ53" s="260"/>
      <c r="AR53" s="260"/>
      <c r="AS53" s="260"/>
      <c r="AT53" s="260"/>
      <c r="AU53" s="260"/>
    </row>
    <row r="54" spans="1:138" outlineLevel="1">
      <c r="B54" s="6" t="s">
        <v>95</v>
      </c>
      <c r="D54" s="6">
        <v>-0.83150480000000004</v>
      </c>
      <c r="E54" s="6">
        <v>8.7518600000000002E-2</v>
      </c>
      <c r="F54" s="6">
        <v>-9.5</v>
      </c>
      <c r="G54" s="6">
        <v>10</v>
      </c>
      <c r="H54" s="6">
        <f t="shared" si="12"/>
        <v>-0.83150480000000004</v>
      </c>
      <c r="I54" s="6">
        <f t="shared" si="7"/>
        <v>0.43539361280795741</v>
      </c>
      <c r="J54" s="6">
        <f t="shared" si="8"/>
        <v>1.1803413779678384</v>
      </c>
      <c r="L54" s="51">
        <f t="shared" si="4"/>
        <v>0.85730053939229833</v>
      </c>
      <c r="N54" s="6" t="s">
        <v>57</v>
      </c>
      <c r="O54" s="52">
        <v>0.80943010000000004</v>
      </c>
      <c r="P54" s="51">
        <f t="shared" si="5"/>
        <v>0.84721252568614747</v>
      </c>
      <c r="Q54" s="51">
        <f t="shared" si="6"/>
        <v>0.81354356598131605</v>
      </c>
      <c r="R54" s="51">
        <v>0.85729230769230746</v>
      </c>
      <c r="S54" s="51">
        <v>1.6465999999999998</v>
      </c>
      <c r="T54" s="53">
        <f t="shared" si="9"/>
        <v>4</v>
      </c>
      <c r="U54" s="6" t="s">
        <v>58</v>
      </c>
      <c r="V54" s="161">
        <f ca="1">'Summary tables'!R31</f>
        <v>5.6945428375812276E-2</v>
      </c>
      <c r="W54" s="161">
        <f t="shared" ca="1" si="10"/>
        <v>0.85552344378477652</v>
      </c>
      <c r="X54" s="73">
        <f t="shared" ca="1" si="11"/>
        <v>4</v>
      </c>
      <c r="Z54" s="51"/>
      <c r="AC54" s="6">
        <v>10</v>
      </c>
      <c r="AD54" s="6" t="s">
        <v>52</v>
      </c>
      <c r="AG54" s="260"/>
      <c r="AH54" s="260"/>
      <c r="AI54" s="260"/>
      <c r="AJ54" s="260"/>
      <c r="AK54" s="260"/>
      <c r="AL54" s="260"/>
      <c r="AM54" s="260"/>
      <c r="AN54" s="260"/>
      <c r="AO54" s="260"/>
      <c r="AP54" s="260"/>
      <c r="AQ54" s="260"/>
      <c r="AR54" s="260"/>
      <c r="AS54" s="260"/>
      <c r="AT54" s="260"/>
      <c r="AU54" s="260"/>
    </row>
    <row r="55" spans="1:138" outlineLevel="1">
      <c r="B55" s="6" t="s">
        <v>96</v>
      </c>
      <c r="D55" s="6">
        <v>-0.72428159999999997</v>
      </c>
      <c r="E55" s="6">
        <v>8.6030999999999996E-2</v>
      </c>
      <c r="F55" s="6">
        <v>-8.42</v>
      </c>
      <c r="G55" s="6">
        <v>11</v>
      </c>
      <c r="H55" s="6">
        <f t="shared" si="12"/>
        <v>-0.72428159999999997</v>
      </c>
      <c r="I55" s="6">
        <f t="shared" si="7"/>
        <v>0.48467263273524014</v>
      </c>
      <c r="J55" s="6">
        <f t="shared" si="8"/>
        <v>1.3139355892167051</v>
      </c>
      <c r="L55" s="51">
        <f t="shared" si="4"/>
        <v>0.66081804360955498</v>
      </c>
      <c r="N55" s="6" t="s">
        <v>59</v>
      </c>
      <c r="O55" s="52">
        <v>0.77180130000000002</v>
      </c>
      <c r="P55" s="51">
        <f t="shared" si="5"/>
        <v>0.7610723145083117</v>
      </c>
      <c r="Q55" s="51">
        <f t="shared" si="6"/>
        <v>0.78920584391637416</v>
      </c>
      <c r="R55" s="51">
        <v>0.66151384615384601</v>
      </c>
      <c r="S55" s="51">
        <v>1.2692200000000002</v>
      </c>
      <c r="T55" s="53">
        <f t="shared" si="9"/>
        <v>5</v>
      </c>
      <c r="U55" s="6" t="s">
        <v>239</v>
      </c>
      <c r="V55" s="161">
        <f ca="1">'Summary tables'!R32</f>
        <v>3.5958549958995258E-2</v>
      </c>
      <c r="W55" s="161">
        <f t="shared" ca="1" si="10"/>
        <v>0.79955415560446741</v>
      </c>
      <c r="X55" s="73">
        <f t="shared" ca="1" si="11"/>
        <v>5</v>
      </c>
      <c r="Z55" s="51"/>
      <c r="AC55" s="6">
        <v>11</v>
      </c>
      <c r="AD55" s="6" t="s">
        <v>50</v>
      </c>
      <c r="AG55" s="260"/>
      <c r="AH55" s="260"/>
      <c r="AI55" s="260"/>
      <c r="AJ55" s="260"/>
      <c r="AK55" s="260"/>
      <c r="AL55" s="260"/>
      <c r="AM55" s="260"/>
      <c r="AN55" s="260"/>
      <c r="AO55" s="260"/>
      <c r="AP55" s="260"/>
      <c r="AQ55" s="260"/>
      <c r="AR55" s="260"/>
      <c r="AS55" s="260"/>
      <c r="AT55" s="260"/>
      <c r="AU55" s="260"/>
    </row>
    <row r="56" spans="1:138" outlineLevel="1">
      <c r="B56" s="6" t="s">
        <v>97</v>
      </c>
      <c r="D56" s="6">
        <v>-0.66253989999999996</v>
      </c>
      <c r="E56" s="6">
        <v>9.3865400000000002E-2</v>
      </c>
      <c r="F56" s="6">
        <v>-7.06</v>
      </c>
      <c r="G56" s="6">
        <v>12</v>
      </c>
      <c r="H56" s="6">
        <f t="shared" si="12"/>
        <v>-0.66253989999999996</v>
      </c>
      <c r="I56" s="6">
        <f t="shared" si="7"/>
        <v>0.51554024950443078</v>
      </c>
      <c r="J56" s="6">
        <f t="shared" si="8"/>
        <v>1.3976169392414699</v>
      </c>
      <c r="L56" s="51">
        <f t="shared" si="4"/>
        <v>0.69924714163733659</v>
      </c>
      <c r="N56" s="6" t="s">
        <v>60</v>
      </c>
      <c r="O56" s="52">
        <v>0.74856579999999995</v>
      </c>
      <c r="P56" s="51">
        <f t="shared" si="5"/>
        <v>0.71550363473895151</v>
      </c>
      <c r="Q56" s="51">
        <f t="shared" si="6"/>
        <v>0.78940080183613359</v>
      </c>
      <c r="R56" s="51">
        <v>0.69925538461538439</v>
      </c>
      <c r="S56" s="51">
        <v>1.3430299999999999</v>
      </c>
      <c r="T56" s="53">
        <f t="shared" si="9"/>
        <v>6</v>
      </c>
      <c r="U56" s="6" t="s">
        <v>61</v>
      </c>
      <c r="V56" s="161">
        <f ca="1">'Summary tables'!R33</f>
        <v>6.2589291451740511E-2</v>
      </c>
      <c r="W56" s="161">
        <f t="shared" ca="1" si="10"/>
        <v>0.79541800302700527</v>
      </c>
      <c r="X56" s="73">
        <f t="shared" ca="1" si="11"/>
        <v>6</v>
      </c>
      <c r="Z56" s="51"/>
      <c r="AC56" s="6">
        <v>12</v>
      </c>
      <c r="AD56" s="6" t="s">
        <v>43</v>
      </c>
      <c r="AG56" s="260"/>
      <c r="AH56" s="260"/>
      <c r="AI56" s="260"/>
      <c r="AJ56" s="260"/>
      <c r="AK56" s="260"/>
      <c r="AL56" s="260"/>
      <c r="AM56" s="260"/>
      <c r="AN56" s="260"/>
      <c r="AO56" s="260"/>
      <c r="AP56" s="260"/>
      <c r="AQ56" s="260"/>
      <c r="AR56" s="260"/>
      <c r="AS56" s="260"/>
      <c r="AT56" s="260"/>
      <c r="AU56" s="260"/>
    </row>
    <row r="57" spans="1:138" outlineLevel="1">
      <c r="B57" s="6" t="s">
        <v>98</v>
      </c>
      <c r="D57" s="6">
        <v>-0.74091359999999995</v>
      </c>
      <c r="E57" s="6">
        <v>9.28123E-2</v>
      </c>
      <c r="F57" s="6">
        <v>-7.98</v>
      </c>
      <c r="G57" s="6">
        <v>13</v>
      </c>
      <c r="H57" s="6">
        <f t="shared" si="12"/>
        <v>-0.74091359999999995</v>
      </c>
      <c r="I57" s="6">
        <f t="shared" si="7"/>
        <v>0.47667822330232468</v>
      </c>
      <c r="J57" s="6">
        <f t="shared" si="8"/>
        <v>1.2922629418270692</v>
      </c>
      <c r="L57" s="51">
        <f t="shared" si="4"/>
        <v>0.75106733032051132</v>
      </c>
      <c r="N57" s="6" t="s">
        <v>62</v>
      </c>
      <c r="O57" s="52">
        <v>0.87074419999999997</v>
      </c>
      <c r="P57" s="51">
        <f t="shared" si="5"/>
        <v>0.77383632048300288</v>
      </c>
      <c r="Q57" s="51">
        <f t="shared" si="6"/>
        <v>0.85364898011498636</v>
      </c>
      <c r="R57" s="51">
        <v>0.75107692307692286</v>
      </c>
      <c r="S57" s="51">
        <v>1.4425600000000001</v>
      </c>
      <c r="T57" s="53">
        <f t="shared" si="9"/>
        <v>3</v>
      </c>
      <c r="U57" s="6" t="s">
        <v>63</v>
      </c>
      <c r="V57" s="161">
        <f ca="1">'Summary tables'!R34</f>
        <v>4.649266024409756E-2</v>
      </c>
      <c r="W57" s="161">
        <f t="shared" ca="1" si="10"/>
        <v>0.91122741425011855</v>
      </c>
      <c r="X57" s="73">
        <f t="shared" ca="1" si="11"/>
        <v>3</v>
      </c>
      <c r="Z57" s="51"/>
      <c r="AC57" s="6">
        <v>13</v>
      </c>
      <c r="AD57" s="6" t="s">
        <v>408</v>
      </c>
    </row>
    <row r="58" spans="1:138" ht="15.75" outlineLevel="1" thickBot="1">
      <c r="B58" s="6" t="s">
        <v>100</v>
      </c>
      <c r="D58" s="6">
        <v>-32.374960000000002</v>
      </c>
      <c r="E58" s="6">
        <v>4.7784589999999998</v>
      </c>
      <c r="F58" s="6">
        <v>-6.78</v>
      </c>
    </row>
    <row r="59" spans="1:138" ht="16.5" thickTop="1" thickBot="1">
      <c r="B59" s="6" t="s">
        <v>107</v>
      </c>
      <c r="M59" s="55" t="s">
        <v>123</v>
      </c>
      <c r="N59" s="56" t="s">
        <v>59</v>
      </c>
      <c r="O59" s="51">
        <f ca="1">OFFSET(O44,MATCH(N59,N45:N57,0),0)</f>
        <v>0.77180130000000002</v>
      </c>
      <c r="W59" s="159"/>
    </row>
    <row r="60" spans="1:138" ht="15.75" thickTop="1"/>
    <row r="61" spans="1:138" ht="15.75" thickBot="1">
      <c r="E61" s="57" t="s">
        <v>124</v>
      </c>
    </row>
    <row r="62" spans="1:138" ht="16.5" thickTop="1" thickBot="1">
      <c r="E62" s="56">
        <v>2015</v>
      </c>
      <c r="I62" s="58">
        <v>2006</v>
      </c>
      <c r="J62" s="58">
        <v>2007</v>
      </c>
      <c r="K62" s="58">
        <v>2008</v>
      </c>
      <c r="L62" s="58">
        <v>2009</v>
      </c>
      <c r="M62" s="58">
        <v>2010</v>
      </c>
      <c r="N62" s="58">
        <v>2011</v>
      </c>
      <c r="O62" s="58">
        <v>2012</v>
      </c>
      <c r="P62" s="58">
        <v>2013</v>
      </c>
      <c r="Q62" s="58">
        <v>2014</v>
      </c>
      <c r="R62" s="58">
        <v>2015</v>
      </c>
      <c r="S62" s="59">
        <v>2006</v>
      </c>
      <c r="T62" s="59">
        <v>2007</v>
      </c>
      <c r="U62" s="59">
        <v>2008</v>
      </c>
      <c r="V62" s="59">
        <v>2009</v>
      </c>
      <c r="W62" s="59">
        <v>2010</v>
      </c>
      <c r="X62" s="59">
        <v>2011</v>
      </c>
      <c r="Y62" s="59">
        <v>2012</v>
      </c>
      <c r="Z62" s="59">
        <v>2013</v>
      </c>
      <c r="AA62" s="59">
        <v>2014</v>
      </c>
      <c r="AB62" s="59">
        <v>2015</v>
      </c>
      <c r="AC62" s="58">
        <v>2006</v>
      </c>
      <c r="AD62" s="58">
        <v>2007</v>
      </c>
      <c r="AE62" s="58">
        <v>2008</v>
      </c>
      <c r="AF62" s="58">
        <v>2009</v>
      </c>
      <c r="AG62" s="58">
        <v>2010</v>
      </c>
      <c r="AH62" s="58">
        <v>2011</v>
      </c>
      <c r="AI62" s="58">
        <v>2012</v>
      </c>
      <c r="AJ62" s="58">
        <v>2013</v>
      </c>
      <c r="AK62" s="58">
        <v>2014</v>
      </c>
      <c r="AL62" s="58">
        <v>2015</v>
      </c>
      <c r="AM62" s="59">
        <v>2006</v>
      </c>
      <c r="AN62" s="59">
        <v>2007</v>
      </c>
      <c r="AO62" s="59">
        <v>2008</v>
      </c>
      <c r="AP62" s="59">
        <v>2009</v>
      </c>
      <c r="AQ62" s="59">
        <v>2010</v>
      </c>
      <c r="AR62" s="59">
        <v>2011</v>
      </c>
      <c r="AS62" s="59">
        <v>2012</v>
      </c>
      <c r="AT62" s="59">
        <v>2013</v>
      </c>
      <c r="AU62" s="59">
        <v>2014</v>
      </c>
      <c r="AV62" s="59">
        <v>2015</v>
      </c>
      <c r="AW62" s="58">
        <v>2006</v>
      </c>
      <c r="AX62" s="58">
        <v>2007</v>
      </c>
      <c r="AY62" s="58">
        <v>2008</v>
      </c>
      <c r="AZ62" s="58">
        <v>2009</v>
      </c>
      <c r="BA62" s="58">
        <v>2010</v>
      </c>
      <c r="BB62" s="58">
        <v>2011</v>
      </c>
      <c r="BC62" s="58">
        <v>2012</v>
      </c>
      <c r="BD62" s="58">
        <v>2013</v>
      </c>
      <c r="BE62" s="58">
        <v>2014</v>
      </c>
      <c r="BF62" s="58">
        <v>2015</v>
      </c>
      <c r="BG62" s="59">
        <v>2006</v>
      </c>
      <c r="BH62" s="59">
        <v>2007</v>
      </c>
      <c r="BI62" s="59">
        <v>2008</v>
      </c>
      <c r="BJ62" s="59">
        <v>2009</v>
      </c>
      <c r="BK62" s="59">
        <v>2010</v>
      </c>
      <c r="BL62" s="59">
        <v>2011</v>
      </c>
      <c r="BM62" s="59">
        <v>2012</v>
      </c>
      <c r="BN62" s="59">
        <v>2013</v>
      </c>
      <c r="BO62" s="59">
        <v>2014</v>
      </c>
      <c r="BP62" s="59">
        <v>2015</v>
      </c>
      <c r="BQ62" s="58">
        <v>2006</v>
      </c>
      <c r="BR62" s="58">
        <v>2007</v>
      </c>
      <c r="BS62" s="58">
        <v>2008</v>
      </c>
      <c r="BT62" s="58">
        <v>2009</v>
      </c>
      <c r="BU62" s="58">
        <v>2010</v>
      </c>
      <c r="BV62" s="58">
        <v>2011</v>
      </c>
      <c r="BW62" s="58">
        <v>2012</v>
      </c>
      <c r="BX62" s="58">
        <v>2013</v>
      </c>
      <c r="BY62" s="58">
        <v>2014</v>
      </c>
      <c r="BZ62" s="58">
        <v>2015</v>
      </c>
      <c r="CA62" s="59">
        <v>2006</v>
      </c>
      <c r="CB62" s="59">
        <v>2007</v>
      </c>
      <c r="CC62" s="59">
        <v>2008</v>
      </c>
      <c r="CD62" s="59">
        <v>2009</v>
      </c>
      <c r="CE62" s="59">
        <v>2010</v>
      </c>
      <c r="CF62" s="59">
        <v>2011</v>
      </c>
      <c r="CG62" s="59">
        <v>2012</v>
      </c>
      <c r="CH62" s="59">
        <v>2013</v>
      </c>
      <c r="CI62" s="59">
        <v>2014</v>
      </c>
      <c r="CJ62" s="59">
        <v>2015</v>
      </c>
      <c r="CK62" s="58">
        <v>2006</v>
      </c>
      <c r="CL62" s="58">
        <v>2007</v>
      </c>
      <c r="CM62" s="58">
        <v>2008</v>
      </c>
      <c r="CN62" s="58">
        <v>2009</v>
      </c>
      <c r="CO62" s="58">
        <v>2010</v>
      </c>
      <c r="CP62" s="58">
        <v>2011</v>
      </c>
      <c r="CQ62" s="58">
        <v>2012</v>
      </c>
      <c r="CR62" s="58">
        <v>2013</v>
      </c>
      <c r="CS62" s="58">
        <v>2014</v>
      </c>
      <c r="CT62" s="58">
        <v>2015</v>
      </c>
      <c r="CU62" s="59">
        <v>2006</v>
      </c>
      <c r="CV62" s="59">
        <v>2007</v>
      </c>
      <c r="CW62" s="59">
        <v>2008</v>
      </c>
      <c r="CX62" s="59">
        <v>2009</v>
      </c>
      <c r="CY62" s="59">
        <v>2010</v>
      </c>
      <c r="CZ62" s="59">
        <v>2011</v>
      </c>
      <c r="DA62" s="59">
        <v>2012</v>
      </c>
      <c r="DB62" s="59">
        <v>2013</v>
      </c>
      <c r="DC62" s="59">
        <v>2014</v>
      </c>
      <c r="DD62" s="59">
        <v>2015</v>
      </c>
      <c r="DE62" s="58">
        <v>2006</v>
      </c>
      <c r="DF62" s="58">
        <v>2007</v>
      </c>
      <c r="DG62" s="58">
        <v>2008</v>
      </c>
      <c r="DH62" s="58">
        <v>2009</v>
      </c>
      <c r="DI62" s="58">
        <v>2010</v>
      </c>
      <c r="DJ62" s="58">
        <v>2011</v>
      </c>
      <c r="DK62" s="58">
        <v>2012</v>
      </c>
      <c r="DL62" s="58">
        <v>2013</v>
      </c>
      <c r="DM62" s="58">
        <v>2014</v>
      </c>
      <c r="DN62" s="58">
        <v>2015</v>
      </c>
      <c r="DO62" s="59">
        <v>2006</v>
      </c>
      <c r="DP62" s="59">
        <v>2007</v>
      </c>
      <c r="DQ62" s="59">
        <v>2008</v>
      </c>
      <c r="DR62" s="59">
        <v>2009</v>
      </c>
      <c r="DS62" s="59">
        <v>2010</v>
      </c>
      <c r="DT62" s="59">
        <v>2011</v>
      </c>
      <c r="DU62" s="59">
        <v>2012</v>
      </c>
      <c r="DV62" s="59">
        <v>2013</v>
      </c>
      <c r="DW62" s="59">
        <v>2014</v>
      </c>
      <c r="DX62" s="59">
        <v>2015</v>
      </c>
      <c r="DY62" s="58">
        <v>2006</v>
      </c>
      <c r="DZ62" s="58">
        <v>2007</v>
      </c>
      <c r="EA62" s="58">
        <v>2008</v>
      </c>
      <c r="EB62" s="58">
        <v>2009</v>
      </c>
      <c r="EC62" s="58">
        <v>2010</v>
      </c>
      <c r="ED62" s="58">
        <v>2011</v>
      </c>
      <c r="EE62" s="58">
        <v>2012</v>
      </c>
      <c r="EF62" s="58">
        <v>2013</v>
      </c>
      <c r="EG62" s="58">
        <v>2014</v>
      </c>
      <c r="EH62" s="58">
        <v>2015</v>
      </c>
    </row>
    <row r="63" spans="1:138" ht="15.75" thickTop="1">
      <c r="A63" s="51"/>
      <c r="B63" s="60"/>
      <c r="C63" s="167"/>
      <c r="E63" s="6">
        <f>MATCH(E62,J65:T65,0)+1</f>
        <v>11</v>
      </c>
      <c r="H63" s="41" t="s">
        <v>126</v>
      </c>
      <c r="I63" s="61" t="s">
        <v>0</v>
      </c>
      <c r="J63" s="61" t="s">
        <v>0</v>
      </c>
      <c r="K63" s="61" t="s">
        <v>0</v>
      </c>
      <c r="L63" s="61" t="s">
        <v>0</v>
      </c>
      <c r="M63" s="61" t="s">
        <v>0</v>
      </c>
      <c r="N63" s="61" t="s">
        <v>0</v>
      </c>
      <c r="O63" s="61" t="s">
        <v>0</v>
      </c>
      <c r="P63" s="61" t="s">
        <v>0</v>
      </c>
      <c r="Q63" s="61" t="s">
        <v>0</v>
      </c>
      <c r="R63" s="61" t="s">
        <v>0</v>
      </c>
      <c r="S63" s="62" t="s">
        <v>1</v>
      </c>
      <c r="T63" s="62" t="s">
        <v>1</v>
      </c>
      <c r="U63" s="62" t="s">
        <v>1</v>
      </c>
      <c r="V63" s="62" t="s">
        <v>1</v>
      </c>
      <c r="W63" s="62" t="s">
        <v>1</v>
      </c>
      <c r="X63" s="62" t="s">
        <v>1</v>
      </c>
      <c r="Y63" s="62" t="s">
        <v>1</v>
      </c>
      <c r="Z63" s="62" t="s">
        <v>1</v>
      </c>
      <c r="AA63" s="62" t="s">
        <v>1</v>
      </c>
      <c r="AB63" s="62" t="s">
        <v>1</v>
      </c>
      <c r="AC63" s="61" t="s">
        <v>2</v>
      </c>
      <c r="AD63" s="61" t="s">
        <v>2</v>
      </c>
      <c r="AE63" s="61" t="s">
        <v>2</v>
      </c>
      <c r="AF63" s="61" t="s">
        <v>2</v>
      </c>
      <c r="AG63" s="61" t="s">
        <v>2</v>
      </c>
      <c r="AH63" s="61" t="s">
        <v>2</v>
      </c>
      <c r="AI63" s="61" t="s">
        <v>2</v>
      </c>
      <c r="AJ63" s="61" t="s">
        <v>2</v>
      </c>
      <c r="AK63" s="61" t="s">
        <v>2</v>
      </c>
      <c r="AL63" s="61" t="s">
        <v>2</v>
      </c>
      <c r="AM63" s="62" t="s">
        <v>3</v>
      </c>
      <c r="AN63" s="62" t="s">
        <v>3</v>
      </c>
      <c r="AO63" s="62" t="s">
        <v>3</v>
      </c>
      <c r="AP63" s="62" t="s">
        <v>3</v>
      </c>
      <c r="AQ63" s="62" t="s">
        <v>3</v>
      </c>
      <c r="AR63" s="62" t="s">
        <v>3</v>
      </c>
      <c r="AS63" s="62" t="s">
        <v>3</v>
      </c>
      <c r="AT63" s="62" t="s">
        <v>3</v>
      </c>
      <c r="AU63" s="62" t="s">
        <v>3</v>
      </c>
      <c r="AV63" s="62" t="s">
        <v>3</v>
      </c>
      <c r="AW63" s="61" t="s">
        <v>4</v>
      </c>
      <c r="AX63" s="61" t="s">
        <v>4</v>
      </c>
      <c r="AY63" s="61" t="s">
        <v>4</v>
      </c>
      <c r="AZ63" s="61" t="s">
        <v>4</v>
      </c>
      <c r="BA63" s="61" t="s">
        <v>4</v>
      </c>
      <c r="BB63" s="61" t="s">
        <v>4</v>
      </c>
      <c r="BC63" s="61" t="s">
        <v>4</v>
      </c>
      <c r="BD63" s="61" t="s">
        <v>4</v>
      </c>
      <c r="BE63" s="61" t="s">
        <v>4</v>
      </c>
      <c r="BF63" s="61" t="s">
        <v>4</v>
      </c>
      <c r="BG63" s="62" t="s">
        <v>5</v>
      </c>
      <c r="BH63" s="62" t="s">
        <v>5</v>
      </c>
      <c r="BI63" s="62" t="s">
        <v>5</v>
      </c>
      <c r="BJ63" s="62" t="s">
        <v>5</v>
      </c>
      <c r="BK63" s="62" t="s">
        <v>5</v>
      </c>
      <c r="BL63" s="62" t="s">
        <v>5</v>
      </c>
      <c r="BM63" s="62" t="s">
        <v>5</v>
      </c>
      <c r="BN63" s="62" t="s">
        <v>5</v>
      </c>
      <c r="BO63" s="62" t="s">
        <v>5</v>
      </c>
      <c r="BP63" s="62" t="s">
        <v>5</v>
      </c>
      <c r="BQ63" s="61" t="s">
        <v>6</v>
      </c>
      <c r="BR63" s="61" t="s">
        <v>6</v>
      </c>
      <c r="BS63" s="61" t="s">
        <v>6</v>
      </c>
      <c r="BT63" s="61" t="s">
        <v>6</v>
      </c>
      <c r="BU63" s="61" t="s">
        <v>6</v>
      </c>
      <c r="BV63" s="61" t="s">
        <v>6</v>
      </c>
      <c r="BW63" s="61" t="s">
        <v>6</v>
      </c>
      <c r="BX63" s="61" t="s">
        <v>6</v>
      </c>
      <c r="BY63" s="61" t="s">
        <v>6</v>
      </c>
      <c r="BZ63" s="61" t="s">
        <v>6</v>
      </c>
      <c r="CA63" s="62" t="s">
        <v>7</v>
      </c>
      <c r="CB63" s="62" t="s">
        <v>7</v>
      </c>
      <c r="CC63" s="62" t="s">
        <v>7</v>
      </c>
      <c r="CD63" s="62" t="s">
        <v>7</v>
      </c>
      <c r="CE63" s="62" t="s">
        <v>7</v>
      </c>
      <c r="CF63" s="62" t="s">
        <v>7</v>
      </c>
      <c r="CG63" s="62" t="s">
        <v>7</v>
      </c>
      <c r="CH63" s="62" t="s">
        <v>7</v>
      </c>
      <c r="CI63" s="62" t="s">
        <v>7</v>
      </c>
      <c r="CJ63" s="62" t="s">
        <v>7</v>
      </c>
      <c r="CK63" s="61" t="s">
        <v>8</v>
      </c>
      <c r="CL63" s="61" t="s">
        <v>8</v>
      </c>
      <c r="CM63" s="61" t="s">
        <v>8</v>
      </c>
      <c r="CN63" s="61" t="s">
        <v>8</v>
      </c>
      <c r="CO63" s="61" t="s">
        <v>8</v>
      </c>
      <c r="CP63" s="61" t="s">
        <v>8</v>
      </c>
      <c r="CQ63" s="61" t="s">
        <v>8</v>
      </c>
      <c r="CR63" s="61" t="s">
        <v>8</v>
      </c>
      <c r="CS63" s="61" t="s">
        <v>8</v>
      </c>
      <c r="CT63" s="61" t="s">
        <v>8</v>
      </c>
      <c r="CU63" s="62" t="s">
        <v>9</v>
      </c>
      <c r="CV63" s="62" t="s">
        <v>9</v>
      </c>
      <c r="CW63" s="62" t="s">
        <v>9</v>
      </c>
      <c r="CX63" s="62" t="s">
        <v>9</v>
      </c>
      <c r="CY63" s="62" t="s">
        <v>9</v>
      </c>
      <c r="CZ63" s="62" t="s">
        <v>9</v>
      </c>
      <c r="DA63" s="62" t="s">
        <v>9</v>
      </c>
      <c r="DB63" s="62" t="s">
        <v>9</v>
      </c>
      <c r="DC63" s="62" t="s">
        <v>9</v>
      </c>
      <c r="DD63" s="62" t="s">
        <v>9</v>
      </c>
      <c r="DE63" s="61" t="s">
        <v>127</v>
      </c>
      <c r="DF63" s="61" t="s">
        <v>127</v>
      </c>
      <c r="DG63" s="61" t="s">
        <v>127</v>
      </c>
      <c r="DH63" s="61" t="s">
        <v>127</v>
      </c>
      <c r="DI63" s="61" t="s">
        <v>127</v>
      </c>
      <c r="DJ63" s="61" t="s">
        <v>127</v>
      </c>
      <c r="DK63" s="61" t="s">
        <v>127</v>
      </c>
      <c r="DL63" s="61" t="s">
        <v>127</v>
      </c>
      <c r="DM63" s="61" t="s">
        <v>127</v>
      </c>
      <c r="DN63" s="61" t="s">
        <v>127</v>
      </c>
      <c r="DO63" s="62" t="s">
        <v>11</v>
      </c>
      <c r="DP63" s="62" t="s">
        <v>11</v>
      </c>
      <c r="DQ63" s="62" t="s">
        <v>11</v>
      </c>
      <c r="DR63" s="62" t="s">
        <v>11</v>
      </c>
      <c r="DS63" s="62" t="s">
        <v>11</v>
      </c>
      <c r="DT63" s="62" t="s">
        <v>11</v>
      </c>
      <c r="DU63" s="62" t="s">
        <v>11</v>
      </c>
      <c r="DV63" s="62" t="s">
        <v>11</v>
      </c>
      <c r="DW63" s="62" t="s">
        <v>11</v>
      </c>
      <c r="DX63" s="62" t="s">
        <v>11</v>
      </c>
      <c r="DY63" s="61" t="s">
        <v>12</v>
      </c>
      <c r="DZ63" s="61" t="s">
        <v>12</v>
      </c>
      <c r="EA63" s="61" t="s">
        <v>12</v>
      </c>
      <c r="EB63" s="61" t="s">
        <v>12</v>
      </c>
      <c r="EC63" s="61" t="s">
        <v>12</v>
      </c>
      <c r="ED63" s="61" t="s">
        <v>12</v>
      </c>
      <c r="EE63" s="61" t="s">
        <v>12</v>
      </c>
      <c r="EF63" s="61" t="s">
        <v>12</v>
      </c>
      <c r="EG63" s="61" t="s">
        <v>12</v>
      </c>
      <c r="EH63" s="61" t="s">
        <v>12</v>
      </c>
    </row>
    <row r="64" spans="1:138">
      <c r="A64" s="51"/>
      <c r="B64" s="60"/>
      <c r="C64" s="167"/>
      <c r="H64" s="41" t="s">
        <v>128</v>
      </c>
      <c r="I64" s="63">
        <v>32644.372461278101</v>
      </c>
      <c r="J64" s="63">
        <v>33989.783685829971</v>
      </c>
      <c r="K64" s="63">
        <v>37658.377116216798</v>
      </c>
      <c r="L64" s="63">
        <v>39959.378599711999</v>
      </c>
      <c r="M64" s="63">
        <v>46087.463131804987</v>
      </c>
      <c r="N64" s="63">
        <v>53239.636389662119</v>
      </c>
      <c r="O64" s="63">
        <v>58764.11594773754</v>
      </c>
      <c r="P64" s="63">
        <v>66417.409985292616</v>
      </c>
      <c r="Q64" s="63">
        <v>77223.594865233928</v>
      </c>
      <c r="R64" s="64">
        <v>73579.842680742615</v>
      </c>
      <c r="S64" s="63">
        <v>357834.49621930806</v>
      </c>
      <c r="T64" s="63">
        <v>316522.99188389262</v>
      </c>
      <c r="U64" s="63">
        <v>467809.122173907</v>
      </c>
      <c r="V64" s="63">
        <v>441027.33814656845</v>
      </c>
      <c r="W64" s="63">
        <v>511184.26885726338</v>
      </c>
      <c r="X64" s="63">
        <v>506684.85404769256</v>
      </c>
      <c r="Y64" s="63">
        <v>577601.09550643899</v>
      </c>
      <c r="Z64" s="63">
        <v>471121.68333051458</v>
      </c>
      <c r="AA64" s="64">
        <v>539569.59182207973</v>
      </c>
      <c r="AB64" s="64">
        <v>647227.97580349469</v>
      </c>
      <c r="AC64" s="64">
        <v>27265.629602043322</v>
      </c>
      <c r="AD64" s="64">
        <v>32341.558254429037</v>
      </c>
      <c r="AE64" s="64">
        <v>32125.623186465349</v>
      </c>
      <c r="AF64" s="64">
        <v>38829.927950286758</v>
      </c>
      <c r="AG64" s="64">
        <v>44123.599004515148</v>
      </c>
      <c r="AH64" s="64">
        <v>41598.284547956326</v>
      </c>
      <c r="AI64" s="64">
        <v>54695.972298482608</v>
      </c>
      <c r="AJ64" s="64">
        <v>54384.697735130525</v>
      </c>
      <c r="AK64" s="64">
        <v>56811.189743289469</v>
      </c>
      <c r="AL64" s="64">
        <v>55839.517999999902</v>
      </c>
      <c r="AM64" s="64">
        <v>156824.91789216295</v>
      </c>
      <c r="AN64" s="64">
        <v>176841.3944329306</v>
      </c>
      <c r="AO64" s="64">
        <v>224408.06001672792</v>
      </c>
      <c r="AP64" s="64">
        <v>214131.3002650959</v>
      </c>
      <c r="AQ64" s="64">
        <v>210431.13798086444</v>
      </c>
      <c r="AR64" s="64">
        <v>229554.29065953355</v>
      </c>
      <c r="AS64" s="64">
        <v>240838.12724750844</v>
      </c>
      <c r="AT64" s="64">
        <v>222645.27398422692</v>
      </c>
      <c r="AU64" s="64">
        <v>258321.99304766822</v>
      </c>
      <c r="AV64" s="64">
        <v>270954.43519109796</v>
      </c>
      <c r="AW64" s="64">
        <v>189286.78651596923</v>
      </c>
      <c r="AX64" s="64">
        <v>229999.82498122202</v>
      </c>
      <c r="AY64" s="64">
        <v>249220.28103108739</v>
      </c>
      <c r="AZ64" s="64">
        <v>269392.65437999991</v>
      </c>
      <c r="BA64" s="64">
        <v>278759.46134999994</v>
      </c>
      <c r="BB64" s="64">
        <v>317627.73702</v>
      </c>
      <c r="BC64" s="64">
        <v>350958.66492000007</v>
      </c>
      <c r="BD64" s="64">
        <v>387877.9989499998</v>
      </c>
      <c r="BE64" s="64">
        <v>365738.55767000001</v>
      </c>
      <c r="BF64" s="64">
        <v>381461.5461299998</v>
      </c>
      <c r="BG64" s="63">
        <v>259957.891</v>
      </c>
      <c r="BH64" s="63">
        <v>241890.48055000001</v>
      </c>
      <c r="BI64" s="63">
        <v>269457.2365</v>
      </c>
      <c r="BJ64" s="63">
        <v>270466.59798999992</v>
      </c>
      <c r="BK64" s="63">
        <v>270621.21470000001</v>
      </c>
      <c r="BL64" s="63">
        <v>345122.06182</v>
      </c>
      <c r="BM64" s="63">
        <v>363976.48437000008</v>
      </c>
      <c r="BN64" s="63">
        <v>298481.04830000014</v>
      </c>
      <c r="BO64" s="63">
        <v>308046.36037000001</v>
      </c>
      <c r="BP64" s="63">
        <v>362830.15773000004</v>
      </c>
      <c r="BQ64" s="63">
        <v>198507.61938633333</v>
      </c>
      <c r="BR64" s="63">
        <v>249199.63407413961</v>
      </c>
      <c r="BS64" s="63">
        <v>304612.2862615065</v>
      </c>
      <c r="BT64" s="63">
        <v>296582.8497940221</v>
      </c>
      <c r="BU64" s="63">
        <v>324946.11771999992</v>
      </c>
      <c r="BV64" s="63">
        <v>336208.00537622103</v>
      </c>
      <c r="BW64" s="63">
        <v>429455.71274000162</v>
      </c>
      <c r="BX64" s="63">
        <v>401260.42950844712</v>
      </c>
      <c r="BY64" s="63">
        <v>390948.49645502295</v>
      </c>
      <c r="BZ64" s="63">
        <v>391299.86702397466</v>
      </c>
      <c r="CA64" s="63">
        <v>46756.092287101921</v>
      </c>
      <c r="CB64" s="63">
        <v>51252.352222211397</v>
      </c>
      <c r="CC64" s="63">
        <v>43220.358648427165</v>
      </c>
      <c r="CD64" s="63">
        <v>48349.725749866964</v>
      </c>
      <c r="CE64" s="63">
        <v>58605.575110382997</v>
      </c>
      <c r="CF64" s="63">
        <v>59886.898408099434</v>
      </c>
      <c r="CG64" s="63">
        <v>70098.067766092558</v>
      </c>
      <c r="CH64" s="63">
        <v>69150.303926688226</v>
      </c>
      <c r="CI64" s="63">
        <v>69918.55661300612</v>
      </c>
      <c r="CJ64" s="63">
        <v>73079.730390022873</v>
      </c>
      <c r="CK64" s="64">
        <v>119182.77169966792</v>
      </c>
      <c r="CL64" s="64">
        <v>108472.2547782241</v>
      </c>
      <c r="CM64" s="64">
        <v>115769.54368062103</v>
      </c>
      <c r="CN64" s="64">
        <v>130669.61109486467</v>
      </c>
      <c r="CO64" s="64">
        <v>129799.91204555522</v>
      </c>
      <c r="CP64" s="64">
        <v>140102.32111381949</v>
      </c>
      <c r="CQ64" s="64">
        <v>171389.09954228744</v>
      </c>
      <c r="CR64" s="64">
        <v>187940.63448701706</v>
      </c>
      <c r="CS64" s="64">
        <v>174958.54833076693</v>
      </c>
      <c r="CT64" s="64">
        <v>190733.859</v>
      </c>
      <c r="CU64" s="64">
        <v>112506.535</v>
      </c>
      <c r="CV64" s="64">
        <v>108991.583</v>
      </c>
      <c r="CW64" s="64">
        <v>126897.56800000001</v>
      </c>
      <c r="CX64" s="64">
        <v>145514.894</v>
      </c>
      <c r="CY64" s="64">
        <v>147956.514</v>
      </c>
      <c r="CZ64" s="64">
        <v>191519.79499999998</v>
      </c>
      <c r="DA64" s="64">
        <v>203371.86000000002</v>
      </c>
      <c r="DB64" s="64">
        <v>222412.64300000001</v>
      </c>
      <c r="DC64" s="64">
        <v>233849.701</v>
      </c>
      <c r="DD64" s="64">
        <v>248377.48688966606</v>
      </c>
      <c r="DE64" s="63">
        <v>82540.040999999997</v>
      </c>
      <c r="DF64" s="63">
        <v>104522.864</v>
      </c>
      <c r="DG64" s="63">
        <v>117354.963</v>
      </c>
      <c r="DH64" s="63">
        <v>139244.32199999999</v>
      </c>
      <c r="DI64" s="63">
        <v>139237.07999999999</v>
      </c>
      <c r="DJ64" s="63">
        <v>145236.239</v>
      </c>
      <c r="DK64" s="63">
        <v>158632.40400000001</v>
      </c>
      <c r="DL64" s="63">
        <v>181028.39600000001</v>
      </c>
      <c r="DM64" s="64">
        <v>191268.03270719171</v>
      </c>
      <c r="DN64" s="64">
        <v>206141.48558197235</v>
      </c>
      <c r="DO64" s="63">
        <v>48648.823897879513</v>
      </c>
      <c r="DP64" s="63">
        <v>50748.109417397798</v>
      </c>
      <c r="DQ64" s="63">
        <v>53289.023029777622</v>
      </c>
      <c r="DR64" s="63">
        <v>61973.7059213752</v>
      </c>
      <c r="DS64" s="63">
        <v>75037.978098049221</v>
      </c>
      <c r="DT64" s="63">
        <v>74900.179665433359</v>
      </c>
      <c r="DU64" s="63">
        <v>84369.77778940904</v>
      </c>
      <c r="DV64" s="63">
        <v>70674.636040854952</v>
      </c>
      <c r="DW64" s="63">
        <v>74075.862810526363</v>
      </c>
      <c r="DX64" s="63">
        <v>64088.129960287173</v>
      </c>
      <c r="DY64" s="63">
        <v>83237</v>
      </c>
      <c r="DZ64" s="63">
        <v>81473</v>
      </c>
      <c r="EA64" s="63">
        <v>85413.886309046997</v>
      </c>
      <c r="EB64" s="63">
        <v>89047.922493129969</v>
      </c>
      <c r="EC64" s="63">
        <v>96130.066559793384</v>
      </c>
      <c r="ED64" s="63">
        <v>121992.7555149088</v>
      </c>
      <c r="EE64" s="63">
        <v>126519.88299902935</v>
      </c>
      <c r="EF64" s="63">
        <v>116175.49106407606</v>
      </c>
      <c r="EG64" s="63">
        <v>121867.70902049847</v>
      </c>
      <c r="EH64" s="63">
        <v>117721.494565381</v>
      </c>
    </row>
    <row r="65" spans="1:21" ht="15.75" thickBot="1">
      <c r="I65" s="220"/>
      <c r="J65" s="220">
        <v>2006</v>
      </c>
      <c r="K65" s="220">
        <v>2007</v>
      </c>
      <c r="L65" s="220">
        <v>2008</v>
      </c>
      <c r="M65" s="220">
        <v>2009</v>
      </c>
      <c r="N65" s="220">
        <v>2010</v>
      </c>
      <c r="O65" s="220">
        <v>2011</v>
      </c>
      <c r="P65" s="220">
        <v>2012</v>
      </c>
      <c r="Q65" s="220">
        <v>2013</v>
      </c>
      <c r="R65" s="220">
        <v>2014</v>
      </c>
      <c r="S65" s="220">
        <v>2015</v>
      </c>
      <c r="T65" s="220" t="s">
        <v>125</v>
      </c>
      <c r="U65" s="220"/>
    </row>
    <row r="66" spans="1:21" outlineLevel="1">
      <c r="I66" s="61" t="s">
        <v>0</v>
      </c>
      <c r="J66" s="281">
        <f>SUMIFS($I$64:$EH$64,$I$63:$EH$63,$I66,$I$62:$EH$62,J$65)</f>
        <v>32644.372461278101</v>
      </c>
      <c r="K66" s="281">
        <f t="shared" ref="K66:S78" si="13">SUMIFS($I$64:$EH$64,$I$63:$EH$63,$I66,$I$62:$EH$62,K$65)</f>
        <v>33989.783685829971</v>
      </c>
      <c r="L66" s="281">
        <f t="shared" si="13"/>
        <v>37658.377116216798</v>
      </c>
      <c r="M66" s="281">
        <f t="shared" si="13"/>
        <v>39959.378599711999</v>
      </c>
      <c r="N66" s="281">
        <f t="shared" si="13"/>
        <v>46087.463131804987</v>
      </c>
      <c r="O66" s="281">
        <f t="shared" si="13"/>
        <v>53239.636389662119</v>
      </c>
      <c r="P66" s="281">
        <f t="shared" si="13"/>
        <v>58764.11594773754</v>
      </c>
      <c r="Q66" s="281">
        <f t="shared" si="13"/>
        <v>66417.409985292616</v>
      </c>
      <c r="R66" s="281">
        <f t="shared" si="13"/>
        <v>77223.594865233928</v>
      </c>
      <c r="S66" s="281">
        <f t="shared" si="13"/>
        <v>73579.842680742615</v>
      </c>
      <c r="T66" s="281">
        <f>AVERAGE(O66:S66)</f>
        <v>65844.919973733762</v>
      </c>
      <c r="U66" s="294" t="s">
        <v>133</v>
      </c>
    </row>
    <row r="67" spans="1:21" outlineLevel="1">
      <c r="I67" s="62" t="s">
        <v>1</v>
      </c>
      <c r="J67" s="281">
        <f t="shared" ref="J67:J78" si="14">SUMIFS($I$64:$EH$64,$I$63:$EH$63,$I67,$I$62:$EH$62,J$65)</f>
        <v>357834.49621930806</v>
      </c>
      <c r="K67" s="281">
        <f t="shared" si="13"/>
        <v>316522.99188389262</v>
      </c>
      <c r="L67" s="281">
        <f t="shared" si="13"/>
        <v>467809.122173907</v>
      </c>
      <c r="M67" s="281">
        <f t="shared" si="13"/>
        <v>441027.33814656845</v>
      </c>
      <c r="N67" s="281">
        <f t="shared" si="13"/>
        <v>511184.26885726338</v>
      </c>
      <c r="O67" s="281">
        <f t="shared" si="13"/>
        <v>506684.85404769256</v>
      </c>
      <c r="P67" s="281">
        <f t="shared" si="13"/>
        <v>577601.09550643899</v>
      </c>
      <c r="Q67" s="281">
        <f t="shared" si="13"/>
        <v>471121.68333051458</v>
      </c>
      <c r="R67" s="281">
        <f t="shared" si="13"/>
        <v>539569.59182207973</v>
      </c>
      <c r="S67" s="281">
        <f t="shared" si="13"/>
        <v>647227.97580349469</v>
      </c>
      <c r="T67" s="281">
        <f t="shared" ref="T67:T78" si="15">AVERAGE(O67:S67)</f>
        <v>548441.04010204412</v>
      </c>
      <c r="U67" s="294" t="s">
        <v>133</v>
      </c>
    </row>
    <row r="68" spans="1:21" outlineLevel="1">
      <c r="I68" s="61" t="s">
        <v>2</v>
      </c>
      <c r="J68" s="281">
        <f>SUMIFS($I$64:$EH$64,$I$63:$EH$63,$I68,$I$62:$EH$62,J$65)</f>
        <v>27265.629602043322</v>
      </c>
      <c r="K68" s="281">
        <f t="shared" si="13"/>
        <v>32341.558254429037</v>
      </c>
      <c r="L68" s="281">
        <f t="shared" si="13"/>
        <v>32125.623186465349</v>
      </c>
      <c r="M68" s="281">
        <f t="shared" si="13"/>
        <v>38829.927950286758</v>
      </c>
      <c r="N68" s="281">
        <f t="shared" si="13"/>
        <v>44123.599004515148</v>
      </c>
      <c r="O68" s="281">
        <f t="shared" si="13"/>
        <v>41598.284547956326</v>
      </c>
      <c r="P68" s="281">
        <f t="shared" si="13"/>
        <v>54695.972298482608</v>
      </c>
      <c r="Q68" s="281">
        <f t="shared" si="13"/>
        <v>54384.697735130525</v>
      </c>
      <c r="R68" s="281">
        <f t="shared" si="13"/>
        <v>56811.189743289469</v>
      </c>
      <c r="S68" s="281">
        <f t="shared" si="13"/>
        <v>55839.517999999902</v>
      </c>
      <c r="T68" s="281">
        <f t="shared" si="15"/>
        <v>52665.932464971767</v>
      </c>
      <c r="U68" s="294" t="s">
        <v>134</v>
      </c>
    </row>
    <row r="69" spans="1:21" outlineLevel="1">
      <c r="I69" s="62" t="s">
        <v>3</v>
      </c>
      <c r="J69" s="281">
        <f t="shared" si="14"/>
        <v>156824.91789216295</v>
      </c>
      <c r="K69" s="281">
        <f t="shared" si="13"/>
        <v>176841.3944329306</v>
      </c>
      <c r="L69" s="281">
        <f t="shared" si="13"/>
        <v>224408.06001672792</v>
      </c>
      <c r="M69" s="281">
        <f t="shared" si="13"/>
        <v>214131.3002650959</v>
      </c>
      <c r="N69" s="281">
        <f t="shared" si="13"/>
        <v>210431.13798086444</v>
      </c>
      <c r="O69" s="281">
        <f t="shared" si="13"/>
        <v>229554.29065953355</v>
      </c>
      <c r="P69" s="281">
        <f t="shared" si="13"/>
        <v>240838.12724750844</v>
      </c>
      <c r="Q69" s="281">
        <f t="shared" si="13"/>
        <v>222645.27398422692</v>
      </c>
      <c r="R69" s="281">
        <f t="shared" si="13"/>
        <v>258321.99304766822</v>
      </c>
      <c r="S69" s="281">
        <f t="shared" si="13"/>
        <v>270954.43519109796</v>
      </c>
      <c r="T69" s="281">
        <f t="shared" si="15"/>
        <v>244462.82402600703</v>
      </c>
      <c r="U69" s="294" t="s">
        <v>133</v>
      </c>
    </row>
    <row r="70" spans="1:21" outlineLevel="1">
      <c r="I70" s="61" t="s">
        <v>4</v>
      </c>
      <c r="J70" s="281">
        <f t="shared" si="14"/>
        <v>189286.78651596923</v>
      </c>
      <c r="K70" s="281">
        <f t="shared" si="13"/>
        <v>229999.82498122202</v>
      </c>
      <c r="L70" s="281">
        <f t="shared" si="13"/>
        <v>249220.28103108739</v>
      </c>
      <c r="M70" s="281">
        <f t="shared" si="13"/>
        <v>269392.65437999991</v>
      </c>
      <c r="N70" s="281">
        <f t="shared" si="13"/>
        <v>278759.46134999994</v>
      </c>
      <c r="O70" s="281">
        <f t="shared" si="13"/>
        <v>317627.73702</v>
      </c>
      <c r="P70" s="281">
        <f t="shared" si="13"/>
        <v>350958.66492000007</v>
      </c>
      <c r="Q70" s="281">
        <f t="shared" si="13"/>
        <v>387877.9989499998</v>
      </c>
      <c r="R70" s="281">
        <f t="shared" si="13"/>
        <v>365738.55767000001</v>
      </c>
      <c r="S70" s="281">
        <f t="shared" si="13"/>
        <v>381461.5461299998</v>
      </c>
      <c r="T70" s="281">
        <f t="shared" si="15"/>
        <v>360732.90093799989</v>
      </c>
      <c r="U70" s="294" t="s">
        <v>133</v>
      </c>
    </row>
    <row r="71" spans="1:21" outlineLevel="1">
      <c r="I71" s="62" t="s">
        <v>5</v>
      </c>
      <c r="J71" s="281">
        <f t="shared" si="14"/>
        <v>259957.891</v>
      </c>
      <c r="K71" s="281">
        <f t="shared" si="13"/>
        <v>241890.48055000001</v>
      </c>
      <c r="L71" s="281">
        <f t="shared" si="13"/>
        <v>269457.2365</v>
      </c>
      <c r="M71" s="281">
        <f t="shared" si="13"/>
        <v>270466.59798999992</v>
      </c>
      <c r="N71" s="281">
        <f t="shared" si="13"/>
        <v>270621.21470000001</v>
      </c>
      <c r="O71" s="281">
        <f t="shared" si="13"/>
        <v>345122.06182</v>
      </c>
      <c r="P71" s="281">
        <f t="shared" si="13"/>
        <v>363976.48437000008</v>
      </c>
      <c r="Q71" s="281">
        <f t="shared" si="13"/>
        <v>298481.04830000014</v>
      </c>
      <c r="R71" s="281">
        <f t="shared" si="13"/>
        <v>308046.36037000001</v>
      </c>
      <c r="S71" s="281">
        <f t="shared" si="13"/>
        <v>362830.15773000004</v>
      </c>
      <c r="T71" s="281">
        <f t="shared" si="15"/>
        <v>335691.22251800011</v>
      </c>
      <c r="U71" s="294" t="s">
        <v>133</v>
      </c>
    </row>
    <row r="72" spans="1:21" outlineLevel="1">
      <c r="I72" s="61" t="s">
        <v>6</v>
      </c>
      <c r="J72" s="281">
        <f t="shared" si="14"/>
        <v>198507.61938633333</v>
      </c>
      <c r="K72" s="281">
        <f t="shared" si="13"/>
        <v>249199.63407413961</v>
      </c>
      <c r="L72" s="281">
        <f t="shared" si="13"/>
        <v>304612.2862615065</v>
      </c>
      <c r="M72" s="281">
        <f t="shared" si="13"/>
        <v>296582.8497940221</v>
      </c>
      <c r="N72" s="281">
        <f t="shared" si="13"/>
        <v>324946.11771999992</v>
      </c>
      <c r="O72" s="281">
        <f t="shared" si="13"/>
        <v>336208.00537622103</v>
      </c>
      <c r="P72" s="281">
        <f t="shared" si="13"/>
        <v>429455.71274000162</v>
      </c>
      <c r="Q72" s="281">
        <f t="shared" si="13"/>
        <v>401260.42950844712</v>
      </c>
      <c r="R72" s="281">
        <f t="shared" si="13"/>
        <v>390948.49645502295</v>
      </c>
      <c r="S72" s="281">
        <f t="shared" si="13"/>
        <v>391299.86702397466</v>
      </c>
      <c r="T72" s="281">
        <f t="shared" si="15"/>
        <v>389834.50222073344</v>
      </c>
      <c r="U72" s="294" t="s">
        <v>133</v>
      </c>
    </row>
    <row r="73" spans="1:21" outlineLevel="1">
      <c r="I73" s="62" t="s">
        <v>7</v>
      </c>
      <c r="J73" s="281">
        <f t="shared" si="14"/>
        <v>46756.092287101921</v>
      </c>
      <c r="K73" s="281">
        <f t="shared" si="13"/>
        <v>51252.352222211397</v>
      </c>
      <c r="L73" s="281">
        <f t="shared" si="13"/>
        <v>43220.358648427165</v>
      </c>
      <c r="M73" s="281">
        <f t="shared" si="13"/>
        <v>48349.725749866964</v>
      </c>
      <c r="N73" s="281">
        <f t="shared" si="13"/>
        <v>58605.575110382997</v>
      </c>
      <c r="O73" s="281">
        <f t="shared" si="13"/>
        <v>59886.898408099434</v>
      </c>
      <c r="P73" s="281">
        <f t="shared" si="13"/>
        <v>70098.067766092558</v>
      </c>
      <c r="Q73" s="281">
        <f t="shared" si="13"/>
        <v>69150.303926688226</v>
      </c>
      <c r="R73" s="281">
        <f t="shared" si="13"/>
        <v>69918.55661300612</v>
      </c>
      <c r="S73" s="281">
        <f t="shared" si="13"/>
        <v>73079.730390022873</v>
      </c>
      <c r="T73" s="281">
        <f t="shared" si="15"/>
        <v>68426.711420781838</v>
      </c>
      <c r="U73" s="294" t="s">
        <v>134</v>
      </c>
    </row>
    <row r="74" spans="1:21" outlineLevel="1">
      <c r="I74" s="61" t="s">
        <v>8</v>
      </c>
      <c r="J74" s="281">
        <f t="shared" si="14"/>
        <v>119182.77169966792</v>
      </c>
      <c r="K74" s="281">
        <f t="shared" si="13"/>
        <v>108472.2547782241</v>
      </c>
      <c r="L74" s="281">
        <f t="shared" si="13"/>
        <v>115769.54368062103</v>
      </c>
      <c r="M74" s="281">
        <f t="shared" si="13"/>
        <v>130669.61109486467</v>
      </c>
      <c r="N74" s="281">
        <f t="shared" si="13"/>
        <v>129799.91204555522</v>
      </c>
      <c r="O74" s="281">
        <f t="shared" si="13"/>
        <v>140102.32111381949</v>
      </c>
      <c r="P74" s="281">
        <f t="shared" si="13"/>
        <v>171389.09954228744</v>
      </c>
      <c r="Q74" s="281">
        <f t="shared" si="13"/>
        <v>187940.63448701706</v>
      </c>
      <c r="R74" s="281">
        <f t="shared" si="13"/>
        <v>174958.54833076693</v>
      </c>
      <c r="S74" s="281">
        <f t="shared" si="13"/>
        <v>190733.859</v>
      </c>
      <c r="T74" s="281">
        <f t="shared" si="15"/>
        <v>173024.89249477821</v>
      </c>
      <c r="U74" s="294" t="s">
        <v>134</v>
      </c>
    </row>
    <row r="75" spans="1:21" outlineLevel="1">
      <c r="I75" s="62" t="s">
        <v>9</v>
      </c>
      <c r="J75" s="281">
        <f t="shared" si="14"/>
        <v>112506.535</v>
      </c>
      <c r="K75" s="281">
        <f t="shared" si="13"/>
        <v>108991.583</v>
      </c>
      <c r="L75" s="281">
        <f t="shared" si="13"/>
        <v>126897.56800000001</v>
      </c>
      <c r="M75" s="281">
        <f t="shared" si="13"/>
        <v>145514.894</v>
      </c>
      <c r="N75" s="281">
        <f t="shared" si="13"/>
        <v>147956.514</v>
      </c>
      <c r="O75" s="281">
        <f t="shared" si="13"/>
        <v>191519.79499999998</v>
      </c>
      <c r="P75" s="281">
        <f t="shared" si="13"/>
        <v>203371.86000000002</v>
      </c>
      <c r="Q75" s="281">
        <f t="shared" si="13"/>
        <v>222412.64300000001</v>
      </c>
      <c r="R75" s="281">
        <f t="shared" si="13"/>
        <v>233849.701</v>
      </c>
      <c r="S75" s="281">
        <f t="shared" si="13"/>
        <v>248377.48688966606</v>
      </c>
      <c r="T75" s="281">
        <f t="shared" si="15"/>
        <v>219906.29717793324</v>
      </c>
      <c r="U75" s="294" t="s">
        <v>134</v>
      </c>
    </row>
    <row r="76" spans="1:21" outlineLevel="1">
      <c r="I76" s="61" t="s">
        <v>127</v>
      </c>
      <c r="J76" s="281">
        <f t="shared" si="14"/>
        <v>82540.040999999997</v>
      </c>
      <c r="K76" s="281">
        <f t="shared" si="13"/>
        <v>104522.864</v>
      </c>
      <c r="L76" s="281">
        <f t="shared" si="13"/>
        <v>117354.963</v>
      </c>
      <c r="M76" s="281">
        <f t="shared" si="13"/>
        <v>139244.32199999999</v>
      </c>
      <c r="N76" s="281">
        <f t="shared" si="13"/>
        <v>139237.07999999999</v>
      </c>
      <c r="O76" s="281">
        <f t="shared" si="13"/>
        <v>145236.239</v>
      </c>
      <c r="P76" s="281">
        <f t="shared" si="13"/>
        <v>158632.40400000001</v>
      </c>
      <c r="Q76" s="281">
        <f t="shared" si="13"/>
        <v>181028.39600000001</v>
      </c>
      <c r="R76" s="281">
        <f t="shared" si="13"/>
        <v>191268.03270719171</v>
      </c>
      <c r="S76" s="281">
        <f t="shared" si="13"/>
        <v>206141.48558197235</v>
      </c>
      <c r="T76" s="281">
        <f t="shared" si="15"/>
        <v>176461.31145783281</v>
      </c>
      <c r="U76" s="294" t="s">
        <v>134</v>
      </c>
    </row>
    <row r="77" spans="1:21" outlineLevel="1">
      <c r="I77" s="62" t="s">
        <v>11</v>
      </c>
      <c r="J77" s="281">
        <f t="shared" si="14"/>
        <v>48648.823897879513</v>
      </c>
      <c r="K77" s="281">
        <f t="shared" si="13"/>
        <v>50748.109417397798</v>
      </c>
      <c r="L77" s="281">
        <f t="shared" si="13"/>
        <v>53289.023029777622</v>
      </c>
      <c r="M77" s="281">
        <f t="shared" si="13"/>
        <v>61973.7059213752</v>
      </c>
      <c r="N77" s="281">
        <f t="shared" si="13"/>
        <v>75037.978098049221</v>
      </c>
      <c r="O77" s="281">
        <f t="shared" si="13"/>
        <v>74900.179665433359</v>
      </c>
      <c r="P77" s="281">
        <f t="shared" si="13"/>
        <v>84369.77778940904</v>
      </c>
      <c r="Q77" s="281">
        <f t="shared" si="13"/>
        <v>70674.636040854952</v>
      </c>
      <c r="R77" s="281">
        <f t="shared" si="13"/>
        <v>74075.862810526363</v>
      </c>
      <c r="S77" s="281">
        <f t="shared" si="13"/>
        <v>64088.129960287173</v>
      </c>
      <c r="T77" s="281">
        <f t="shared" si="15"/>
        <v>73621.717253302195</v>
      </c>
      <c r="U77" s="294" t="s">
        <v>133</v>
      </c>
    </row>
    <row r="78" spans="1:21" outlineLevel="1">
      <c r="I78" s="61" t="s">
        <v>12</v>
      </c>
      <c r="J78" s="281">
        <f t="shared" si="14"/>
        <v>83237</v>
      </c>
      <c r="K78" s="281">
        <f t="shared" si="13"/>
        <v>81473</v>
      </c>
      <c r="L78" s="281">
        <f t="shared" si="13"/>
        <v>85413.886309046997</v>
      </c>
      <c r="M78" s="281">
        <f t="shared" si="13"/>
        <v>89047.922493129969</v>
      </c>
      <c r="N78" s="281">
        <f t="shared" si="13"/>
        <v>96130.066559793384</v>
      </c>
      <c r="O78" s="281">
        <f t="shared" si="13"/>
        <v>121992.7555149088</v>
      </c>
      <c r="P78" s="281">
        <f t="shared" si="13"/>
        <v>126519.88299902935</v>
      </c>
      <c r="Q78" s="281">
        <f t="shared" si="13"/>
        <v>116175.49106407606</v>
      </c>
      <c r="R78" s="281">
        <f t="shared" si="13"/>
        <v>121867.70902049847</v>
      </c>
      <c r="S78" s="281">
        <f t="shared" si="13"/>
        <v>117721.494565381</v>
      </c>
      <c r="T78" s="281">
        <f t="shared" si="15"/>
        <v>120855.46663277873</v>
      </c>
      <c r="U78" s="294" t="s">
        <v>134</v>
      </c>
    </row>
    <row r="79" spans="1:21" outlineLevel="1">
      <c r="H79" s="6"/>
      <c r="J79" s="6">
        <v>1</v>
      </c>
      <c r="K79" s="6">
        <v>2</v>
      </c>
      <c r="L79" s="6">
        <v>3</v>
      </c>
      <c r="M79" s="6">
        <v>4</v>
      </c>
      <c r="N79" s="6">
        <v>5</v>
      </c>
      <c r="O79" s="6">
        <v>6</v>
      </c>
      <c r="P79" s="6">
        <v>7</v>
      </c>
      <c r="Q79" s="6">
        <v>8</v>
      </c>
      <c r="R79" s="6">
        <v>9</v>
      </c>
      <c r="S79" s="6">
        <v>10</v>
      </c>
      <c r="T79" s="6">
        <v>11</v>
      </c>
    </row>
    <row r="80" spans="1:21">
      <c r="A80" s="70"/>
      <c r="B80" s="70"/>
      <c r="C80" s="93"/>
      <c r="D80" s="70"/>
      <c r="E80" s="70"/>
      <c r="F80" s="70"/>
      <c r="G80" s="70"/>
      <c r="H80" s="6"/>
      <c r="I80" s="70"/>
      <c r="J80" s="70" t="s">
        <v>195</v>
      </c>
      <c r="K80" s="70" t="s">
        <v>196</v>
      </c>
      <c r="L80" s="70" t="s">
        <v>197</v>
      </c>
      <c r="M80" s="70" t="s">
        <v>198</v>
      </c>
      <c r="N80" s="70" t="s">
        <v>199</v>
      </c>
      <c r="O80" s="70" t="s">
        <v>200</v>
      </c>
      <c r="P80" s="70" t="s">
        <v>201</v>
      </c>
      <c r="Q80" s="70" t="s">
        <v>202</v>
      </c>
      <c r="R80" s="70" t="s">
        <v>203</v>
      </c>
      <c r="S80" s="70" t="s">
        <v>207</v>
      </c>
      <c r="T80" s="70" t="s">
        <v>208</v>
      </c>
    </row>
    <row r="81" spans="1:20">
      <c r="A81" s="70"/>
      <c r="B81" s="70"/>
      <c r="C81" s="93"/>
      <c r="D81" s="70"/>
      <c r="E81" s="70"/>
      <c r="F81" s="70"/>
      <c r="G81" s="70"/>
      <c r="H81" s="6"/>
      <c r="I81" s="70"/>
      <c r="J81" s="73">
        <v>2006</v>
      </c>
      <c r="K81" s="73">
        <v>2007</v>
      </c>
      <c r="L81" s="73">
        <v>2008</v>
      </c>
      <c r="M81" s="73">
        <v>2009</v>
      </c>
      <c r="N81" s="73">
        <v>2010</v>
      </c>
      <c r="O81" s="73">
        <v>2011</v>
      </c>
      <c r="P81" s="73">
        <v>2012</v>
      </c>
      <c r="Q81" s="73">
        <v>2013</v>
      </c>
      <c r="R81" s="73">
        <v>2014</v>
      </c>
      <c r="S81" s="73">
        <v>2015</v>
      </c>
      <c r="T81" s="73">
        <v>2016</v>
      </c>
    </row>
    <row r="82" spans="1:20">
      <c r="A82" s="70"/>
      <c r="B82" s="70"/>
      <c r="C82" s="93"/>
      <c r="D82" s="70"/>
      <c r="E82" s="70"/>
      <c r="F82" s="70"/>
      <c r="G82" s="70"/>
      <c r="H82" s="6"/>
      <c r="I82" s="75" t="str">
        <f>'CPI-master'!A8</f>
        <v>Multiplication factor to convert $1 in the financial year to June 2015 $</v>
      </c>
      <c r="J82" s="31">
        <f>'CPI-master'!C8</f>
        <v>1.2828162291169452</v>
      </c>
      <c r="K82" s="91">
        <f>'CPI-master'!D8</f>
        <v>1.2413394919168592</v>
      </c>
      <c r="L82" s="91">
        <f>'CPI-master'!E8</f>
        <v>1.2065095398428733</v>
      </c>
      <c r="M82" s="91">
        <f>'CPI-master'!F8</f>
        <v>1.1634199134199132</v>
      </c>
      <c r="N82" s="91">
        <f>'CPI-master'!G8</f>
        <v>1.1399787910922587</v>
      </c>
      <c r="O82" s="91">
        <f>'CPI-master'!H8</f>
        <v>1.1093911248710009</v>
      </c>
      <c r="P82" s="91">
        <f>'CPI-master'!I8</f>
        <v>1.0771543086172346</v>
      </c>
      <c r="Q82" s="91">
        <f>'CPI-master'!J8</f>
        <v>1.053921568627451</v>
      </c>
      <c r="R82" s="91">
        <f>'CPI-master'!K8</f>
        <v>1.0257633587786259</v>
      </c>
      <c r="S82" s="91">
        <f>'CPI-master'!L8</f>
        <v>1.0084427767354598</v>
      </c>
      <c r="T82" s="91">
        <f>'CPI-master'!M8</f>
        <v>0.99169741697416969</v>
      </c>
    </row>
    <row r="83" spans="1:20">
      <c r="A83" s="70"/>
      <c r="B83" s="70"/>
      <c r="C83" s="93"/>
      <c r="D83" s="70"/>
      <c r="E83" s="70"/>
      <c r="F83" s="70"/>
      <c r="G83" s="70"/>
      <c r="H83" s="6"/>
      <c r="I83" s="75" t="str">
        <f>'CPI-master'!A9</f>
        <v>Multiplication factor to convert $1 in the calendar year to June 2015 $</v>
      </c>
      <c r="J83" s="31">
        <f>'CPI-master'!C9</f>
        <v>1.2514551804423748</v>
      </c>
      <c r="K83" s="91">
        <f>'CPI-master'!D9</f>
        <v>1.225769669327252</v>
      </c>
      <c r="L83" s="91">
        <f>'CPI-master'!E9</f>
        <v>1.1735807860262009</v>
      </c>
      <c r="M83" s="91">
        <f>'CPI-master'!F9</f>
        <v>1.1571582346609257</v>
      </c>
      <c r="N83" s="91">
        <f>'CPI-master'!G9</f>
        <v>1.1221294363256786</v>
      </c>
      <c r="O83" s="91">
        <f>'CPI-master'!H9</f>
        <v>1.0836693548387097</v>
      </c>
      <c r="P83" s="91">
        <f>'CPI-master'!I9</f>
        <v>1.0707171314741035</v>
      </c>
      <c r="Q83" s="91">
        <f>'CPI-master'!J9</f>
        <v>1.0457198443579767</v>
      </c>
      <c r="R83" s="91">
        <f>'CPI-master'!K9</f>
        <v>1.0151085930122756</v>
      </c>
      <c r="S83" s="91">
        <f>'CPI-master'!L9</f>
        <v>1</v>
      </c>
      <c r="T83" s="91">
        <f>'CPI-master'!M9</f>
        <v>0.98987108655616951</v>
      </c>
    </row>
    <row r="84" spans="1:20" ht="15.75" thickBot="1">
      <c r="A84" s="51"/>
      <c r="B84" s="65" t="s">
        <v>129</v>
      </c>
      <c r="C84" s="65"/>
      <c r="E84" s="66" t="s">
        <v>126</v>
      </c>
      <c r="F84" s="66" t="s">
        <v>130</v>
      </c>
      <c r="G84" s="70"/>
      <c r="H84" s="96" t="s">
        <v>242</v>
      </c>
      <c r="I84" s="96"/>
      <c r="J84" s="220">
        <v>2006</v>
      </c>
      <c r="K84" s="220">
        <v>2007</v>
      </c>
      <c r="L84" s="220">
        <v>2008</v>
      </c>
      <c r="M84" s="220">
        <v>2009</v>
      </c>
      <c r="N84" s="220">
        <v>2010</v>
      </c>
      <c r="O84" s="220">
        <v>2011</v>
      </c>
      <c r="P84" s="220">
        <v>2012</v>
      </c>
      <c r="Q84" s="220">
        <v>2013</v>
      </c>
      <c r="R84" s="220">
        <v>2014</v>
      </c>
      <c r="S84" s="220">
        <v>2015</v>
      </c>
      <c r="T84" s="220" t="s">
        <v>125</v>
      </c>
    </row>
    <row r="85" spans="1:20">
      <c r="A85" s="6" t="s">
        <v>41</v>
      </c>
      <c r="B85" s="67">
        <f ca="1">MIN(O45/$O$59,1)</f>
        <v>0.57145006104550478</v>
      </c>
      <c r="E85" s="68">
        <f t="shared" ref="E85:E97" ca="1" si="16">OFFSET($H84,1,$E$63)</f>
        <v>74201.060864726387</v>
      </c>
      <c r="F85" s="69">
        <f ca="1">B85*E85</f>
        <v>42402.200760789106</v>
      </c>
      <c r="G85" s="70"/>
      <c r="H85" s="70"/>
      <c r="I85" s="61" t="s">
        <v>0</v>
      </c>
      <c r="J85" s="281">
        <f t="shared" ref="J85:J97" ca="1" si="17">J66*OFFSET($I$81,MATCH($U66,$I$82:$I$83,0),J$79)</f>
        <v>41876.730782665822</v>
      </c>
      <c r="K85" s="281">
        <f t="shared" ref="K85:S85" ca="1" si="18">K66*OFFSET($I$81,MATCH($U66,$I$82:$I$83,0),K$79)</f>
        <v>42192.860810932129</v>
      </c>
      <c r="L85" s="281">
        <f t="shared" ca="1" si="18"/>
        <v>45435.191245716123</v>
      </c>
      <c r="M85" s="281">
        <f t="shared" ca="1" si="18"/>
        <v>46489.536790790466</v>
      </c>
      <c r="N85" s="281">
        <f t="shared" ca="1" si="18"/>
        <v>52538.730505504092</v>
      </c>
      <c r="O85" s="281">
        <f t="shared" ca="1" si="18"/>
        <v>59063.580102050328</v>
      </c>
      <c r="P85" s="281">
        <f t="shared" ca="1" si="18"/>
        <v>63298.020685188239</v>
      </c>
      <c r="Q85" s="281">
        <f t="shared" ca="1" si="18"/>
        <v>69998.740915872128</v>
      </c>
      <c r="R85" s="281">
        <f t="shared" ca="1" si="18"/>
        <v>79213.134045922197</v>
      </c>
      <c r="S85" s="281">
        <f t="shared" ca="1" si="18"/>
        <v>74201.060864726387</v>
      </c>
      <c r="T85" s="281">
        <f ca="1">AVERAGE(O85:S85)</f>
        <v>69154.907322751853</v>
      </c>
    </row>
    <row r="86" spans="1:20">
      <c r="A86" s="6" t="s">
        <v>42</v>
      </c>
      <c r="B86" s="67">
        <f t="shared" ref="B86:B97" ca="1" si="19">MIN(O46/$O$59,1)</f>
        <v>0.58715202993309279</v>
      </c>
      <c r="E86" s="68">
        <f t="shared" ca="1" si="16"/>
        <v>652692.37710014719</v>
      </c>
      <c r="F86" s="69">
        <f t="shared" ref="F86:F97" ca="1" si="20">B86*E86</f>
        <v>383229.65413620713</v>
      </c>
      <c r="G86" s="70"/>
      <c r="H86" s="70"/>
      <c r="I86" s="62" t="s">
        <v>1</v>
      </c>
      <c r="J86" s="281">
        <f t="shared" ca="1" si="17"/>
        <v>459035.8990880145</v>
      </c>
      <c r="K86" s="281">
        <f t="shared" ref="K86:S86" ca="1" si="21">K67*OFFSET($I$81,MATCH($U67,$I$82:$I$83,0),K$79)</f>
        <v>392912.48992515542</v>
      </c>
      <c r="L86" s="281">
        <f t="shared" ca="1" si="21"/>
        <v>564416.16872833902</v>
      </c>
      <c r="M86" s="281">
        <f t="shared" ca="1" si="21"/>
        <v>513099.98756229546</v>
      </c>
      <c r="N86" s="281">
        <f t="shared" ca="1" si="21"/>
        <v>582739.22483728325</v>
      </c>
      <c r="O86" s="281">
        <f t="shared" ca="1" si="21"/>
        <v>562111.68018706853</v>
      </c>
      <c r="P86" s="281">
        <f t="shared" ca="1" si="21"/>
        <v>622165.5086867956</v>
      </c>
      <c r="Q86" s="281">
        <f t="shared" ca="1" si="21"/>
        <v>496525.30351010116</v>
      </c>
      <c r="R86" s="281">
        <f t="shared" ca="1" si="21"/>
        <v>553470.71680222871</v>
      </c>
      <c r="S86" s="281">
        <f t="shared" ca="1" si="21"/>
        <v>652692.37710014719</v>
      </c>
      <c r="T86" s="281">
        <f t="shared" ref="T86:T97" ca="1" si="22">AVERAGE(O86:S86)</f>
        <v>577393.11725726828</v>
      </c>
    </row>
    <row r="87" spans="1:20">
      <c r="A87" s="6" t="s">
        <v>44</v>
      </c>
      <c r="B87" s="67">
        <f t="shared" ca="1" si="19"/>
        <v>1</v>
      </c>
      <c r="E87" s="68">
        <f t="shared" ca="1" si="16"/>
        <v>55839.517999999902</v>
      </c>
      <c r="F87" s="69">
        <f t="shared" ca="1" si="20"/>
        <v>55839.517999999902</v>
      </c>
      <c r="G87" s="70"/>
      <c r="H87" s="70"/>
      <c r="I87" s="61" t="s">
        <v>2</v>
      </c>
      <c r="J87" s="281">
        <f t="shared" ca="1" si="17"/>
        <v>34121.713413500082</v>
      </c>
      <c r="K87" s="281">
        <f t="shared" ref="K87:S87" ca="1" si="23">K68*OFFSET($I$81,MATCH($U68,$I$82:$I$83,0),K$79)</f>
        <v>39643.301167059537</v>
      </c>
      <c r="L87" s="281">
        <f t="shared" ca="1" si="23"/>
        <v>37702.014110753546</v>
      </c>
      <c r="M87" s="281">
        <f t="shared" ca="1" si="23"/>
        <v>44932.370878964764</v>
      </c>
      <c r="N87" s="281">
        <f t="shared" ca="1" si="23"/>
        <v>49512.389279596857</v>
      </c>
      <c r="O87" s="281">
        <f t="shared" ca="1" si="23"/>
        <v>45078.786178480899</v>
      </c>
      <c r="P87" s="281">
        <f t="shared" ca="1" si="23"/>
        <v>58563.914562618324</v>
      </c>
      <c r="Q87" s="281">
        <f t="shared" ca="1" si="23"/>
        <v>56871.157651036301</v>
      </c>
      <c r="R87" s="281">
        <f t="shared" ca="1" si="23"/>
        <v>57669.526887663997</v>
      </c>
      <c r="S87" s="281">
        <f t="shared" ca="1" si="23"/>
        <v>55839.517999999902</v>
      </c>
      <c r="T87" s="281">
        <f t="shared" ca="1" si="22"/>
        <v>54804.580655959886</v>
      </c>
    </row>
    <row r="88" spans="1:20">
      <c r="A88" s="6" t="s">
        <v>45</v>
      </c>
      <c r="B88" s="67">
        <f t="shared" ca="1" si="19"/>
        <v>0.76161804858322979</v>
      </c>
      <c r="E88" s="68">
        <f t="shared" ca="1" si="16"/>
        <v>273242.04299289902</v>
      </c>
      <c r="F88" s="69">
        <f t="shared" ca="1" si="20"/>
        <v>208106.07157514672</v>
      </c>
      <c r="G88" s="70"/>
      <c r="H88" s="70"/>
      <c r="I88" s="62" t="s">
        <v>3</v>
      </c>
      <c r="J88" s="281">
        <f t="shared" ca="1" si="17"/>
        <v>201177.549801999</v>
      </c>
      <c r="K88" s="281">
        <f t="shared" ref="K88:S88" ca="1" si="24">K69*OFFSET($I$81,MATCH($U69,$I$82:$I$83,0),K$79)</f>
        <v>219520.20671524297</v>
      </c>
      <c r="L88" s="281">
        <f t="shared" ca="1" si="24"/>
        <v>270750.46522781433</v>
      </c>
      <c r="M88" s="281">
        <f t="shared" ca="1" si="24"/>
        <v>249124.61881491131</v>
      </c>
      <c r="N88" s="281">
        <f t="shared" ca="1" si="24"/>
        <v>239887.03428359414</v>
      </c>
      <c r="O88" s="281">
        <f t="shared" ca="1" si="24"/>
        <v>254665.49273374461</v>
      </c>
      <c r="P88" s="281">
        <f t="shared" ca="1" si="24"/>
        <v>259419.82644395952</v>
      </c>
      <c r="Q88" s="281">
        <f t="shared" ca="1" si="24"/>
        <v>234650.65640494504</v>
      </c>
      <c r="R88" s="281">
        <f t="shared" ca="1" si="24"/>
        <v>264977.23523496499</v>
      </c>
      <c r="S88" s="281">
        <f t="shared" ca="1" si="24"/>
        <v>273242.04299289902</v>
      </c>
      <c r="T88" s="281">
        <f t="shared" ca="1" si="22"/>
        <v>257391.05076210265</v>
      </c>
    </row>
    <row r="89" spans="1:20">
      <c r="A89" s="6" t="s">
        <v>47</v>
      </c>
      <c r="B89" s="67">
        <f t="shared" ca="1" si="19"/>
        <v>0.80857106615394392</v>
      </c>
      <c r="E89" s="68">
        <f t="shared" ca="1" si="16"/>
        <v>384682.14079713868</v>
      </c>
      <c r="F89" s="69">
        <f t="shared" ca="1" si="20"/>
        <v>311042.84871472401</v>
      </c>
      <c r="G89" s="70"/>
      <c r="H89" s="70"/>
      <c r="I89" s="61" t="s">
        <v>4</v>
      </c>
      <c r="J89" s="281">
        <f t="shared" ca="1" si="17"/>
        <v>242820.16170007986</v>
      </c>
      <c r="K89" s="281">
        <f t="shared" ref="K89:S89" ca="1" si="25">K70*OFFSET($I$81,MATCH($U70,$I$82:$I$83,0),K$79)</f>
        <v>285507.86588315666</v>
      </c>
      <c r="L89" s="281">
        <f t="shared" ca="1" si="25"/>
        <v>300686.6465863288</v>
      </c>
      <c r="M89" s="281">
        <f t="shared" ca="1" si="25"/>
        <v>313416.7786347401</v>
      </c>
      <c r="N89" s="281">
        <f t="shared" ca="1" si="25"/>
        <v>317779.87375530216</v>
      </c>
      <c r="O89" s="281">
        <f t="shared" ca="1" si="25"/>
        <v>352373.39246284828</v>
      </c>
      <c r="P89" s="281">
        <f t="shared" ca="1" si="25"/>
        <v>378036.63806513039</v>
      </c>
      <c r="Q89" s="281">
        <f t="shared" ca="1" si="25"/>
        <v>408792.98908946058</v>
      </c>
      <c r="R89" s="281">
        <f t="shared" ca="1" si="25"/>
        <v>375161.2113504294</v>
      </c>
      <c r="S89" s="281">
        <f t="shared" ca="1" si="25"/>
        <v>384682.14079713868</v>
      </c>
      <c r="T89" s="281">
        <f t="shared" ca="1" si="22"/>
        <v>379809.27435300144</v>
      </c>
    </row>
    <row r="90" spans="1:20">
      <c r="A90" s="6" t="s">
        <v>49</v>
      </c>
      <c r="B90" s="67">
        <f t="shared" ca="1" si="19"/>
        <v>0.66858231516324207</v>
      </c>
      <c r="E90" s="68">
        <f t="shared" ca="1" si="16"/>
        <v>365893.45174460608</v>
      </c>
      <c r="F90" s="69">
        <f t="shared" ca="1" si="20"/>
        <v>244629.89107047871</v>
      </c>
      <c r="G90" s="70"/>
      <c r="H90" s="70"/>
      <c r="I90" s="62" t="s">
        <v>5</v>
      </c>
      <c r="J90" s="281">
        <f t="shared" ca="1" si="17"/>
        <v>333478.20146181388</v>
      </c>
      <c r="K90" s="281">
        <f t="shared" ref="K90:S90" ca="1" si="26">K71*OFFSET($I$81,MATCH($U71,$I$82:$I$83,0),K$79)</f>
        <v>300268.20622546191</v>
      </c>
      <c r="L90" s="281">
        <f t="shared" ca="1" si="26"/>
        <v>325102.72641694732</v>
      </c>
      <c r="M90" s="281">
        <f t="shared" ca="1" si="26"/>
        <v>314666.22601650417</v>
      </c>
      <c r="N90" s="281">
        <f t="shared" ca="1" si="26"/>
        <v>308502.44517762464</v>
      </c>
      <c r="O90" s="281">
        <f t="shared" ca="1" si="26"/>
        <v>382875.35238028894</v>
      </c>
      <c r="P90" s="281">
        <f t="shared" ca="1" si="26"/>
        <v>392058.83837449912</v>
      </c>
      <c r="Q90" s="281">
        <f t="shared" ca="1" si="26"/>
        <v>314575.61462990212</v>
      </c>
      <c r="R90" s="281">
        <f t="shared" ca="1" si="26"/>
        <v>315982.6692726622</v>
      </c>
      <c r="S90" s="281">
        <f t="shared" ca="1" si="26"/>
        <v>365893.45174460608</v>
      </c>
      <c r="T90" s="281">
        <f t="shared" ca="1" si="22"/>
        <v>354277.18528039166</v>
      </c>
    </row>
    <row r="91" spans="1:20">
      <c r="A91" s="6" t="s">
        <v>51</v>
      </c>
      <c r="B91" s="67">
        <f t="shared" ca="1" si="19"/>
        <v>0.73387761850103117</v>
      </c>
      <c r="E91" s="68">
        <f t="shared" ca="1" si="16"/>
        <v>394603.52443787316</v>
      </c>
      <c r="F91" s="69">
        <f t="shared" ca="1" si="20"/>
        <v>289590.69476657984</v>
      </c>
      <c r="G91" s="70"/>
      <c r="H91" s="70"/>
      <c r="I91" s="61" t="s">
        <v>6</v>
      </c>
      <c r="J91" s="281">
        <f t="shared" ca="1" si="17"/>
        <v>254648.79575215792</v>
      </c>
      <c r="K91" s="281">
        <f t="shared" ref="K91:S91" ca="1" si="27">K72*OFFSET($I$81,MATCH($U72,$I$82:$I$83,0),K$79)</f>
        <v>309341.34714745969</v>
      </c>
      <c r="L91" s="281">
        <f t="shared" ca="1" si="27"/>
        <v>367517.62932785583</v>
      </c>
      <c r="M91" s="281">
        <f t="shared" ca="1" si="27"/>
        <v>345050.39342919231</v>
      </c>
      <c r="N91" s="281">
        <f t="shared" ca="1" si="27"/>
        <v>370431.68244856829</v>
      </c>
      <c r="O91" s="281">
        <f t="shared" ca="1" si="27"/>
        <v>372986.17727496137</v>
      </c>
      <c r="P91" s="281">
        <f t="shared" ca="1" si="27"/>
        <v>462590.07133817812</v>
      </c>
      <c r="Q91" s="281">
        <f t="shared" ca="1" si="27"/>
        <v>422897.02129566733</v>
      </c>
      <c r="R91" s="281">
        <f t="shared" ca="1" si="27"/>
        <v>401020.64283315808</v>
      </c>
      <c r="S91" s="281">
        <f t="shared" ca="1" si="27"/>
        <v>394603.52443787316</v>
      </c>
      <c r="T91" s="281">
        <f t="shared" ca="1" si="22"/>
        <v>410819.4874359676</v>
      </c>
    </row>
    <row r="92" spans="1:20">
      <c r="A92" s="6" t="s">
        <v>53</v>
      </c>
      <c r="B92" s="67">
        <f t="shared" ca="1" si="19"/>
        <v>0.93953910157964227</v>
      </c>
      <c r="E92" s="68">
        <f t="shared" ca="1" si="16"/>
        <v>73079.730390022873</v>
      </c>
      <c r="F92" s="69">
        <f t="shared" ca="1" si="20"/>
        <v>68661.264234324568</v>
      </c>
      <c r="G92" s="70"/>
      <c r="H92" s="70"/>
      <c r="I92" s="62" t="s">
        <v>7</v>
      </c>
      <c r="J92" s="281">
        <f t="shared" ca="1" si="17"/>
        <v>58513.153909935463</v>
      </c>
      <c r="K92" s="281">
        <f t="shared" ref="K92:S92" ca="1" si="28">K73*OFFSET($I$81,MATCH($U73,$I$82:$I$83,0),K$79)</f>
        <v>62823.57883566391</v>
      </c>
      <c r="L92" s="281">
        <f t="shared" ca="1" si="28"/>
        <v>50722.582474955459</v>
      </c>
      <c r="M92" s="281">
        <f t="shared" ca="1" si="28"/>
        <v>55948.28329505596</v>
      </c>
      <c r="N92" s="281">
        <f t="shared" ca="1" si="28"/>
        <v>65763.040964156287</v>
      </c>
      <c r="O92" s="281">
        <f t="shared" ca="1" si="28"/>
        <v>64897.596561196464</v>
      </c>
      <c r="P92" s="281">
        <f t="shared" ca="1" si="28"/>
        <v>75055.202040387943</v>
      </c>
      <c r="Q92" s="281">
        <f t="shared" ca="1" si="28"/>
        <v>72311.845059523199</v>
      </c>
      <c r="R92" s="281">
        <f t="shared" ca="1" si="28"/>
        <v>70974.927628877776</v>
      </c>
      <c r="S92" s="281">
        <f t="shared" ca="1" si="28"/>
        <v>73079.730390022873</v>
      </c>
      <c r="T92" s="281">
        <f t="shared" ca="1" si="22"/>
        <v>71263.860336001642</v>
      </c>
    </row>
    <row r="93" spans="1:20">
      <c r="A93" s="6" t="s">
        <v>55</v>
      </c>
      <c r="B93" s="67">
        <f t="shared" ca="1" si="19"/>
        <v>1</v>
      </c>
      <c r="E93" s="68">
        <f t="shared" ca="1" si="16"/>
        <v>190733.859</v>
      </c>
      <c r="F93" s="69">
        <f t="shared" ca="1" si="20"/>
        <v>190733.859</v>
      </c>
      <c r="G93" s="70"/>
      <c r="H93" s="70"/>
      <c r="I93" s="61" t="s">
        <v>8</v>
      </c>
      <c r="J93" s="281">
        <f t="shared" ca="1" si="17"/>
        <v>149151.89706303028</v>
      </c>
      <c r="K93" s="281">
        <f t="shared" ref="K93:S93" ca="1" si="29">K74*OFFSET($I$81,MATCH($U74,$I$82:$I$83,0),K$79)</f>
        <v>132961.99987068519</v>
      </c>
      <c r="L93" s="281">
        <f t="shared" ca="1" si="29"/>
        <v>135864.91207059784</v>
      </c>
      <c r="M93" s="281">
        <f t="shared" ca="1" si="29"/>
        <v>151205.41649836331</v>
      </c>
      <c r="N93" s="281">
        <f t="shared" ca="1" si="29"/>
        <v>145652.30213880155</v>
      </c>
      <c r="O93" s="281">
        <f t="shared" ca="1" si="29"/>
        <v>151824.5919328185</v>
      </c>
      <c r="P93" s="281">
        <f t="shared" ca="1" si="29"/>
        <v>183509.24502784759</v>
      </c>
      <c r="Q93" s="281">
        <f t="shared" ca="1" si="29"/>
        <v>196533.25104430286</v>
      </c>
      <c r="R93" s="281">
        <f t="shared" ca="1" si="29"/>
        <v>177601.92583151505</v>
      </c>
      <c r="S93" s="281">
        <f t="shared" ca="1" si="29"/>
        <v>190733.859</v>
      </c>
      <c r="T93" s="281">
        <f t="shared" ca="1" si="22"/>
        <v>180040.57456729678</v>
      </c>
    </row>
    <row r="94" spans="1:20">
      <c r="A94" s="6" t="s">
        <v>57</v>
      </c>
      <c r="B94" s="67">
        <f t="shared" ca="1" si="19"/>
        <v>1</v>
      </c>
      <c r="E94" s="68">
        <f t="shared" ca="1" si="16"/>
        <v>248377.48688966606</v>
      </c>
      <c r="F94" s="69">
        <f t="shared" ca="1" si="20"/>
        <v>248377.48688966606</v>
      </c>
      <c r="G94" s="70"/>
      <c r="H94" s="70"/>
      <c r="I94" s="62" t="s">
        <v>9</v>
      </c>
      <c r="J94" s="281">
        <f t="shared" ca="1" si="17"/>
        <v>140796.88605937135</v>
      </c>
      <c r="K94" s="281">
        <f t="shared" ref="K94:S94" ca="1" si="30">K75*OFFSET($I$81,MATCH($U75,$I$82:$I$83,0),K$79)</f>
        <v>133598.57665336374</v>
      </c>
      <c r="L94" s="281">
        <f t="shared" ca="1" si="30"/>
        <v>148924.5475982533</v>
      </c>
      <c r="M94" s="281">
        <f t="shared" ca="1" si="30"/>
        <v>168383.75785791173</v>
      </c>
      <c r="N94" s="281">
        <f t="shared" ca="1" si="30"/>
        <v>166026.35965553237</v>
      </c>
      <c r="O94" s="281">
        <f t="shared" ca="1" si="30"/>
        <v>207544.13268649194</v>
      </c>
      <c r="P94" s="281">
        <f t="shared" ca="1" si="30"/>
        <v>217753.73456175299</v>
      </c>
      <c r="Q94" s="281">
        <f t="shared" ca="1" si="30"/>
        <v>232581.31442120625</v>
      </c>
      <c r="R94" s="281">
        <f t="shared" ca="1" si="30"/>
        <v>237382.84095845136</v>
      </c>
      <c r="S94" s="281">
        <f t="shared" ca="1" si="30"/>
        <v>248377.48688966606</v>
      </c>
      <c r="T94" s="281">
        <f t="shared" ca="1" si="22"/>
        <v>228727.90190351373</v>
      </c>
    </row>
    <row r="95" spans="1:20">
      <c r="A95" s="6" t="s">
        <v>59</v>
      </c>
      <c r="B95" s="67">
        <f t="shared" ca="1" si="19"/>
        <v>1</v>
      </c>
      <c r="E95" s="68">
        <f t="shared" ca="1" si="16"/>
        <v>206141.48558197235</v>
      </c>
      <c r="F95" s="69">
        <f t="shared" ca="1" si="20"/>
        <v>206141.48558197235</v>
      </c>
      <c r="G95" s="70"/>
      <c r="H95" s="70"/>
      <c r="I95" s="61" t="s">
        <v>127</v>
      </c>
      <c r="J95" s="281">
        <f t="shared" ca="1" si="17"/>
        <v>103295.16190337601</v>
      </c>
      <c r="K95" s="281">
        <f t="shared" ref="K95:S95" ca="1" si="31">K76*OFFSET($I$81,MATCH($U76,$I$82:$I$83,0),K$79)</f>
        <v>128120.95644241733</v>
      </c>
      <c r="L95" s="281">
        <f t="shared" ca="1" si="31"/>
        <v>137725.52972161572</v>
      </c>
      <c r="M95" s="281">
        <f t="shared" ca="1" si="31"/>
        <v>161127.71383207748</v>
      </c>
      <c r="N95" s="281">
        <f t="shared" ca="1" si="31"/>
        <v>156242.0260960334</v>
      </c>
      <c r="O95" s="281">
        <f t="shared" ca="1" si="31"/>
        <v>157388.06141633066</v>
      </c>
      <c r="P95" s="281">
        <f t="shared" ca="1" si="31"/>
        <v>169850.4325697211</v>
      </c>
      <c r="Q95" s="281">
        <f t="shared" ca="1" si="31"/>
        <v>189304.9860894942</v>
      </c>
      <c r="R95" s="281">
        <f t="shared" ca="1" si="31"/>
        <v>194157.82356962329</v>
      </c>
      <c r="S95" s="281">
        <f t="shared" ca="1" si="31"/>
        <v>206141.48558197235</v>
      </c>
      <c r="T95" s="281">
        <f t="shared" ca="1" si="22"/>
        <v>183368.55784542829</v>
      </c>
    </row>
    <row r="96" spans="1:20">
      <c r="A96" s="6" t="s">
        <v>60</v>
      </c>
      <c r="B96" s="67">
        <f t="shared" ca="1" si="19"/>
        <v>0.96989445340400426</v>
      </c>
      <c r="E96" s="68">
        <f t="shared" ca="1" si="16"/>
        <v>64629.211732935008</v>
      </c>
      <c r="F96" s="69">
        <f t="shared" ca="1" si="20"/>
        <v>62683.513987646656</v>
      </c>
      <c r="G96" s="70"/>
      <c r="H96" s="70"/>
      <c r="I96" s="62" t="s">
        <v>11</v>
      </c>
      <c r="J96" s="281">
        <f t="shared" ca="1" si="17"/>
        <v>62407.500823652124</v>
      </c>
      <c r="K96" s="281">
        <f t="shared" ref="K96:S96" ca="1" si="32">K77*OFFSET($I$81,MATCH($U77,$I$82:$I$83,0),K$79)</f>
        <v>62995.632359933763</v>
      </c>
      <c r="L96" s="281">
        <f t="shared" ca="1" si="32"/>
        <v>64293.714654333278</v>
      </c>
      <c r="M96" s="281">
        <f t="shared" ca="1" si="32"/>
        <v>72101.443577357495</v>
      </c>
      <c r="N96" s="281">
        <f t="shared" ca="1" si="32"/>
        <v>85541.703558221547</v>
      </c>
      <c r="O96" s="281">
        <f t="shared" ca="1" si="32"/>
        <v>83093.594572075177</v>
      </c>
      <c r="P96" s="281">
        <f t="shared" ca="1" si="32"/>
        <v>90879.269662940613</v>
      </c>
      <c r="Q96" s="281">
        <f t="shared" ca="1" si="32"/>
        <v>74485.523278352033</v>
      </c>
      <c r="R96" s="281">
        <f t="shared" ca="1" si="32"/>
        <v>75984.305840950226</v>
      </c>
      <c r="S96" s="281">
        <f t="shared" ca="1" si="32"/>
        <v>64629.211732935008</v>
      </c>
      <c r="T96" s="281">
        <f t="shared" ca="1" si="22"/>
        <v>77814.381017450607</v>
      </c>
    </row>
    <row r="97" spans="1:138">
      <c r="A97" s="6" t="s">
        <v>62</v>
      </c>
      <c r="B97" s="67">
        <f t="shared" ca="1" si="19"/>
        <v>1</v>
      </c>
      <c r="E97" s="68">
        <f t="shared" ca="1" si="16"/>
        <v>117721.494565381</v>
      </c>
      <c r="F97" s="69">
        <f t="shared" ca="1" si="20"/>
        <v>117721.494565381</v>
      </c>
      <c r="G97" s="70"/>
      <c r="H97" s="70"/>
      <c r="I97" s="61" t="s">
        <v>12</v>
      </c>
      <c r="J97" s="281">
        <f t="shared" ca="1" si="17"/>
        <v>104167.37485448195</v>
      </c>
      <c r="K97" s="281">
        <f t="shared" ref="K97:S97" ca="1" si="33">K78*OFFSET($I$81,MATCH($U78,$I$82:$I$83,0),K$79)</f>
        <v>99867.132269099195</v>
      </c>
      <c r="L97" s="281">
        <f t="shared" ca="1" si="33"/>
        <v>100240.09583212393</v>
      </c>
      <c r="M97" s="281">
        <f t="shared" ca="1" si="33"/>
        <v>103042.53679237321</v>
      </c>
      <c r="N97" s="281">
        <f t="shared" ca="1" si="33"/>
        <v>107870.37740269092</v>
      </c>
      <c r="O97" s="281">
        <f t="shared" ca="1" si="33"/>
        <v>132199.81066383768</v>
      </c>
      <c r="P97" s="281">
        <f t="shared" ca="1" si="33"/>
        <v>135467.00619915989</v>
      </c>
      <c r="Q97" s="281">
        <f t="shared" ca="1" si="33"/>
        <v>121487.01643373714</v>
      </c>
      <c r="R97" s="281">
        <f t="shared" ca="1" si="33"/>
        <v>123708.95863742761</v>
      </c>
      <c r="S97" s="281">
        <f t="shared" ca="1" si="33"/>
        <v>117721.494565381</v>
      </c>
      <c r="T97" s="281">
        <f t="shared" ca="1" si="22"/>
        <v>126116.85729990868</v>
      </c>
    </row>
    <row r="98" spans="1:138">
      <c r="G98" s="70"/>
      <c r="H98" s="70"/>
      <c r="I98" s="70"/>
      <c r="J98" s="70"/>
      <c r="K98" s="70"/>
      <c r="L98" s="70"/>
      <c r="M98" s="70"/>
      <c r="N98" s="70"/>
      <c r="O98" s="70"/>
      <c r="P98" s="70"/>
      <c r="Q98" s="70"/>
      <c r="R98" s="70"/>
      <c r="S98" s="70"/>
      <c r="T98" s="70"/>
    </row>
    <row r="99" spans="1:138">
      <c r="H99" s="6" t="s">
        <v>131</v>
      </c>
    </row>
    <row r="100" spans="1:138">
      <c r="H100" s="6" t="s">
        <v>132</v>
      </c>
      <c r="I100" s="71">
        <v>154510</v>
      </c>
      <c r="J100" s="71">
        <v>156360</v>
      </c>
      <c r="K100" s="71">
        <v>158455</v>
      </c>
      <c r="L100" s="71">
        <v>161092</v>
      </c>
      <c r="M100" s="71">
        <v>164900</v>
      </c>
      <c r="N100" s="71">
        <v>168937</v>
      </c>
      <c r="O100" s="71">
        <v>173186</v>
      </c>
      <c r="P100" s="71">
        <v>177255</v>
      </c>
      <c r="Q100" s="72">
        <v>178710</v>
      </c>
      <c r="R100" s="72">
        <v>181851</v>
      </c>
      <c r="S100" s="71">
        <v>1546194.5</v>
      </c>
      <c r="T100" s="71">
        <v>1561614</v>
      </c>
      <c r="U100" s="71">
        <v>1574318</v>
      </c>
      <c r="V100" s="71">
        <v>1586138</v>
      </c>
      <c r="W100" s="71">
        <v>1596897.5</v>
      </c>
      <c r="X100" s="71">
        <v>1608734.5</v>
      </c>
      <c r="Y100" s="71">
        <v>1621658.5</v>
      </c>
      <c r="Z100" s="71">
        <v>1635052.5</v>
      </c>
      <c r="AA100" s="6">
        <v>1651159.5</v>
      </c>
      <c r="AB100" s="6">
        <v>1669558.4999999998</v>
      </c>
      <c r="AC100" s="71">
        <v>294971.65817284817</v>
      </c>
      <c r="AD100" s="71">
        <v>299951.29418559512</v>
      </c>
      <c r="AE100" s="71">
        <v>303151.80398687738</v>
      </c>
      <c r="AF100" s="71">
        <v>305984.98426974035</v>
      </c>
      <c r="AG100" s="71">
        <v>310174.96273258881</v>
      </c>
      <c r="AH100" s="71">
        <v>314439.61807555537</v>
      </c>
      <c r="AI100" s="71">
        <v>318643.22002329014</v>
      </c>
      <c r="AJ100" s="71">
        <v>322735.81579787645</v>
      </c>
      <c r="AK100" s="6">
        <v>325917.15180561459</v>
      </c>
      <c r="AL100" s="6">
        <v>327907.17472153297</v>
      </c>
      <c r="AM100" s="73">
        <v>849548.29330195289</v>
      </c>
      <c r="AN100" s="73">
        <v>859722.30529925239</v>
      </c>
      <c r="AO100" s="73">
        <v>869654.53679641755</v>
      </c>
      <c r="AP100" s="73">
        <v>878612.20779662021</v>
      </c>
      <c r="AQ100" s="73">
        <v>886064.29272155382</v>
      </c>
      <c r="AR100" s="73">
        <v>895088.26980019733</v>
      </c>
      <c r="AS100" s="73">
        <v>903746.68839345104</v>
      </c>
      <c r="AT100" s="73">
        <v>919384.82389900391</v>
      </c>
      <c r="AU100" s="6">
        <v>940028.5</v>
      </c>
      <c r="AV100" s="6">
        <v>955832.5</v>
      </c>
      <c r="AW100" s="73">
        <v>1212063.5623809525</v>
      </c>
      <c r="AX100" s="73">
        <v>1236100.9766666668</v>
      </c>
      <c r="AY100" s="73">
        <v>1263762.9433333334</v>
      </c>
      <c r="AZ100" s="73">
        <v>1287435.6833333333</v>
      </c>
      <c r="BA100" s="73">
        <v>1307554.3333333333</v>
      </c>
      <c r="BB100" s="73">
        <v>1326563.5</v>
      </c>
      <c r="BC100" s="73">
        <v>1343864.5</v>
      </c>
      <c r="BD100" s="73">
        <v>1359711.5</v>
      </c>
      <c r="BE100" s="6">
        <v>1376483</v>
      </c>
      <c r="BF100" s="6">
        <v>1397191</v>
      </c>
      <c r="BG100" s="6">
        <v>624130</v>
      </c>
      <c r="BH100" s="6">
        <v>635123</v>
      </c>
      <c r="BI100" s="6">
        <v>647729</v>
      </c>
      <c r="BJ100" s="6">
        <v>663216</v>
      </c>
      <c r="BK100" s="6">
        <v>676960</v>
      </c>
      <c r="BL100" s="6">
        <v>688959</v>
      </c>
      <c r="BM100" s="6">
        <v>699264</v>
      </c>
      <c r="BN100" s="6">
        <v>710431</v>
      </c>
      <c r="BO100" s="6">
        <v>721930</v>
      </c>
      <c r="BP100" s="6">
        <v>728290.5</v>
      </c>
      <c r="BQ100" s="6">
        <v>799028</v>
      </c>
      <c r="BR100" s="6">
        <v>805190</v>
      </c>
      <c r="BS100" s="6">
        <v>814865</v>
      </c>
      <c r="BT100" s="6">
        <v>821578</v>
      </c>
      <c r="BU100" s="6">
        <v>825215</v>
      </c>
      <c r="BV100" s="6">
        <v>834416</v>
      </c>
      <c r="BW100" s="6">
        <v>838385</v>
      </c>
      <c r="BX100" s="6">
        <v>844244</v>
      </c>
      <c r="BY100" s="6">
        <v>854231</v>
      </c>
      <c r="BZ100" s="6">
        <v>867001</v>
      </c>
      <c r="CA100" s="73">
        <v>293175.49999999994</v>
      </c>
      <c r="CB100" s="73">
        <v>299118.49999999994</v>
      </c>
      <c r="CC100" s="73">
        <v>302627.5</v>
      </c>
      <c r="CD100" s="73">
        <v>305243</v>
      </c>
      <c r="CE100" s="73">
        <v>309598</v>
      </c>
      <c r="CF100" s="73">
        <v>313362.00000000006</v>
      </c>
      <c r="CG100" s="73">
        <v>317050.00000000006</v>
      </c>
      <c r="CH100" s="73">
        <v>318830</v>
      </c>
      <c r="CI100" s="6">
        <v>318429</v>
      </c>
      <c r="CJ100" s="6">
        <v>321417</v>
      </c>
      <c r="CK100" s="74">
        <v>663966.3573024238</v>
      </c>
      <c r="CL100" s="74">
        <v>675821.59009513049</v>
      </c>
      <c r="CM100" s="74">
        <v>688356.4318822237</v>
      </c>
      <c r="CN100" s="74">
        <v>701004.54183504835</v>
      </c>
      <c r="CO100" s="74">
        <v>715219.69663430494</v>
      </c>
      <c r="CP100" s="74">
        <v>731281.52706414193</v>
      </c>
      <c r="CQ100" s="74">
        <v>743561.51547834044</v>
      </c>
      <c r="CR100" s="74">
        <v>753913.41676783864</v>
      </c>
      <c r="CS100" s="6">
        <v>765240.73900240555</v>
      </c>
      <c r="CT100" s="6">
        <v>777161.00874878757</v>
      </c>
      <c r="CU100" s="71">
        <v>778839</v>
      </c>
      <c r="CV100" s="71">
        <v>779426</v>
      </c>
      <c r="CW100" s="71">
        <v>781110</v>
      </c>
      <c r="CX100" s="71">
        <v>814467</v>
      </c>
      <c r="CY100" s="71">
        <v>826964</v>
      </c>
      <c r="CZ100" s="71">
        <v>836055</v>
      </c>
      <c r="DA100" s="71">
        <v>844153</v>
      </c>
      <c r="DB100" s="71">
        <v>847766</v>
      </c>
      <c r="DC100" s="6">
        <v>851766.5</v>
      </c>
      <c r="DD100" s="6">
        <v>853939</v>
      </c>
      <c r="DE100" s="71">
        <v>605408</v>
      </c>
      <c r="DF100" s="71">
        <v>616585.5</v>
      </c>
      <c r="DG100" s="71">
        <v>627552.50000000012</v>
      </c>
      <c r="DH100" s="71">
        <v>638613.50000000023</v>
      </c>
      <c r="DI100" s="71">
        <v>645694.5</v>
      </c>
      <c r="DJ100" s="71">
        <v>654640.99999999988</v>
      </c>
      <c r="DK100" s="71">
        <v>668703</v>
      </c>
      <c r="DL100" s="71">
        <v>681299.00000000012</v>
      </c>
      <c r="DM100" s="6">
        <v>685194.00000000012</v>
      </c>
      <c r="DN100" s="6">
        <v>706424</v>
      </c>
      <c r="DO100" s="71">
        <v>250642.52420131132</v>
      </c>
      <c r="DP100" s="71">
        <v>255484.38545676047</v>
      </c>
      <c r="DQ100" s="71">
        <v>260424.25945125124</v>
      </c>
      <c r="DR100" s="71">
        <v>265464.13023523602</v>
      </c>
      <c r="DS100" s="71">
        <v>270606.02202186675</v>
      </c>
      <c r="DT100" s="71">
        <v>275852</v>
      </c>
      <c r="DU100" s="71">
        <v>278392</v>
      </c>
      <c r="DV100" s="71">
        <v>279868</v>
      </c>
      <c r="DW100" s="6">
        <v>280750</v>
      </c>
      <c r="DX100" s="6">
        <v>283059</v>
      </c>
      <c r="DY100" s="72">
        <v>612728</v>
      </c>
      <c r="DZ100" s="72">
        <v>618250</v>
      </c>
      <c r="EA100" s="72">
        <v>624094</v>
      </c>
      <c r="EB100" s="72">
        <v>628120</v>
      </c>
      <c r="EC100" s="72">
        <v>633823</v>
      </c>
      <c r="ED100" s="72">
        <v>641129.77419354848</v>
      </c>
      <c r="EE100" s="72">
        <v>647892</v>
      </c>
      <c r="EF100" s="72">
        <v>656516</v>
      </c>
      <c r="EG100" s="72">
        <v>658453</v>
      </c>
      <c r="EH100" s="72">
        <v>664549</v>
      </c>
    </row>
    <row r="101" spans="1:138" ht="15.75" thickBot="1">
      <c r="D101" s="183"/>
      <c r="E101" s="66" t="s">
        <v>131</v>
      </c>
      <c r="J101" s="220">
        <v>2006</v>
      </c>
      <c r="K101" s="220">
        <v>2007</v>
      </c>
      <c r="L101" s="220">
        <v>2008</v>
      </c>
      <c r="M101" s="220">
        <v>2009</v>
      </c>
      <c r="N101" s="220">
        <v>2010</v>
      </c>
      <c r="O101" s="220">
        <v>2011</v>
      </c>
      <c r="P101" s="220">
        <v>2012</v>
      </c>
      <c r="Q101" s="220">
        <v>2013</v>
      </c>
      <c r="R101" s="220">
        <v>2014</v>
      </c>
      <c r="S101" s="220">
        <v>2015</v>
      </c>
      <c r="T101" s="220" t="s">
        <v>125</v>
      </c>
    </row>
    <row r="102" spans="1:138">
      <c r="A102" s="6" t="s">
        <v>41</v>
      </c>
      <c r="D102" s="61" t="s">
        <v>0</v>
      </c>
      <c r="E102" s="71">
        <f ca="1">OFFSET($H101,1,$E$63)</f>
        <v>181851</v>
      </c>
      <c r="I102" s="61" t="s">
        <v>0</v>
      </c>
      <c r="J102" s="125">
        <f t="shared" ref="J102:S102" si="34">SUMIFS($I$100:$EH$100,$I$63:$EH$63,$I66,$I$62:$EH$62,J$65)</f>
        <v>154510</v>
      </c>
      <c r="K102" s="125">
        <f t="shared" si="34"/>
        <v>156360</v>
      </c>
      <c r="L102" s="125">
        <f t="shared" si="34"/>
        <v>158455</v>
      </c>
      <c r="M102" s="125">
        <f t="shared" si="34"/>
        <v>161092</v>
      </c>
      <c r="N102" s="125">
        <f t="shared" si="34"/>
        <v>164900</v>
      </c>
      <c r="O102" s="125">
        <f t="shared" si="34"/>
        <v>168937</v>
      </c>
      <c r="P102" s="125">
        <f t="shared" si="34"/>
        <v>173186</v>
      </c>
      <c r="Q102" s="125">
        <f t="shared" si="34"/>
        <v>177255</v>
      </c>
      <c r="R102" s="125">
        <f t="shared" si="34"/>
        <v>178710</v>
      </c>
      <c r="S102" s="125">
        <f t="shared" si="34"/>
        <v>181851</v>
      </c>
      <c r="T102" s="125">
        <f>AVERAGE(O102:S102)</f>
        <v>175987.8</v>
      </c>
    </row>
    <row r="103" spans="1:138">
      <c r="A103" s="6" t="s">
        <v>42</v>
      </c>
      <c r="D103" s="62" t="s">
        <v>1</v>
      </c>
      <c r="E103" s="71">
        <f t="shared" ref="E103:E114" ca="1" si="35">OFFSET($H102,1,$E$63)</f>
        <v>1669558.4999999998</v>
      </c>
      <c r="I103" s="62" t="s">
        <v>1</v>
      </c>
      <c r="J103" s="125">
        <f t="shared" ref="J103:S103" si="36">SUMIFS($I$100:$EH$100,$I$63:$EH$63,$I67,$I$62:$EH$62,J$65)</f>
        <v>1546194.5</v>
      </c>
      <c r="K103" s="125">
        <f t="shared" si="36"/>
        <v>1561614</v>
      </c>
      <c r="L103" s="125">
        <f t="shared" si="36"/>
        <v>1574318</v>
      </c>
      <c r="M103" s="125">
        <f t="shared" si="36"/>
        <v>1586138</v>
      </c>
      <c r="N103" s="125">
        <f t="shared" si="36"/>
        <v>1596897.5</v>
      </c>
      <c r="O103" s="125">
        <f t="shared" si="36"/>
        <v>1608734.5</v>
      </c>
      <c r="P103" s="125">
        <f t="shared" si="36"/>
        <v>1621658.5</v>
      </c>
      <c r="Q103" s="125">
        <f t="shared" si="36"/>
        <v>1635052.5</v>
      </c>
      <c r="R103" s="125">
        <f t="shared" si="36"/>
        <v>1651159.5</v>
      </c>
      <c r="S103" s="125">
        <f t="shared" si="36"/>
        <v>1669558.4999999998</v>
      </c>
      <c r="T103" s="125">
        <f t="shared" ref="T103:T114" si="37">AVERAGE(O103:S103)</f>
        <v>1637232.7</v>
      </c>
    </row>
    <row r="104" spans="1:138">
      <c r="A104" s="6" t="s">
        <v>44</v>
      </c>
      <c r="D104" s="61" t="s">
        <v>2</v>
      </c>
      <c r="E104" s="71">
        <f t="shared" ca="1" si="35"/>
        <v>327907.17472153297</v>
      </c>
      <c r="F104" s="6">
        <v>1</v>
      </c>
      <c r="I104" s="61" t="s">
        <v>2</v>
      </c>
      <c r="J104" s="125">
        <f t="shared" ref="J104:S104" si="38">SUMIFS($I$100:$EH$100,$I$63:$EH$63,$I68,$I$62:$EH$62,J$65)</f>
        <v>294971.65817284817</v>
      </c>
      <c r="K104" s="125">
        <f t="shared" si="38"/>
        <v>299951.29418559512</v>
      </c>
      <c r="L104" s="125">
        <f t="shared" si="38"/>
        <v>303151.80398687738</v>
      </c>
      <c r="M104" s="125">
        <f t="shared" si="38"/>
        <v>305984.98426974035</v>
      </c>
      <c r="N104" s="125">
        <f t="shared" si="38"/>
        <v>310174.96273258881</v>
      </c>
      <c r="O104" s="125">
        <f t="shared" si="38"/>
        <v>314439.61807555537</v>
      </c>
      <c r="P104" s="125">
        <f t="shared" si="38"/>
        <v>318643.22002329014</v>
      </c>
      <c r="Q104" s="125">
        <f t="shared" si="38"/>
        <v>322735.81579787645</v>
      </c>
      <c r="R104" s="125">
        <f t="shared" si="38"/>
        <v>325917.15180561459</v>
      </c>
      <c r="S104" s="125">
        <f t="shared" si="38"/>
        <v>327907.17472153297</v>
      </c>
      <c r="T104" s="125">
        <f t="shared" si="37"/>
        <v>321928.59608477389</v>
      </c>
    </row>
    <row r="105" spans="1:138">
      <c r="A105" s="6" t="s">
        <v>45</v>
      </c>
      <c r="D105" s="62" t="s">
        <v>3</v>
      </c>
      <c r="E105" s="71">
        <f t="shared" ca="1" si="35"/>
        <v>955832.5</v>
      </c>
      <c r="I105" s="62" t="s">
        <v>3</v>
      </c>
      <c r="J105" s="125">
        <f t="shared" ref="J105:S105" si="39">SUMIFS($I$100:$EH$100,$I$63:$EH$63,$I69,$I$62:$EH$62,J$65)</f>
        <v>849548.29330195289</v>
      </c>
      <c r="K105" s="125">
        <f t="shared" si="39"/>
        <v>859722.30529925239</v>
      </c>
      <c r="L105" s="125">
        <f t="shared" si="39"/>
        <v>869654.53679641755</v>
      </c>
      <c r="M105" s="125">
        <f t="shared" si="39"/>
        <v>878612.20779662021</v>
      </c>
      <c r="N105" s="125">
        <f t="shared" si="39"/>
        <v>886064.29272155382</v>
      </c>
      <c r="O105" s="125">
        <f t="shared" si="39"/>
        <v>895088.26980019733</v>
      </c>
      <c r="P105" s="125">
        <f t="shared" si="39"/>
        <v>903746.68839345104</v>
      </c>
      <c r="Q105" s="125">
        <f t="shared" si="39"/>
        <v>919384.82389900391</v>
      </c>
      <c r="R105" s="125">
        <f t="shared" si="39"/>
        <v>940028.5</v>
      </c>
      <c r="S105" s="125">
        <f t="shared" si="39"/>
        <v>955832.5</v>
      </c>
      <c r="T105" s="125">
        <f t="shared" si="37"/>
        <v>922816.1564185305</v>
      </c>
    </row>
    <row r="106" spans="1:138">
      <c r="A106" s="6" t="s">
        <v>47</v>
      </c>
      <c r="D106" s="61" t="s">
        <v>4</v>
      </c>
      <c r="E106" s="71">
        <f t="shared" ca="1" si="35"/>
        <v>1397191</v>
      </c>
      <c r="I106" s="61" t="s">
        <v>4</v>
      </c>
      <c r="J106" s="125">
        <f t="shared" ref="J106:S106" si="40">SUMIFS($I$100:$EH$100,$I$63:$EH$63,$I70,$I$62:$EH$62,J$65)</f>
        <v>1212063.5623809525</v>
      </c>
      <c r="K106" s="125">
        <f t="shared" si="40"/>
        <v>1236100.9766666668</v>
      </c>
      <c r="L106" s="125">
        <f t="shared" si="40"/>
        <v>1263762.9433333334</v>
      </c>
      <c r="M106" s="125">
        <f t="shared" si="40"/>
        <v>1287435.6833333333</v>
      </c>
      <c r="N106" s="125">
        <f t="shared" si="40"/>
        <v>1307554.3333333333</v>
      </c>
      <c r="O106" s="125">
        <f t="shared" si="40"/>
        <v>1326563.5</v>
      </c>
      <c r="P106" s="125">
        <f t="shared" si="40"/>
        <v>1343864.5</v>
      </c>
      <c r="Q106" s="125">
        <f t="shared" si="40"/>
        <v>1359711.5</v>
      </c>
      <c r="R106" s="125">
        <f t="shared" si="40"/>
        <v>1376483</v>
      </c>
      <c r="S106" s="125">
        <f t="shared" si="40"/>
        <v>1397191</v>
      </c>
      <c r="T106" s="125">
        <f t="shared" si="37"/>
        <v>1360762.7</v>
      </c>
    </row>
    <row r="107" spans="1:138">
      <c r="A107" s="6" t="s">
        <v>49</v>
      </c>
      <c r="D107" s="62" t="s">
        <v>5</v>
      </c>
      <c r="E107" s="71">
        <f t="shared" ca="1" si="35"/>
        <v>728290.5</v>
      </c>
      <c r="I107" s="62" t="s">
        <v>5</v>
      </c>
      <c r="J107" s="125">
        <f t="shared" ref="J107:S107" si="41">SUMIFS($I$100:$EH$100,$I$63:$EH$63,$I71,$I$62:$EH$62,J$65)</f>
        <v>624130</v>
      </c>
      <c r="K107" s="125">
        <f t="shared" si="41"/>
        <v>635123</v>
      </c>
      <c r="L107" s="125">
        <f t="shared" si="41"/>
        <v>647729</v>
      </c>
      <c r="M107" s="125">
        <f t="shared" si="41"/>
        <v>663216</v>
      </c>
      <c r="N107" s="125">
        <f t="shared" si="41"/>
        <v>676960</v>
      </c>
      <c r="O107" s="125">
        <f t="shared" si="41"/>
        <v>688959</v>
      </c>
      <c r="P107" s="125">
        <f t="shared" si="41"/>
        <v>699264</v>
      </c>
      <c r="Q107" s="125">
        <f t="shared" si="41"/>
        <v>710431</v>
      </c>
      <c r="R107" s="125">
        <f t="shared" si="41"/>
        <v>721930</v>
      </c>
      <c r="S107" s="125">
        <f t="shared" si="41"/>
        <v>728290.5</v>
      </c>
      <c r="T107" s="125">
        <f t="shared" si="37"/>
        <v>709774.9</v>
      </c>
    </row>
    <row r="108" spans="1:138">
      <c r="A108" s="6" t="s">
        <v>51</v>
      </c>
      <c r="D108" s="61" t="s">
        <v>6</v>
      </c>
      <c r="E108" s="71">
        <f t="shared" ca="1" si="35"/>
        <v>867001</v>
      </c>
      <c r="I108" s="61" t="s">
        <v>6</v>
      </c>
      <c r="J108" s="125">
        <f t="shared" ref="J108:S108" si="42">SUMIFS($I$100:$EH$100,$I$63:$EH$63,$I72,$I$62:$EH$62,J$65)</f>
        <v>799028</v>
      </c>
      <c r="K108" s="125">
        <f t="shared" si="42"/>
        <v>805190</v>
      </c>
      <c r="L108" s="125">
        <f t="shared" si="42"/>
        <v>814865</v>
      </c>
      <c r="M108" s="125">
        <f t="shared" si="42"/>
        <v>821578</v>
      </c>
      <c r="N108" s="125">
        <f t="shared" si="42"/>
        <v>825215</v>
      </c>
      <c r="O108" s="125">
        <f t="shared" si="42"/>
        <v>834416</v>
      </c>
      <c r="P108" s="125">
        <f t="shared" si="42"/>
        <v>838385</v>
      </c>
      <c r="Q108" s="125">
        <f t="shared" si="42"/>
        <v>844244</v>
      </c>
      <c r="R108" s="125">
        <f t="shared" si="42"/>
        <v>854231</v>
      </c>
      <c r="S108" s="125">
        <f t="shared" si="42"/>
        <v>867001</v>
      </c>
      <c r="T108" s="125">
        <f t="shared" si="37"/>
        <v>847655.4</v>
      </c>
    </row>
    <row r="109" spans="1:138">
      <c r="A109" s="6" t="s">
        <v>53</v>
      </c>
      <c r="D109" s="62" t="s">
        <v>7</v>
      </c>
      <c r="E109" s="71">
        <f t="shared" ca="1" si="35"/>
        <v>321417</v>
      </c>
      <c r="I109" s="62" t="s">
        <v>7</v>
      </c>
      <c r="J109" s="125">
        <f t="shared" ref="J109:S109" si="43">SUMIFS($I$100:$EH$100,$I$63:$EH$63,$I73,$I$62:$EH$62,J$65)</f>
        <v>293175.49999999994</v>
      </c>
      <c r="K109" s="125">
        <f t="shared" si="43"/>
        <v>299118.49999999994</v>
      </c>
      <c r="L109" s="125">
        <f t="shared" si="43"/>
        <v>302627.5</v>
      </c>
      <c r="M109" s="125">
        <f t="shared" si="43"/>
        <v>305243</v>
      </c>
      <c r="N109" s="125">
        <f t="shared" si="43"/>
        <v>309598</v>
      </c>
      <c r="O109" s="125">
        <f t="shared" si="43"/>
        <v>313362.00000000006</v>
      </c>
      <c r="P109" s="125">
        <f t="shared" si="43"/>
        <v>317050.00000000006</v>
      </c>
      <c r="Q109" s="125">
        <f t="shared" si="43"/>
        <v>318830</v>
      </c>
      <c r="R109" s="125">
        <f t="shared" si="43"/>
        <v>318429</v>
      </c>
      <c r="S109" s="125">
        <f t="shared" si="43"/>
        <v>321417</v>
      </c>
      <c r="T109" s="125">
        <f t="shared" si="37"/>
        <v>317817.59999999998</v>
      </c>
    </row>
    <row r="110" spans="1:138">
      <c r="A110" s="6" t="s">
        <v>55</v>
      </c>
      <c r="D110" s="61" t="s">
        <v>8</v>
      </c>
      <c r="E110" s="71">
        <f t="shared" ca="1" si="35"/>
        <v>777161.00874878757</v>
      </c>
      <c r="F110" s="6">
        <v>1</v>
      </c>
      <c r="I110" s="61" t="s">
        <v>8</v>
      </c>
      <c r="J110" s="125">
        <f t="shared" ref="J110:S110" si="44">SUMIFS($I$100:$EH$100,$I$63:$EH$63,$I74,$I$62:$EH$62,J$65)</f>
        <v>663966.3573024238</v>
      </c>
      <c r="K110" s="125">
        <f t="shared" si="44"/>
        <v>675821.59009513049</v>
      </c>
      <c r="L110" s="125">
        <f t="shared" si="44"/>
        <v>688356.4318822237</v>
      </c>
      <c r="M110" s="125">
        <f t="shared" si="44"/>
        <v>701004.54183504835</v>
      </c>
      <c r="N110" s="125">
        <f t="shared" si="44"/>
        <v>715219.69663430494</v>
      </c>
      <c r="O110" s="125">
        <f t="shared" si="44"/>
        <v>731281.52706414193</v>
      </c>
      <c r="P110" s="125">
        <f t="shared" si="44"/>
        <v>743561.51547834044</v>
      </c>
      <c r="Q110" s="125">
        <f t="shared" si="44"/>
        <v>753913.41676783864</v>
      </c>
      <c r="R110" s="125">
        <f t="shared" si="44"/>
        <v>765240.73900240555</v>
      </c>
      <c r="S110" s="125">
        <f t="shared" si="44"/>
        <v>777161.00874878757</v>
      </c>
      <c r="T110" s="125">
        <f t="shared" si="37"/>
        <v>754231.64141230285</v>
      </c>
    </row>
    <row r="111" spans="1:138">
      <c r="A111" s="6" t="s">
        <v>57</v>
      </c>
      <c r="D111" s="62" t="s">
        <v>9</v>
      </c>
      <c r="E111" s="71">
        <f t="shared" ca="1" si="35"/>
        <v>853939</v>
      </c>
      <c r="F111" s="6">
        <v>1</v>
      </c>
      <c r="I111" s="62" t="s">
        <v>9</v>
      </c>
      <c r="J111" s="125">
        <f t="shared" ref="J111:S111" si="45">SUMIFS($I$100:$EH$100,$I$63:$EH$63,$I75,$I$62:$EH$62,J$65)</f>
        <v>778839</v>
      </c>
      <c r="K111" s="125">
        <f t="shared" si="45"/>
        <v>779426</v>
      </c>
      <c r="L111" s="125">
        <f t="shared" si="45"/>
        <v>781110</v>
      </c>
      <c r="M111" s="125">
        <f t="shared" si="45"/>
        <v>814467</v>
      </c>
      <c r="N111" s="125">
        <f t="shared" si="45"/>
        <v>826964</v>
      </c>
      <c r="O111" s="125">
        <f t="shared" si="45"/>
        <v>836055</v>
      </c>
      <c r="P111" s="125">
        <f t="shared" si="45"/>
        <v>844153</v>
      </c>
      <c r="Q111" s="125">
        <f t="shared" si="45"/>
        <v>847766</v>
      </c>
      <c r="R111" s="125">
        <f t="shared" si="45"/>
        <v>851766.5</v>
      </c>
      <c r="S111" s="125">
        <f t="shared" si="45"/>
        <v>853939</v>
      </c>
      <c r="T111" s="125">
        <f t="shared" si="37"/>
        <v>846735.9</v>
      </c>
    </row>
    <row r="112" spans="1:138">
      <c r="A112" s="6" t="s">
        <v>59</v>
      </c>
      <c r="D112" s="61" t="s">
        <v>127</v>
      </c>
      <c r="E112" s="71">
        <f t="shared" ca="1" si="35"/>
        <v>706424</v>
      </c>
      <c r="F112" s="6">
        <v>1</v>
      </c>
      <c r="I112" s="61" t="s">
        <v>127</v>
      </c>
      <c r="J112" s="125">
        <f t="shared" ref="J112:S112" si="46">SUMIFS($I$100:$EH$100,$I$63:$EH$63,$I76,$I$62:$EH$62,J$65)</f>
        <v>605408</v>
      </c>
      <c r="K112" s="125">
        <f t="shared" si="46"/>
        <v>616585.5</v>
      </c>
      <c r="L112" s="125">
        <f t="shared" si="46"/>
        <v>627552.50000000012</v>
      </c>
      <c r="M112" s="125">
        <f t="shared" si="46"/>
        <v>638613.50000000023</v>
      </c>
      <c r="N112" s="125">
        <f t="shared" si="46"/>
        <v>645694.5</v>
      </c>
      <c r="O112" s="125">
        <f t="shared" si="46"/>
        <v>654640.99999999988</v>
      </c>
      <c r="P112" s="125">
        <f t="shared" si="46"/>
        <v>668703</v>
      </c>
      <c r="Q112" s="125">
        <f t="shared" si="46"/>
        <v>681299.00000000012</v>
      </c>
      <c r="R112" s="125">
        <f t="shared" si="46"/>
        <v>685194.00000000012</v>
      </c>
      <c r="S112" s="125">
        <f t="shared" si="46"/>
        <v>706424</v>
      </c>
      <c r="T112" s="125">
        <f t="shared" si="37"/>
        <v>679252.2</v>
      </c>
    </row>
    <row r="113" spans="1:20">
      <c r="A113" s="6" t="s">
        <v>60</v>
      </c>
      <c r="D113" s="62" t="s">
        <v>11</v>
      </c>
      <c r="E113" s="71">
        <f t="shared" ca="1" si="35"/>
        <v>283059</v>
      </c>
      <c r="I113" s="62" t="s">
        <v>11</v>
      </c>
      <c r="J113" s="125">
        <f t="shared" ref="J113:S113" si="47">SUMIFS($I$100:$EH$100,$I$63:$EH$63,$I77,$I$62:$EH$62,J$65)</f>
        <v>250642.52420131132</v>
      </c>
      <c r="K113" s="125">
        <f t="shared" si="47"/>
        <v>255484.38545676047</v>
      </c>
      <c r="L113" s="125">
        <f t="shared" si="47"/>
        <v>260424.25945125124</v>
      </c>
      <c r="M113" s="125">
        <f t="shared" si="47"/>
        <v>265464.13023523602</v>
      </c>
      <c r="N113" s="125">
        <f t="shared" si="47"/>
        <v>270606.02202186675</v>
      </c>
      <c r="O113" s="125">
        <f t="shared" si="47"/>
        <v>275852</v>
      </c>
      <c r="P113" s="125">
        <f t="shared" si="47"/>
        <v>278392</v>
      </c>
      <c r="Q113" s="125">
        <f t="shared" si="47"/>
        <v>279868</v>
      </c>
      <c r="R113" s="125">
        <f t="shared" si="47"/>
        <v>280750</v>
      </c>
      <c r="S113" s="125">
        <f t="shared" si="47"/>
        <v>283059</v>
      </c>
      <c r="T113" s="125">
        <f t="shared" si="37"/>
        <v>279584.2</v>
      </c>
    </row>
    <row r="114" spans="1:20">
      <c r="A114" s="6" t="s">
        <v>62</v>
      </c>
      <c r="D114" s="61" t="s">
        <v>12</v>
      </c>
      <c r="E114" s="71">
        <f t="shared" ca="1" si="35"/>
        <v>664549</v>
      </c>
      <c r="F114" s="6">
        <v>1</v>
      </c>
      <c r="I114" s="61" t="s">
        <v>12</v>
      </c>
      <c r="J114" s="125">
        <f t="shared" ref="J114:S114" si="48">SUMIFS($I$100:$EH$100,$I$63:$EH$63,$I78,$I$62:$EH$62,J$65)</f>
        <v>612728</v>
      </c>
      <c r="K114" s="125">
        <f t="shared" si="48"/>
        <v>618250</v>
      </c>
      <c r="L114" s="125">
        <f t="shared" si="48"/>
        <v>624094</v>
      </c>
      <c r="M114" s="125">
        <f t="shared" si="48"/>
        <v>628120</v>
      </c>
      <c r="N114" s="125">
        <f t="shared" si="48"/>
        <v>633823</v>
      </c>
      <c r="O114" s="125">
        <f t="shared" si="48"/>
        <v>641129.77419354848</v>
      </c>
      <c r="P114" s="125">
        <f t="shared" si="48"/>
        <v>647892</v>
      </c>
      <c r="Q114" s="125">
        <f t="shared" si="48"/>
        <v>656516</v>
      </c>
      <c r="R114" s="125">
        <f t="shared" si="48"/>
        <v>658453</v>
      </c>
      <c r="S114" s="125">
        <f t="shared" si="48"/>
        <v>664549</v>
      </c>
      <c r="T114" s="125">
        <f t="shared" si="37"/>
        <v>653707.95483870967</v>
      </c>
    </row>
    <row r="115" spans="1:20">
      <c r="D115" s="183"/>
    </row>
  </sheetData>
  <dataConsolidate/>
  <dataValidations count="2">
    <dataValidation type="list" allowBlank="1" showInputMessage="1" showErrorMessage="1" sqref="N59">
      <formula1>$N$45:$N$57</formula1>
    </dataValidation>
    <dataValidation type="list" allowBlank="1" showInputMessage="1" showErrorMessage="1" sqref="E62">
      <formula1>$N$65:$T$65</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X44"/>
  <sheetViews>
    <sheetView zoomScale="70" zoomScaleNormal="70" workbookViewId="0">
      <selection activeCell="J36" sqref="J36"/>
    </sheetView>
  </sheetViews>
  <sheetFormatPr defaultColWidth="8.7109375" defaultRowHeight="15"/>
  <cols>
    <col min="1" max="2" width="17.5703125" style="3" bestFit="1" customWidth="1"/>
    <col min="3" max="3" width="18.5703125" style="3" bestFit="1" customWidth="1"/>
    <col min="4" max="4" width="17.5703125" style="3" bestFit="1" customWidth="1"/>
    <col min="5" max="5" width="15" style="3" bestFit="1" customWidth="1"/>
    <col min="6" max="6" width="19" style="3" customWidth="1"/>
    <col min="7" max="7" width="16.5703125" style="3" customWidth="1"/>
    <col min="8" max="8" width="15.42578125" style="3" bestFit="1" customWidth="1"/>
    <col min="9" max="9" width="20" style="3" bestFit="1" customWidth="1"/>
    <col min="10" max="10" width="19.5703125" style="3" bestFit="1" customWidth="1"/>
    <col min="11" max="11" width="16.28515625" style="3" customWidth="1"/>
    <col min="12" max="12" width="14.42578125" style="3" customWidth="1"/>
    <col min="13" max="13" width="16.42578125" style="3" bestFit="1" customWidth="1"/>
    <col min="14" max="14" width="20.5703125" style="3" customWidth="1"/>
    <col min="15" max="15" width="19.5703125" style="3" bestFit="1" customWidth="1"/>
    <col min="16" max="16" width="12.7109375" style="3" customWidth="1"/>
    <col min="17" max="17" width="14.5703125" style="3" bestFit="1" customWidth="1"/>
    <col min="18" max="18" width="14.7109375" style="3" customWidth="1"/>
    <col min="19" max="19" width="18.28515625" style="3" customWidth="1"/>
    <col min="20" max="20" width="22.42578125" style="3" customWidth="1"/>
    <col min="21" max="21" width="15.42578125" style="3" customWidth="1"/>
    <col min="22" max="22" width="13.5703125" style="3" bestFit="1" customWidth="1"/>
    <col min="23" max="23" width="17.42578125" style="3" customWidth="1"/>
    <col min="24" max="24" width="16" style="3" bestFit="1" customWidth="1"/>
    <col min="25" max="25" width="9.28515625" style="3" customWidth="1"/>
    <col min="26" max="26" width="11.7109375" style="3" customWidth="1"/>
    <col min="27" max="27" width="11.42578125" style="3" bestFit="1" customWidth="1"/>
    <col min="28" max="28" width="13.42578125" style="3" bestFit="1" customWidth="1"/>
    <col min="29" max="29" width="11.5703125" style="3" customWidth="1"/>
    <col min="30" max="30" width="17.5703125" style="3" customWidth="1"/>
    <col min="31" max="31" width="13.42578125" style="3" bestFit="1" customWidth="1"/>
    <col min="32" max="34" width="8.7109375" style="3"/>
    <col min="35" max="35" width="12.5703125" style="3" customWidth="1"/>
    <col min="36" max="36" width="16.42578125" style="3" bestFit="1" customWidth="1"/>
    <col min="37" max="40" width="8.7109375" style="3"/>
    <col min="41" max="41" width="11.42578125" style="3" bestFit="1" customWidth="1"/>
    <col min="42" max="42" width="13" style="3" bestFit="1" customWidth="1"/>
    <col min="43" max="16384" width="8.7109375" style="3"/>
  </cols>
  <sheetData>
    <row r="1" spans="1:44" customFormat="1" ht="15.75" thickBot="1">
      <c r="A1" s="33" t="s">
        <v>30</v>
      </c>
      <c r="B1" s="34" t="s">
        <v>31</v>
      </c>
      <c r="C1" s="34" t="s">
        <v>32</v>
      </c>
      <c r="D1" s="34" t="s">
        <v>33</v>
      </c>
      <c r="E1" s="35" t="s">
        <v>39</v>
      </c>
      <c r="F1" s="35" t="s">
        <v>393</v>
      </c>
      <c r="I1" s="6"/>
      <c r="J1" s="6"/>
      <c r="L1" s="6"/>
      <c r="M1" s="6"/>
      <c r="N1" s="6"/>
      <c r="O1" s="229"/>
      <c r="P1" s="170"/>
      <c r="Q1" s="170"/>
      <c r="R1" s="170"/>
      <c r="S1" s="170"/>
      <c r="T1" s="170"/>
      <c r="U1" s="170"/>
      <c r="W1" s="183"/>
      <c r="AA1" s="6"/>
      <c r="AB1" s="6"/>
    </row>
    <row r="2" spans="1:44" customFormat="1" ht="16.5" thickTop="1" thickBot="1">
      <c r="A2" s="166" t="s">
        <v>12</v>
      </c>
      <c r="B2" s="19">
        <f ca="1">VLOOKUP(A2,'Subtransmission Calcs'!$A$5:$AE$17,$B$10,FALSE)</f>
        <v>664549</v>
      </c>
      <c r="C2" s="13">
        <f>VLOOKUP(A2,'Subtransmission Calcs'!$A$5:$AE$17,$C$10,FALSE)*$K$5</f>
        <v>1277.2520706565415</v>
      </c>
      <c r="D2" s="13">
        <f>VLOOKUP(A2,'Subtransmission Calcs'!$A$5:$AE$17,$D$10,FALSE)*$K$5</f>
        <v>1165.275262647094</v>
      </c>
      <c r="E2" s="36">
        <f>VLOOKUP(A2,'Subtransmission Calcs'!$A$5:$AE$17,$E$10,FALSE)*$K$5</f>
        <v>744.65825360122278</v>
      </c>
      <c r="F2" s="233">
        <f>VLOOKUP(A2,'Subtransmission Calcs'!$A$5:$AF$17,$F$10,FALSE)*$K$5</f>
        <v>23327.851829161384</v>
      </c>
      <c r="G2" s="73">
        <v>664549</v>
      </c>
      <c r="I2" s="159">
        <f t="shared" ref="I2:I7" ca="1" si="0">E2/$E$7</f>
        <v>0.50111918536754407</v>
      </c>
      <c r="J2" s="159">
        <f t="shared" ref="J2:J7" ca="1" si="1">F2/$F$7</f>
        <v>0.58351372057047546</v>
      </c>
      <c r="L2" s="6"/>
      <c r="M2" s="6"/>
      <c r="N2" s="6"/>
      <c r="O2" s="229"/>
      <c r="P2" s="170"/>
      <c r="Q2" s="170"/>
      <c r="R2" s="170"/>
      <c r="S2" s="170"/>
      <c r="T2" s="170"/>
      <c r="U2" s="170"/>
      <c r="W2" s="183"/>
      <c r="Y2" s="6"/>
      <c r="Z2" s="6"/>
      <c r="AA2" s="6"/>
      <c r="AB2" s="6"/>
    </row>
    <row r="3" spans="1:44" customFormat="1" ht="16.5" thickTop="1" thickBot="1">
      <c r="A3" s="166" t="s">
        <v>8</v>
      </c>
      <c r="B3" s="19">
        <f ca="1">VLOOKUP(A3,'Subtransmission Calcs'!$A$5:$AE$17,$B$10,FALSE)</f>
        <v>777161.00874878757</v>
      </c>
      <c r="C3" s="13">
        <f>VLOOKUP(A3,'Subtransmission Calcs'!$A$5:$AE$17,$C$10,FALSE)*$K$5</f>
        <v>761.63288927132737</v>
      </c>
      <c r="D3" s="13">
        <f>VLOOKUP(A3,'Subtransmission Calcs'!$A$5:$AE$17,$D$10,FALSE)*$K$5</f>
        <v>189.54506631235978</v>
      </c>
      <c r="E3" s="233">
        <f>VLOOKUP(A3,'Subtransmission Calcs'!$A$5:$AE$17,$E$10,FALSE)*$K$5</f>
        <v>2532.4785001870632</v>
      </c>
      <c r="F3" s="233">
        <f>VLOOKUP(A3,'Subtransmission Calcs'!$A$5:$AF$17,$F$10,FALSE)*$K$5</f>
        <v>57830.955464986007</v>
      </c>
      <c r="G3" s="73">
        <v>777161.00874878757</v>
      </c>
      <c r="H3" s="73"/>
      <c r="I3" s="159">
        <f t="shared" ca="1" si="0"/>
        <v>1.7042362141790903</v>
      </c>
      <c r="J3" s="159">
        <f t="shared" ca="1" si="1"/>
        <v>1.4465607992818157</v>
      </c>
      <c r="K3" s="83">
        <f>'base OPEX'!E62</f>
        <v>2015</v>
      </c>
      <c r="M3" s="6"/>
      <c r="N3" s="6"/>
      <c r="O3" s="229"/>
      <c r="P3" s="170"/>
      <c r="Q3" s="170"/>
      <c r="R3" s="170"/>
      <c r="S3" s="170"/>
      <c r="T3" s="170"/>
      <c r="U3" s="170"/>
      <c r="W3" s="183"/>
      <c r="Y3" s="6"/>
      <c r="Z3" s="6"/>
      <c r="AA3" s="6"/>
      <c r="AB3" s="6"/>
    </row>
    <row r="4" spans="1:44" customFormat="1" ht="16.5" thickTop="1" thickBot="1">
      <c r="A4" s="166" t="s">
        <v>9</v>
      </c>
      <c r="B4" s="19">
        <f ca="1">VLOOKUP(A4,'Subtransmission Calcs'!$A$5:$AE$17,$B$10,FALSE)</f>
        <v>853939</v>
      </c>
      <c r="C4" s="150"/>
      <c r="D4" s="150"/>
      <c r="E4" s="233">
        <f>VLOOKUP(A4,'Subtransmission Calcs'!$A$5:$AE$17,$E$10,FALSE)*$K$5</f>
        <v>970.17657459318752</v>
      </c>
      <c r="F4" s="233">
        <f>VLOOKUP(A4,'Subtransmission Calcs'!$A$5:$AF$17,$F$10,FALSE)*$K$5</f>
        <v>22381.248962655602</v>
      </c>
      <c r="G4" s="73"/>
      <c r="H4" s="322"/>
      <c r="I4" s="159">
        <f t="shared" ca="1" si="0"/>
        <v>0.65288216758712914</v>
      </c>
      <c r="J4" s="159">
        <f t="shared" ca="1" si="1"/>
        <v>0.55983576837056548</v>
      </c>
      <c r="K4" s="77">
        <f>HLOOKUP(K3,'base OPEX'!$J$81:$T$83,2)</f>
        <v>1.0084427767354598</v>
      </c>
      <c r="L4" s="76" t="s">
        <v>133</v>
      </c>
      <c r="M4" s="6"/>
      <c r="N4" s="6"/>
      <c r="O4" s="229"/>
      <c r="P4" s="170"/>
      <c r="Q4" s="170"/>
      <c r="R4" s="170"/>
      <c r="S4" s="170"/>
      <c r="T4" s="170"/>
      <c r="U4" s="170"/>
      <c r="W4" s="183"/>
      <c r="Y4" s="6"/>
      <c r="Z4" s="6"/>
      <c r="AA4" s="6"/>
      <c r="AB4" s="6"/>
    </row>
    <row r="5" spans="1:44" s="6" customFormat="1" ht="16.5" thickTop="1" thickBot="1">
      <c r="A5" s="166" t="s">
        <v>10</v>
      </c>
      <c r="B5" s="19">
        <f ca="1">VLOOKUP(A5,'Subtransmission Calcs'!$A$5:$AE$17,$B$10,FALSE)</f>
        <v>706424</v>
      </c>
      <c r="C5" s="13">
        <f>VLOOKUP(A5,'Subtransmission Calcs'!$A$5:$AE$17,$C$10,FALSE)*$K$5</f>
        <v>878.2537185552618</v>
      </c>
      <c r="D5" s="13">
        <f>VLOOKUP(A5,'Subtransmission Calcs'!$A$5:$AE$17,$D$10,FALSE)*$K$5</f>
        <v>310.93738408622579</v>
      </c>
      <c r="E5" s="233">
        <f>VLOOKUP(A5,'Subtransmission Calcs'!$A$5:$AE$17,$E$10,FALSE)*$K$5</f>
        <v>927.16917890342791</v>
      </c>
      <c r="F5" s="233">
        <f>VLOOKUP(A5,'Subtransmission Calcs'!$A$5:$AF$17,$F$10,FALSE)*$K$5</f>
        <v>23317.325937769274</v>
      </c>
      <c r="G5" s="73">
        <v>706424</v>
      </c>
      <c r="H5" s="322"/>
      <c r="I5" s="159">
        <f t="shared" ca="1" si="0"/>
        <v>0.62394025901550498</v>
      </c>
      <c r="J5" s="159">
        <f t="shared" ca="1" si="1"/>
        <v>0.58325043005862254</v>
      </c>
      <c r="K5" s="77">
        <f>HLOOKUP(K3,'base OPEX'!$J$81:$T$83,3)</f>
        <v>1</v>
      </c>
      <c r="L5" s="235" t="s">
        <v>134</v>
      </c>
      <c r="O5" s="229"/>
      <c r="P5" s="170"/>
      <c r="Q5" s="170"/>
      <c r="R5" s="170"/>
      <c r="S5" s="170"/>
      <c r="T5" s="170"/>
      <c r="U5" s="170"/>
      <c r="W5" s="183"/>
    </row>
    <row r="6" spans="1:44" s="6" customFormat="1" ht="16.5" thickTop="1" thickBot="1">
      <c r="A6" s="166" t="s">
        <v>2</v>
      </c>
      <c r="B6" s="19">
        <f ca="1">VLOOKUP(A6,'Subtransmission Calcs'!$A$5:$AE$17,$B$10,FALSE)</f>
        <v>327907.17472153297</v>
      </c>
      <c r="C6" s="13">
        <f>VLOOKUP(A6,'Subtransmission Calcs'!$A$5:$AE$17,$C$10,FALSE)*$K$5</f>
        <v>4100.2137802808238</v>
      </c>
      <c r="D6" s="13">
        <f>VLOOKUP(A6,'Subtransmission Calcs'!$A$5:$AE$17,$D$10,FALSE)*$K$5</f>
        <v>250.28727316497699</v>
      </c>
      <c r="E6" s="233">
        <f>VLOOKUP(A6,'Subtransmission Calcs'!$A$5:$AE$17,$E$10,FALSE)*$K$5</f>
        <v>3055.3362192558361</v>
      </c>
      <c r="F6" s="233">
        <f>VLOOKUP(A6,'Subtransmission Calcs'!$A$5:$AF$17,$F$10,FALSE)*$K$5</f>
        <v>113130.01676704042</v>
      </c>
      <c r="G6" s="73">
        <v>327907.17472153297</v>
      </c>
      <c r="I6" s="159">
        <f t="shared" ca="1" si="0"/>
        <v>2.0560943087825629</v>
      </c>
      <c r="J6" s="159">
        <f t="shared" ca="1" si="1"/>
        <v>2.8297897927067353</v>
      </c>
      <c r="O6" s="229"/>
      <c r="P6" s="170"/>
      <c r="Q6" s="170"/>
      <c r="R6" s="170"/>
      <c r="S6" s="170"/>
      <c r="T6" s="170"/>
      <c r="U6" s="170"/>
      <c r="W6" s="183"/>
    </row>
    <row r="7" spans="1:44" customFormat="1" ht="16.5" thickTop="1" thickBot="1">
      <c r="A7" s="37" t="s">
        <v>34</v>
      </c>
      <c r="B7" s="38"/>
      <c r="C7" s="39">
        <f>+SUMPRODUCT($G$2:$G$6,C2:C6)/SUM($G$2:$G$6)</f>
        <v>1375.4282500967045</v>
      </c>
      <c r="D7" s="39">
        <f>+SUMPRODUCT($G$2:$G$6,D2:D6)/SUM($G$2:$G$6)</f>
        <v>494.10089656459456</v>
      </c>
      <c r="E7" s="40">
        <f ca="1">+SUMPRODUCT($B$2:$B$6,E2:E6)/SUM($B$2:$B$6)</f>
        <v>1485.9903099799619</v>
      </c>
      <c r="F7" s="40">
        <f ca="1">+SUMPRODUCT($B$2:$B$6,F2:F6)/SUM($B$2:$B$6)</f>
        <v>39978.240453977291</v>
      </c>
      <c r="I7" s="159">
        <f t="shared" ca="1" si="0"/>
        <v>1</v>
      </c>
      <c r="J7" s="159">
        <f t="shared" ca="1" si="1"/>
        <v>1</v>
      </c>
      <c r="L7" s="6"/>
      <c r="M7" s="6"/>
      <c r="N7" s="6"/>
      <c r="O7" s="229"/>
      <c r="P7" s="170"/>
      <c r="Q7" s="170"/>
      <c r="R7" s="170"/>
      <c r="S7" s="170"/>
      <c r="T7" s="170"/>
      <c r="U7" s="170"/>
      <c r="W7" s="183"/>
      <c r="Y7" s="6"/>
      <c r="Z7" s="6"/>
      <c r="AA7" s="6"/>
      <c r="AB7" s="6"/>
    </row>
    <row r="8" spans="1:44" s="162" customFormat="1" ht="15.75" thickBot="1">
      <c r="A8" s="164"/>
      <c r="B8" s="164"/>
      <c r="C8" s="278">
        <v>0.5</v>
      </c>
      <c r="D8" s="278">
        <v>0.5</v>
      </c>
      <c r="E8" s="278">
        <v>1</v>
      </c>
      <c r="F8" s="278">
        <v>1</v>
      </c>
      <c r="H8" s="308"/>
      <c r="I8" s="308"/>
      <c r="L8" s="226"/>
      <c r="M8" s="226"/>
      <c r="O8" s="229"/>
      <c r="P8" s="170"/>
      <c r="Q8" s="170"/>
      <c r="R8" s="170"/>
      <c r="S8" s="170"/>
      <c r="T8" s="170"/>
      <c r="U8" s="170"/>
      <c r="W8" s="183"/>
    </row>
    <row r="9" spans="1:44" s="162" customFormat="1">
      <c r="A9" s="164"/>
      <c r="B9" s="164"/>
      <c r="C9" s="169">
        <f>C8*C7</f>
        <v>687.71412504835223</v>
      </c>
      <c r="D9" s="169">
        <f>D8*D7</f>
        <v>247.05044828229728</v>
      </c>
      <c r="E9" s="169">
        <f ca="1">E8*E7</f>
        <v>1485.9903099799619</v>
      </c>
      <c r="F9" s="232">
        <f ca="1">F8*F7</f>
        <v>39978.240453977291</v>
      </c>
      <c r="H9" s="308"/>
      <c r="L9" s="226"/>
      <c r="M9" s="226"/>
      <c r="O9" s="229"/>
      <c r="P9" s="170"/>
      <c r="Q9" s="170"/>
      <c r="R9" s="170"/>
      <c r="S9" s="170"/>
      <c r="T9" s="170"/>
      <c r="U9" s="170"/>
      <c r="W9" s="183"/>
    </row>
    <row r="10" spans="1:44" s="162" customFormat="1">
      <c r="A10" s="228" t="s">
        <v>348</v>
      </c>
      <c r="B10" s="238">
        <f>COLUMN('Subtransmission Calcs'!C4)</f>
        <v>3</v>
      </c>
      <c r="C10" s="238">
        <v>12</v>
      </c>
      <c r="D10" s="238">
        <v>21</v>
      </c>
      <c r="E10" s="238">
        <f>COLUMN('Subtransmission Calcs'!AE3)</f>
        <v>31</v>
      </c>
      <c r="F10" s="238">
        <f>COLUMN('Subtransmission Calcs'!AF3)</f>
        <v>32</v>
      </c>
      <c r="G10" s="165"/>
      <c r="L10" s="226"/>
      <c r="M10" s="226"/>
      <c r="O10" s="229"/>
      <c r="P10" s="170"/>
      <c r="Q10" s="170"/>
      <c r="R10" s="170"/>
      <c r="S10" s="170"/>
      <c r="T10" s="170"/>
      <c r="U10" s="170"/>
      <c r="W10" s="183"/>
    </row>
    <row r="11" spans="1:44" s="162" customFormat="1">
      <c r="A11" s="164"/>
      <c r="B11" s="164"/>
      <c r="C11" s="231"/>
      <c r="D11" s="165"/>
      <c r="E11" s="165"/>
      <c r="F11" s="165"/>
      <c r="G11" s="165"/>
      <c r="H11" s="232"/>
      <c r="I11" s="232"/>
      <c r="J11" s="232"/>
      <c r="K11" s="232"/>
      <c r="L11" s="232"/>
      <c r="M11" s="226"/>
      <c r="O11" s="229"/>
      <c r="P11" s="170"/>
      <c r="Q11" s="170"/>
      <c r="R11" s="170"/>
      <c r="S11" s="170"/>
      <c r="T11" s="170"/>
      <c r="U11" s="170"/>
      <c r="W11" s="183"/>
    </row>
    <row r="12" spans="1:44" s="6" customFormat="1">
      <c r="C12" s="31"/>
      <c r="D12" s="31"/>
      <c r="K12" s="170"/>
      <c r="L12" s="325"/>
      <c r="M12" s="183"/>
      <c r="N12" s="170" t="s">
        <v>403</v>
      </c>
      <c r="O12" s="170"/>
      <c r="P12" s="229"/>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row>
    <row r="13" spans="1:44" s="10" customFormat="1" ht="60">
      <c r="A13" s="18"/>
      <c r="B13" s="223" t="s">
        <v>389</v>
      </c>
      <c r="C13" s="223" t="s">
        <v>324</v>
      </c>
      <c r="D13" s="223" t="s">
        <v>326</v>
      </c>
      <c r="E13" s="223" t="s">
        <v>405</v>
      </c>
      <c r="F13" s="223" t="s">
        <v>323</v>
      </c>
      <c r="G13" s="223" t="s">
        <v>327</v>
      </c>
      <c r="H13" s="223" t="s">
        <v>390</v>
      </c>
      <c r="I13" s="223" t="s">
        <v>325</v>
      </c>
      <c r="J13" s="225" t="s">
        <v>395</v>
      </c>
      <c r="K13" s="225" t="s">
        <v>404</v>
      </c>
      <c r="L13" s="325"/>
      <c r="M13" s="223" t="s">
        <v>394</v>
      </c>
      <c r="N13" s="223" t="s">
        <v>399</v>
      </c>
      <c r="O13" s="332" t="s">
        <v>396</v>
      </c>
      <c r="P13" s="225" t="s">
        <v>404</v>
      </c>
      <c r="Q13" s="226"/>
      <c r="R13" s="184"/>
      <c r="S13" s="311"/>
      <c r="T13" s="226"/>
      <c r="U13" s="226"/>
      <c r="V13" s="226"/>
      <c r="W13" s="226"/>
      <c r="X13" s="226"/>
      <c r="Y13" s="226"/>
      <c r="Z13" s="226"/>
      <c r="AA13" s="226"/>
      <c r="AB13" s="226"/>
      <c r="AC13" s="226"/>
      <c r="AD13" s="226"/>
      <c r="AE13" s="226"/>
      <c r="AF13" s="226"/>
      <c r="AG13" s="226"/>
      <c r="AH13" s="226"/>
      <c r="AI13" s="226"/>
      <c r="AJ13" s="226"/>
      <c r="AK13" s="226"/>
      <c r="AL13" s="226"/>
      <c r="AM13" s="226"/>
      <c r="AN13" s="226"/>
    </row>
    <row r="14" spans="1:44" customFormat="1">
      <c r="A14" s="5" t="s">
        <v>0</v>
      </c>
      <c r="B14" s="19">
        <f>+'Subtransmission Calcs'!H5</f>
        <v>196.238</v>
      </c>
      <c r="C14" s="227">
        <f>+B14*$C$9</f>
        <v>134955.64447123854</v>
      </c>
      <c r="D14" s="336">
        <f t="shared" ref="D14:D27" ca="1" si="2">C14/$J14</f>
        <v>5.9835089748116993E-2</v>
      </c>
      <c r="E14" s="19">
        <f>+'Subtransmission Calcs'!Q5</f>
        <v>5.9989999999999997</v>
      </c>
      <c r="F14" s="227">
        <f>+E14*$D$9</f>
        <v>1482.0556392455014</v>
      </c>
      <c r="G14" s="335">
        <f t="shared" ref="G14:G27" ca="1" si="3">F14/$J14</f>
        <v>6.5709687455759987E-4</v>
      </c>
      <c r="H14" s="20">
        <f>+'Subtransmission Calcs'!Z5</f>
        <v>1426</v>
      </c>
      <c r="I14" s="227">
        <f ca="1">+H14*$E$9</f>
        <v>2119022.1820314256</v>
      </c>
      <c r="J14" s="331">
        <f t="shared" ref="J14:J26" ca="1" si="4">(I14+F14+C14)</f>
        <v>2255459.8821419096</v>
      </c>
      <c r="K14" s="121">
        <f t="shared" ref="K14:K27" ca="1" si="5">I14/J14</f>
        <v>0.93950781337732547</v>
      </c>
      <c r="L14" s="159"/>
      <c r="M14" s="20">
        <f>+'Subtransmission Calcs'!AD5</f>
        <v>31</v>
      </c>
      <c r="N14" s="227">
        <f ca="1">+M14*$F$9</f>
        <v>1239325.4540732959</v>
      </c>
      <c r="O14" s="333">
        <f t="shared" ref="O14:O26" ca="1" si="6">(N14+F14+C14)</f>
        <v>1375763.1541837801</v>
      </c>
      <c r="P14" s="121">
        <f ca="1">N14/O14</f>
        <v>0.90082762451111675</v>
      </c>
      <c r="Q14" s="316"/>
      <c r="R14" s="310"/>
      <c r="S14" s="311"/>
      <c r="T14" s="226"/>
      <c r="U14" s="226"/>
      <c r="V14" s="226"/>
      <c r="W14" s="226"/>
      <c r="X14" s="226"/>
      <c r="Y14" s="226"/>
      <c r="Z14" s="226"/>
      <c r="AA14" s="226"/>
      <c r="AB14" s="226"/>
      <c r="AC14" s="226"/>
      <c r="AD14" s="226"/>
      <c r="AE14" s="226"/>
      <c r="AF14" s="226"/>
      <c r="AG14" s="226"/>
      <c r="AH14" s="226"/>
      <c r="AI14" s="226"/>
      <c r="AJ14" s="226"/>
      <c r="AK14" s="226"/>
      <c r="AL14" s="226"/>
      <c r="AM14" s="226"/>
      <c r="AN14" s="226"/>
    </row>
    <row r="15" spans="1:44" customFormat="1">
      <c r="A15" s="5" t="s">
        <v>1</v>
      </c>
      <c r="B15" s="19">
        <f>+'Subtransmission Calcs'!H6</f>
        <v>1546.9</v>
      </c>
      <c r="C15" s="227">
        <f t="shared" ref="C15:C26" si="7">+B15*$C$9</f>
        <v>1063824.9800372962</v>
      </c>
      <c r="D15" s="336">
        <f t="shared" ca="1" si="2"/>
        <v>2.7801537021629373E-2</v>
      </c>
      <c r="E15" s="19">
        <f>+'Subtransmission Calcs'!Q6</f>
        <v>629.048</v>
      </c>
      <c r="F15" s="227">
        <f t="shared" ref="F15:F26" si="8">+E15*$D$9</f>
        <v>155406.59039108254</v>
      </c>
      <c r="G15" s="335">
        <f t="shared" ca="1" si="3"/>
        <v>4.0613279037792485E-3</v>
      </c>
      <c r="H15" s="20">
        <f>+'Subtransmission Calcs'!Z6</f>
        <v>24930</v>
      </c>
      <c r="I15" s="227">
        <f t="shared" ref="I15:I26" ca="1" si="9">+H15*$E$9</f>
        <v>37045738.427800454</v>
      </c>
      <c r="J15" s="331">
        <f t="shared" ca="1" si="4"/>
        <v>38264969.998228833</v>
      </c>
      <c r="K15" s="121">
        <f t="shared" ca="1" si="5"/>
        <v>0.96813713507459143</v>
      </c>
      <c r="L15" s="159"/>
      <c r="M15" s="20">
        <f>+'Subtransmission Calcs'!AD6</f>
        <v>508</v>
      </c>
      <c r="N15" s="227">
        <f t="shared" ref="N15:N26" ca="1" si="10">+M15*$F$9</f>
        <v>20308946.150620464</v>
      </c>
      <c r="O15" s="333">
        <f t="shared" ca="1" si="6"/>
        <v>21528177.721048839</v>
      </c>
      <c r="P15" s="121">
        <f t="shared" ref="P15:P27" ca="1" si="11">N15/O15</f>
        <v>0.94336577920219</v>
      </c>
      <c r="Q15" s="316"/>
      <c r="R15" s="310"/>
      <c r="S15" s="311"/>
      <c r="T15" s="226"/>
      <c r="U15" s="226"/>
      <c r="V15" s="226"/>
      <c r="W15" s="226"/>
      <c r="X15" s="226"/>
      <c r="Y15" s="226"/>
      <c r="Z15" s="226"/>
      <c r="AA15" s="226"/>
      <c r="AB15" s="226"/>
      <c r="AC15" s="226"/>
      <c r="AD15" s="226"/>
      <c r="AE15" s="226"/>
      <c r="AF15" s="226"/>
      <c r="AG15" s="226"/>
      <c r="AH15" s="226"/>
      <c r="AI15" s="226"/>
      <c r="AJ15" s="226"/>
      <c r="AK15" s="226"/>
      <c r="AL15" s="226"/>
      <c r="AM15" s="226"/>
      <c r="AN15" s="226"/>
    </row>
    <row r="16" spans="1:44" customFormat="1">
      <c r="A16" s="5" t="s">
        <v>2</v>
      </c>
      <c r="B16" s="19">
        <f>+'Subtransmission Calcs'!H7</f>
        <v>137.92933042654818</v>
      </c>
      <c r="C16" s="227">
        <f t="shared" si="7"/>
        <v>94855.948792798648</v>
      </c>
      <c r="D16" s="336">
        <f t="shared" ca="1" si="2"/>
        <v>2.2701218269354739E-2</v>
      </c>
      <c r="E16" s="19">
        <f>+'Subtransmission Calcs'!Q7</f>
        <v>48.502279604002773</v>
      </c>
      <c r="F16" s="227">
        <f t="shared" si="8"/>
        <v>11982.50991888221</v>
      </c>
      <c r="G16" s="335">
        <f t="shared" ca="1" si="3"/>
        <v>2.8676912365026537E-3</v>
      </c>
      <c r="H16" s="20">
        <f>+'Subtransmission Calcs'!Z7</f>
        <v>2740</v>
      </c>
      <c r="I16" s="227">
        <f t="shared" ca="1" si="9"/>
        <v>4071613.4493450955</v>
      </c>
      <c r="J16" s="331">
        <f t="shared" ca="1" si="4"/>
        <v>4178451.908056776</v>
      </c>
      <c r="K16" s="121">
        <f t="shared" ca="1" si="5"/>
        <v>0.97443109049414267</v>
      </c>
      <c r="L16" s="159"/>
      <c r="M16" s="20">
        <f>+'Subtransmission Calcs'!AD7</f>
        <v>74</v>
      </c>
      <c r="N16" s="227">
        <f t="shared" ca="1" si="10"/>
        <v>2958389.7935943194</v>
      </c>
      <c r="O16" s="333">
        <f t="shared" ca="1" si="6"/>
        <v>3065228.2523059999</v>
      </c>
      <c r="P16" s="121">
        <f t="shared" ca="1" si="11"/>
        <v>0.96514502349660092</v>
      </c>
      <c r="Q16" s="316"/>
      <c r="R16" s="310"/>
      <c r="S16" s="311"/>
      <c r="T16" s="226"/>
      <c r="U16" s="226"/>
      <c r="V16" s="226"/>
      <c r="W16" s="226"/>
      <c r="X16" s="226"/>
      <c r="Y16" s="226"/>
      <c r="Z16" s="226"/>
      <c r="AA16" s="226"/>
      <c r="AB16" s="226"/>
      <c r="AC16" s="226"/>
      <c r="AD16" s="226"/>
      <c r="AE16" s="226"/>
      <c r="AF16" s="226"/>
      <c r="AG16" s="226"/>
      <c r="AH16" s="226"/>
      <c r="AI16" s="226"/>
      <c r="AJ16" s="226"/>
      <c r="AK16" s="226"/>
      <c r="AL16" s="226"/>
      <c r="AM16" s="226"/>
      <c r="AN16" s="226"/>
    </row>
    <row r="17" spans="1:50" customFormat="1">
      <c r="A17" s="5" t="s">
        <v>3</v>
      </c>
      <c r="B17" s="19">
        <f>+'Subtransmission Calcs'!H8</f>
        <v>1769.4859999999999</v>
      </c>
      <c r="C17" s="227">
        <f t="shared" si="7"/>
        <v>1216900.5162753086</v>
      </c>
      <c r="D17" s="336">
        <f t="shared" ca="1" si="2"/>
        <v>5.1293251686274598E-2</v>
      </c>
      <c r="E17" s="19">
        <f>+'Subtransmission Calcs'!Q8</f>
        <v>153.07999999999998</v>
      </c>
      <c r="F17" s="227">
        <f t="shared" si="8"/>
        <v>37818.482623054064</v>
      </c>
      <c r="G17" s="335">
        <f t="shared" ca="1" si="3"/>
        <v>1.5940768547906931E-3</v>
      </c>
      <c r="H17" s="20">
        <f>+'Subtransmission Calcs'!Z8</f>
        <v>15121</v>
      </c>
      <c r="I17" s="227">
        <f t="shared" ca="1" si="9"/>
        <v>22469659.477207005</v>
      </c>
      <c r="J17" s="331">
        <f t="shared" ca="1" si="4"/>
        <v>23724378.47610537</v>
      </c>
      <c r="K17" s="121">
        <f t="shared" ca="1" si="5"/>
        <v>0.94711267145893463</v>
      </c>
      <c r="L17" s="159"/>
      <c r="M17" s="20">
        <f>+'Subtransmission Calcs'!AD8</f>
        <v>388</v>
      </c>
      <c r="N17" s="227">
        <f t="shared" ca="1" si="10"/>
        <v>15511557.296143189</v>
      </c>
      <c r="O17" s="333">
        <f t="shared" ca="1" si="6"/>
        <v>16766276.295041552</v>
      </c>
      <c r="P17" s="121">
        <f t="shared" ca="1" si="11"/>
        <v>0.92516412250289393</v>
      </c>
      <c r="Q17" s="316"/>
      <c r="R17" s="310"/>
      <c r="S17" s="311"/>
      <c r="T17" s="226"/>
      <c r="U17" s="226"/>
      <c r="V17" s="226"/>
      <c r="W17" s="226"/>
      <c r="X17" s="226"/>
      <c r="Y17" s="226"/>
      <c r="Z17" s="226"/>
      <c r="AA17" s="226"/>
      <c r="AB17" s="226"/>
      <c r="AC17" s="226"/>
      <c r="AD17" s="226"/>
      <c r="AE17" s="226"/>
      <c r="AF17" s="226"/>
      <c r="AG17" s="226"/>
      <c r="AH17" s="226"/>
      <c r="AI17" s="226"/>
      <c r="AJ17" s="226"/>
      <c r="AK17" s="226"/>
      <c r="AL17" s="226"/>
      <c r="AM17" s="226"/>
      <c r="AN17" s="226"/>
    </row>
    <row r="18" spans="1:50" customFormat="1">
      <c r="A18" s="5" t="s">
        <v>4</v>
      </c>
      <c r="B18" s="19">
        <f>+'Subtransmission Calcs'!H9</f>
        <v>1132.2460000000001</v>
      </c>
      <c r="C18" s="227">
        <f t="shared" si="7"/>
        <v>778661.56722949666</v>
      </c>
      <c r="D18" s="336">
        <f t="shared" ca="1" si="2"/>
        <v>2.5950794651355566E-2</v>
      </c>
      <c r="E18" s="19">
        <f>+'Subtransmission Calcs'!Q9</f>
        <v>151.73699999999999</v>
      </c>
      <c r="F18" s="227">
        <f t="shared" si="8"/>
        <v>37486.693871010939</v>
      </c>
      <c r="G18" s="335">
        <f t="shared" ca="1" si="3"/>
        <v>1.2493354439800106E-3</v>
      </c>
      <c r="H18" s="20">
        <f>+'Subtransmission Calcs'!Z9</f>
        <v>19642.899960875508</v>
      </c>
      <c r="I18" s="227">
        <f t="shared" ca="1" si="9"/>
        <v>29189159.001766779</v>
      </c>
      <c r="J18" s="331">
        <f t="shared" ca="1" si="4"/>
        <v>30005307.262867287</v>
      </c>
      <c r="K18" s="121">
        <f t="shared" ca="1" si="5"/>
        <v>0.97279986990466438</v>
      </c>
      <c r="L18" s="159"/>
      <c r="M18" s="20">
        <f>+'Subtransmission Calcs'!AD9</f>
        <v>394</v>
      </c>
      <c r="N18" s="227">
        <f t="shared" ca="1" si="10"/>
        <v>15751426.738867052</v>
      </c>
      <c r="O18" s="333">
        <f t="shared" ca="1" si="6"/>
        <v>16567574.999967558</v>
      </c>
      <c r="P18" s="121">
        <f t="shared" ca="1" si="11"/>
        <v>0.95073821841143891</v>
      </c>
      <c r="Q18" s="316"/>
      <c r="R18" s="310"/>
      <c r="S18" s="311"/>
      <c r="T18" s="226"/>
      <c r="U18" s="226"/>
      <c r="V18" s="226"/>
      <c r="W18" s="226"/>
      <c r="X18" s="226"/>
      <c r="Y18" s="226"/>
      <c r="Z18" s="226"/>
      <c r="AA18" s="226"/>
      <c r="AB18" s="226"/>
      <c r="AC18" s="226"/>
      <c r="AD18" s="226"/>
      <c r="AE18" s="226"/>
      <c r="AF18" s="226"/>
      <c r="AG18" s="226"/>
      <c r="AH18" s="226"/>
      <c r="AI18" s="226"/>
      <c r="AJ18" s="226"/>
      <c r="AK18" s="226"/>
      <c r="AL18" s="226"/>
      <c r="AM18" s="226"/>
      <c r="AN18" s="226"/>
    </row>
    <row r="19" spans="1:50" customFormat="1">
      <c r="A19" s="5" t="s">
        <v>5</v>
      </c>
      <c r="B19" s="19">
        <f>+'Subtransmission Calcs'!H10</f>
        <v>11278.320088603108</v>
      </c>
      <c r="C19" s="227">
        <f t="shared" si="7"/>
        <v>7756260.0317489412</v>
      </c>
      <c r="D19" s="336">
        <f t="shared" ca="1" si="2"/>
        <v>0.36461754620117259</v>
      </c>
      <c r="E19" s="19">
        <f>+'Subtransmission Calcs'!Q10</f>
        <v>26.86389099682691</v>
      </c>
      <c r="F19" s="227">
        <f t="shared" si="8"/>
        <v>6636.7363133728586</v>
      </c>
      <c r="G19" s="335">
        <f t="shared" ca="1" si="3"/>
        <v>3.1198934788943339E-4</v>
      </c>
      <c r="H19" s="20">
        <f>+'Subtransmission Calcs'!Z10</f>
        <v>9091.19</v>
      </c>
      <c r="I19" s="227">
        <f t="shared" ca="1" si="9"/>
        <v>13509420.246186731</v>
      </c>
      <c r="J19" s="331">
        <f t="shared" ca="1" si="4"/>
        <v>21272317.014249045</v>
      </c>
      <c r="K19" s="121">
        <f t="shared" ca="1" si="5"/>
        <v>0.63507046445093795</v>
      </c>
      <c r="L19" s="159"/>
      <c r="M19" s="20">
        <f>+'Subtransmission Calcs'!AD10</f>
        <v>428.99999999999994</v>
      </c>
      <c r="N19" s="227">
        <f t="shared" ca="1" si="10"/>
        <v>17150665.154756255</v>
      </c>
      <c r="O19" s="333">
        <f t="shared" ca="1" si="6"/>
        <v>24913561.922818571</v>
      </c>
      <c r="P19" s="121">
        <f t="shared" ca="1" si="11"/>
        <v>0.68840678855510407</v>
      </c>
      <c r="Q19" s="316"/>
      <c r="R19" s="310"/>
      <c r="S19" s="311"/>
      <c r="T19" s="226"/>
      <c r="U19" s="226"/>
      <c r="V19" s="226"/>
      <c r="W19" s="226"/>
      <c r="X19" s="226"/>
      <c r="Y19" s="226"/>
      <c r="Z19" s="226"/>
      <c r="AA19" s="226"/>
      <c r="AB19" s="226"/>
      <c r="AC19" s="226"/>
      <c r="AD19" s="226"/>
      <c r="AE19" s="226"/>
      <c r="AF19" s="226"/>
      <c r="AG19" s="226"/>
      <c r="AH19" s="226"/>
      <c r="AI19" s="226"/>
      <c r="AJ19" s="226"/>
      <c r="AK19" s="226"/>
      <c r="AL19" s="226"/>
      <c r="AM19" s="226"/>
      <c r="AN19" s="226"/>
    </row>
    <row r="20" spans="1:50" customFormat="1">
      <c r="A20" s="5" t="s">
        <v>6</v>
      </c>
      <c r="B20" s="19">
        <f>+'Subtransmission Calcs'!H11</f>
        <v>9708.3719999999994</v>
      </c>
      <c r="C20" s="227">
        <f t="shared" si="7"/>
        <v>6676584.5556239206</v>
      </c>
      <c r="D20" s="336">
        <f t="shared" ca="1" si="2"/>
        <v>0.29091666762900203</v>
      </c>
      <c r="E20" s="19">
        <f>+'Subtransmission Calcs'!Q11</f>
        <v>37.200000000000003</v>
      </c>
      <c r="F20" s="227">
        <f t="shared" si="8"/>
        <v>9190.2766761014591</v>
      </c>
      <c r="G20" s="335">
        <f t="shared" ca="1" si="3"/>
        <v>4.0044496447632152E-4</v>
      </c>
      <c r="H20" s="20">
        <f>+'Subtransmission Calcs'!Z11</f>
        <v>10945.15</v>
      </c>
      <c r="I20" s="227">
        <f t="shared" ca="1" si="9"/>
        <v>16264386.84127718</v>
      </c>
      <c r="J20" s="331">
        <f t="shared" ca="1" si="4"/>
        <v>22950161.673577204</v>
      </c>
      <c r="K20" s="121">
        <f t="shared" ca="1" si="5"/>
        <v>0.70868288740652152</v>
      </c>
      <c r="L20" s="159"/>
      <c r="M20" s="20">
        <f>+'Subtransmission Calcs'!AD11</f>
        <v>567</v>
      </c>
      <c r="N20" s="227">
        <f t="shared" ca="1" si="10"/>
        <v>22667662.337405123</v>
      </c>
      <c r="O20" s="333">
        <f t="shared" ca="1" si="6"/>
        <v>29353437.169705145</v>
      </c>
      <c r="P20" s="121">
        <f t="shared" ca="1" si="11"/>
        <v>0.77223196065092437</v>
      </c>
      <c r="Q20" s="316"/>
      <c r="R20" s="310"/>
      <c r="S20" s="311"/>
      <c r="T20" s="226"/>
      <c r="U20" s="226"/>
      <c r="V20" s="226"/>
      <c r="W20" s="226"/>
      <c r="X20" s="226"/>
      <c r="Y20" s="226"/>
      <c r="Z20" s="226"/>
      <c r="AA20" s="226"/>
      <c r="AB20" s="226"/>
      <c r="AC20" s="226"/>
      <c r="AD20" s="226"/>
      <c r="AE20" s="226"/>
      <c r="AF20" s="226"/>
      <c r="AG20" s="226"/>
      <c r="AH20" s="226"/>
      <c r="AI20" s="226"/>
      <c r="AJ20" s="226"/>
      <c r="AK20" s="226"/>
      <c r="AL20" s="226"/>
      <c r="AM20" s="226"/>
      <c r="AN20" s="226"/>
    </row>
    <row r="21" spans="1:50" customFormat="1">
      <c r="A21" s="5" t="s">
        <v>7</v>
      </c>
      <c r="B21" s="19">
        <f>+'Subtransmission Calcs'!H12</f>
        <v>293.41772374999999</v>
      </c>
      <c r="C21" s="227">
        <f t="shared" si="7"/>
        <v>201787.51316241035</v>
      </c>
      <c r="D21" s="336">
        <f t="shared" ca="1" si="2"/>
        <v>7.6662592466773483E-2</v>
      </c>
      <c r="E21" s="19">
        <f>+'Subtransmission Calcs'!Q12</f>
        <v>13.339105</v>
      </c>
      <c r="F21" s="227">
        <f t="shared" si="8"/>
        <v>3295.4318699346331</v>
      </c>
      <c r="G21" s="335">
        <f t="shared" ca="1" si="3"/>
        <v>1.2519919914146503E-3</v>
      </c>
      <c r="H21" s="20">
        <f>+'Subtransmission Calcs'!Z12</f>
        <v>1633.3</v>
      </c>
      <c r="I21" s="227">
        <f t="shared" ca="1" si="9"/>
        <v>2427067.9732902716</v>
      </c>
      <c r="J21" s="331">
        <f t="shared" ca="1" si="4"/>
        <v>2632150.9183226167</v>
      </c>
      <c r="K21" s="121">
        <f t="shared" ca="1" si="5"/>
        <v>0.92208541554181178</v>
      </c>
      <c r="L21" s="159"/>
      <c r="M21" s="20">
        <f>+'Subtransmission Calcs'!AD12</f>
        <v>43</v>
      </c>
      <c r="N21" s="227">
        <f t="shared" ca="1" si="10"/>
        <v>1719064.3395210234</v>
      </c>
      <c r="O21" s="333">
        <f t="shared" ca="1" si="6"/>
        <v>1924147.2845533683</v>
      </c>
      <c r="P21" s="121">
        <f t="shared" ca="1" si="11"/>
        <v>0.89341619184835497</v>
      </c>
      <c r="Q21" s="316"/>
      <c r="R21" s="310"/>
      <c r="S21" s="311"/>
      <c r="T21" s="226"/>
      <c r="U21" s="226"/>
      <c r="V21" s="226"/>
      <c r="W21" s="226"/>
      <c r="X21" s="226"/>
      <c r="Y21" s="226"/>
      <c r="Z21" s="226"/>
      <c r="AA21" s="226"/>
      <c r="AB21" s="226"/>
      <c r="AC21" s="226"/>
      <c r="AD21" s="226"/>
      <c r="AE21" s="226"/>
      <c r="AF21" s="226"/>
      <c r="AG21" s="226"/>
      <c r="AH21" s="226"/>
      <c r="AI21" s="226"/>
      <c r="AJ21" s="226"/>
      <c r="AK21" s="226"/>
      <c r="AL21" s="226"/>
      <c r="AM21" s="226"/>
      <c r="AN21" s="226"/>
    </row>
    <row r="22" spans="1:50" customFormat="1">
      <c r="A22" s="5" t="s">
        <v>8</v>
      </c>
      <c r="B22" s="19">
        <f>+'Subtransmission Calcs'!H13</f>
        <v>3158.4036523714585</v>
      </c>
      <c r="C22" s="227">
        <f t="shared" si="7"/>
        <v>2172078.8043401577</v>
      </c>
      <c r="D22" s="336">
        <f t="shared" ca="1" si="2"/>
        <v>0.3137273951073592</v>
      </c>
      <c r="E22" s="19">
        <f>+'Subtransmission Calcs'!Q13</f>
        <v>2.7092640738164961</v>
      </c>
      <c r="F22" s="227">
        <f t="shared" si="8"/>
        <v>669.3249039514883</v>
      </c>
      <c r="G22" s="335">
        <f t="shared" ca="1" si="3"/>
        <v>9.6674926424216004E-5</v>
      </c>
      <c r="H22" s="20">
        <f>+'Subtransmission Calcs'!Z13</f>
        <v>3197</v>
      </c>
      <c r="I22" s="227">
        <f t="shared" ca="1" si="9"/>
        <v>4750711.0210059378</v>
      </c>
      <c r="J22" s="331">
        <f t="shared" ca="1" si="4"/>
        <v>6923459.1502500465</v>
      </c>
      <c r="K22" s="121">
        <f t="shared" ca="1" si="5"/>
        <v>0.68617592996621668</v>
      </c>
      <c r="L22" s="159"/>
      <c r="M22" s="20">
        <f>+'Subtransmission Calcs'!AD13</f>
        <v>140</v>
      </c>
      <c r="N22" s="227">
        <f t="shared" ca="1" si="10"/>
        <v>5596953.6635568207</v>
      </c>
      <c r="O22" s="333">
        <f t="shared" ca="1" si="6"/>
        <v>7769701.7928009294</v>
      </c>
      <c r="P22" s="121">
        <f t="shared" ca="1" si="11"/>
        <v>0.72035630360263203</v>
      </c>
      <c r="Q22" s="316"/>
      <c r="R22" s="310"/>
      <c r="S22" s="311"/>
      <c r="T22" s="226"/>
      <c r="U22" s="226"/>
      <c r="V22" s="226"/>
      <c r="W22" s="226"/>
      <c r="X22" s="226"/>
      <c r="Y22" s="226"/>
      <c r="Z22" s="226"/>
      <c r="AA22" s="226"/>
      <c r="AB22" s="226"/>
      <c r="AC22" s="226"/>
      <c r="AD22" s="226"/>
      <c r="AE22" s="226"/>
      <c r="AF22" s="226"/>
      <c r="AG22" s="226"/>
      <c r="AH22" s="226"/>
      <c r="AI22" s="226"/>
      <c r="AJ22" s="226"/>
      <c r="AK22" s="226"/>
      <c r="AL22" s="226"/>
      <c r="AM22" s="226"/>
      <c r="AN22" s="226"/>
    </row>
    <row r="23" spans="1:50" customFormat="1">
      <c r="A23" s="5" t="s">
        <v>9</v>
      </c>
      <c r="B23" s="19">
        <f>+'Subtransmission Calcs'!H14</f>
        <v>1415.2460266288888</v>
      </c>
      <c r="C23" s="227">
        <f t="shared" si="7"/>
        <v>973284.68293124321</v>
      </c>
      <c r="D23" s="336">
        <f t="shared" ca="1" si="2"/>
        <v>0.10527207508592219</v>
      </c>
      <c r="E23" s="19">
        <f>+'Subtransmission Calcs'!Q14</f>
        <v>42.465529608888886</v>
      </c>
      <c r="F23" s="227">
        <f t="shared" si="8"/>
        <v>10491.128126421168</v>
      </c>
      <c r="G23" s="335">
        <f t="shared" ca="1" si="3"/>
        <v>1.1347377054516539E-3</v>
      </c>
      <c r="H23" s="20">
        <f>+'Subtransmission Calcs'!Z14</f>
        <v>5559.6900000000014</v>
      </c>
      <c r="I23" s="227">
        <f t="shared" ca="1" si="9"/>
        <v>8261645.4664924964</v>
      </c>
      <c r="J23" s="331">
        <f t="shared" ca="1" si="4"/>
        <v>9245421.2775501609</v>
      </c>
      <c r="K23" s="121">
        <f t="shared" ca="1" si="5"/>
        <v>0.89359318720862613</v>
      </c>
      <c r="L23" s="159"/>
      <c r="M23" s="20">
        <f>+'Subtransmission Calcs'!AD14</f>
        <v>241</v>
      </c>
      <c r="N23" s="227">
        <f t="shared" ca="1" si="10"/>
        <v>9634755.9494085275</v>
      </c>
      <c r="O23" s="333">
        <f t="shared" ca="1" si="6"/>
        <v>10618531.760466192</v>
      </c>
      <c r="P23" s="121">
        <f t="shared" ca="1" si="11"/>
        <v>0.90735293416738128</v>
      </c>
      <c r="Q23" s="316"/>
      <c r="R23" s="310"/>
      <c r="S23" s="311"/>
      <c r="T23" s="226"/>
      <c r="U23" s="226"/>
      <c r="V23" s="226"/>
      <c r="W23" s="226"/>
      <c r="X23" s="226"/>
      <c r="Y23" s="226"/>
      <c r="Z23" s="226"/>
      <c r="AA23" s="226"/>
      <c r="AB23" s="226"/>
      <c r="AC23" s="226"/>
      <c r="AD23" s="226"/>
      <c r="AE23" s="226"/>
      <c r="AF23" s="226"/>
      <c r="AG23" s="226"/>
      <c r="AH23" s="226"/>
      <c r="AI23" s="226"/>
      <c r="AJ23" s="226"/>
      <c r="AK23" s="226"/>
      <c r="AL23" s="226"/>
      <c r="AM23" s="226"/>
      <c r="AN23" s="226"/>
    </row>
    <row r="24" spans="1:50" customFormat="1">
      <c r="A24" s="5" t="s">
        <v>10</v>
      </c>
      <c r="B24" s="19">
        <f>+'Subtransmission Calcs'!H15</f>
        <v>2386.9938749999997</v>
      </c>
      <c r="C24" s="227">
        <f t="shared" si="7"/>
        <v>1641569.4042414005</v>
      </c>
      <c r="D24" s="336">
        <f t="shared" ca="1" si="2"/>
        <v>0.24879255683146098</v>
      </c>
      <c r="E24" s="19">
        <f>+'Subtransmission Calcs'!Q15</f>
        <v>4.7341250000000006</v>
      </c>
      <c r="F24" s="227">
        <f t="shared" si="8"/>
        <v>1169.5677034744308</v>
      </c>
      <c r="G24" s="335">
        <f t="shared" ca="1" si="3"/>
        <v>1.7725704352376787E-4</v>
      </c>
      <c r="H24" s="20">
        <f>+'Subtransmission Calcs'!Z15</f>
        <v>3334.75</v>
      </c>
      <c r="I24" s="227">
        <f t="shared" ca="1" si="9"/>
        <v>4955406.1862056777</v>
      </c>
      <c r="J24" s="331">
        <f t="shared" ca="1" si="4"/>
        <v>6598145.1581505528</v>
      </c>
      <c r="K24" s="121">
        <f t="shared" ca="1" si="5"/>
        <v>0.75103018612501526</v>
      </c>
      <c r="L24" s="159"/>
      <c r="M24" s="20">
        <f>+'Subtransmission Calcs'!AD15</f>
        <v>132.60000000000002</v>
      </c>
      <c r="N24" s="227">
        <f t="shared" ca="1" si="10"/>
        <v>5301114.6841973895</v>
      </c>
      <c r="O24" s="333">
        <f t="shared" ca="1" si="6"/>
        <v>6943853.6561422646</v>
      </c>
      <c r="P24" s="121">
        <f t="shared" ca="1" si="11"/>
        <v>0.76342546181229332</v>
      </c>
      <c r="Q24" s="316"/>
      <c r="R24" s="310"/>
      <c r="S24" s="311"/>
      <c r="T24" s="226"/>
      <c r="U24" s="226"/>
      <c r="V24" s="226"/>
      <c r="W24" s="226"/>
      <c r="X24" s="226"/>
      <c r="Y24" s="226"/>
      <c r="Z24" s="226"/>
      <c r="AA24" s="226"/>
      <c r="AB24" s="226"/>
      <c r="AC24" s="226"/>
      <c r="AD24" s="226"/>
      <c r="AE24" s="226"/>
      <c r="AF24" s="226"/>
      <c r="AG24" s="226"/>
      <c r="AH24" s="226"/>
      <c r="AI24" s="226"/>
      <c r="AJ24" s="226"/>
      <c r="AK24" s="226"/>
      <c r="AL24" s="226"/>
      <c r="AM24" s="226"/>
      <c r="AN24" s="226"/>
    </row>
    <row r="25" spans="1:50" customFormat="1">
      <c r="A25" s="5" t="s">
        <v>11</v>
      </c>
      <c r="B25" s="19">
        <f>+'Subtransmission Calcs'!H16</f>
        <v>46.6</v>
      </c>
      <c r="C25" s="227">
        <f t="shared" si="7"/>
        <v>32047.478227253214</v>
      </c>
      <c r="D25" s="336">
        <f t="shared" ca="1" si="2"/>
        <v>3.0961026772950807E-2</v>
      </c>
      <c r="E25" s="19">
        <f>+'Subtransmission Calcs'!Q16</f>
        <v>0</v>
      </c>
      <c r="F25" s="227">
        <f t="shared" si="8"/>
        <v>0</v>
      </c>
      <c r="G25" s="335">
        <f t="shared" ca="1" si="3"/>
        <v>0</v>
      </c>
      <c r="H25" s="20">
        <f>+'Subtransmission Calcs'!Z16</f>
        <v>675</v>
      </c>
      <c r="I25" s="227">
        <f t="shared" ca="1" si="9"/>
        <v>1003043.4592364742</v>
      </c>
      <c r="J25" s="331">
        <f t="shared" ca="1" si="4"/>
        <v>1035090.9374637274</v>
      </c>
      <c r="K25" s="121">
        <f t="shared" ca="1" si="5"/>
        <v>0.96903897322704924</v>
      </c>
      <c r="L25" s="159"/>
      <c r="M25" s="20"/>
      <c r="N25" s="227">
        <f t="shared" ca="1" si="10"/>
        <v>0</v>
      </c>
      <c r="O25" s="333">
        <f t="shared" ca="1" si="6"/>
        <v>32047.478227253214</v>
      </c>
      <c r="P25" s="121">
        <f t="shared" ca="1" si="11"/>
        <v>0</v>
      </c>
      <c r="Q25" s="316"/>
      <c r="R25" s="310"/>
      <c r="S25" s="311"/>
      <c r="T25" s="226"/>
      <c r="U25" s="226"/>
      <c r="V25" s="226"/>
      <c r="W25" s="226"/>
      <c r="X25" s="226"/>
      <c r="Y25" s="226"/>
      <c r="Z25" s="226"/>
      <c r="AA25" s="226"/>
      <c r="AB25" s="226"/>
      <c r="AC25" s="226"/>
      <c r="AD25" s="226"/>
      <c r="AE25" s="226"/>
      <c r="AF25" s="226"/>
      <c r="AG25" s="226"/>
      <c r="AH25" s="226"/>
      <c r="AI25" s="226"/>
      <c r="AJ25" s="226"/>
      <c r="AK25" s="226"/>
      <c r="AL25" s="226"/>
      <c r="AM25" s="226"/>
      <c r="AN25" s="226"/>
    </row>
    <row r="26" spans="1:50" customFormat="1">
      <c r="A26" s="12" t="s">
        <v>12</v>
      </c>
      <c r="B26" s="19">
        <f>+'Subtransmission Calcs'!H17</f>
        <v>634.67500000000007</v>
      </c>
      <c r="C26" s="227">
        <f t="shared" si="7"/>
        <v>436474.96231506299</v>
      </c>
      <c r="D26" s="336">
        <f t="shared" ca="1" si="2"/>
        <v>8.2684294323881441E-2</v>
      </c>
      <c r="E26" s="19">
        <f>+'Subtransmission Calcs'!Q17</f>
        <v>3.9750000000000001</v>
      </c>
      <c r="F26" s="227">
        <f t="shared" si="8"/>
        <v>982.02553192213168</v>
      </c>
      <c r="G26" s="336">
        <f t="shared" ca="1" si="3"/>
        <v>1.8603149120934942E-4</v>
      </c>
      <c r="H26" s="20">
        <f>+'Subtransmission Calcs'!Z17</f>
        <v>3258</v>
      </c>
      <c r="I26" s="227">
        <f t="shared" ca="1" si="9"/>
        <v>4841356.4299147157</v>
      </c>
      <c r="J26" s="331">
        <f t="shared" ca="1" si="4"/>
        <v>5278813.4177617012</v>
      </c>
      <c r="K26" s="121">
        <f t="shared" ca="1" si="5"/>
        <v>0.9171296741849092</v>
      </c>
      <c r="L26" s="159"/>
      <c r="M26" s="20">
        <f>+'Subtransmission Calcs'!AD17</f>
        <v>104</v>
      </c>
      <c r="N26" s="227">
        <f t="shared" ca="1" si="10"/>
        <v>4157737.0072136382</v>
      </c>
      <c r="O26" s="333">
        <f t="shared" ca="1" si="6"/>
        <v>4595193.9950606227</v>
      </c>
      <c r="P26" s="121">
        <f t="shared" ca="1" si="11"/>
        <v>0.90480119265536829</v>
      </c>
      <c r="Q26" s="316"/>
      <c r="R26" s="310"/>
      <c r="S26" s="311"/>
      <c r="T26" s="226"/>
      <c r="U26" s="226"/>
      <c r="V26" s="226"/>
      <c r="W26" s="226"/>
      <c r="X26" s="226"/>
      <c r="Y26" s="226"/>
      <c r="Z26" s="226"/>
      <c r="AA26" s="226"/>
      <c r="AB26" s="226"/>
      <c r="AC26" s="226"/>
      <c r="AD26" s="226"/>
      <c r="AE26" s="226"/>
      <c r="AF26" s="226"/>
      <c r="AG26" s="226"/>
      <c r="AH26" s="226"/>
      <c r="AI26" s="226"/>
      <c r="AJ26" s="226"/>
      <c r="AK26" s="226"/>
      <c r="AL26" s="226"/>
      <c r="AM26" s="226"/>
      <c r="AN26" s="226"/>
    </row>
    <row r="27" spans="1:50" customFormat="1">
      <c r="C27" s="227">
        <f>SUM(C14:C26)</f>
        <v>23179286.089396536</v>
      </c>
      <c r="D27" s="337">
        <f t="shared" ca="1" si="2"/>
        <v>0.1329360945870641</v>
      </c>
      <c r="F27" s="224">
        <f>SUM(F14:F26)</f>
        <v>276610.82356845343</v>
      </c>
      <c r="G27" s="337">
        <f t="shared" ca="1" si="3"/>
        <v>1.5863975475294268E-3</v>
      </c>
      <c r="H27" s="6"/>
      <c r="I27" s="227">
        <f ca="1">SUM(I14:I26)</f>
        <v>150908230.16176024</v>
      </c>
      <c r="J27" s="331">
        <f ca="1">SUM(J14:J26)</f>
        <v>174364127.07472524</v>
      </c>
      <c r="K27" s="121">
        <f t="shared" ca="1" si="5"/>
        <v>0.86547750786540645</v>
      </c>
      <c r="L27" s="159"/>
      <c r="M27" s="42"/>
      <c r="N27" s="224">
        <f ca="1">SUM(N14:N26)</f>
        <v>121997598.56935708</v>
      </c>
      <c r="O27" s="334">
        <f ca="1">SUM(O14:O26)</f>
        <v>145453495.4823221</v>
      </c>
      <c r="P27" s="121">
        <f t="shared" ca="1" si="11"/>
        <v>0.83873954465524847</v>
      </c>
      <c r="Q27" s="303"/>
      <c r="R27" s="312"/>
      <c r="S27" s="313"/>
      <c r="T27" s="226"/>
      <c r="U27" s="226"/>
      <c r="V27" s="226"/>
      <c r="W27" s="226"/>
      <c r="X27" s="226"/>
      <c r="Y27" s="226"/>
      <c r="Z27" s="226"/>
      <c r="AA27" s="226"/>
      <c r="AB27" s="226"/>
      <c r="AC27" s="226"/>
      <c r="AD27" s="226"/>
      <c r="AE27" s="226"/>
      <c r="AF27" s="226"/>
      <c r="AG27" s="226"/>
      <c r="AH27" s="226"/>
      <c r="AI27" s="226"/>
      <c r="AJ27" s="226"/>
      <c r="AK27" s="226"/>
      <c r="AL27" s="226"/>
      <c r="AM27" s="226"/>
      <c r="AN27" s="226"/>
    </row>
    <row r="28" spans="1:50" customFormat="1">
      <c r="A28" s="226"/>
      <c r="B28" s="226"/>
      <c r="C28" s="226"/>
      <c r="D28" s="226"/>
      <c r="E28" s="226"/>
      <c r="F28" s="226"/>
      <c r="G28" s="226"/>
      <c r="H28" s="226"/>
      <c r="I28" s="226"/>
      <c r="J28" s="6"/>
      <c r="L28" s="325"/>
      <c r="M28" s="6"/>
      <c r="N28" s="226"/>
      <c r="O28" s="226"/>
      <c r="P28" s="3"/>
      <c r="Q28" s="226"/>
      <c r="R28" s="226"/>
      <c r="S28" s="226"/>
      <c r="T28" s="226"/>
      <c r="U28" s="170"/>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row>
    <row r="29" spans="1:50" customFormat="1">
      <c r="A29" s="226"/>
      <c r="B29" s="226"/>
      <c r="C29" s="226"/>
      <c r="D29" s="226"/>
      <c r="E29" s="226"/>
      <c r="F29" s="226"/>
      <c r="G29" s="226"/>
      <c r="H29" s="226"/>
      <c r="I29" s="226"/>
      <c r="J29" s="6"/>
      <c r="K29" s="159"/>
      <c r="L29" s="159"/>
      <c r="M29" s="6"/>
      <c r="N29" s="226"/>
      <c r="O29" s="226"/>
      <c r="P29" s="329"/>
      <c r="Q29" s="226"/>
      <c r="R29" s="226"/>
      <c r="S29" s="226"/>
      <c r="T29" s="226"/>
      <c r="U29" s="170"/>
      <c r="V29" s="170"/>
      <c r="X29" s="183"/>
    </row>
    <row r="30" spans="1:50" customFormat="1">
      <c r="A30" s="3"/>
      <c r="B30" s="309"/>
      <c r="C30" s="3"/>
      <c r="D30" s="3"/>
      <c r="E30" s="309"/>
      <c r="F30" s="3"/>
      <c r="G30" s="3"/>
      <c r="H30" s="309"/>
      <c r="I30" s="3"/>
      <c r="J30" s="162"/>
      <c r="K30" s="159"/>
      <c r="L30" s="159"/>
      <c r="M30" s="6"/>
      <c r="N30" s="226"/>
      <c r="O30" s="226"/>
      <c r="P30" s="3"/>
      <c r="Q30" s="226"/>
      <c r="R30" s="226"/>
      <c r="S30" s="226"/>
      <c r="T30" s="226"/>
      <c r="U30" s="170"/>
      <c r="V30" s="170"/>
      <c r="X30" s="183"/>
    </row>
    <row r="31" spans="1:50">
      <c r="K31" s="328"/>
      <c r="L31" s="328"/>
    </row>
    <row r="32" spans="1:50">
      <c r="K32" s="328"/>
      <c r="L32" s="328"/>
    </row>
    <row r="33" spans="1:11">
      <c r="A33" s="81"/>
      <c r="K33" s="328"/>
    </row>
    <row r="34" spans="1:11">
      <c r="A34" s="81"/>
      <c r="K34" s="328"/>
    </row>
    <row r="35" spans="1:11">
      <c r="A35" s="81"/>
      <c r="K35" s="328"/>
    </row>
    <row r="36" spans="1:11">
      <c r="A36" s="81"/>
      <c r="K36" s="328"/>
    </row>
    <row r="37" spans="1:11">
      <c r="A37" s="81"/>
      <c r="K37" s="328"/>
    </row>
    <row r="38" spans="1:11">
      <c r="A38" s="81"/>
      <c r="K38" s="328"/>
    </row>
    <row r="39" spans="1:11">
      <c r="A39" s="81"/>
      <c r="K39" s="328"/>
    </row>
    <row r="40" spans="1:11">
      <c r="A40" s="81"/>
      <c r="K40" s="328"/>
    </row>
    <row r="41" spans="1:11">
      <c r="A41" s="81"/>
      <c r="K41" s="328"/>
    </row>
    <row r="42" spans="1:11">
      <c r="A42" s="81"/>
      <c r="E42" s="329"/>
      <c r="F42" s="239"/>
      <c r="G42" s="330"/>
    </row>
    <row r="43" spans="1:11">
      <c r="A43" s="81"/>
    </row>
    <row r="44" spans="1:11">
      <c r="A44" s="81"/>
    </row>
  </sheetData>
  <sortState ref="R7:R12">
    <sortCondition ref="R7:R12"/>
  </sortState>
  <dataValidations disablePrompts="1"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BT72"/>
  <sheetViews>
    <sheetView zoomScale="80" zoomScaleNormal="80" workbookViewId="0">
      <selection activeCell="D31" sqref="D31"/>
    </sheetView>
  </sheetViews>
  <sheetFormatPr defaultColWidth="9.28515625" defaultRowHeight="15"/>
  <cols>
    <col min="1" max="1" width="9.28515625" style="7"/>
    <col min="2" max="2" width="18.28515625" style="7" bestFit="1" customWidth="1"/>
    <col min="3" max="3" width="16.42578125" style="7" customWidth="1"/>
    <col min="4" max="4" width="23" style="7" customWidth="1"/>
    <col min="5" max="6" width="15.42578125" style="7" bestFit="1" customWidth="1"/>
    <col min="7" max="7" width="15.42578125" style="14" customWidth="1"/>
    <col min="8" max="8" width="14.42578125" style="7" customWidth="1"/>
    <col min="9" max="12" width="12.28515625" style="7" customWidth="1"/>
    <col min="13" max="13" width="2.7109375" style="7" customWidth="1"/>
    <col min="14" max="14" width="12.5703125" style="7" bestFit="1" customWidth="1"/>
    <col min="15" max="15" width="17.42578125" style="7" bestFit="1" customWidth="1"/>
    <col min="16" max="16" width="12.5703125" style="7" bestFit="1" customWidth="1"/>
    <col min="17" max="17" width="14.7109375" style="7" bestFit="1" customWidth="1"/>
    <col min="18" max="20" width="12.28515625" style="7" customWidth="1"/>
    <col min="21" max="21" width="14.28515625" style="15" bestFit="1" customWidth="1"/>
    <col min="22" max="22" width="4.28515625" style="229" customWidth="1"/>
    <col min="23" max="23" width="19.42578125" style="7" bestFit="1" customWidth="1"/>
    <col min="24" max="25" width="14.7109375" style="7" bestFit="1" customWidth="1"/>
    <col min="26" max="26" width="13" style="7" bestFit="1" customWidth="1"/>
    <col min="27" max="27" width="17.28515625" style="7" bestFit="1" customWidth="1"/>
    <col min="28" max="28" width="11.5703125" style="7" bestFit="1" customWidth="1"/>
    <col min="29" max="30" width="11.5703125" style="229" customWidth="1"/>
    <col min="31" max="31" width="13.28515625" style="7" customWidth="1"/>
    <col min="32" max="32" width="13.42578125" style="163" bestFit="1" customWidth="1"/>
    <col min="33" max="34" width="12.28515625" style="229" customWidth="1"/>
    <col min="35" max="35" width="10" style="7" customWidth="1"/>
    <col min="36" max="36" width="44.28515625" style="7" customWidth="1"/>
    <col min="37" max="37" width="9.28515625" style="7"/>
    <col min="38" max="38" width="12.42578125" style="7" customWidth="1"/>
    <col min="39" max="39" width="9.28515625" style="7"/>
    <col min="40" max="40" width="31" style="7" bestFit="1" customWidth="1"/>
    <col min="41" max="41" width="0" style="7" hidden="1" customWidth="1"/>
    <col min="42" max="46" width="14.42578125" style="7" customWidth="1"/>
    <col min="47" max="49" width="9.28515625" style="7"/>
    <col min="50" max="50" width="20.5703125" style="7" bestFit="1" customWidth="1"/>
    <col min="51" max="16384" width="9.28515625" style="7"/>
  </cols>
  <sheetData>
    <row r="1" spans="1:45">
      <c r="A1" s="7">
        <v>1</v>
      </c>
      <c r="B1" s="7">
        <v>2</v>
      </c>
      <c r="C1" s="229">
        <f>B1+1</f>
        <v>3</v>
      </c>
      <c r="D1" s="229">
        <f t="shared" ref="D1:Z1" si="0">C1+1</f>
        <v>4</v>
      </c>
      <c r="E1" s="229">
        <f t="shared" si="0"/>
        <v>5</v>
      </c>
      <c r="F1" s="229">
        <f t="shared" si="0"/>
        <v>6</v>
      </c>
      <c r="G1" s="229">
        <f t="shared" si="0"/>
        <v>7</v>
      </c>
      <c r="H1" s="229">
        <f t="shared" si="0"/>
        <v>8</v>
      </c>
      <c r="I1" s="229">
        <f t="shared" si="0"/>
        <v>9</v>
      </c>
      <c r="J1" s="229">
        <f t="shared" si="0"/>
        <v>10</v>
      </c>
      <c r="K1" s="229">
        <f t="shared" si="0"/>
        <v>11</v>
      </c>
      <c r="L1" s="229">
        <f t="shared" si="0"/>
        <v>12</v>
      </c>
      <c r="M1" s="229">
        <f t="shared" si="0"/>
        <v>13</v>
      </c>
      <c r="N1" s="229">
        <f t="shared" si="0"/>
        <v>14</v>
      </c>
      <c r="O1" s="229">
        <f t="shared" si="0"/>
        <v>15</v>
      </c>
      <c r="P1" s="229">
        <f t="shared" si="0"/>
        <v>16</v>
      </c>
      <c r="Q1" s="229">
        <f t="shared" si="0"/>
        <v>17</v>
      </c>
      <c r="R1" s="229">
        <f t="shared" si="0"/>
        <v>18</v>
      </c>
      <c r="S1" s="229">
        <f t="shared" si="0"/>
        <v>19</v>
      </c>
      <c r="T1" s="229">
        <f t="shared" si="0"/>
        <v>20</v>
      </c>
      <c r="U1" s="15">
        <f t="shared" si="0"/>
        <v>21</v>
      </c>
      <c r="V1" s="229" t="s">
        <v>401</v>
      </c>
      <c r="W1" s="229">
        <f>U1+1</f>
        <v>22</v>
      </c>
      <c r="X1" s="229">
        <f t="shared" si="0"/>
        <v>23</v>
      </c>
      <c r="Y1" s="229">
        <f t="shared" si="0"/>
        <v>24</v>
      </c>
      <c r="Z1" s="229">
        <f t="shared" si="0"/>
        <v>25</v>
      </c>
      <c r="AA1" s="229">
        <f t="shared" ref="AA1" si="1">Z1+1</f>
        <v>26</v>
      </c>
      <c r="AB1" s="229">
        <f t="shared" ref="AB1" si="2">AA1+1</f>
        <v>27</v>
      </c>
      <c r="AC1" s="229">
        <f t="shared" ref="AC1" si="3">AB1+1</f>
        <v>28</v>
      </c>
      <c r="AD1" s="229">
        <f t="shared" ref="AD1" si="4">AC1+1</f>
        <v>29</v>
      </c>
      <c r="AE1" s="229">
        <f>AD1+1</f>
        <v>30</v>
      </c>
      <c r="AF1" s="229">
        <f t="shared" ref="AF1" si="5">AE1+1</f>
        <v>31</v>
      </c>
      <c r="AI1" s="163"/>
    </row>
    <row r="2" spans="1:45">
      <c r="A2" s="23"/>
      <c r="B2" s="24"/>
      <c r="C2" s="24"/>
      <c r="D2" s="24"/>
      <c r="E2" s="25" t="s">
        <v>22</v>
      </c>
      <c r="F2" s="25"/>
      <c r="G2" s="25"/>
      <c r="H2" s="25"/>
      <c r="I2" s="25"/>
      <c r="J2" s="25"/>
      <c r="K2" s="25"/>
      <c r="L2" s="25"/>
      <c r="M2" s="25"/>
      <c r="N2" s="25" t="s">
        <v>26</v>
      </c>
      <c r="O2" s="25"/>
      <c r="P2" s="25"/>
      <c r="Q2" s="25"/>
      <c r="R2" s="25"/>
      <c r="S2" s="25"/>
      <c r="T2" s="25"/>
      <c r="U2" s="326"/>
      <c r="V2" s="304"/>
      <c r="W2" s="25" t="s">
        <v>27</v>
      </c>
      <c r="X2" s="25"/>
      <c r="Y2" s="25"/>
      <c r="Z2" s="25"/>
      <c r="AA2" s="25"/>
      <c r="AB2" s="25"/>
      <c r="AC2" s="304"/>
      <c r="AD2" s="304"/>
      <c r="AE2" s="12"/>
      <c r="AF2" s="315"/>
      <c r="AG2" s="3"/>
      <c r="AH2" s="3"/>
      <c r="AI2" s="3"/>
      <c r="AJ2" s="3"/>
      <c r="AL2" s="229"/>
      <c r="AM2" s="229"/>
      <c r="AN2" s="229"/>
      <c r="AO2" s="229"/>
      <c r="AP2" s="229"/>
      <c r="AQ2" s="229"/>
      <c r="AR2" s="229"/>
      <c r="AS2" s="229"/>
    </row>
    <row r="3" spans="1:45" s="14" customFormat="1" ht="60.75" customHeight="1">
      <c r="A3" s="26"/>
      <c r="B3" s="27"/>
      <c r="C3" s="27"/>
      <c r="D3" s="27" t="s">
        <v>18</v>
      </c>
      <c r="E3" s="28" t="s">
        <v>14</v>
      </c>
      <c r="F3" s="28" t="s">
        <v>14</v>
      </c>
      <c r="G3" s="28" t="s">
        <v>14</v>
      </c>
      <c r="H3" s="29" t="s">
        <v>387</v>
      </c>
      <c r="I3" s="29" t="s">
        <v>387</v>
      </c>
      <c r="J3" s="29" t="s">
        <v>38</v>
      </c>
      <c r="K3" s="28" t="s">
        <v>40</v>
      </c>
      <c r="L3" s="29" t="s">
        <v>37</v>
      </c>
      <c r="M3" s="29"/>
      <c r="N3" s="28" t="s">
        <v>14</v>
      </c>
      <c r="O3" s="28" t="s">
        <v>14</v>
      </c>
      <c r="P3" s="28" t="s">
        <v>14</v>
      </c>
      <c r="Q3" s="29" t="s">
        <v>38</v>
      </c>
      <c r="R3" s="29" t="s">
        <v>388</v>
      </c>
      <c r="S3" s="28" t="s">
        <v>40</v>
      </c>
      <c r="T3" s="28" t="s">
        <v>40</v>
      </c>
      <c r="U3" s="327" t="s">
        <v>37</v>
      </c>
      <c r="V3" s="305"/>
      <c r="W3" s="28" t="s">
        <v>14</v>
      </c>
      <c r="X3" s="28" t="s">
        <v>14</v>
      </c>
      <c r="Y3" s="28" t="s">
        <v>14</v>
      </c>
      <c r="Z3" s="29" t="s">
        <v>38</v>
      </c>
      <c r="AA3" s="29" t="s">
        <v>38</v>
      </c>
      <c r="AB3" s="28" t="s">
        <v>40</v>
      </c>
      <c r="AC3" s="28" t="s">
        <v>14</v>
      </c>
      <c r="AD3" s="28" t="s">
        <v>14</v>
      </c>
      <c r="AE3" s="28" t="s">
        <v>40</v>
      </c>
      <c r="AF3" s="28" t="s">
        <v>40</v>
      </c>
      <c r="AG3" s="168"/>
      <c r="AH3" s="168"/>
      <c r="AI3" s="168"/>
      <c r="AJ3" s="239"/>
      <c r="AL3" s="229"/>
      <c r="AM3" s="229"/>
      <c r="AN3" s="229"/>
      <c r="AO3" s="229"/>
      <c r="AP3" s="229"/>
      <c r="AQ3" s="229"/>
      <c r="AR3" s="229"/>
      <c r="AS3" s="229"/>
    </row>
    <row r="4" spans="1:45" ht="75">
      <c r="A4" s="4" t="s">
        <v>28</v>
      </c>
      <c r="B4" s="8" t="s">
        <v>13</v>
      </c>
      <c r="C4" s="9" t="s">
        <v>29</v>
      </c>
      <c r="D4" s="9" t="s">
        <v>330</v>
      </c>
      <c r="E4" s="12" t="s">
        <v>15</v>
      </c>
      <c r="F4" s="12" t="s">
        <v>16</v>
      </c>
      <c r="G4" s="12" t="s">
        <v>19</v>
      </c>
      <c r="H4" s="29" t="s">
        <v>20</v>
      </c>
      <c r="I4" s="29" t="s">
        <v>23</v>
      </c>
      <c r="J4" s="12" t="s">
        <v>19</v>
      </c>
      <c r="K4" s="12" t="s">
        <v>21</v>
      </c>
      <c r="L4" s="12" t="s">
        <v>24</v>
      </c>
      <c r="M4" s="12"/>
      <c r="N4" s="12" t="s">
        <v>15</v>
      </c>
      <c r="O4" s="12" t="s">
        <v>16</v>
      </c>
      <c r="P4" s="12" t="s">
        <v>19</v>
      </c>
      <c r="Q4" s="29" t="s">
        <v>20</v>
      </c>
      <c r="R4" s="29" t="s">
        <v>23</v>
      </c>
      <c r="S4" s="12" t="s">
        <v>19</v>
      </c>
      <c r="T4" s="12" t="s">
        <v>21</v>
      </c>
      <c r="U4" s="30" t="s">
        <v>402</v>
      </c>
      <c r="V4" s="315"/>
      <c r="W4" s="12" t="s">
        <v>15</v>
      </c>
      <c r="X4" s="12" t="s">
        <v>16</v>
      </c>
      <c r="Y4" s="12" t="s">
        <v>19</v>
      </c>
      <c r="Z4" s="29" t="s">
        <v>397</v>
      </c>
      <c r="AA4" s="29" t="s">
        <v>36</v>
      </c>
      <c r="AB4" s="29" t="s">
        <v>19</v>
      </c>
      <c r="AC4" s="305" t="s">
        <v>391</v>
      </c>
      <c r="AD4" s="305" t="s">
        <v>398</v>
      </c>
      <c r="AE4" s="305" t="s">
        <v>25</v>
      </c>
      <c r="AF4" s="305" t="s">
        <v>392</v>
      </c>
      <c r="AG4" s="239"/>
      <c r="AH4" s="239"/>
      <c r="AI4" s="239"/>
      <c r="AJ4" s="239"/>
      <c r="AK4" s="230"/>
      <c r="AL4" s="229"/>
      <c r="AM4" s="229"/>
      <c r="AN4" s="229"/>
      <c r="AO4" s="229"/>
      <c r="AP4" s="229"/>
      <c r="AQ4" s="229"/>
      <c r="AR4" s="229"/>
      <c r="AS4" s="229"/>
    </row>
    <row r="5" spans="1:45">
      <c r="A5" s="5" t="s">
        <v>0</v>
      </c>
      <c r="B5" s="22">
        <f ca="1">'base OPEX'!E85</f>
        <v>74201.060864726387</v>
      </c>
      <c r="C5" s="22">
        <f ca="1">'base OPEX'!E102</f>
        <v>181851</v>
      </c>
      <c r="D5" s="22">
        <f ca="1">'base OPEX'!F85</f>
        <v>42402.200760789106</v>
      </c>
      <c r="E5" s="22">
        <v>2642525.1700000018</v>
      </c>
      <c r="F5" s="22">
        <v>773929.33999999962</v>
      </c>
      <c r="G5" s="22">
        <v>3416454.5100000016</v>
      </c>
      <c r="H5" s="30">
        <f>+Overhead!C17</f>
        <v>196.238</v>
      </c>
      <c r="I5" s="30">
        <f>+Overhead!D17</f>
        <v>2168.2470000000003</v>
      </c>
      <c r="J5" s="30">
        <f t="shared" ref="J5:J17" si="6">+H5+I5</f>
        <v>2364.4850000000001</v>
      </c>
      <c r="K5" s="22">
        <f t="shared" ref="K5:K17" si="7">+G5/J5</f>
        <v>1444.9042857112654</v>
      </c>
      <c r="L5" s="22">
        <f t="shared" ref="L5:L17" si="8">2*G5/(H5*2+I5)</f>
        <v>2668.3514851079176</v>
      </c>
      <c r="M5" s="22"/>
      <c r="N5" s="359">
        <v>94725.090000000011</v>
      </c>
      <c r="O5" s="22">
        <v>476086.18</v>
      </c>
      <c r="P5" s="22">
        <v>570811.27</v>
      </c>
      <c r="Q5" s="30">
        <f>+Underground!C17</f>
        <v>5.9989999999999997</v>
      </c>
      <c r="R5" s="30">
        <f>+Underground!D17</f>
        <v>2780.3009999999999</v>
      </c>
      <c r="S5" s="30">
        <f t="shared" ref="S5:S17" si="9">+Q5+R5</f>
        <v>2786.2999999999997</v>
      </c>
      <c r="T5" s="22">
        <f t="shared" ref="T5:T17" si="10">+P5/S5</f>
        <v>204.86353587194489</v>
      </c>
      <c r="U5" s="30">
        <f t="shared" ref="U5:U17" si="11">2*P5/(Q5*2+R5)</f>
        <v>408.84681045976811</v>
      </c>
      <c r="V5" s="315"/>
      <c r="W5" s="22">
        <v>1296936.97</v>
      </c>
      <c r="X5" s="22">
        <v>48489.94</v>
      </c>
      <c r="Y5" s="22">
        <v>1345426.91</v>
      </c>
      <c r="Z5" s="17">
        <v>1426</v>
      </c>
      <c r="AA5" s="17">
        <v>2052.4</v>
      </c>
      <c r="AB5" s="30">
        <f>+Z5+AA5</f>
        <v>3478.4</v>
      </c>
      <c r="AC5" s="306">
        <f>SUM('[34]5.2 Asset Age Profile'!$P$85:$DQ$91)</f>
        <v>31</v>
      </c>
      <c r="AD5" s="306">
        <f>SUM('[34]5.2 Asset Age Profile'!$P$83:$DQ$91)</f>
        <v>31</v>
      </c>
      <c r="AE5" s="307">
        <f>+Y5/Z5</f>
        <v>943.49713183730705</v>
      </c>
      <c r="AF5" s="319">
        <f>Y5/AD5</f>
        <v>43400.868064516129</v>
      </c>
      <c r="AG5" s="314"/>
      <c r="AH5" s="314"/>
      <c r="AI5" s="338"/>
      <c r="AJ5" s="239"/>
      <c r="AK5" s="230"/>
      <c r="AL5" s="229"/>
      <c r="AM5" s="229"/>
      <c r="AN5" s="229"/>
      <c r="AO5" s="229"/>
      <c r="AP5" s="229"/>
      <c r="AQ5" s="229"/>
      <c r="AR5" s="229"/>
      <c r="AS5" s="229"/>
    </row>
    <row r="6" spans="1:45">
      <c r="A6" s="5" t="s">
        <v>1</v>
      </c>
      <c r="B6" s="22">
        <f ca="1">'base OPEX'!E86</f>
        <v>652692.37710014719</v>
      </c>
      <c r="C6" s="22">
        <f ca="1">'base OPEX'!E103</f>
        <v>1669558.4999999998</v>
      </c>
      <c r="D6" s="22">
        <f ca="1">'base OPEX'!F86</f>
        <v>383229.65413620713</v>
      </c>
      <c r="E6" s="22">
        <v>17220378</v>
      </c>
      <c r="F6" s="22">
        <v>15102879</v>
      </c>
      <c r="G6" s="22">
        <v>32323257</v>
      </c>
      <c r="H6" s="30">
        <f>+Overhead!C18</f>
        <v>1546.9</v>
      </c>
      <c r="I6" s="30">
        <f>+Overhead!D18</f>
        <v>24497.200000000001</v>
      </c>
      <c r="J6" s="30">
        <f t="shared" si="6"/>
        <v>26044.100000000002</v>
      </c>
      <c r="K6" s="22">
        <f t="shared" si="7"/>
        <v>1241.0971006869117</v>
      </c>
      <c r="L6" s="22">
        <f t="shared" si="8"/>
        <v>2343.0290312058278</v>
      </c>
      <c r="M6" s="22"/>
      <c r="N6" s="359">
        <v>2125800</v>
      </c>
      <c r="O6" s="22">
        <v>6105765</v>
      </c>
      <c r="P6" s="22">
        <v>8231565</v>
      </c>
      <c r="Q6" s="30">
        <f>+Underground!C18</f>
        <v>629.048</v>
      </c>
      <c r="R6" s="30">
        <f>+Underground!D18</f>
        <v>14598.34</v>
      </c>
      <c r="S6" s="30">
        <f t="shared" si="9"/>
        <v>15227.388000000001</v>
      </c>
      <c r="T6" s="22">
        <f t="shared" si="10"/>
        <v>540.57629581645915</v>
      </c>
      <c r="U6" s="30">
        <f t="shared" si="11"/>
        <v>1038.2616875570272</v>
      </c>
      <c r="V6" s="315"/>
      <c r="W6" s="22">
        <v>7101663</v>
      </c>
      <c r="X6" s="22">
        <v>6859932</v>
      </c>
      <c r="Y6" s="22">
        <v>13961595</v>
      </c>
      <c r="Z6" s="17">
        <v>24930</v>
      </c>
      <c r="AA6" s="17">
        <v>14765</v>
      </c>
      <c r="AB6" s="30">
        <f t="shared" ref="AB6:AB17" si="12">+Z6+AA6</f>
        <v>39695</v>
      </c>
      <c r="AC6" s="306">
        <f>SUM('[35]5.2 Asset Age Profile'!$P$85:$DP$91)</f>
        <v>299</v>
      </c>
      <c r="AD6" s="306">
        <f>SUM('[35]5.2 Asset Age Profile'!$P$83:$DP$91)</f>
        <v>508</v>
      </c>
      <c r="AE6" s="307">
        <f t="shared" ref="AE6:AE17" si="13">+Y6/Z6</f>
        <v>560.03188929001203</v>
      </c>
      <c r="AF6" s="319">
        <f t="shared" ref="AF6:AF17" si="14">Y6/AD6</f>
        <v>27483.45472440945</v>
      </c>
      <c r="AG6" s="314"/>
      <c r="AH6" s="314"/>
      <c r="AI6" s="338"/>
      <c r="AJ6" s="239"/>
      <c r="AK6" s="230"/>
      <c r="AL6" s="229"/>
      <c r="AM6" s="229"/>
      <c r="AN6" s="229"/>
      <c r="AO6" s="229"/>
      <c r="AP6" s="229"/>
      <c r="AQ6" s="229"/>
      <c r="AR6" s="229"/>
      <c r="AS6" s="229"/>
    </row>
    <row r="7" spans="1:45">
      <c r="A7" s="5" t="s">
        <v>2</v>
      </c>
      <c r="B7" s="22">
        <f ca="1">'base OPEX'!E87</f>
        <v>55839.517999999902</v>
      </c>
      <c r="C7" s="22">
        <f ca="1">'base OPEX'!E104</f>
        <v>327907.17472153297</v>
      </c>
      <c r="D7" s="22">
        <f ca="1">'base OPEX'!F87</f>
        <v>55839.517999999902</v>
      </c>
      <c r="E7" s="22">
        <v>1590265.1144291579</v>
      </c>
      <c r="F7" s="22">
        <v>3256395.9537624214</v>
      </c>
      <c r="G7" s="22">
        <v>4846661.0681915795</v>
      </c>
      <c r="H7" s="30">
        <f>+Overhead!C19</f>
        <v>137.92933042654818</v>
      </c>
      <c r="I7" s="30">
        <f>+Overhead!D19</f>
        <v>2088.2429825785939</v>
      </c>
      <c r="J7" s="30">
        <f t="shared" si="6"/>
        <v>2226.1723130051423</v>
      </c>
      <c r="K7" s="22">
        <f t="shared" si="7"/>
        <v>2177.1275475297784</v>
      </c>
      <c r="L7" s="22">
        <f t="shared" si="8"/>
        <v>4100.2137802808238</v>
      </c>
      <c r="M7" s="22"/>
      <c r="N7" s="359">
        <v>231355.62963816692</v>
      </c>
      <c r="O7" s="22">
        <v>11622.770935798144</v>
      </c>
      <c r="P7" s="22">
        <v>242978.40057396507</v>
      </c>
      <c r="Q7" s="30">
        <f>+Underground!C19</f>
        <v>48.502279604002773</v>
      </c>
      <c r="R7" s="30">
        <f>+Underground!D19</f>
        <v>1844.5915715213882</v>
      </c>
      <c r="S7" s="30">
        <f t="shared" si="9"/>
        <v>1893.093851125391</v>
      </c>
      <c r="T7" s="22">
        <f t="shared" si="10"/>
        <v>128.34989687886909</v>
      </c>
      <c r="U7" s="30">
        <f t="shared" si="11"/>
        <v>250.28727316497699</v>
      </c>
      <c r="V7" s="315"/>
      <c r="W7" s="22">
        <v>7361868.4668501839</v>
      </c>
      <c r="X7" s="22">
        <v>1009752.7739108072</v>
      </c>
      <c r="Y7" s="22">
        <v>8371621.2407609913</v>
      </c>
      <c r="Z7" s="17">
        <v>2740</v>
      </c>
      <c r="AA7" s="17">
        <v>4080.51</v>
      </c>
      <c r="AB7" s="30">
        <f t="shared" si="12"/>
        <v>6820.51</v>
      </c>
      <c r="AC7" s="306">
        <f>SUM('[36]5.2 Asset Age Profile'!$P$92:$DP$98)</f>
        <v>74</v>
      </c>
      <c r="AD7" s="306">
        <f>SUM('[36]5.2 Asset Age Profile'!$P$90:$DP$98)</f>
        <v>74</v>
      </c>
      <c r="AE7" s="307">
        <f t="shared" si="13"/>
        <v>3055.3362192558361</v>
      </c>
      <c r="AF7" s="319">
        <f t="shared" si="14"/>
        <v>113130.01676704042</v>
      </c>
      <c r="AG7" s="314"/>
      <c r="AH7" s="339"/>
      <c r="AI7" s="338"/>
      <c r="AJ7" s="239"/>
      <c r="AK7" s="230"/>
      <c r="AL7" s="229"/>
      <c r="AM7" s="229"/>
      <c r="AN7" s="229"/>
      <c r="AO7" s="229"/>
      <c r="AP7" s="229"/>
      <c r="AQ7" s="229"/>
      <c r="AR7" s="229"/>
      <c r="AS7" s="229"/>
    </row>
    <row r="8" spans="1:45">
      <c r="A8" s="5" t="s">
        <v>3</v>
      </c>
      <c r="B8" s="22">
        <f ca="1">'base OPEX'!E88</f>
        <v>273242.04299289902</v>
      </c>
      <c r="C8" s="22">
        <f ca="1">'base OPEX'!E105</f>
        <v>955832.5</v>
      </c>
      <c r="D8" s="22">
        <f ca="1">'base OPEX'!F88</f>
        <v>208106.07157514672</v>
      </c>
      <c r="E8" s="22">
        <v>12924081</v>
      </c>
      <c r="F8" s="22">
        <v>11855535</v>
      </c>
      <c r="G8" s="22">
        <v>24779616</v>
      </c>
      <c r="H8" s="30">
        <f>+Overhead!C20</f>
        <v>1769.4859999999999</v>
      </c>
      <c r="I8" s="30">
        <f>+Overhead!D20</f>
        <v>21617.832999999999</v>
      </c>
      <c r="J8" s="30">
        <f t="shared" si="6"/>
        <v>23387.319</v>
      </c>
      <c r="K8" s="22">
        <f t="shared" si="7"/>
        <v>1059.5321336319055</v>
      </c>
      <c r="L8" s="22">
        <f t="shared" si="8"/>
        <v>1970.0129646829157</v>
      </c>
      <c r="M8" s="22"/>
      <c r="N8" s="359">
        <v>472008</v>
      </c>
      <c r="O8" s="22">
        <v>2435381.0000000005</v>
      </c>
      <c r="P8" s="22">
        <v>2907389.0000000005</v>
      </c>
      <c r="Q8" s="30">
        <f>+Underground!C20</f>
        <v>153.07999999999998</v>
      </c>
      <c r="R8" s="30">
        <f>+Underground!D20</f>
        <v>11951.59</v>
      </c>
      <c r="S8" s="30">
        <f t="shared" si="9"/>
        <v>12104.67</v>
      </c>
      <c r="T8" s="22">
        <f t="shared" si="10"/>
        <v>240.18738222520733</v>
      </c>
      <c r="U8" s="30">
        <f t="shared" si="11"/>
        <v>474.375639901287</v>
      </c>
      <c r="V8" s="315"/>
      <c r="W8" s="22">
        <v>6746346</v>
      </c>
      <c r="X8" s="22">
        <v>3053491</v>
      </c>
      <c r="Y8" s="22">
        <v>9799837</v>
      </c>
      <c r="Z8" s="17">
        <v>15121</v>
      </c>
      <c r="AA8" s="17">
        <v>9222.1629999999986</v>
      </c>
      <c r="AB8" s="30">
        <f t="shared" si="12"/>
        <v>24343.163</v>
      </c>
      <c r="AC8" s="306">
        <f>SUM('[37]5.2 Asset Age Profile'!$P$85:$DQ$91)</f>
        <v>201</v>
      </c>
      <c r="AD8" s="306">
        <f>SUM('[37]5.2 Asset Age Profile'!$P$83:$DQ$91)</f>
        <v>388</v>
      </c>
      <c r="AE8" s="307">
        <f t="shared" si="13"/>
        <v>648.09450433172412</v>
      </c>
      <c r="AF8" s="319">
        <f t="shared" si="14"/>
        <v>25257.311855670105</v>
      </c>
      <c r="AG8" s="314"/>
      <c r="AH8" s="314"/>
      <c r="AI8" s="338"/>
      <c r="AJ8" s="239"/>
      <c r="AK8" s="230"/>
      <c r="AL8" s="229"/>
      <c r="AM8" s="229"/>
      <c r="AN8" s="229"/>
      <c r="AO8" s="229"/>
      <c r="AP8" s="229"/>
      <c r="AQ8" s="229"/>
      <c r="AR8" s="229"/>
      <c r="AS8" s="229"/>
    </row>
    <row r="9" spans="1:45">
      <c r="A9" s="5" t="s">
        <v>4</v>
      </c>
      <c r="B9" s="22">
        <f ca="1">'base OPEX'!E89</f>
        <v>384682.14079713868</v>
      </c>
      <c r="C9" s="22">
        <f ca="1">'base OPEX'!E106</f>
        <v>1397191</v>
      </c>
      <c r="D9" s="22">
        <f ca="1">'base OPEX'!F89</f>
        <v>311042.84871472401</v>
      </c>
      <c r="E9" s="22">
        <v>9862244.8400000017</v>
      </c>
      <c r="F9" s="22">
        <v>21446784.129999999</v>
      </c>
      <c r="G9" s="22">
        <v>31309028.969999999</v>
      </c>
      <c r="H9" s="30">
        <f>+Overhead!C21</f>
        <v>1132.2460000000001</v>
      </c>
      <c r="I9" s="30">
        <f>+Overhead!D21</f>
        <v>33970.084000000003</v>
      </c>
      <c r="J9" s="30">
        <f t="shared" si="6"/>
        <v>35102.33</v>
      </c>
      <c r="K9" s="22">
        <f t="shared" si="7"/>
        <v>891.93591906862014</v>
      </c>
      <c r="L9" s="22">
        <f t="shared" si="8"/>
        <v>1728.1300032322717</v>
      </c>
      <c r="M9" s="22"/>
      <c r="N9" s="359">
        <v>395606.79</v>
      </c>
      <c r="O9" s="22">
        <v>3985392.73</v>
      </c>
      <c r="P9" s="22">
        <v>4380999.5199999996</v>
      </c>
      <c r="Q9" s="30">
        <f>+Underground!C21</f>
        <v>151.73699999999999</v>
      </c>
      <c r="R9" s="30">
        <f>+Underground!D21</f>
        <v>16842.974000000002</v>
      </c>
      <c r="S9" s="30">
        <f t="shared" si="9"/>
        <v>16994.711000000003</v>
      </c>
      <c r="T9" s="22">
        <f t="shared" si="10"/>
        <v>257.78605590880591</v>
      </c>
      <c r="U9" s="30">
        <f t="shared" si="11"/>
        <v>511.00957119515357</v>
      </c>
      <c r="V9" s="315"/>
      <c r="W9" s="22">
        <v>2474857.6300000008</v>
      </c>
      <c r="X9" s="22">
        <v>12262725.98</v>
      </c>
      <c r="Y9" s="22">
        <v>14737583.610000001</v>
      </c>
      <c r="Z9" s="17">
        <v>19642.899960875508</v>
      </c>
      <c r="AA9" s="17">
        <v>13708.4</v>
      </c>
      <c r="AB9" s="30">
        <f t="shared" si="12"/>
        <v>33351.299960875505</v>
      </c>
      <c r="AC9" s="306">
        <f>SUM('[38]5.2 Asset Age Profile'!$P$85:$DQ$91)</f>
        <v>154</v>
      </c>
      <c r="AD9" s="306">
        <f>SUM('[38]5.2 Asset Age Profile'!$P$83:$DQ$91)</f>
        <v>394</v>
      </c>
      <c r="AE9" s="307">
        <f t="shared" si="13"/>
        <v>750.27534831181458</v>
      </c>
      <c r="AF9" s="319">
        <f t="shared" si="14"/>
        <v>37405.034543147209</v>
      </c>
      <c r="AG9" s="314"/>
      <c r="AH9" s="314"/>
      <c r="AI9" s="338"/>
      <c r="AJ9" s="239"/>
      <c r="AK9" s="230"/>
      <c r="AL9" s="229"/>
      <c r="AM9" s="229"/>
      <c r="AN9" s="229"/>
      <c r="AO9" s="229"/>
      <c r="AP9" s="229"/>
      <c r="AQ9" s="229"/>
      <c r="AR9" s="229"/>
      <c r="AS9" s="229"/>
    </row>
    <row r="10" spans="1:45">
      <c r="A10" s="5" t="s">
        <v>5</v>
      </c>
      <c r="B10" s="22">
        <f ca="1">'base OPEX'!E90</f>
        <v>365893.45174460608</v>
      </c>
      <c r="C10" s="22">
        <f ca="1">'base OPEX'!E107</f>
        <v>728290.5</v>
      </c>
      <c r="D10" s="22">
        <f ca="1">'base OPEX'!F90</f>
        <v>244629.89107047871</v>
      </c>
      <c r="E10" s="22">
        <v>25635900</v>
      </c>
      <c r="F10" s="22">
        <v>15770172</v>
      </c>
      <c r="G10" s="22">
        <v>41406072</v>
      </c>
      <c r="H10" s="30">
        <f>+Overhead!C22</f>
        <v>11278.320088603108</v>
      </c>
      <c r="I10" s="30">
        <f>+Overhead!D22</f>
        <v>140301.60273548253</v>
      </c>
      <c r="J10" s="30">
        <f t="shared" si="6"/>
        <v>151579.92282408563</v>
      </c>
      <c r="K10" s="22">
        <f t="shared" si="7"/>
        <v>273.16330044615046</v>
      </c>
      <c r="L10" s="22">
        <f t="shared" si="8"/>
        <v>508.4921863267129</v>
      </c>
      <c r="M10" s="22"/>
      <c r="N10" s="359">
        <v>256743</v>
      </c>
      <c r="O10" s="22">
        <v>716826</v>
      </c>
      <c r="P10" s="22">
        <v>973569</v>
      </c>
      <c r="Q10" s="30">
        <f>+Underground!C22</f>
        <v>26.86389099682691</v>
      </c>
      <c r="R10" s="30">
        <f>+Underground!D22</f>
        <v>8476.6891134021571</v>
      </c>
      <c r="S10" s="30">
        <f t="shared" si="9"/>
        <v>8503.5530043989838</v>
      </c>
      <c r="T10" s="22">
        <f t="shared" si="10"/>
        <v>114.48967266933737</v>
      </c>
      <c r="U10" s="30">
        <f t="shared" si="11"/>
        <v>228.25824621196932</v>
      </c>
      <c r="V10" s="315"/>
      <c r="W10" s="22">
        <v>5194469</v>
      </c>
      <c r="X10" s="22">
        <v>9875703</v>
      </c>
      <c r="Y10" s="22">
        <v>15070172</v>
      </c>
      <c r="Z10" s="17">
        <v>9091.19</v>
      </c>
      <c r="AA10" s="17">
        <v>7500.52</v>
      </c>
      <c r="AB10" s="30">
        <f t="shared" si="12"/>
        <v>16591.71</v>
      </c>
      <c r="AC10" s="306">
        <f>SUM('[39]5.2 Asset Age Profile'!$P$85:$DQ$91)</f>
        <v>406.99999999999994</v>
      </c>
      <c r="AD10" s="306">
        <f>SUM('[39]5.2 Asset Age Profile'!$P$83:$DQ$91)</f>
        <v>428.99999999999994</v>
      </c>
      <c r="AE10" s="307">
        <f t="shared" si="13"/>
        <v>1657.6676980681295</v>
      </c>
      <c r="AF10" s="319">
        <f t="shared" si="14"/>
        <v>35128.606060606064</v>
      </c>
      <c r="AG10" s="314"/>
      <c r="AH10" s="314"/>
      <c r="AI10" s="338"/>
      <c r="AJ10" s="239"/>
      <c r="AK10" s="230"/>
      <c r="AL10" s="229"/>
      <c r="AM10" s="229"/>
      <c r="AN10" s="229"/>
      <c r="AO10" s="229"/>
      <c r="AP10" s="229"/>
      <c r="AQ10" s="229"/>
      <c r="AR10" s="229"/>
      <c r="AS10" s="229"/>
    </row>
    <row r="11" spans="1:45">
      <c r="A11" s="5" t="s">
        <v>6</v>
      </c>
      <c r="B11" s="22">
        <f ca="1">'base OPEX'!E91</f>
        <v>394603.52443787316</v>
      </c>
      <c r="C11" s="22">
        <f ca="1">'base OPEX'!E108</f>
        <v>867001</v>
      </c>
      <c r="D11" s="22">
        <f ca="1">'base OPEX'!F91</f>
        <v>289590.69476657984</v>
      </c>
      <c r="E11" s="22">
        <v>15972557.626522452</v>
      </c>
      <c r="F11" s="22">
        <v>48198411.235315785</v>
      </c>
      <c r="G11" s="22">
        <v>64170968.861838236</v>
      </c>
      <c r="H11" s="30">
        <f>+Overhead!C23</f>
        <v>9708.3719999999994</v>
      </c>
      <c r="I11" s="30">
        <f>+Overhead!D23</f>
        <v>166916.609</v>
      </c>
      <c r="J11" s="30">
        <f t="shared" si="6"/>
        <v>176624.981</v>
      </c>
      <c r="K11" s="22">
        <f t="shared" si="7"/>
        <v>363.31762641117132</v>
      </c>
      <c r="L11" s="22">
        <f t="shared" si="8"/>
        <v>688.77597948702441</v>
      </c>
      <c r="M11" s="22"/>
      <c r="N11" s="359">
        <v>0</v>
      </c>
      <c r="O11" s="22">
        <v>1012202.413858113</v>
      </c>
      <c r="P11" s="22">
        <v>1012202.413858113</v>
      </c>
      <c r="Q11" s="30">
        <f>+Underground!C23</f>
        <v>37.200000000000003</v>
      </c>
      <c r="R11" s="30">
        <f>+Underground!D23</f>
        <v>6818.5999999999995</v>
      </c>
      <c r="S11" s="30">
        <f t="shared" si="9"/>
        <v>6855.7999999999993</v>
      </c>
      <c r="T11" s="22">
        <f t="shared" si="10"/>
        <v>147.64176519999316</v>
      </c>
      <c r="U11" s="30">
        <f t="shared" si="11"/>
        <v>293.68995034327958</v>
      </c>
      <c r="V11" s="315"/>
      <c r="W11" s="22">
        <v>9383663.0502793137</v>
      </c>
      <c r="X11" s="22">
        <v>6637835.0928855427</v>
      </c>
      <c r="Y11" s="22">
        <v>16021498.143164856</v>
      </c>
      <c r="Z11" s="17">
        <v>10945.15</v>
      </c>
      <c r="AA11" s="17">
        <v>10869.79</v>
      </c>
      <c r="AB11" s="30">
        <f t="shared" si="12"/>
        <v>21814.940000000002</v>
      </c>
      <c r="AC11" s="306">
        <f>SUM('[40]5.2 Asset Age Profile'!$P$92:$DQ$98)</f>
        <v>537</v>
      </c>
      <c r="AD11" s="306">
        <f>SUM('[40]5.2 Asset Age Profile'!$P$90:$DQ$98)</f>
        <v>567</v>
      </c>
      <c r="AE11" s="307">
        <f t="shared" si="13"/>
        <v>1463.7988646263282</v>
      </c>
      <c r="AF11" s="319">
        <f t="shared" si="14"/>
        <v>28256.610481772233</v>
      </c>
      <c r="AG11" s="314"/>
      <c r="AH11" s="314"/>
      <c r="AI11" s="338"/>
      <c r="AJ11" s="239"/>
      <c r="AK11" s="230"/>
      <c r="AL11" s="229"/>
      <c r="AM11" s="229"/>
      <c r="AN11" s="229"/>
      <c r="AO11" s="229"/>
      <c r="AP11" s="229"/>
      <c r="AQ11" s="229"/>
      <c r="AR11" s="229"/>
      <c r="AS11" s="229"/>
    </row>
    <row r="12" spans="1:45">
      <c r="A12" s="5" t="s">
        <v>7</v>
      </c>
      <c r="B12" s="22">
        <f ca="1">'base OPEX'!E92</f>
        <v>73079.730390022873</v>
      </c>
      <c r="C12" s="22">
        <f ca="1">'base OPEX'!E109</f>
        <v>321417</v>
      </c>
      <c r="D12" s="22">
        <f ca="1">'base OPEX'!F92</f>
        <v>68661.264234324568</v>
      </c>
      <c r="E12" s="22">
        <v>1436726.192044274</v>
      </c>
      <c r="F12" s="22">
        <v>782669.12547796173</v>
      </c>
      <c r="G12" s="22">
        <v>2219395.3175222357</v>
      </c>
      <c r="H12" s="30">
        <f>+Overhead!C24</f>
        <v>293.41772374999999</v>
      </c>
      <c r="I12" s="30">
        <f>+Overhead!D24</f>
        <v>4159.9585499689802</v>
      </c>
      <c r="J12" s="30">
        <f t="shared" si="6"/>
        <v>4453.37627371898</v>
      </c>
      <c r="K12" s="22">
        <f t="shared" si="7"/>
        <v>498.36240665755287</v>
      </c>
      <c r="L12" s="22">
        <f t="shared" si="8"/>
        <v>935.11339177795844</v>
      </c>
      <c r="M12" s="22"/>
      <c r="N12" s="359">
        <v>63176.32</v>
      </c>
      <c r="O12" s="22">
        <v>55154.350000000006</v>
      </c>
      <c r="P12" s="22">
        <v>118330.67000000001</v>
      </c>
      <c r="Q12" s="30">
        <f>+Underground!C24</f>
        <v>13.339105</v>
      </c>
      <c r="R12" s="30">
        <f>+Underground!D24</f>
        <v>1474.9417269935966</v>
      </c>
      <c r="S12" s="30">
        <f t="shared" si="9"/>
        <v>1488.2808319935966</v>
      </c>
      <c r="T12" s="22">
        <f t="shared" si="10"/>
        <v>79.508294037149255</v>
      </c>
      <c r="U12" s="30">
        <f t="shared" si="11"/>
        <v>157.60402094408875</v>
      </c>
      <c r="V12" s="315"/>
      <c r="W12" s="22">
        <v>1181137.4510713324</v>
      </c>
      <c r="X12" s="22">
        <v>478242</v>
      </c>
      <c r="Y12" s="22">
        <v>1659379.4510713324</v>
      </c>
      <c r="Z12" s="17">
        <v>1633.3</v>
      </c>
      <c r="AA12" s="17">
        <v>2463.049</v>
      </c>
      <c r="AB12" s="30">
        <f t="shared" si="12"/>
        <v>4096.3490000000002</v>
      </c>
      <c r="AC12" s="306">
        <f>SUM('[41]5.2 Asset Age Profile'!$P$85:$DQ$91)</f>
        <v>43</v>
      </c>
      <c r="AD12" s="306">
        <f>SUM('[41]5.2 Asset Age Profile'!$P$83:$DQ$91)</f>
        <v>43</v>
      </c>
      <c r="AE12" s="307">
        <f t="shared" si="13"/>
        <v>1015.9673367240142</v>
      </c>
      <c r="AF12" s="319">
        <f t="shared" si="14"/>
        <v>38590.219792356569</v>
      </c>
      <c r="AG12" s="314"/>
      <c r="AH12" s="314"/>
      <c r="AI12" s="338"/>
      <c r="AJ12" s="239"/>
      <c r="AK12" s="230"/>
      <c r="AL12" s="229"/>
      <c r="AM12" s="229"/>
      <c r="AN12" s="229"/>
      <c r="AO12" s="229"/>
      <c r="AP12" s="229"/>
      <c r="AQ12" s="229"/>
      <c r="AR12" s="229"/>
      <c r="AS12" s="229"/>
    </row>
    <row r="13" spans="1:45">
      <c r="A13" s="5" t="s">
        <v>8</v>
      </c>
      <c r="B13" s="22">
        <f ca="1">'base OPEX'!E93</f>
        <v>190733.859</v>
      </c>
      <c r="C13" s="22">
        <f ca="1">'base OPEX'!E110</f>
        <v>777161.00874878757</v>
      </c>
      <c r="D13" s="22">
        <f ca="1">'base OPEX'!F93</f>
        <v>190733.859</v>
      </c>
      <c r="E13" s="22">
        <v>9681041.6295990869</v>
      </c>
      <c r="F13" s="22">
        <v>17612913.697575934</v>
      </c>
      <c r="G13" s="22">
        <v>27293955.327175021</v>
      </c>
      <c r="H13" s="30">
        <f>+Overhead!C25</f>
        <v>3158.4036523714585</v>
      </c>
      <c r="I13" s="30">
        <f>+Overhead!D25</f>
        <v>65355.400425907501</v>
      </c>
      <c r="J13" s="30">
        <f t="shared" si="6"/>
        <v>68513.804078278961</v>
      </c>
      <c r="K13" s="22">
        <f t="shared" si="7"/>
        <v>398.37162297966853</v>
      </c>
      <c r="L13" s="22">
        <f t="shared" si="8"/>
        <v>761.63288927132737</v>
      </c>
      <c r="M13" s="22"/>
      <c r="N13" s="359">
        <v>368600.00042710867</v>
      </c>
      <c r="O13" s="22">
        <v>42426.596832471245</v>
      </c>
      <c r="P13" s="22">
        <v>411026.59725957992</v>
      </c>
      <c r="Q13" s="30">
        <f>+Underground!C25</f>
        <v>2.7092640738164961</v>
      </c>
      <c r="R13" s="30">
        <f>+Underground!D25</f>
        <v>4331.5616450237521</v>
      </c>
      <c r="S13" s="30">
        <f t="shared" si="9"/>
        <v>4334.2709090975686</v>
      </c>
      <c r="T13" s="22">
        <f t="shared" si="10"/>
        <v>94.831773527778651</v>
      </c>
      <c r="U13" s="30">
        <f t="shared" si="11"/>
        <v>189.54506631235978</v>
      </c>
      <c r="V13" s="315"/>
      <c r="W13" s="22">
        <v>4392016.456453437</v>
      </c>
      <c r="X13" s="22">
        <v>3704317.3086446044</v>
      </c>
      <c r="Y13" s="22">
        <v>8096333.7650980409</v>
      </c>
      <c r="Z13" s="17">
        <v>3197</v>
      </c>
      <c r="AA13" s="17">
        <v>6598.3270000000002</v>
      </c>
      <c r="AB13" s="30">
        <f t="shared" si="12"/>
        <v>9795.3270000000011</v>
      </c>
      <c r="AC13" s="306">
        <f>SUM('[42]5.2 Asset Age Profile'!$P$85:$DQ$91)</f>
        <v>140</v>
      </c>
      <c r="AD13" s="306">
        <f>SUM('[42]5.2 Asset Age Profile'!$P$83:$DQ$91)</f>
        <v>140</v>
      </c>
      <c r="AE13" s="307">
        <f t="shared" si="13"/>
        <v>2532.4785001870632</v>
      </c>
      <c r="AF13" s="319">
        <f t="shared" si="14"/>
        <v>57830.955464986007</v>
      </c>
      <c r="AG13" s="314"/>
      <c r="AH13" s="339"/>
      <c r="AI13" s="338"/>
      <c r="AJ13" s="239"/>
      <c r="AK13" s="230"/>
      <c r="AL13" s="229"/>
      <c r="AM13" s="229"/>
      <c r="AN13" s="229"/>
      <c r="AO13" s="229"/>
      <c r="AP13" s="229"/>
      <c r="AQ13" s="229"/>
      <c r="AR13" s="229"/>
      <c r="AS13" s="229"/>
    </row>
    <row r="14" spans="1:45">
      <c r="A14" s="5" t="s">
        <v>9</v>
      </c>
      <c r="B14" s="22">
        <f ca="1">'base OPEX'!E94</f>
        <v>248377.48688966606</v>
      </c>
      <c r="C14" s="22">
        <f ca="1">'base OPEX'!E111</f>
        <v>853939</v>
      </c>
      <c r="D14" s="22">
        <f ca="1">'base OPEX'!F94</f>
        <v>248377.48688966606</v>
      </c>
      <c r="E14" s="22">
        <v>12979078</v>
      </c>
      <c r="F14" s="22">
        <v>981878</v>
      </c>
      <c r="G14" s="22">
        <v>13960956</v>
      </c>
      <c r="H14" s="30">
        <f>+Overhead!C26</f>
        <v>1415.2460266288888</v>
      </c>
      <c r="I14" s="30">
        <f>+Overhead!D26</f>
        <v>69702.631451772861</v>
      </c>
      <c r="J14" s="30">
        <f t="shared" si="6"/>
        <v>71117.877478401744</v>
      </c>
      <c r="K14" s="22">
        <f t="shared" si="7"/>
        <v>196.30726471329089</v>
      </c>
      <c r="L14" s="22">
        <f t="shared" si="8"/>
        <v>384.95394449769469</v>
      </c>
      <c r="M14" s="22"/>
      <c r="N14" s="359">
        <v>271474</v>
      </c>
      <c r="O14" s="22">
        <v>499489</v>
      </c>
      <c r="P14" s="22">
        <v>770963</v>
      </c>
      <c r="Q14" s="30">
        <f>+Underground!C26</f>
        <v>42.465529608888886</v>
      </c>
      <c r="R14" s="30">
        <f>+Underground!D26</f>
        <v>15574.995793977952</v>
      </c>
      <c r="S14" s="30">
        <f t="shared" si="9"/>
        <v>15617.461323586842</v>
      </c>
      <c r="T14" s="22">
        <f t="shared" si="10"/>
        <v>49.365449609638219</v>
      </c>
      <c r="U14" s="30">
        <f t="shared" si="11"/>
        <v>98.463167449938524</v>
      </c>
      <c r="V14" s="315"/>
      <c r="W14" s="22">
        <v>2725740</v>
      </c>
      <c r="X14" s="22">
        <v>2668141</v>
      </c>
      <c r="Y14" s="22">
        <v>5393881</v>
      </c>
      <c r="Z14" s="17">
        <v>5559.6900000000014</v>
      </c>
      <c r="AA14" s="17">
        <v>8498.0999999999985</v>
      </c>
      <c r="AB14" s="30">
        <f t="shared" si="12"/>
        <v>14057.79</v>
      </c>
      <c r="AC14" s="306">
        <f>SUM('[43]5.2 Asset Age Profile'!$P$92:$DQ$98)</f>
        <v>238</v>
      </c>
      <c r="AD14" s="306">
        <f>SUM('[43]5.2 Asset Age Profile'!$P$90:$DQ$98)</f>
        <v>241</v>
      </c>
      <c r="AE14" s="307">
        <f t="shared" si="13"/>
        <v>970.17657459318752</v>
      </c>
      <c r="AF14" s="319">
        <f t="shared" si="14"/>
        <v>22381.248962655602</v>
      </c>
      <c r="AG14" s="314"/>
      <c r="AH14" s="339"/>
      <c r="AI14" s="338"/>
      <c r="AJ14" s="239"/>
      <c r="AK14" s="230"/>
      <c r="AL14" s="229"/>
      <c r="AM14" s="229"/>
      <c r="AN14" s="229"/>
      <c r="AO14" s="229"/>
      <c r="AP14" s="229"/>
      <c r="AQ14" s="229"/>
      <c r="AR14" s="229"/>
      <c r="AS14" s="229"/>
    </row>
    <row r="15" spans="1:45">
      <c r="A15" s="5" t="s">
        <v>10</v>
      </c>
      <c r="B15" s="22">
        <f ca="1">'base OPEX'!E95</f>
        <v>206141.48558197235</v>
      </c>
      <c r="C15" s="22">
        <f ca="1">'base OPEX'!E112</f>
        <v>706424</v>
      </c>
      <c r="D15" s="22">
        <f ca="1">'base OPEX'!F95</f>
        <v>206141.48558197235</v>
      </c>
      <c r="E15" s="22">
        <v>10981573.389214089</v>
      </c>
      <c r="F15" s="22">
        <v>6770236.2755657993</v>
      </c>
      <c r="G15" s="22">
        <v>17751809.664779887</v>
      </c>
      <c r="H15" s="30">
        <f>+Overhead!C27</f>
        <v>2386.9938749999997</v>
      </c>
      <c r="I15" s="30">
        <f>+Overhead!D27</f>
        <v>35651.254499999995</v>
      </c>
      <c r="J15" s="30">
        <f t="shared" si="6"/>
        <v>38038.248374999996</v>
      </c>
      <c r="K15" s="22">
        <f t="shared" si="7"/>
        <v>466.68315243577217</v>
      </c>
      <c r="L15" s="22">
        <f t="shared" si="8"/>
        <v>878.2537185552618</v>
      </c>
      <c r="M15" s="22"/>
      <c r="N15" s="359">
        <v>0</v>
      </c>
      <c r="O15" s="22">
        <v>730779.18773042376</v>
      </c>
      <c r="P15" s="22">
        <v>730779.18773042376</v>
      </c>
      <c r="Q15" s="30">
        <f>+Underground!C27</f>
        <v>4.7341250000000006</v>
      </c>
      <c r="R15" s="30">
        <f>+Underground!D27</f>
        <v>4691.0227500000001</v>
      </c>
      <c r="S15" s="30">
        <f t="shared" si="9"/>
        <v>4695.756875</v>
      </c>
      <c r="T15" s="22">
        <f t="shared" si="10"/>
        <v>155.62543103989466</v>
      </c>
      <c r="U15" s="30">
        <f t="shared" si="11"/>
        <v>310.93738408622579</v>
      </c>
      <c r="V15" s="315"/>
      <c r="W15" s="22">
        <v>2285315.5057374202</v>
      </c>
      <c r="X15" s="22">
        <v>806561.91361078608</v>
      </c>
      <c r="Y15" s="22">
        <v>3091877.4193482064</v>
      </c>
      <c r="Z15" s="17">
        <v>3334.75</v>
      </c>
      <c r="AA15" s="17">
        <v>5881.4059999999999</v>
      </c>
      <c r="AB15" s="30">
        <f t="shared" si="12"/>
        <v>9216.155999999999</v>
      </c>
      <c r="AC15" s="306">
        <f>SUM('[44]5.2 Asset Age Profile'!$P$85:$DQ$91)</f>
        <v>132.60000000000002</v>
      </c>
      <c r="AD15" s="306">
        <f>SUM('[44]5.2 Asset Age Profile'!$P$83:$DQ$91)</f>
        <v>132.60000000000002</v>
      </c>
      <c r="AE15" s="307">
        <f t="shared" si="13"/>
        <v>927.16917890342791</v>
      </c>
      <c r="AF15" s="319">
        <f t="shared" si="14"/>
        <v>23317.325937769274</v>
      </c>
      <c r="AG15" s="314"/>
      <c r="AH15" s="339"/>
      <c r="AI15" s="338"/>
      <c r="AJ15" s="239"/>
      <c r="AK15" s="230"/>
      <c r="AL15" s="229"/>
      <c r="AM15" s="229"/>
      <c r="AN15" s="229"/>
      <c r="AO15" s="229"/>
      <c r="AP15" s="229"/>
      <c r="AQ15" s="229"/>
      <c r="AR15" s="229"/>
      <c r="AS15" s="229"/>
    </row>
    <row r="16" spans="1:45">
      <c r="A16" s="5" t="s">
        <v>11</v>
      </c>
      <c r="B16" s="22">
        <f ca="1">'base OPEX'!E96</f>
        <v>64629.211732935008</v>
      </c>
      <c r="C16" s="22">
        <f ca="1">'base OPEX'!E113</f>
        <v>283059</v>
      </c>
      <c r="D16" s="22">
        <f ca="1">'base OPEX'!F96</f>
        <v>62683.513987646656</v>
      </c>
      <c r="E16" s="22">
        <v>3472637.4444262665</v>
      </c>
      <c r="F16" s="22">
        <v>3944102.670497885</v>
      </c>
      <c r="G16" s="22">
        <v>7416740.1149241515</v>
      </c>
      <c r="H16" s="30">
        <f>+Overhead!C28</f>
        <v>46.6</v>
      </c>
      <c r="I16" s="30">
        <f>+Overhead!D28</f>
        <v>20016.5</v>
      </c>
      <c r="J16" s="30">
        <f t="shared" si="6"/>
        <v>20063.099999999999</v>
      </c>
      <c r="K16" s="22">
        <f t="shared" si="7"/>
        <v>369.67069470441515</v>
      </c>
      <c r="L16" s="22">
        <f t="shared" si="8"/>
        <v>737.62812124737331</v>
      </c>
      <c r="M16" s="22"/>
      <c r="N16" s="359">
        <v>89045.756653171324</v>
      </c>
      <c r="O16" s="22">
        <v>276552.57661178842</v>
      </c>
      <c r="P16" s="22">
        <v>365598.33326495974</v>
      </c>
      <c r="Q16" s="30">
        <f>+Underground!C28</f>
        <v>0</v>
      </c>
      <c r="R16" s="30">
        <f>+Underground!D28</f>
        <v>2432.1180000000004</v>
      </c>
      <c r="S16" s="30">
        <f t="shared" si="9"/>
        <v>2432.1180000000004</v>
      </c>
      <c r="T16" s="22">
        <f t="shared" si="10"/>
        <v>150.32096849945589</v>
      </c>
      <c r="U16" s="30">
        <f t="shared" si="11"/>
        <v>300.64193699891177</v>
      </c>
      <c r="V16" s="315"/>
      <c r="W16" s="22">
        <v>424551.09528274182</v>
      </c>
      <c r="X16" s="22">
        <v>28905.777287841145</v>
      </c>
      <c r="Y16" s="22">
        <v>453456.87257058296</v>
      </c>
      <c r="Z16" s="17">
        <v>675</v>
      </c>
      <c r="AA16" s="17">
        <v>3445.922</v>
      </c>
      <c r="AB16" s="30">
        <f t="shared" si="12"/>
        <v>4120.9220000000005</v>
      </c>
      <c r="AC16" s="306">
        <f>SUM('[45]5.2 Asset Age Profile'!$Q$85:$DQ$91)</f>
        <v>0</v>
      </c>
      <c r="AD16" s="306">
        <f>SUM('[45]5.2 Asset Age Profile'!$Q$83:$DQ$91)</f>
        <v>0</v>
      </c>
      <c r="AE16" s="307">
        <f t="shared" si="13"/>
        <v>671.78795936382664</v>
      </c>
      <c r="AF16" s="319"/>
      <c r="AG16" s="314"/>
      <c r="AH16" s="314"/>
      <c r="AI16" s="338"/>
      <c r="AJ16" s="239"/>
      <c r="AK16" s="230"/>
      <c r="AL16" s="229"/>
      <c r="AM16" s="229"/>
      <c r="AN16" s="229"/>
      <c r="AO16" s="229"/>
      <c r="AP16" s="229"/>
      <c r="AQ16" s="229"/>
      <c r="AR16" s="229"/>
      <c r="AS16" s="229"/>
    </row>
    <row r="17" spans="1:72">
      <c r="A17" s="5" t="s">
        <v>12</v>
      </c>
      <c r="B17" s="22">
        <f ca="1">'base OPEX'!E97</f>
        <v>117721.494565381</v>
      </c>
      <c r="C17" s="22">
        <f ca="1">'base OPEX'!E114</f>
        <v>664549</v>
      </c>
      <c r="D17" s="22">
        <f ca="1">'base OPEX'!F97</f>
        <v>117721.494565381</v>
      </c>
      <c r="E17" s="22">
        <v>1640552.4898658039</v>
      </c>
      <c r="F17" s="22">
        <v>5245456.6845376007</v>
      </c>
      <c r="G17" s="22">
        <v>6886009.1744034048</v>
      </c>
      <c r="H17" s="30">
        <f>+Overhead!C29</f>
        <v>634.67500000000007</v>
      </c>
      <c r="I17" s="30">
        <f>+Overhead!D29</f>
        <v>9513.1875</v>
      </c>
      <c r="J17" s="30">
        <f t="shared" si="6"/>
        <v>10147.862499999999</v>
      </c>
      <c r="K17" s="22">
        <f t="shared" si="7"/>
        <v>678.5674494903144</v>
      </c>
      <c r="L17" s="22">
        <f t="shared" si="8"/>
        <v>1277.2520706565415</v>
      </c>
      <c r="M17" s="22"/>
      <c r="N17" s="359">
        <v>131461.41259073399</v>
      </c>
      <c r="O17" s="22">
        <v>1314317.4546866901</v>
      </c>
      <c r="P17" s="22">
        <v>1445778.8672774241</v>
      </c>
      <c r="Q17" s="30">
        <f>+Underground!C29</f>
        <v>3.9750000000000001</v>
      </c>
      <c r="R17" s="30">
        <f>+Underground!D29</f>
        <v>2473.4875000000002</v>
      </c>
      <c r="S17" s="30">
        <f t="shared" si="9"/>
        <v>2477.4625000000001</v>
      </c>
      <c r="T17" s="22">
        <f t="shared" si="10"/>
        <v>583.57245257089619</v>
      </c>
      <c r="U17" s="30">
        <f t="shared" si="11"/>
        <v>1165.275262647094</v>
      </c>
      <c r="V17" s="315"/>
      <c r="W17" s="22">
        <v>1815405.5945725208</v>
      </c>
      <c r="X17" s="22">
        <v>610690.995660263</v>
      </c>
      <c r="Y17" s="22">
        <v>2426096.5902327839</v>
      </c>
      <c r="Z17" s="17">
        <v>3258</v>
      </c>
      <c r="AA17" s="17">
        <v>4619</v>
      </c>
      <c r="AB17" s="30">
        <f t="shared" si="12"/>
        <v>7877</v>
      </c>
      <c r="AC17" s="306">
        <f>SUM('[46]5.2 Asset Age Profile'!$P$85:$DQ$91)</f>
        <v>104</v>
      </c>
      <c r="AD17" s="306">
        <f>SUM('[46]5.2 Asset Age Profile'!$Q$83:$DQ$91)</f>
        <v>104</v>
      </c>
      <c r="AE17" s="307">
        <f t="shared" si="13"/>
        <v>744.65825360122278</v>
      </c>
      <c r="AF17" s="319">
        <f t="shared" si="14"/>
        <v>23327.851829161384</v>
      </c>
      <c r="AG17" s="314"/>
      <c r="AH17" s="339"/>
      <c r="AI17" s="338"/>
      <c r="AJ17" s="239"/>
      <c r="AK17" s="230"/>
      <c r="AL17" s="229"/>
      <c r="AM17" s="229"/>
      <c r="AN17" s="229"/>
      <c r="AO17" s="229"/>
      <c r="AP17" s="229"/>
      <c r="AQ17" s="229"/>
      <c r="AR17" s="229"/>
      <c r="AS17" s="229"/>
    </row>
    <row r="18" spans="1:72" s="163" customFormat="1">
      <c r="A18" s="211"/>
      <c r="B18" s="211"/>
      <c r="C18" s="211"/>
      <c r="D18" s="211"/>
      <c r="E18" s="211"/>
      <c r="F18" s="211"/>
      <c r="G18" s="211"/>
      <c r="H18" s="212"/>
      <c r="I18" s="212"/>
      <c r="J18" s="212"/>
      <c r="K18" s="211"/>
      <c r="L18" s="211"/>
      <c r="M18" s="211"/>
      <c r="N18" s="211"/>
      <c r="O18" s="211"/>
      <c r="P18" s="211"/>
      <c r="Q18" s="212"/>
      <c r="R18" s="212"/>
      <c r="S18" s="212"/>
      <c r="T18" s="211"/>
      <c r="U18" s="242"/>
      <c r="V18" s="242"/>
      <c r="W18" s="242"/>
      <c r="X18" s="213"/>
      <c r="Y18" s="213"/>
      <c r="Z18" s="214"/>
      <c r="AA18" s="214"/>
      <c r="AB18" s="212"/>
      <c r="AC18" s="212"/>
      <c r="AD18" s="212"/>
      <c r="AE18" s="239"/>
      <c r="AF18" s="323"/>
      <c r="AG18" s="239"/>
      <c r="AH18" s="239"/>
      <c r="AI18" s="3"/>
      <c r="AJ18" s="239"/>
      <c r="AK18" s="230"/>
      <c r="AL18" s="229"/>
      <c r="AM18" s="229"/>
      <c r="AN18" s="229"/>
      <c r="AO18" s="229"/>
      <c r="AP18" s="229"/>
      <c r="AQ18" s="229"/>
      <c r="AR18" s="229"/>
      <c r="AS18" s="229"/>
    </row>
    <row r="19" spans="1:72" s="230" customFormat="1" ht="45">
      <c r="A19" s="340"/>
      <c r="B19" s="340"/>
      <c r="C19" s="340"/>
      <c r="D19" s="340"/>
      <c r="E19" s="340"/>
      <c r="F19" s="340"/>
      <c r="G19" s="340"/>
      <c r="H19" s="341"/>
      <c r="I19" s="341"/>
      <c r="J19" s="341"/>
      <c r="K19" s="340"/>
      <c r="L19" s="340" t="s">
        <v>406</v>
      </c>
      <c r="M19" s="340"/>
      <c r="N19" s="340"/>
      <c r="O19" s="340"/>
      <c r="P19" s="340"/>
      <c r="Q19" s="341"/>
      <c r="R19" s="341"/>
      <c r="S19" s="341"/>
      <c r="T19" s="340"/>
      <c r="U19" s="340" t="s">
        <v>406</v>
      </c>
      <c r="V19" s="340"/>
      <c r="W19" s="340"/>
      <c r="X19" s="342"/>
      <c r="Y19" s="342"/>
      <c r="Z19" s="343"/>
      <c r="AA19" s="343"/>
      <c r="AB19" s="341"/>
      <c r="AC19" s="341"/>
      <c r="AD19" s="341"/>
      <c r="AE19" s="340" t="s">
        <v>406</v>
      </c>
      <c r="AF19" s="340" t="s">
        <v>406</v>
      </c>
      <c r="AG19" s="239"/>
      <c r="AH19" s="239"/>
      <c r="AI19" s="239"/>
      <c r="AJ19" s="239"/>
    </row>
    <row r="20" spans="1:72" s="163" customFormat="1">
      <c r="A20" s="211"/>
      <c r="B20" s="211"/>
      <c r="C20" s="211"/>
      <c r="D20" s="211"/>
      <c r="E20" s="211"/>
      <c r="F20" s="211"/>
      <c r="G20" s="211"/>
      <c r="H20" s="212"/>
      <c r="I20" s="212"/>
      <c r="J20" s="212"/>
      <c r="K20" s="320"/>
      <c r="L20" s="323">
        <f>+AVERAGE(L5:L17)</f>
        <v>1460.1415051022809</v>
      </c>
      <c r="M20" s="211"/>
      <c r="N20" s="211"/>
      <c r="O20" s="211"/>
      <c r="P20" s="211"/>
      <c r="Q20" s="212"/>
      <c r="R20" s="212"/>
      <c r="S20" s="212"/>
      <c r="T20" s="320"/>
      <c r="U20" s="323">
        <f>+AVERAGE(U5:U17)</f>
        <v>417.47661671323698</v>
      </c>
      <c r="V20" s="229"/>
      <c r="W20" s="323"/>
      <c r="X20" s="213"/>
      <c r="Y20" s="213"/>
      <c r="Z20" s="214"/>
      <c r="AA20" s="214"/>
      <c r="AB20" s="212"/>
      <c r="AC20" s="212"/>
      <c r="AD20" s="212"/>
      <c r="AE20" s="320">
        <f>AVERAGE(AE5:AE18)</f>
        <v>1226.2261122379919</v>
      </c>
      <c r="AF20" s="320">
        <f>AVERAGE(AF5:AF18)</f>
        <v>39625.792040340872</v>
      </c>
      <c r="AG20" s="323"/>
      <c r="AH20" s="239"/>
      <c r="AI20" s="3"/>
      <c r="AJ20" s="239"/>
      <c r="AK20" s="230"/>
      <c r="AL20" s="229"/>
      <c r="AM20" s="229"/>
      <c r="AN20" s="229"/>
      <c r="AO20" s="229"/>
      <c r="AP20" s="229"/>
      <c r="AQ20" s="229"/>
      <c r="AR20" s="229"/>
      <c r="AS20" s="229"/>
    </row>
    <row r="21" spans="1:72">
      <c r="A21" s="242"/>
      <c r="B21" s="242"/>
      <c r="C21" s="242"/>
      <c r="D21" s="11"/>
      <c r="G21" s="3"/>
      <c r="H21" s="229"/>
      <c r="I21" s="229"/>
      <c r="J21" s="229"/>
      <c r="K21" s="320"/>
      <c r="L21" s="320">
        <f>3*L20</f>
        <v>4380.4245153068423</v>
      </c>
      <c r="M21" s="229"/>
      <c r="N21" s="229"/>
      <c r="O21" s="229"/>
      <c r="P21" s="229"/>
      <c r="Q21" s="229"/>
      <c r="R21" s="16"/>
      <c r="S21" s="229"/>
      <c r="T21" s="320"/>
      <c r="U21" s="320">
        <f>3*U20</f>
        <v>1252.4298501397109</v>
      </c>
      <c r="W21" s="320"/>
      <c r="X21" s="229"/>
      <c r="Y21" s="229"/>
      <c r="Z21" s="229"/>
      <c r="AA21" s="229"/>
      <c r="AB21" s="229"/>
      <c r="AE21" s="320">
        <f>3*AE20</f>
        <v>3678.6783367139756</v>
      </c>
      <c r="AF21" s="320">
        <f>3*AF20</f>
        <v>118877.37612102262</v>
      </c>
      <c r="AG21" s="320"/>
      <c r="AH21" s="239"/>
      <c r="AI21" s="3"/>
      <c r="AJ21" s="239"/>
      <c r="AK21" s="230"/>
      <c r="AL21" s="229"/>
      <c r="AM21" s="229"/>
      <c r="AN21" s="229"/>
      <c r="AO21" s="229"/>
      <c r="AP21" s="229"/>
      <c r="AQ21" s="229"/>
      <c r="AR21" s="229"/>
      <c r="AS21" s="229"/>
    </row>
    <row r="22" spans="1:72">
      <c r="A22" s="242"/>
      <c r="B22" s="242"/>
      <c r="C22" s="242"/>
      <c r="K22" s="320"/>
      <c r="L22" s="320">
        <f>0.3*L20</f>
        <v>438.04245153068427</v>
      </c>
      <c r="Q22" s="16"/>
      <c r="T22" s="320"/>
      <c r="U22" s="320">
        <f>0.3*U20</f>
        <v>125.24298501397109</v>
      </c>
      <c r="W22" s="320"/>
      <c r="AE22" s="320">
        <f>0.3*AE20</f>
        <v>367.86783367139753</v>
      </c>
      <c r="AF22" s="320">
        <f>0.3*AF20</f>
        <v>11887.737612102261</v>
      </c>
      <c r="AG22" s="320"/>
      <c r="AH22" s="239"/>
      <c r="AI22" s="229"/>
      <c r="AJ22" s="230"/>
      <c r="AK22" s="230"/>
      <c r="AL22" s="229"/>
      <c r="AM22" s="229"/>
      <c r="AN22" s="229"/>
      <c r="AO22" s="229"/>
      <c r="AP22" s="229"/>
      <c r="AQ22" s="229"/>
      <c r="AR22" s="229"/>
      <c r="AS22" s="229"/>
    </row>
    <row r="23" spans="1:72">
      <c r="A23" s="242"/>
      <c r="B23" s="242"/>
      <c r="C23" s="242"/>
      <c r="K23" s="320"/>
      <c r="L23" s="320"/>
      <c r="T23" s="320"/>
      <c r="U23" s="320"/>
      <c r="W23" s="320"/>
      <c r="AE23" s="320"/>
      <c r="AF23" s="320"/>
      <c r="AG23" s="320"/>
      <c r="AH23" s="239"/>
      <c r="AI23" s="229"/>
      <c r="AJ23" s="230"/>
      <c r="AK23" s="230"/>
      <c r="AL23" s="229"/>
      <c r="AM23" s="229"/>
      <c r="AN23" s="229"/>
      <c r="AO23" s="229"/>
      <c r="AP23" s="229"/>
      <c r="AQ23" s="229"/>
      <c r="AR23" s="229"/>
      <c r="AS23" s="229"/>
    </row>
    <row r="24" spans="1:72">
      <c r="K24" s="149"/>
      <c r="L24" s="149"/>
      <c r="T24" s="149"/>
      <c r="U24" s="149"/>
      <c r="W24" s="149"/>
      <c r="AE24" s="149"/>
      <c r="AF24" s="149"/>
      <c r="AG24" s="149"/>
      <c r="AH24" s="239"/>
      <c r="AI24" s="229"/>
      <c r="AJ24" s="230"/>
      <c r="AK24" s="230"/>
      <c r="AL24" s="229"/>
      <c r="AM24" s="229"/>
      <c r="AR24" s="229"/>
      <c r="AS24" s="229"/>
      <c r="AT24" s="229"/>
      <c r="AU24" s="229"/>
    </row>
    <row r="25" spans="1:72">
      <c r="K25" s="324"/>
      <c r="L25" s="324"/>
      <c r="T25" s="324"/>
      <c r="U25" s="324"/>
      <c r="W25" s="324"/>
      <c r="AE25" s="324"/>
      <c r="AF25" s="324"/>
      <c r="AG25" s="324"/>
      <c r="AH25" s="239"/>
      <c r="AI25" s="229"/>
      <c r="AJ25" s="230"/>
      <c r="AK25" s="230"/>
      <c r="AL25" s="229"/>
      <c r="AM25" s="229"/>
      <c r="AR25" s="229"/>
      <c r="AS25" s="229"/>
      <c r="AT25" s="229"/>
      <c r="AU25" s="229"/>
    </row>
    <row r="26" spans="1:72">
      <c r="C26" s="229"/>
      <c r="D26" s="229"/>
      <c r="E26" s="229"/>
      <c r="F26" s="229"/>
      <c r="G26" s="229"/>
      <c r="H26" s="229"/>
      <c r="I26" s="229"/>
      <c r="J26" s="229"/>
      <c r="K26" s="229"/>
      <c r="L26" s="229"/>
      <c r="M26" s="229"/>
      <c r="P26" s="163"/>
      <c r="Q26" s="163"/>
      <c r="R26" s="163"/>
      <c r="AE26" s="229"/>
      <c r="AF26" s="239"/>
      <c r="AG26" s="239"/>
      <c r="AH26" s="239"/>
      <c r="AI26" s="229"/>
      <c r="AJ26" s="229"/>
      <c r="AK26" s="229"/>
      <c r="AL26" s="229"/>
      <c r="AM26" s="229"/>
      <c r="AR26" s="229"/>
      <c r="AS26" s="229"/>
      <c r="AT26" s="229"/>
      <c r="AU26" s="229"/>
    </row>
    <row r="27" spans="1:72">
      <c r="C27" s="237"/>
      <c r="D27" s="237"/>
      <c r="E27" s="237"/>
      <c r="F27" s="237"/>
      <c r="G27" s="237"/>
      <c r="H27" s="237"/>
      <c r="I27" s="237"/>
      <c r="J27" s="237"/>
      <c r="K27" s="237"/>
      <c r="L27" s="237"/>
      <c r="M27" s="237"/>
      <c r="N27" s="148"/>
      <c r="O27" s="148"/>
      <c r="P27" s="15"/>
      <c r="Q27" s="15"/>
      <c r="R27" s="15"/>
      <c r="AA27" s="229"/>
      <c r="AR27" s="229"/>
      <c r="AS27" s="229"/>
      <c r="AT27" s="229"/>
      <c r="AU27" s="229"/>
    </row>
    <row r="28" spans="1:72">
      <c r="C28" s="237"/>
      <c r="D28" s="237"/>
      <c r="E28" s="237"/>
      <c r="F28" s="237"/>
      <c r="G28" s="237"/>
      <c r="H28" s="237"/>
      <c r="I28" s="237"/>
      <c r="J28" s="237"/>
      <c r="K28" s="237"/>
      <c r="L28" s="237"/>
      <c r="M28" s="237"/>
      <c r="N28" s="148"/>
      <c r="O28" s="148"/>
      <c r="P28" s="15"/>
      <c r="Q28" s="15"/>
      <c r="R28" s="15"/>
      <c r="AA28" s="229"/>
      <c r="AB28" s="151"/>
      <c r="AC28" s="151"/>
      <c r="AD28" s="151"/>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row>
    <row r="29" spans="1:72">
      <c r="C29" s="237"/>
      <c r="D29" s="237"/>
      <c r="E29" s="237"/>
      <c r="F29" s="237"/>
      <c r="G29" s="237"/>
      <c r="H29" s="237"/>
      <c r="I29" s="237"/>
      <c r="J29" s="237"/>
      <c r="K29" s="237"/>
      <c r="L29" s="237"/>
      <c r="M29" s="237"/>
      <c r="N29" s="148"/>
      <c r="O29" s="148"/>
      <c r="P29" s="15"/>
      <c r="Q29" s="15"/>
      <c r="R29" s="15"/>
      <c r="AA29" s="229"/>
      <c r="AB29" s="151"/>
      <c r="AC29" s="151"/>
      <c r="AD29" s="151"/>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row>
    <row r="30" spans="1:72">
      <c r="C30" s="237"/>
      <c r="D30" s="237"/>
      <c r="E30" s="237"/>
      <c r="F30" s="237"/>
      <c r="G30" s="237"/>
      <c r="H30" s="237"/>
      <c r="I30" s="237"/>
      <c r="J30" s="237"/>
      <c r="K30" s="237"/>
      <c r="L30" s="237"/>
      <c r="M30" s="237"/>
      <c r="N30" s="148"/>
      <c r="O30" s="148"/>
      <c r="P30" s="15"/>
      <c r="Q30" s="15"/>
      <c r="R30" s="15"/>
      <c r="AA30" s="229"/>
      <c r="AB30" s="151"/>
      <c r="AC30" s="151"/>
      <c r="AD30" s="151"/>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row>
    <row r="31" spans="1:72">
      <c r="C31" s="237"/>
      <c r="D31" s="237"/>
      <c r="E31" s="237"/>
      <c r="F31" s="237"/>
      <c r="G31" s="237"/>
      <c r="H31" s="237"/>
      <c r="I31" s="237"/>
      <c r="J31" s="237"/>
      <c r="K31" s="237"/>
      <c r="L31" s="237"/>
      <c r="M31" s="237"/>
      <c r="N31" s="148"/>
      <c r="O31" s="148"/>
      <c r="P31" s="15"/>
      <c r="Q31" s="15"/>
      <c r="R31" s="15"/>
      <c r="AA31" s="229"/>
      <c r="AB31" s="151"/>
      <c r="AC31" s="151"/>
      <c r="AD31" s="151"/>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row>
    <row r="32" spans="1:72">
      <c r="C32" s="237"/>
      <c r="D32" s="237"/>
      <c r="E32" s="237"/>
      <c r="F32" s="237"/>
      <c r="G32" s="237"/>
      <c r="H32" s="237"/>
      <c r="I32" s="237"/>
      <c r="J32" s="237"/>
      <c r="K32" s="237"/>
      <c r="L32" s="237"/>
      <c r="M32" s="237"/>
      <c r="N32" s="148"/>
      <c r="O32" s="148"/>
      <c r="P32" s="15"/>
      <c r="Q32" s="15"/>
      <c r="R32" s="15"/>
      <c r="AA32" s="229"/>
      <c r="AB32" s="151"/>
      <c r="AC32" s="151"/>
      <c r="AD32" s="151"/>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row>
    <row r="33" spans="3:72">
      <c r="C33" s="237"/>
      <c r="D33" s="237"/>
      <c r="E33" s="237"/>
      <c r="F33" s="237"/>
      <c r="G33" s="237"/>
      <c r="H33" s="237"/>
      <c r="I33" s="237"/>
      <c r="J33" s="237"/>
      <c r="K33" s="237"/>
      <c r="L33" s="237"/>
      <c r="M33" s="237"/>
      <c r="N33" s="148"/>
      <c r="O33" s="148"/>
      <c r="P33" s="15"/>
      <c r="Q33" s="15"/>
      <c r="R33" s="15"/>
      <c r="AA33" s="229"/>
      <c r="AB33" s="151"/>
      <c r="AC33" s="151"/>
      <c r="AD33" s="151"/>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row>
    <row r="34" spans="3:72">
      <c r="C34" s="237"/>
      <c r="D34" s="237"/>
      <c r="E34" s="237"/>
      <c r="F34" s="237"/>
      <c r="G34" s="237"/>
      <c r="H34" s="237"/>
      <c r="I34" s="237"/>
      <c r="J34" s="237"/>
      <c r="K34" s="237"/>
      <c r="L34" s="237"/>
      <c r="M34" s="237"/>
      <c r="N34" s="148"/>
      <c r="O34" s="148"/>
      <c r="P34" s="15"/>
      <c r="Q34" s="15"/>
      <c r="R34" s="15"/>
      <c r="AA34" s="229"/>
      <c r="AB34" s="151"/>
      <c r="AC34" s="151"/>
      <c r="AD34" s="151"/>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row>
    <row r="35" spans="3:72">
      <c r="C35" s="237"/>
      <c r="D35" s="237"/>
      <c r="E35" s="237"/>
      <c r="F35" s="237"/>
      <c r="G35" s="237"/>
      <c r="H35" s="237"/>
      <c r="I35" s="237"/>
      <c r="J35" s="237"/>
      <c r="K35" s="237"/>
      <c r="L35" s="237"/>
      <c r="M35" s="237"/>
      <c r="N35" s="148"/>
      <c r="O35" s="148"/>
      <c r="P35" s="15"/>
      <c r="Q35" s="15"/>
      <c r="R35" s="15"/>
      <c r="AA35" s="229"/>
      <c r="AB35" s="151"/>
      <c r="AC35" s="151"/>
      <c r="AD35" s="151"/>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row>
    <row r="36" spans="3:72">
      <c r="C36" s="237"/>
      <c r="D36" s="237"/>
      <c r="E36" s="237"/>
      <c r="F36" s="237"/>
      <c r="G36" s="237"/>
      <c r="H36" s="237"/>
      <c r="I36" s="237"/>
      <c r="J36" s="237"/>
      <c r="K36" s="237"/>
      <c r="L36" s="237"/>
      <c r="M36" s="237"/>
      <c r="N36" s="148"/>
      <c r="O36" s="148"/>
      <c r="P36" s="15"/>
      <c r="Q36" s="15"/>
      <c r="R36" s="15"/>
      <c r="AA36" s="229"/>
      <c r="AB36" s="151"/>
      <c r="AC36" s="151"/>
      <c r="AD36" s="151"/>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row>
    <row r="37" spans="3:72">
      <c r="C37" s="237"/>
      <c r="D37" s="237"/>
      <c r="E37" s="237"/>
      <c r="F37" s="237"/>
      <c r="G37" s="237"/>
      <c r="H37" s="237"/>
      <c r="I37" s="237"/>
      <c r="J37" s="237"/>
      <c r="K37" s="237"/>
      <c r="L37" s="237"/>
      <c r="M37" s="237"/>
      <c r="N37" s="148"/>
      <c r="O37" s="148"/>
      <c r="P37" s="15"/>
      <c r="Q37" s="15"/>
      <c r="R37" s="15"/>
      <c r="AA37" s="229"/>
      <c r="AB37" s="151"/>
      <c r="AC37" s="151"/>
      <c r="AD37" s="151"/>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row>
    <row r="38" spans="3:72">
      <c r="C38" s="237"/>
      <c r="D38" s="237"/>
      <c r="E38" s="237"/>
      <c r="F38" s="237"/>
      <c r="G38" s="237"/>
      <c r="H38" s="237"/>
      <c r="I38" s="237"/>
      <c r="J38" s="237"/>
      <c r="K38" s="237"/>
      <c r="L38" s="237"/>
      <c r="M38" s="237"/>
      <c r="N38" s="148"/>
      <c r="O38" s="148"/>
      <c r="P38" s="15"/>
      <c r="Q38" s="15"/>
      <c r="R38" s="15"/>
      <c r="AA38" s="229"/>
      <c r="AB38" s="151"/>
      <c r="AC38" s="151"/>
      <c r="AD38" s="151"/>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row>
    <row r="39" spans="3:72">
      <c r="C39" s="237"/>
      <c r="D39" s="237"/>
      <c r="E39" s="237"/>
      <c r="F39" s="237"/>
      <c r="G39" s="237"/>
      <c r="H39" s="237"/>
      <c r="I39" s="237"/>
      <c r="J39" s="237"/>
      <c r="K39" s="237"/>
      <c r="L39" s="237"/>
      <c r="M39" s="237"/>
      <c r="N39" s="148"/>
      <c r="O39" s="148"/>
      <c r="P39" s="15"/>
      <c r="Q39" s="15"/>
      <c r="R39" s="15"/>
      <c r="AA39" s="229"/>
      <c r="AB39" s="151"/>
      <c r="AC39" s="151"/>
      <c r="AD39" s="151"/>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row>
    <row r="40" spans="3:72">
      <c r="C40" s="229"/>
      <c r="D40" s="229"/>
      <c r="E40" s="229"/>
      <c r="F40" s="229"/>
      <c r="G40" s="229"/>
      <c r="H40" s="229"/>
      <c r="I40" s="229"/>
      <c r="J40" s="229"/>
      <c r="K40" s="229"/>
      <c r="L40" s="229"/>
      <c r="M40" s="229"/>
      <c r="AA40" s="229"/>
      <c r="AB40" s="151"/>
      <c r="AC40" s="151"/>
      <c r="AD40" s="151"/>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row>
    <row r="41" spans="3:72">
      <c r="C41" s="229"/>
      <c r="D41" s="229"/>
      <c r="E41" s="229"/>
      <c r="F41" s="229"/>
      <c r="G41" s="229"/>
      <c r="H41" s="229"/>
      <c r="I41" s="229"/>
      <c r="J41" s="229"/>
      <c r="K41" s="229"/>
      <c r="L41" s="229"/>
      <c r="M41" s="229"/>
      <c r="AA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row>
    <row r="42" spans="3:72">
      <c r="C42" s="229"/>
      <c r="D42" s="229"/>
      <c r="E42" s="229"/>
      <c r="F42" s="229"/>
      <c r="G42" s="229"/>
      <c r="H42" s="229"/>
      <c r="I42" s="229"/>
      <c r="J42" s="229"/>
      <c r="K42" s="229"/>
      <c r="L42" s="229"/>
      <c r="M42" s="229"/>
      <c r="AA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row>
    <row r="43" spans="3:72">
      <c r="C43" s="229"/>
      <c r="D43" s="229"/>
      <c r="E43" s="229"/>
      <c r="F43" s="229"/>
      <c r="G43" s="229"/>
      <c r="H43" s="229"/>
      <c r="I43" s="229"/>
      <c r="J43" s="229"/>
      <c r="K43" s="229"/>
      <c r="L43" s="229"/>
      <c r="M43" s="229"/>
      <c r="AA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row>
    <row r="44" spans="3:72">
      <c r="C44" s="229"/>
      <c r="D44" s="229"/>
      <c r="E44" s="229"/>
      <c r="F44" s="229"/>
      <c r="G44" s="229"/>
      <c r="H44" s="229"/>
      <c r="I44" s="229"/>
      <c r="J44" s="229"/>
      <c r="K44" s="229"/>
      <c r="L44" s="229"/>
      <c r="M44" s="229"/>
      <c r="AA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29"/>
      <c r="BR44" s="229"/>
      <c r="BS44" s="229"/>
      <c r="BT44" s="229"/>
    </row>
    <row r="45" spans="3:72">
      <c r="C45" s="229"/>
      <c r="D45" s="229"/>
      <c r="E45" s="229"/>
      <c r="F45" s="229"/>
      <c r="G45" s="229"/>
      <c r="H45" s="229"/>
      <c r="I45" s="229"/>
      <c r="J45" s="229"/>
      <c r="K45" s="229"/>
      <c r="L45" s="229"/>
      <c r="M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row>
    <row r="46" spans="3:72">
      <c r="C46" s="229"/>
      <c r="D46" s="229"/>
      <c r="E46" s="229"/>
      <c r="F46" s="229"/>
      <c r="G46" s="229"/>
      <c r="H46" s="229"/>
      <c r="I46" s="229"/>
      <c r="J46" s="229"/>
      <c r="K46" s="229"/>
      <c r="L46" s="229"/>
      <c r="M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row>
    <row r="47" spans="3:72">
      <c r="C47" s="229"/>
      <c r="D47" s="229"/>
      <c r="E47" s="229"/>
      <c r="F47" s="229"/>
      <c r="G47" s="229"/>
      <c r="H47" s="229"/>
      <c r="I47" s="229"/>
      <c r="J47" s="229"/>
      <c r="K47" s="229"/>
      <c r="L47" s="229"/>
      <c r="M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row>
    <row r="48" spans="3:72">
      <c r="C48" s="229"/>
      <c r="D48" s="229"/>
      <c r="E48" s="229"/>
      <c r="F48" s="229"/>
      <c r="G48" s="229"/>
      <c r="H48" s="229"/>
      <c r="I48" s="229"/>
      <c r="J48" s="229"/>
      <c r="K48" s="229"/>
      <c r="L48" s="229"/>
      <c r="M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row>
    <row r="49" spans="3:72">
      <c r="C49" s="229"/>
      <c r="D49" s="229"/>
      <c r="E49" s="229"/>
      <c r="F49" s="229"/>
      <c r="G49" s="229"/>
      <c r="H49" s="229"/>
      <c r="I49" s="229"/>
      <c r="J49" s="229"/>
      <c r="K49" s="229"/>
      <c r="L49" s="229"/>
      <c r="M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row>
    <row r="50" spans="3:72">
      <c r="C50" s="229"/>
      <c r="D50" s="229"/>
      <c r="E50" s="229"/>
      <c r="F50" s="229"/>
      <c r="G50" s="229"/>
      <c r="H50" s="229"/>
      <c r="I50" s="229"/>
      <c r="J50" s="229"/>
      <c r="K50" s="229"/>
      <c r="L50" s="229"/>
      <c r="M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row>
    <row r="51" spans="3:72">
      <c r="C51" s="229"/>
      <c r="D51" s="229"/>
      <c r="E51" s="229"/>
      <c r="F51" s="229"/>
      <c r="G51" s="229"/>
      <c r="H51" s="229"/>
      <c r="I51" s="229"/>
      <c r="J51" s="229"/>
      <c r="K51" s="229"/>
      <c r="L51" s="229"/>
      <c r="M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row>
    <row r="52" spans="3:72">
      <c r="C52" s="229"/>
      <c r="D52" s="229"/>
      <c r="E52" s="229"/>
      <c r="F52" s="229"/>
      <c r="G52" s="229"/>
      <c r="H52" s="229"/>
      <c r="I52" s="229"/>
      <c r="J52" s="229"/>
      <c r="K52" s="229"/>
      <c r="L52" s="229"/>
      <c r="M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row>
    <row r="53" spans="3:72">
      <c r="C53" s="229"/>
      <c r="D53" s="229"/>
      <c r="E53" s="229"/>
      <c r="F53" s="229"/>
      <c r="G53" s="229"/>
      <c r="H53" s="229"/>
      <c r="I53" s="229"/>
      <c r="J53" s="229"/>
      <c r="K53" s="229"/>
      <c r="L53" s="229"/>
      <c r="M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row>
    <row r="54" spans="3:72">
      <c r="C54" s="229"/>
      <c r="D54" s="229"/>
      <c r="E54" s="229"/>
      <c r="F54" s="229"/>
      <c r="G54" s="229"/>
      <c r="H54" s="229"/>
      <c r="I54" s="229"/>
      <c r="J54" s="229"/>
      <c r="K54" s="229"/>
      <c r="L54" s="229"/>
      <c r="M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row>
    <row r="55" spans="3:72">
      <c r="C55" s="229"/>
      <c r="D55" s="229"/>
      <c r="E55" s="229"/>
      <c r="F55" s="229"/>
      <c r="G55" s="229"/>
      <c r="H55" s="229"/>
      <c r="I55" s="229"/>
      <c r="J55" s="229"/>
      <c r="K55" s="229"/>
      <c r="L55" s="229"/>
      <c r="M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row>
    <row r="56" spans="3:72">
      <c r="C56" s="229"/>
      <c r="D56" s="229"/>
      <c r="E56" s="229"/>
      <c r="F56" s="229"/>
      <c r="G56" s="229"/>
      <c r="H56" s="229"/>
      <c r="I56" s="229"/>
      <c r="J56" s="229"/>
      <c r="K56" s="229"/>
      <c r="L56" s="229"/>
      <c r="M56" s="229"/>
    </row>
    <row r="57" spans="3:72">
      <c r="C57" s="229"/>
      <c r="D57" s="229"/>
      <c r="E57" s="229"/>
      <c r="F57" s="229"/>
      <c r="G57" s="229"/>
      <c r="H57" s="229"/>
      <c r="I57" s="229"/>
      <c r="J57" s="229"/>
      <c r="K57" s="229"/>
      <c r="L57" s="229"/>
      <c r="M57" s="229"/>
    </row>
    <row r="58" spans="3:72">
      <c r="C58" s="240"/>
      <c r="D58" s="241"/>
      <c r="E58" s="240"/>
      <c r="F58" s="241"/>
      <c r="G58" s="240"/>
      <c r="H58" s="241"/>
      <c r="I58" s="240"/>
      <c r="J58" s="241"/>
      <c r="K58" s="240"/>
      <c r="L58" s="241"/>
      <c r="M58" s="240"/>
      <c r="N58" s="171"/>
      <c r="P58" s="15"/>
      <c r="Q58" s="15"/>
      <c r="R58" s="148"/>
      <c r="S58" s="148"/>
    </row>
    <row r="59" spans="3:72">
      <c r="C59" s="240"/>
      <c r="D59" s="241"/>
      <c r="E59" s="240"/>
      <c r="F59" s="241"/>
      <c r="G59" s="240"/>
      <c r="H59" s="241"/>
      <c r="I59" s="240"/>
      <c r="J59" s="241"/>
      <c r="K59" s="240"/>
      <c r="L59" s="241"/>
      <c r="M59" s="240"/>
      <c r="N59" s="171"/>
      <c r="P59" s="15"/>
      <c r="Q59" s="15"/>
      <c r="R59" s="148"/>
      <c r="S59" s="148"/>
    </row>
    <row r="60" spans="3:72">
      <c r="C60" s="240"/>
      <c r="D60" s="241"/>
      <c r="E60" s="240"/>
      <c r="F60" s="241"/>
      <c r="G60" s="240"/>
      <c r="H60" s="241"/>
      <c r="I60" s="240"/>
      <c r="J60" s="241"/>
      <c r="K60" s="240"/>
      <c r="L60" s="241"/>
      <c r="M60" s="240"/>
      <c r="N60" s="171"/>
      <c r="P60" s="15"/>
      <c r="Q60" s="15"/>
      <c r="R60" s="148"/>
      <c r="S60" s="148"/>
    </row>
    <row r="61" spans="3:72">
      <c r="C61" s="240"/>
      <c r="D61" s="241"/>
      <c r="E61" s="240"/>
      <c r="F61" s="241"/>
      <c r="G61" s="240"/>
      <c r="H61" s="241"/>
      <c r="I61" s="240"/>
      <c r="J61" s="241"/>
      <c r="K61" s="240"/>
      <c r="L61" s="241"/>
      <c r="M61" s="240"/>
      <c r="N61" s="171"/>
      <c r="P61" s="15"/>
      <c r="Q61" s="15"/>
      <c r="R61" s="148"/>
      <c r="S61" s="148"/>
    </row>
    <row r="62" spans="3:72">
      <c r="C62" s="240"/>
      <c r="D62" s="241"/>
      <c r="E62" s="240"/>
      <c r="F62" s="241"/>
      <c r="G62" s="240"/>
      <c r="H62" s="241"/>
      <c r="I62" s="240"/>
      <c r="J62" s="241"/>
      <c r="K62" s="240"/>
      <c r="L62" s="241"/>
      <c r="M62" s="240"/>
      <c r="N62" s="171"/>
      <c r="P62" s="15"/>
      <c r="Q62" s="15"/>
      <c r="R62" s="148"/>
      <c r="S62" s="148"/>
    </row>
    <row r="63" spans="3:72">
      <c r="C63" s="240"/>
      <c r="D63" s="241"/>
      <c r="E63" s="240"/>
      <c r="F63" s="241"/>
      <c r="G63" s="240"/>
      <c r="H63" s="241"/>
      <c r="I63" s="240"/>
      <c r="J63" s="241"/>
      <c r="K63" s="240"/>
      <c r="L63" s="241"/>
      <c r="M63" s="240"/>
      <c r="N63" s="171"/>
      <c r="P63" s="15"/>
      <c r="Q63" s="15"/>
      <c r="R63" s="148"/>
      <c r="S63" s="148"/>
    </row>
    <row r="64" spans="3:72">
      <c r="C64" s="240"/>
      <c r="D64" s="241"/>
      <c r="E64" s="240"/>
      <c r="F64" s="241"/>
      <c r="G64" s="240"/>
      <c r="H64" s="241"/>
      <c r="I64" s="240"/>
      <c r="J64" s="241"/>
      <c r="K64" s="240"/>
      <c r="L64" s="241"/>
      <c r="M64" s="240"/>
      <c r="N64" s="171"/>
      <c r="P64" s="15"/>
      <c r="Q64" s="15"/>
      <c r="R64" s="148"/>
      <c r="S64" s="148"/>
    </row>
    <row r="65" spans="3:19">
      <c r="C65" s="240"/>
      <c r="D65" s="241"/>
      <c r="E65" s="240"/>
      <c r="F65" s="241"/>
      <c r="G65" s="240"/>
      <c r="H65" s="241"/>
      <c r="I65" s="240"/>
      <c r="J65" s="241"/>
      <c r="K65" s="240"/>
      <c r="L65" s="241"/>
      <c r="M65" s="240"/>
      <c r="N65" s="171"/>
      <c r="P65" s="15"/>
      <c r="Q65" s="15"/>
      <c r="R65" s="148"/>
      <c r="S65" s="148"/>
    </row>
    <row r="66" spans="3:19">
      <c r="C66" s="240"/>
      <c r="D66" s="241"/>
      <c r="E66" s="240"/>
      <c r="F66" s="241"/>
      <c r="G66" s="240"/>
      <c r="H66" s="241"/>
      <c r="I66" s="240"/>
      <c r="J66" s="241"/>
      <c r="K66" s="240"/>
      <c r="L66" s="241"/>
      <c r="M66" s="240"/>
      <c r="N66" s="171"/>
      <c r="P66" s="15"/>
      <c r="Q66" s="15"/>
      <c r="R66" s="148"/>
      <c r="S66" s="148"/>
    </row>
    <row r="67" spans="3:19">
      <c r="C67" s="240"/>
      <c r="D67" s="241"/>
      <c r="E67" s="240"/>
      <c r="F67" s="241"/>
      <c r="G67" s="240"/>
      <c r="H67" s="241"/>
      <c r="I67" s="240"/>
      <c r="J67" s="241"/>
      <c r="K67" s="240"/>
      <c r="L67" s="241"/>
      <c r="M67" s="240"/>
      <c r="N67" s="171"/>
      <c r="P67" s="15"/>
      <c r="Q67" s="15"/>
      <c r="R67" s="148"/>
      <c r="S67" s="148"/>
    </row>
    <row r="68" spans="3:19">
      <c r="C68" s="240"/>
      <c r="D68" s="241"/>
      <c r="E68" s="240"/>
      <c r="F68" s="241"/>
      <c r="G68" s="240"/>
      <c r="H68" s="241"/>
      <c r="I68" s="240"/>
      <c r="J68" s="241"/>
      <c r="K68" s="240"/>
      <c r="L68" s="241"/>
      <c r="M68" s="240"/>
      <c r="N68" s="171"/>
      <c r="P68" s="15"/>
      <c r="Q68" s="15"/>
      <c r="R68" s="148"/>
      <c r="S68" s="148"/>
    </row>
    <row r="69" spans="3:19">
      <c r="C69" s="240"/>
      <c r="D69" s="241"/>
      <c r="E69" s="240"/>
      <c r="F69" s="241"/>
      <c r="G69" s="240"/>
      <c r="H69" s="241"/>
      <c r="I69" s="240"/>
      <c r="J69" s="241"/>
      <c r="K69" s="240"/>
      <c r="L69" s="241"/>
      <c r="M69" s="240"/>
      <c r="N69" s="171"/>
      <c r="P69" s="15"/>
      <c r="Q69" s="15"/>
      <c r="R69" s="148"/>
      <c r="S69" s="148"/>
    </row>
    <row r="70" spans="3:19">
      <c r="C70" s="240"/>
      <c r="D70" s="241"/>
      <c r="E70" s="240"/>
      <c r="F70" s="241"/>
      <c r="G70" s="240"/>
      <c r="H70" s="241"/>
      <c r="I70" s="240"/>
      <c r="J70" s="241"/>
      <c r="K70" s="240"/>
      <c r="L70" s="241"/>
      <c r="M70" s="240"/>
      <c r="N70" s="171"/>
      <c r="P70" s="15"/>
      <c r="Q70" s="15"/>
      <c r="R70" s="148"/>
      <c r="S70" s="148"/>
    </row>
    <row r="71" spans="3:19">
      <c r="C71" s="229"/>
      <c r="D71" s="229"/>
      <c r="E71" s="229"/>
      <c r="F71" s="229"/>
      <c r="G71" s="229"/>
      <c r="H71" s="229"/>
      <c r="I71" s="229"/>
      <c r="J71" s="229"/>
      <c r="K71" s="229"/>
      <c r="L71" s="229"/>
      <c r="M71" s="229"/>
    </row>
    <row r="72" spans="3:19">
      <c r="C72" s="229"/>
      <c r="D72" s="229"/>
      <c r="E72" s="229"/>
      <c r="F72" s="229"/>
      <c r="G72" s="229"/>
      <c r="H72" s="229"/>
      <c r="I72" s="229"/>
      <c r="J72" s="229"/>
      <c r="K72" s="229"/>
      <c r="L72" s="229"/>
      <c r="M72" s="229"/>
    </row>
  </sheetData>
  <sortState ref="G24:J36">
    <sortCondition ref="G24:G36"/>
  </sortState>
  <dataConsolidate/>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workbookViewId="0">
      <selection activeCell="D18" sqref="D18"/>
    </sheetView>
  </sheetViews>
  <sheetFormatPr defaultColWidth="9.28515625" defaultRowHeight="15"/>
  <cols>
    <col min="1" max="2" width="9.28515625" style="133"/>
    <col min="3" max="8" width="13.5703125" style="133" customWidth="1"/>
    <col min="9" max="16384" width="9.28515625" style="133"/>
  </cols>
  <sheetData>
    <row r="1" spans="1:16" s="123" customFormat="1">
      <c r="A1" s="123" t="s">
        <v>346</v>
      </c>
    </row>
    <row r="2" spans="1:16" s="108" customFormat="1" ht="33" customHeight="1" thickBot="1">
      <c r="C2" s="108" t="s">
        <v>278</v>
      </c>
      <c r="E2" s="190" t="s">
        <v>345</v>
      </c>
      <c r="F2" s="190" t="s">
        <v>344</v>
      </c>
    </row>
    <row r="3" spans="1:16">
      <c r="C3" s="156">
        <v>2</v>
      </c>
      <c r="D3" s="133" t="s">
        <v>43</v>
      </c>
      <c r="E3" s="90">
        <f>D12+D17</f>
        <v>5.0508822042377626E-3</v>
      </c>
      <c r="F3" s="161">
        <f>D12</f>
        <v>8.5180719485470225E-4</v>
      </c>
    </row>
    <row r="4" spans="1:16">
      <c r="D4" s="133" t="s">
        <v>46</v>
      </c>
      <c r="E4" s="90">
        <f>D18</f>
        <v>2.7728260607954771E-3</v>
      </c>
    </row>
    <row r="5" spans="1:16">
      <c r="D5" s="133" t="s">
        <v>48</v>
      </c>
      <c r="E5" s="90">
        <f>D19</f>
        <v>0</v>
      </c>
    </row>
    <row r="6" spans="1:16">
      <c r="D6" s="133" t="s">
        <v>50</v>
      </c>
      <c r="E6" s="90">
        <f>D20</f>
        <v>0</v>
      </c>
    </row>
    <row r="7" spans="1:16">
      <c r="D7" s="133" t="s">
        <v>52</v>
      </c>
      <c r="E7" s="90">
        <f>D21</f>
        <v>8.1560353661355185E-3</v>
      </c>
    </row>
    <row r="9" spans="1:16" s="123" customFormat="1">
      <c r="A9" s="123" t="s">
        <v>258</v>
      </c>
    </row>
    <row r="10" spans="1:16">
      <c r="C10" s="133" t="s">
        <v>259</v>
      </c>
      <c r="L10" s="133" t="s">
        <v>260</v>
      </c>
    </row>
    <row r="11" spans="1:16">
      <c r="F11" s="133" t="s">
        <v>262</v>
      </c>
      <c r="N11" s="133" t="s">
        <v>263</v>
      </c>
      <c r="P11" s="133" t="s">
        <v>261</v>
      </c>
    </row>
    <row r="12" spans="1:16">
      <c r="A12" s="133" t="s">
        <v>43</v>
      </c>
      <c r="C12" s="152">
        <f>F12/C35*(1-(1/(1+L12-C43)))</f>
        <v>3.0968630726358128E-3</v>
      </c>
      <c r="D12" s="126">
        <f>F12/C35*(1-(1/(1+L12-$C$3*C43)))</f>
        <v>8.5180719485470225E-4</v>
      </c>
      <c r="F12" s="125">
        <v>18702.563380000007</v>
      </c>
      <c r="L12" s="121">
        <f>(P12-N12)/N12</f>
        <v>0.17102665350444221</v>
      </c>
      <c r="N12" s="118">
        <v>12608.59430979979</v>
      </c>
      <c r="P12" s="118">
        <v>14765</v>
      </c>
    </row>
    <row r="14" spans="1:16" s="123" customFormat="1">
      <c r="A14" s="123" t="s">
        <v>264</v>
      </c>
    </row>
    <row r="15" spans="1:16">
      <c r="C15" s="133" t="s">
        <v>265</v>
      </c>
      <c r="L15" s="133" t="s">
        <v>266</v>
      </c>
    </row>
    <row r="16" spans="1:16">
      <c r="F16" s="133" t="s">
        <v>267</v>
      </c>
      <c r="N16" s="133" t="s">
        <v>263</v>
      </c>
      <c r="P16" s="133" t="s">
        <v>261</v>
      </c>
    </row>
    <row r="17" spans="1:21">
      <c r="A17" s="133" t="s">
        <v>43</v>
      </c>
      <c r="C17" s="126">
        <f>F17/C35*(1-(1/(1+L17-C43)))</f>
        <v>5.9658944020681655E-3</v>
      </c>
      <c r="D17" s="126">
        <f>MAX(F17/C35*(1-(1/(1+L17-$C$3*C43))),0)</f>
        <v>4.1990750093830603E-3</v>
      </c>
      <c r="F17" s="118">
        <v>18157.206300000005</v>
      </c>
      <c r="L17" s="121">
        <f>(P17-N17)/N17</f>
        <v>0.28840538515207109</v>
      </c>
      <c r="N17" s="153">
        <v>19349.5</v>
      </c>
      <c r="P17" s="153">
        <v>24930</v>
      </c>
    </row>
    <row r="18" spans="1:21">
      <c r="A18" s="133" t="s">
        <v>46</v>
      </c>
      <c r="C18" s="126">
        <f>F18/C36*(1-(1/(1+L18-C44)))</f>
        <v>5.6529965838730337E-3</v>
      </c>
      <c r="D18" s="126">
        <f>MAX(F18/C36*(1-(1/(1+L18-$C$3*C44))),0)</f>
        <v>2.7728260607954771E-3</v>
      </c>
      <c r="F18" s="118">
        <v>9405.8799999999992</v>
      </c>
      <c r="L18" s="121">
        <f>(P18-N18)/N18</f>
        <v>0.28514363420023797</v>
      </c>
      <c r="N18" s="153">
        <v>11766</v>
      </c>
      <c r="P18" s="153">
        <v>15121</v>
      </c>
    </row>
    <row r="19" spans="1:21">
      <c r="A19" s="133" t="s">
        <v>48</v>
      </c>
      <c r="C19" s="126">
        <f>MAX(F19/C37*(1-(1/(1+L19-C45))),0)</f>
        <v>0</v>
      </c>
      <c r="D19" s="126">
        <f>MAX(F19/C37*(1-(1/(1+L19-$C$3*C45))),0)</f>
        <v>0</v>
      </c>
      <c r="F19" s="118">
        <v>13924.778381964574</v>
      </c>
      <c r="L19" s="121">
        <f>(P19-N19)/N19</f>
        <v>0.20950838628741497</v>
      </c>
      <c r="N19" s="153">
        <v>16240.399970412254</v>
      </c>
      <c r="P19" s="153">
        <v>19642.899960875508</v>
      </c>
    </row>
    <row r="20" spans="1:21">
      <c r="A20" s="133" t="s">
        <v>50</v>
      </c>
      <c r="C20" s="126">
        <f t="shared" ref="C20:C21" si="0">MAX(F20/C38*(1-(1/(1+L20-C46))),0)</f>
        <v>4.984246143788936E-3</v>
      </c>
      <c r="D20" s="126">
        <f>MAX(F20/C38*(1-(1/(1+L20-$C$3*C46))),0)</f>
        <v>0</v>
      </c>
      <c r="F20" s="118">
        <v>15949.444547674946</v>
      </c>
      <c r="L20" s="121">
        <f>(P20-N20)/N20</f>
        <v>0.30592663692780547</v>
      </c>
      <c r="N20" s="153">
        <v>6961.4859999999999</v>
      </c>
      <c r="P20" s="153">
        <v>9091.19</v>
      </c>
    </row>
    <row r="21" spans="1:21">
      <c r="A21" s="133" t="s">
        <v>52</v>
      </c>
      <c r="C21" s="126">
        <f t="shared" si="0"/>
        <v>9.2755789077808501E-3</v>
      </c>
      <c r="D21" s="126">
        <f>MAX(F21/C39*(1-(1/(1+L21-$C$3*C47))),0)</f>
        <v>8.1560353661355185E-3</v>
      </c>
      <c r="F21" s="118">
        <v>15382.80498013553</v>
      </c>
      <c r="L21" s="121">
        <f>(P21-N21)/N21</f>
        <v>0.35541135458784051</v>
      </c>
      <c r="N21" s="153">
        <v>8075.15</v>
      </c>
      <c r="P21" s="153">
        <v>10945.15</v>
      </c>
    </row>
    <row r="23" spans="1:21" s="123" customFormat="1">
      <c r="A23" s="123" t="s">
        <v>268</v>
      </c>
    </row>
    <row r="24" spans="1:21">
      <c r="L24" s="133" t="s">
        <v>266</v>
      </c>
    </row>
    <row r="25" spans="1:21">
      <c r="F25" s="133" t="s">
        <v>270</v>
      </c>
      <c r="N25" s="133" t="s">
        <v>271</v>
      </c>
    </row>
    <row r="26" spans="1:21">
      <c r="A26" s="133" t="s">
        <v>43</v>
      </c>
      <c r="C26" s="126">
        <f>MAX(F26/C35*(1-(1/(1+L26-C43))),0)</f>
        <v>5.0589803689460127E-4</v>
      </c>
      <c r="D26" s="126">
        <f>MAX(F26/C35*(1-(1/(1+L26-$C$3*C43))),0)</f>
        <v>3.5607465718529122E-4</v>
      </c>
      <c r="F26" s="118">
        <f>N26*U28</f>
        <v>1539.7012423612348</v>
      </c>
      <c r="L26" s="121">
        <f>L17</f>
        <v>0.28840538515207109</v>
      </c>
      <c r="N26" s="154">
        <v>0.28531080607339387</v>
      </c>
    </row>
    <row r="27" spans="1:21">
      <c r="A27" s="133" t="s">
        <v>46</v>
      </c>
      <c r="C27" s="126">
        <f t="shared" ref="C27:C30" si="1">MAX(F27/C36*(1-(1/(1+L27-C44))),0)</f>
        <v>4.430264603463252E-4</v>
      </c>
      <c r="D27" s="126">
        <f>MAX(F27/C36*(1-(1/(1+L27-$C$3*C44))),0)</f>
        <v>2.1730692680316946E-4</v>
      </c>
      <c r="F27" s="118">
        <f>($F$26/$C$35)*C36</f>
        <v>737.14067592577987</v>
      </c>
      <c r="L27" s="121">
        <f>L18</f>
        <v>0.28514363420023797</v>
      </c>
      <c r="R27" s="133" t="s">
        <v>269</v>
      </c>
    </row>
    <row r="28" spans="1:21">
      <c r="A28" s="133" t="s">
        <v>48</v>
      </c>
      <c r="C28" s="126">
        <f t="shared" si="1"/>
        <v>0</v>
      </c>
      <c r="D28" s="126">
        <f>MAX(F28/C37*(1-(1/(1+L28-$C$3*C45))),0)</f>
        <v>0</v>
      </c>
      <c r="F28" s="118">
        <f>($F$26/$C$35)*C37</f>
        <v>1693.5658034158425</v>
      </c>
      <c r="L28" s="121">
        <f>L19</f>
        <v>0.20950838628741497</v>
      </c>
      <c r="U28" s="133">
        <v>5396.5752771563766</v>
      </c>
    </row>
    <row r="29" spans="1:21">
      <c r="A29" s="133" t="s">
        <v>50</v>
      </c>
      <c r="C29" s="126">
        <f t="shared" si="1"/>
        <v>3.7483188578253196E-4</v>
      </c>
      <c r="D29" s="126">
        <f>MAX(F29/C38*(1-(1/(1+L29-$C$3*C46))),0)</f>
        <v>0</v>
      </c>
      <c r="F29" s="118">
        <f>($F$26/$C$35)*C38</f>
        <v>1199.4512719719492</v>
      </c>
      <c r="L29" s="121">
        <f>L20</f>
        <v>0.30592663692780547</v>
      </c>
    </row>
    <row r="30" spans="1:21">
      <c r="A30" s="133" t="s">
        <v>52</v>
      </c>
      <c r="C30" s="126">
        <f t="shared" si="1"/>
        <v>6.7268854322481599E-4</v>
      </c>
      <c r="D30" s="126">
        <f>MAX(F30/C39*(1-(1/(1+L30-$C$3*C47))),0)</f>
        <v>5.9149640184004426E-4</v>
      </c>
      <c r="F30" s="118">
        <f>($F$26/$C$35)*C39</f>
        <v>1115.6000909138399</v>
      </c>
      <c r="L30" s="121">
        <f>L21</f>
        <v>0.35541135458784051</v>
      </c>
    </row>
    <row r="32" spans="1:21" s="123" customFormat="1">
      <c r="A32" s="123" t="s">
        <v>272</v>
      </c>
    </row>
    <row r="34" spans="1:9">
      <c r="C34" s="155">
        <v>2014</v>
      </c>
      <c r="D34" s="32"/>
    </row>
    <row r="35" spans="1:9">
      <c r="A35" s="133" t="s">
        <v>43</v>
      </c>
      <c r="C35" s="125">
        <v>539569.59182207973</v>
      </c>
      <c r="D35" s="157"/>
    </row>
    <row r="36" spans="1:9">
      <c r="A36" s="133" t="s">
        <v>46</v>
      </c>
      <c r="C36" s="125">
        <v>258321.99304766822</v>
      </c>
      <c r="D36" s="157"/>
    </row>
    <row r="37" spans="1:9">
      <c r="A37" s="133" t="s">
        <v>48</v>
      </c>
      <c r="C37" s="125">
        <v>593489.55767000001</v>
      </c>
      <c r="D37" s="157"/>
    </row>
    <row r="38" spans="1:9">
      <c r="A38" s="133" t="s">
        <v>50</v>
      </c>
      <c r="C38" s="125">
        <v>420333.12400000001</v>
      </c>
      <c r="D38" s="157"/>
    </row>
    <row r="39" spans="1:9">
      <c r="A39" s="133" t="s">
        <v>52</v>
      </c>
      <c r="C39" s="125">
        <v>390948.49645502295</v>
      </c>
      <c r="D39" s="157"/>
    </row>
    <row r="41" spans="1:9" s="123" customFormat="1">
      <c r="A41" s="123" t="s">
        <v>273</v>
      </c>
    </row>
    <row r="42" spans="1:9">
      <c r="C42" s="133" t="s">
        <v>274</v>
      </c>
      <c r="E42" s="133" t="s">
        <v>276</v>
      </c>
      <c r="G42" s="133" t="s">
        <v>275</v>
      </c>
    </row>
    <row r="43" spans="1:9">
      <c r="A43" s="133" t="s">
        <v>43</v>
      </c>
      <c r="C43" s="121">
        <f>(G43-E43)/E43</f>
        <v>7.2916428864229332E-2</v>
      </c>
      <c r="D43" s="158"/>
      <c r="E43" s="153">
        <v>6109.7635599999994</v>
      </c>
      <c r="G43" s="153">
        <v>6555.2656999999999</v>
      </c>
      <c r="H43" s="183"/>
      <c r="I43" s="160"/>
    </row>
    <row r="44" spans="1:9">
      <c r="A44" s="133" t="s">
        <v>46</v>
      </c>
      <c r="C44" s="121">
        <f>(G44-E44)/E44</f>
        <v>0.10135690988344813</v>
      </c>
      <c r="D44" s="158"/>
      <c r="E44" s="153">
        <v>3779.0286552165171</v>
      </c>
      <c r="G44" s="153">
        <v>4162.0593220702658</v>
      </c>
      <c r="H44" s="183"/>
      <c r="I44" s="160"/>
    </row>
    <row r="45" spans="1:9">
      <c r="A45" s="133" t="s">
        <v>48</v>
      </c>
      <c r="C45" s="121">
        <f>(G45-E45)/E45</f>
        <v>0.2537814498570895</v>
      </c>
      <c r="D45" s="158"/>
      <c r="E45" s="153">
        <v>4225.3853993415833</v>
      </c>
      <c r="G45" s="153">
        <v>5297.7098321914673</v>
      </c>
      <c r="H45" s="183"/>
      <c r="I45" s="160"/>
    </row>
    <row r="46" spans="1:9">
      <c r="A46" s="133" t="s">
        <v>50</v>
      </c>
      <c r="C46" s="121">
        <f>(G46-E46)/E46</f>
        <v>0.15470798926757315</v>
      </c>
      <c r="D46" s="158"/>
      <c r="E46" s="153">
        <v>2804.212</v>
      </c>
      <c r="G46" s="153">
        <v>3238.0459999999998</v>
      </c>
      <c r="H46" s="183"/>
      <c r="I46" s="160"/>
    </row>
    <row r="47" spans="1:9">
      <c r="A47" s="133" t="s">
        <v>52</v>
      </c>
      <c r="C47" s="121">
        <f>(G47-E47)/E47</f>
        <v>4.696377604163407E-2</v>
      </c>
      <c r="D47" s="158"/>
      <c r="E47" s="153">
        <v>2473.7940716784001</v>
      </c>
      <c r="G47" s="153">
        <v>2589.9727824338265</v>
      </c>
      <c r="H47" s="183"/>
      <c r="I47" s="160"/>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B1:O44"/>
  <sheetViews>
    <sheetView workbookViewId="0">
      <selection activeCell="O34" sqref="O34"/>
    </sheetView>
  </sheetViews>
  <sheetFormatPr defaultColWidth="8.7109375" defaultRowHeight="15"/>
  <cols>
    <col min="1" max="2" width="8.7109375" style="298"/>
    <col min="3" max="3" width="10.28515625" style="298" bestFit="1" customWidth="1"/>
    <col min="4" max="4" width="11.28515625" style="298" bestFit="1" customWidth="1"/>
    <col min="5" max="14" width="8.7109375" style="298"/>
    <col min="15" max="15" width="11.28515625" style="298" bestFit="1" customWidth="1"/>
    <col min="16" max="16384" width="8.7109375" style="298"/>
  </cols>
  <sheetData>
    <row r="1" spans="2:15">
      <c r="C1" s="298" t="s">
        <v>364</v>
      </c>
      <c r="D1" s="298" t="s">
        <v>365</v>
      </c>
      <c r="E1" s="298" t="s">
        <v>366</v>
      </c>
      <c r="F1" s="298" t="s">
        <v>367</v>
      </c>
      <c r="G1" s="298" t="s">
        <v>368</v>
      </c>
      <c r="H1" s="298" t="s">
        <v>369</v>
      </c>
      <c r="I1" s="298" t="s">
        <v>370</v>
      </c>
      <c r="J1" s="298" t="s">
        <v>371</v>
      </c>
      <c r="K1" s="298" t="s">
        <v>372</v>
      </c>
      <c r="L1" s="298" t="s">
        <v>373</v>
      </c>
      <c r="M1" s="298" t="s">
        <v>374</v>
      </c>
      <c r="N1" s="298" t="s">
        <v>375</v>
      </c>
      <c r="O1" s="298" t="s">
        <v>19</v>
      </c>
    </row>
    <row r="2" spans="2:15">
      <c r="B2" s="298" t="s">
        <v>0</v>
      </c>
      <c r="C2" s="299">
        <v>0</v>
      </c>
      <c r="D2" s="299">
        <v>189.08099999999999</v>
      </c>
      <c r="E2" s="299">
        <v>0</v>
      </c>
      <c r="F2" s="299">
        <v>7.157</v>
      </c>
      <c r="G2" s="299">
        <v>0</v>
      </c>
      <c r="H2" s="299">
        <v>0</v>
      </c>
      <c r="I2" s="299">
        <v>33.81</v>
      </c>
      <c r="J2" s="299">
        <v>0</v>
      </c>
      <c r="K2" s="299">
        <v>969.274</v>
      </c>
      <c r="L2" s="299">
        <v>0</v>
      </c>
      <c r="M2" s="299">
        <v>1165.163</v>
      </c>
      <c r="N2" s="300">
        <f>O2-SUM(C2:M2)</f>
        <v>0</v>
      </c>
      <c r="O2" s="71">
        <v>2364.4850000000001</v>
      </c>
    </row>
    <row r="3" spans="2:15">
      <c r="B3" s="298" t="s">
        <v>1</v>
      </c>
      <c r="C3" s="299">
        <v>0</v>
      </c>
      <c r="D3" s="299">
        <v>1100</v>
      </c>
      <c r="E3" s="299">
        <v>0</v>
      </c>
      <c r="F3" s="299">
        <v>446.9</v>
      </c>
      <c r="G3" s="299">
        <v>0</v>
      </c>
      <c r="H3" s="299">
        <v>1322</v>
      </c>
      <c r="I3" s="299">
        <v>125.6</v>
      </c>
      <c r="J3" s="299">
        <v>124.6</v>
      </c>
      <c r="K3" s="299">
        <v>9842</v>
      </c>
      <c r="L3" s="299">
        <v>0</v>
      </c>
      <c r="M3" s="299">
        <v>13083</v>
      </c>
      <c r="N3" s="299">
        <f t="shared" ref="N3:N13" si="0">O3-SUM(C3:M3)</f>
        <v>0</v>
      </c>
      <c r="O3" s="71">
        <v>26044.1</v>
      </c>
    </row>
    <row r="4" spans="2:15">
      <c r="B4" s="298" t="s">
        <v>2</v>
      </c>
      <c r="C4" s="299">
        <v>0</v>
      </c>
      <c r="D4" s="299">
        <v>0</v>
      </c>
      <c r="E4" s="299">
        <v>0</v>
      </c>
      <c r="F4" s="299">
        <v>137.92933042654818</v>
      </c>
      <c r="G4" s="299">
        <v>0</v>
      </c>
      <c r="H4" s="299">
        <v>0</v>
      </c>
      <c r="I4" s="299">
        <v>19.545541187659001</v>
      </c>
      <c r="J4" s="299">
        <v>0</v>
      </c>
      <c r="K4" s="299">
        <v>448.89506783710249</v>
      </c>
      <c r="L4" s="299">
        <v>0</v>
      </c>
      <c r="M4" s="299">
        <v>1617.3591809053746</v>
      </c>
      <c r="N4" s="299">
        <f t="shared" si="0"/>
        <v>2.4431926484576252</v>
      </c>
      <c r="O4" s="71">
        <v>2226.1723130051419</v>
      </c>
    </row>
    <row r="5" spans="2:15">
      <c r="B5" s="298" t="s">
        <v>3</v>
      </c>
      <c r="C5" s="299">
        <v>0</v>
      </c>
      <c r="D5" s="299">
        <v>1229.172</v>
      </c>
      <c r="E5" s="299">
        <v>0</v>
      </c>
      <c r="F5" s="299">
        <v>540.31399999999996</v>
      </c>
      <c r="G5" s="299">
        <v>0</v>
      </c>
      <c r="H5" s="299">
        <v>1454.1849999999999</v>
      </c>
      <c r="I5" s="299">
        <v>1378.5150000000001</v>
      </c>
      <c r="J5" s="299">
        <v>484.84</v>
      </c>
      <c r="K5" s="299">
        <v>9450.5759999999991</v>
      </c>
      <c r="L5" s="299">
        <v>0</v>
      </c>
      <c r="M5" s="299">
        <v>8849.7170000000006</v>
      </c>
      <c r="N5" s="299">
        <f t="shared" si="0"/>
        <v>0</v>
      </c>
      <c r="O5" s="71">
        <v>23387.318999999996</v>
      </c>
    </row>
    <row r="6" spans="2:15">
      <c r="B6" s="298" t="s">
        <v>4</v>
      </c>
      <c r="C6" s="299">
        <v>0</v>
      </c>
      <c r="D6" s="299">
        <v>331.221</v>
      </c>
      <c r="E6" s="299">
        <v>801.02499999999998</v>
      </c>
      <c r="F6" s="299">
        <v>0</v>
      </c>
      <c r="G6" s="299">
        <v>0</v>
      </c>
      <c r="H6" s="299">
        <v>2195.8519999999999</v>
      </c>
      <c r="I6" s="299">
        <v>0</v>
      </c>
      <c r="J6" s="299">
        <v>38.892000000000003</v>
      </c>
      <c r="K6" s="299">
        <v>17494.732</v>
      </c>
      <c r="L6" s="299">
        <v>0</v>
      </c>
      <c r="M6" s="299">
        <v>14240.608</v>
      </c>
      <c r="N6" s="299">
        <f t="shared" si="0"/>
        <v>0</v>
      </c>
      <c r="O6" s="71">
        <v>35102.33</v>
      </c>
    </row>
    <row r="7" spans="2:15">
      <c r="B7" s="298" t="s">
        <v>5</v>
      </c>
      <c r="C7" s="299">
        <v>0</v>
      </c>
      <c r="D7" s="299">
        <v>2524.16302216129</v>
      </c>
      <c r="E7" s="299">
        <v>530.05465982925898</v>
      </c>
      <c r="F7" s="299">
        <v>8224.1024066125592</v>
      </c>
      <c r="G7" s="299">
        <v>0</v>
      </c>
      <c r="H7" s="299">
        <v>4260.29870671558</v>
      </c>
      <c r="I7" s="299">
        <v>15319.177769444001</v>
      </c>
      <c r="J7" s="299">
        <v>65527.9385257049</v>
      </c>
      <c r="K7" s="299">
        <v>36222.363397335699</v>
      </c>
      <c r="L7" s="299">
        <v>14.5631939736601</v>
      </c>
      <c r="M7" s="299">
        <v>18957.236372572599</v>
      </c>
      <c r="N7" s="299">
        <f t="shared" si="0"/>
        <v>2.4769736104644835E-2</v>
      </c>
      <c r="O7" s="71">
        <v>151579.92282408563</v>
      </c>
    </row>
    <row r="8" spans="2:15">
      <c r="B8" s="298" t="s">
        <v>6</v>
      </c>
      <c r="C8" s="299">
        <v>2.972</v>
      </c>
      <c r="D8" s="299">
        <v>1950.6</v>
      </c>
      <c r="E8" s="299">
        <v>21</v>
      </c>
      <c r="F8" s="299">
        <v>7733.8</v>
      </c>
      <c r="G8" s="299">
        <v>0</v>
      </c>
      <c r="H8" s="299">
        <v>5325.2</v>
      </c>
      <c r="I8" s="299">
        <v>42335.8</v>
      </c>
      <c r="J8" s="299">
        <v>29709</v>
      </c>
      <c r="K8" s="299">
        <v>70418</v>
      </c>
      <c r="L8" s="299">
        <v>18.8</v>
      </c>
      <c r="M8" s="299">
        <v>19109.809000000001</v>
      </c>
      <c r="N8" s="299">
        <f t="shared" si="0"/>
        <v>0</v>
      </c>
      <c r="O8" s="71">
        <v>176624.981</v>
      </c>
    </row>
    <row r="9" spans="2:15">
      <c r="B9" s="298" t="s">
        <v>7</v>
      </c>
      <c r="C9" s="299">
        <v>0</v>
      </c>
      <c r="D9" s="299">
        <v>0</v>
      </c>
      <c r="E9" s="299">
        <v>0</v>
      </c>
      <c r="F9" s="299">
        <v>293.41772374999999</v>
      </c>
      <c r="G9" s="299">
        <v>0</v>
      </c>
      <c r="H9" s="299">
        <v>0</v>
      </c>
      <c r="I9" s="299">
        <v>1408.2161620914187</v>
      </c>
      <c r="J9" s="299">
        <v>11.2027625</v>
      </c>
      <c r="K9" s="299">
        <v>205.62734499309875</v>
      </c>
      <c r="L9" s="299">
        <v>96.192371634462489</v>
      </c>
      <c r="M9" s="299">
        <v>2438.7199087499998</v>
      </c>
      <c r="N9" s="299">
        <f t="shared" si="0"/>
        <v>0</v>
      </c>
      <c r="O9" s="71">
        <v>4453.37627371898</v>
      </c>
    </row>
    <row r="10" spans="2:15">
      <c r="B10" s="298" t="s">
        <v>8</v>
      </c>
      <c r="C10" s="299">
        <v>0</v>
      </c>
      <c r="D10" s="299">
        <v>0</v>
      </c>
      <c r="E10" s="299">
        <v>0</v>
      </c>
      <c r="F10" s="299">
        <v>3158.4036523714585</v>
      </c>
      <c r="G10" s="299">
        <v>0</v>
      </c>
      <c r="H10" s="299">
        <v>0</v>
      </c>
      <c r="I10" s="299">
        <v>34062.277696228739</v>
      </c>
      <c r="J10" s="299">
        <v>21679.656322316361</v>
      </c>
      <c r="K10" s="299">
        <v>47.919246068235864</v>
      </c>
      <c r="L10" s="299">
        <v>0</v>
      </c>
      <c r="M10" s="299">
        <v>9565.5471612941583</v>
      </c>
      <c r="N10" s="299">
        <f t="shared" ref="N10:N12" si="1">O10-SUM(C10:M10)</f>
        <v>0</v>
      </c>
      <c r="O10" s="71">
        <v>68513.804078278947</v>
      </c>
    </row>
    <row r="11" spans="2:15">
      <c r="B11" s="298" t="s">
        <v>9</v>
      </c>
      <c r="C11" s="299">
        <v>0</v>
      </c>
      <c r="D11" s="299">
        <v>0</v>
      </c>
      <c r="E11" s="299">
        <v>0</v>
      </c>
      <c r="F11" s="299">
        <v>1415.2460266288888</v>
      </c>
      <c r="G11" s="299">
        <v>0</v>
      </c>
      <c r="H11" s="299">
        <v>3898.8402350993329</v>
      </c>
      <c r="I11" s="299">
        <v>0</v>
      </c>
      <c r="J11" s="299">
        <v>28927.053678166543</v>
      </c>
      <c r="K11" s="299">
        <v>17540.52843931222</v>
      </c>
      <c r="L11" s="299">
        <v>222.36374553355554</v>
      </c>
      <c r="M11" s="299">
        <v>19113.845353661211</v>
      </c>
      <c r="N11" s="299">
        <f t="shared" si="1"/>
        <v>0</v>
      </c>
      <c r="O11" s="71">
        <v>71117.877478401759</v>
      </c>
    </row>
    <row r="12" spans="2:15">
      <c r="B12" s="298" t="s">
        <v>10</v>
      </c>
      <c r="C12" s="299">
        <v>0</v>
      </c>
      <c r="D12" s="299">
        <v>0</v>
      </c>
      <c r="E12" s="299">
        <v>0</v>
      </c>
      <c r="F12" s="299">
        <v>2386.9938749999997</v>
      </c>
      <c r="G12" s="299">
        <v>0</v>
      </c>
      <c r="H12" s="299">
        <v>0</v>
      </c>
      <c r="I12" s="299">
        <v>22420.972125</v>
      </c>
      <c r="J12" s="299">
        <v>6418.4211249999989</v>
      </c>
      <c r="K12" s="299">
        <v>7.086125</v>
      </c>
      <c r="L12" s="299">
        <v>67.828249999999997</v>
      </c>
      <c r="M12" s="299">
        <v>6736.946750000001</v>
      </c>
      <c r="N12" s="299">
        <f t="shared" si="1"/>
        <v>1.2499999138526618E-4</v>
      </c>
      <c r="O12" s="71">
        <v>38038.248374999996</v>
      </c>
    </row>
    <row r="13" spans="2:15">
      <c r="B13" s="298" t="s">
        <v>11</v>
      </c>
      <c r="C13" s="299">
        <v>0</v>
      </c>
      <c r="D13" s="299">
        <v>0</v>
      </c>
      <c r="E13" s="299">
        <v>0</v>
      </c>
      <c r="F13" s="299">
        <v>0</v>
      </c>
      <c r="G13" s="299">
        <v>46.6</v>
      </c>
      <c r="H13" s="299">
        <v>87.6</v>
      </c>
      <c r="I13" s="299">
        <v>11506.3</v>
      </c>
      <c r="J13" s="299">
        <v>488.4</v>
      </c>
      <c r="K13" s="299">
        <v>2967.2</v>
      </c>
      <c r="L13" s="299">
        <v>6.1</v>
      </c>
      <c r="M13" s="299">
        <v>4960.8999999999996</v>
      </c>
      <c r="N13" s="299">
        <f t="shared" si="0"/>
        <v>0</v>
      </c>
      <c r="O13" s="71">
        <v>20063.099999999999</v>
      </c>
    </row>
    <row r="14" spans="2:15">
      <c r="B14" s="298" t="s">
        <v>12</v>
      </c>
      <c r="C14" s="299">
        <v>0</v>
      </c>
      <c r="D14" s="299">
        <v>0</v>
      </c>
      <c r="E14" s="299">
        <v>0</v>
      </c>
      <c r="F14" s="299">
        <v>634.67500000000007</v>
      </c>
      <c r="G14" s="299">
        <v>0</v>
      </c>
      <c r="H14" s="299">
        <v>0</v>
      </c>
      <c r="I14" s="299">
        <v>2936.5125000000003</v>
      </c>
      <c r="J14" s="299">
        <v>41</v>
      </c>
      <c r="K14" s="299">
        <v>615.33749999999998</v>
      </c>
      <c r="L14" s="299">
        <v>24.924999999999997</v>
      </c>
      <c r="M14" s="299">
        <v>5895.4125000000004</v>
      </c>
      <c r="N14" s="299">
        <f t="shared" ref="N14" si="2">O14-SUM(C14:M14)</f>
        <v>0</v>
      </c>
      <c r="O14" s="71">
        <v>10147.862499999999</v>
      </c>
    </row>
    <row r="16" spans="2:15">
      <c r="C16" s="298" t="s">
        <v>386</v>
      </c>
      <c r="D16" s="298" t="s">
        <v>376</v>
      </c>
      <c r="E16" s="298" t="s">
        <v>19</v>
      </c>
      <c r="G16" s="298" t="s">
        <v>377</v>
      </c>
      <c r="K16" s="298" t="s">
        <v>377</v>
      </c>
    </row>
    <row r="17" spans="2:13">
      <c r="B17" s="298" t="s">
        <v>378</v>
      </c>
      <c r="C17" s="71">
        <f>SUM(C2:G2)</f>
        <v>196.238</v>
      </c>
      <c r="D17" s="71">
        <f>SUM(H2:N2)</f>
        <v>2168.2470000000003</v>
      </c>
      <c r="E17" s="71">
        <f>O2</f>
        <v>2364.4850000000001</v>
      </c>
      <c r="G17" s="219">
        <f>C17/E17</f>
        <v>8.2993971203031522E-2</v>
      </c>
      <c r="H17" s="298" t="s">
        <v>378</v>
      </c>
      <c r="I17" s="185">
        <f>G17-$G$34</f>
        <v>3.5347237802317993E-2</v>
      </c>
      <c r="K17" s="219">
        <v>8.1948041099323368E-2</v>
      </c>
      <c r="M17" s="185">
        <v>2.0721356444639898E-2</v>
      </c>
    </row>
    <row r="18" spans="2:13">
      <c r="B18" s="298" t="s">
        <v>43</v>
      </c>
      <c r="C18" s="71">
        <f t="shared" ref="C18:C29" si="3">SUM(C3:G3)</f>
        <v>1546.9</v>
      </c>
      <c r="D18" s="71">
        <f t="shared" ref="D18:D29" si="4">SUM(H3:N3)</f>
        <v>24497.200000000001</v>
      </c>
      <c r="E18" s="71">
        <f t="shared" ref="E18:E29" si="5">O3</f>
        <v>26044.1</v>
      </c>
      <c r="G18" s="219">
        <f t="shared" ref="G18:G29" si="6">C18/E18</f>
        <v>5.9395410092880928E-2</v>
      </c>
      <c r="H18" s="298" t="s">
        <v>43</v>
      </c>
      <c r="I18" s="301">
        <f t="shared" ref="I18:I29" si="7">G18-$G$34</f>
        <v>1.1748676692167399E-2</v>
      </c>
      <c r="K18" s="219">
        <v>0.11098922594824313</v>
      </c>
      <c r="M18" s="185">
        <v>4.9762541293559663E-2</v>
      </c>
    </row>
    <row r="19" spans="2:13">
      <c r="B19" s="298" t="s">
        <v>411</v>
      </c>
      <c r="C19" s="71">
        <f t="shared" si="3"/>
        <v>137.92933042654818</v>
      </c>
      <c r="D19" s="71">
        <f t="shared" si="4"/>
        <v>2088.2429825785939</v>
      </c>
      <c r="E19" s="71">
        <f t="shared" si="5"/>
        <v>2226.1723130051419</v>
      </c>
      <c r="G19" s="219">
        <f t="shared" si="6"/>
        <v>6.1958065699036301E-2</v>
      </c>
      <c r="H19" s="298" t="s">
        <v>411</v>
      </c>
      <c r="I19" s="185">
        <f t="shared" si="7"/>
        <v>1.4311332298322772E-2</v>
      </c>
      <c r="K19" s="219">
        <v>6.1800268696820419E-2</v>
      </c>
      <c r="M19" s="185">
        <v>5.7358404213694869E-4</v>
      </c>
    </row>
    <row r="20" spans="2:13">
      <c r="B20" s="298" t="s">
        <v>46</v>
      </c>
      <c r="C20" s="71">
        <f t="shared" si="3"/>
        <v>1769.4859999999999</v>
      </c>
      <c r="D20" s="71">
        <f t="shared" si="4"/>
        <v>21617.832999999999</v>
      </c>
      <c r="E20" s="71">
        <f t="shared" si="5"/>
        <v>23387.318999999996</v>
      </c>
      <c r="G20" s="219">
        <f t="shared" si="6"/>
        <v>7.5660061762530373E-2</v>
      </c>
      <c r="H20" s="298" t="s">
        <v>46</v>
      </c>
      <c r="I20" s="301">
        <f t="shared" si="7"/>
        <v>2.8013328361816844E-2</v>
      </c>
      <c r="K20" s="219">
        <v>0.13800615069195285</v>
      </c>
      <c r="M20" s="185">
        <v>7.6779466037269373E-2</v>
      </c>
    </row>
    <row r="21" spans="2:13">
      <c r="B21" s="298" t="s">
        <v>48</v>
      </c>
      <c r="C21" s="71">
        <f t="shared" si="3"/>
        <v>1132.2460000000001</v>
      </c>
      <c r="D21" s="71">
        <f t="shared" si="4"/>
        <v>33970.084000000003</v>
      </c>
      <c r="E21" s="71">
        <f t="shared" si="5"/>
        <v>35102.33</v>
      </c>
      <c r="G21" s="219">
        <f t="shared" si="6"/>
        <v>3.2255579615370261E-2</v>
      </c>
      <c r="H21" s="298" t="s">
        <v>48</v>
      </c>
      <c r="I21" s="302">
        <f t="shared" si="7"/>
        <v>-1.5391153785343267E-2</v>
      </c>
      <c r="K21" s="219">
        <v>9.2798218822253309E-2</v>
      </c>
      <c r="M21" s="185">
        <v>3.1571534167569838E-2</v>
      </c>
    </row>
    <row r="22" spans="2:13">
      <c r="B22" s="298" t="s">
        <v>50</v>
      </c>
      <c r="C22" s="71">
        <f t="shared" si="3"/>
        <v>11278.320088603108</v>
      </c>
      <c r="D22" s="71">
        <f t="shared" si="4"/>
        <v>140301.60273548253</v>
      </c>
      <c r="E22" s="71">
        <f t="shared" si="5"/>
        <v>151579.92282408563</v>
      </c>
      <c r="G22" s="219">
        <f t="shared" si="6"/>
        <v>7.4405105098859531E-2</v>
      </c>
      <c r="H22" s="298" t="s">
        <v>50</v>
      </c>
      <c r="I22" s="302">
        <f t="shared" si="7"/>
        <v>2.6758371698146002E-2</v>
      </c>
      <c r="K22" s="219">
        <v>0.10289760294178762</v>
      </c>
      <c r="M22" s="185">
        <v>4.1670918287104154E-2</v>
      </c>
    </row>
    <row r="23" spans="2:13">
      <c r="B23" s="298" t="s">
        <v>52</v>
      </c>
      <c r="C23" s="71">
        <f t="shared" si="3"/>
        <v>9708.3719999999994</v>
      </c>
      <c r="D23" s="71">
        <f t="shared" si="4"/>
        <v>166916.609</v>
      </c>
      <c r="E23" s="71">
        <f t="shared" si="5"/>
        <v>176624.981</v>
      </c>
      <c r="G23" s="219">
        <f t="shared" si="6"/>
        <v>5.4966018651687779E-2</v>
      </c>
      <c r="H23" s="298" t="s">
        <v>52</v>
      </c>
      <c r="I23" s="301">
        <f t="shared" si="7"/>
        <v>7.3192852509742501E-3</v>
      </c>
      <c r="K23" s="219">
        <v>8.1525885558583103E-2</v>
      </c>
      <c r="M23" s="185">
        <v>2.0299200903899632E-2</v>
      </c>
    </row>
    <row r="24" spans="2:13">
      <c r="B24" s="298" t="s">
        <v>54</v>
      </c>
      <c r="C24" s="71">
        <f t="shared" si="3"/>
        <v>293.41772374999999</v>
      </c>
      <c r="D24" s="71">
        <f t="shared" si="4"/>
        <v>4159.9585499689802</v>
      </c>
      <c r="E24" s="71">
        <f t="shared" si="5"/>
        <v>4453.37627371898</v>
      </c>
      <c r="G24" s="219">
        <f t="shared" si="6"/>
        <v>6.5886578118621253E-2</v>
      </c>
      <c r="H24" s="298" t="s">
        <v>54</v>
      </c>
      <c r="I24" s="185">
        <f t="shared" si="7"/>
        <v>1.8239844717907724E-2</v>
      </c>
      <c r="K24" s="219">
        <v>6.7546764551745964E-2</v>
      </c>
      <c r="M24" s="185">
        <v>6.320079897062493E-3</v>
      </c>
    </row>
    <row r="25" spans="2:13">
      <c r="B25" s="298" t="s">
        <v>56</v>
      </c>
      <c r="C25" s="71">
        <f t="shared" si="3"/>
        <v>3158.4036523714585</v>
      </c>
      <c r="D25" s="71">
        <f t="shared" si="4"/>
        <v>65355.400425907501</v>
      </c>
      <c r="E25" s="71">
        <f t="shared" si="5"/>
        <v>68513.804078278947</v>
      </c>
      <c r="G25" s="219">
        <f t="shared" si="6"/>
        <v>4.6098792715740813E-2</v>
      </c>
      <c r="H25" s="298" t="s">
        <v>56</v>
      </c>
      <c r="I25" s="185">
        <f t="shared" si="7"/>
        <v>-1.5479406849727151E-3</v>
      </c>
      <c r="K25" s="219">
        <v>4.6074043938161106E-2</v>
      </c>
      <c r="M25" s="185">
        <v>-1.5152640716522364E-2</v>
      </c>
    </row>
    <row r="26" spans="2:13">
      <c r="B26" s="298" t="s">
        <v>58</v>
      </c>
      <c r="C26" s="71">
        <f t="shared" si="3"/>
        <v>1415.2460266288888</v>
      </c>
      <c r="D26" s="71">
        <f t="shared" si="4"/>
        <v>69702.631451772861</v>
      </c>
      <c r="E26" s="71">
        <f t="shared" si="5"/>
        <v>71117.877478401759</v>
      </c>
      <c r="G26" s="219">
        <f t="shared" si="6"/>
        <v>1.9900003723517957E-2</v>
      </c>
      <c r="H26" s="298" t="s">
        <v>58</v>
      </c>
      <c r="I26" s="185">
        <f t="shared" si="7"/>
        <v>-2.7746729677195572E-2</v>
      </c>
      <c r="K26" s="219">
        <v>7.5370027498558742E-2</v>
      </c>
      <c r="M26" s="185">
        <v>1.4143342843875271E-2</v>
      </c>
    </row>
    <row r="27" spans="2:13">
      <c r="B27" s="298" t="s">
        <v>410</v>
      </c>
      <c r="C27" s="71">
        <f t="shared" si="3"/>
        <v>2386.9938749999997</v>
      </c>
      <c r="D27" s="71">
        <f t="shared" si="4"/>
        <v>35651.254499999995</v>
      </c>
      <c r="E27" s="71">
        <f t="shared" si="5"/>
        <v>38038.248374999996</v>
      </c>
      <c r="G27" s="219">
        <f t="shared" si="6"/>
        <v>6.2752465662136311E-2</v>
      </c>
      <c r="H27" s="298" t="s">
        <v>410</v>
      </c>
      <c r="I27" s="185">
        <f t="shared" si="7"/>
        <v>1.5105732261422783E-2</v>
      </c>
      <c r="K27" s="219">
        <v>6.3444490823312466E-2</v>
      </c>
      <c r="M27" s="185">
        <v>2.2178061686289954E-3</v>
      </c>
    </row>
    <row r="28" spans="2:13">
      <c r="B28" s="298" t="s">
        <v>379</v>
      </c>
      <c r="C28" s="71">
        <f t="shared" si="3"/>
        <v>46.6</v>
      </c>
      <c r="D28" s="71">
        <f t="shared" si="4"/>
        <v>20016.5</v>
      </c>
      <c r="E28" s="71">
        <f t="shared" si="5"/>
        <v>20063.099999999999</v>
      </c>
      <c r="G28" s="219">
        <f t="shared" si="6"/>
        <v>2.3226719699348556E-3</v>
      </c>
      <c r="H28" s="298" t="s">
        <v>379</v>
      </c>
      <c r="I28" s="185">
        <f t="shared" si="7"/>
        <v>-4.5324061430778675E-2</v>
      </c>
      <c r="K28" s="219">
        <v>6.7176964462834768E-3</v>
      </c>
      <c r="M28" s="185">
        <v>-5.4508988208399993E-2</v>
      </c>
    </row>
    <row r="29" spans="2:13">
      <c r="B29" s="298" t="s">
        <v>62</v>
      </c>
      <c r="C29" s="71">
        <f t="shared" si="3"/>
        <v>634.67500000000007</v>
      </c>
      <c r="D29" s="71">
        <f t="shared" si="4"/>
        <v>9513.1875</v>
      </c>
      <c r="E29" s="71">
        <f t="shared" si="5"/>
        <v>10147.862499999999</v>
      </c>
      <c r="G29" s="219">
        <f t="shared" si="6"/>
        <v>6.2542727594111586E-2</v>
      </c>
      <c r="H29" s="298" t="s">
        <v>62</v>
      </c>
      <c r="I29" s="185">
        <f t="shared" si="7"/>
        <v>1.4895994193398057E-2</v>
      </c>
      <c r="K29" s="219">
        <v>5.944459231656464E-2</v>
      </c>
      <c r="M29" s="185">
        <v>-1.7820923381188306E-3</v>
      </c>
    </row>
    <row r="30" spans="2:13">
      <c r="G30" s="185"/>
      <c r="K30" s="185"/>
    </row>
    <row r="31" spans="2:13">
      <c r="B31" s="298" t="s">
        <v>380</v>
      </c>
      <c r="G31" s="185">
        <f>AVERAGE(G17:G29)</f>
        <v>5.3933650146727657E-2</v>
      </c>
      <c r="K31" s="185">
        <v>7.604330841027615E-2</v>
      </c>
    </row>
    <row r="32" spans="2:13">
      <c r="B32" s="298" t="s">
        <v>381</v>
      </c>
      <c r="G32" s="254">
        <f>AVERAGE(G19,G25,G26,G27,G29)</f>
        <v>5.0650411078908594E-2</v>
      </c>
      <c r="K32" s="185">
        <v>6.1226684654683471E-2</v>
      </c>
    </row>
    <row r="34" spans="2:7">
      <c r="B34" s="298" t="s">
        <v>382</v>
      </c>
      <c r="G34" s="254">
        <f>G44</f>
        <v>4.7646733400713528E-2</v>
      </c>
    </row>
    <row r="36" spans="2:7">
      <c r="B36" s="298" t="s">
        <v>383</v>
      </c>
    </row>
    <row r="37" spans="2:7">
      <c r="E37" s="298" t="s">
        <v>384</v>
      </c>
    </row>
    <row r="38" spans="2:7">
      <c r="B38" s="298" t="s">
        <v>44</v>
      </c>
      <c r="C38" s="254">
        <f>E38/E44</f>
        <v>9.8930823066069248E-2</v>
      </c>
      <c r="E38" s="71">
        <v>322735</v>
      </c>
      <c r="G38" s="254">
        <f>C38*G19</f>
        <v>6.1295624351872541E-3</v>
      </c>
    </row>
    <row r="39" spans="2:7">
      <c r="B39" s="298" t="s">
        <v>55</v>
      </c>
      <c r="C39" s="254">
        <f>E39/$E$44</f>
        <v>0.23110364109938328</v>
      </c>
      <c r="E39" s="71">
        <v>753913</v>
      </c>
      <c r="G39" s="254">
        <f>C39*G25</f>
        <v>1.0653598846893429E-2</v>
      </c>
    </row>
    <row r="40" spans="2:7">
      <c r="B40" s="298" t="s">
        <v>58</v>
      </c>
      <c r="C40" s="254">
        <f t="shared" ref="C40:C42" si="8">E40/$E$44</f>
        <v>0.25987323391460254</v>
      </c>
      <c r="E40" s="71">
        <v>847766</v>
      </c>
      <c r="G40" s="254">
        <f>C40*G26</f>
        <v>5.1714783225432432E-3</v>
      </c>
    </row>
    <row r="41" spans="2:7">
      <c r="B41" s="298" t="s">
        <v>385</v>
      </c>
      <c r="C41" s="254">
        <f t="shared" si="8"/>
        <v>0.20884462740046758</v>
      </c>
      <c r="E41" s="71">
        <v>681299</v>
      </c>
      <c r="G41" s="254">
        <f>C41*G27</f>
        <v>1.3105515309669495E-2</v>
      </c>
    </row>
    <row r="42" spans="2:7">
      <c r="B42" s="298" t="s">
        <v>62</v>
      </c>
      <c r="C42" s="254">
        <f t="shared" si="8"/>
        <v>0.20124767451947734</v>
      </c>
      <c r="E42" s="71">
        <v>656516</v>
      </c>
      <c r="G42" s="254">
        <f>C42*G29</f>
        <v>1.2586578486420103E-2</v>
      </c>
    </row>
    <row r="44" spans="2:7">
      <c r="E44" s="71">
        <f>SUM(E38:E42)</f>
        <v>3262229</v>
      </c>
      <c r="G44" s="254">
        <f>SUM(G38:G42)</f>
        <v>4.7646733400713528E-2</v>
      </c>
    </row>
  </sheetData>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5" tint="-0.249977111117893"/>
  </sheetPr>
  <dimension ref="B1:O44"/>
  <sheetViews>
    <sheetView workbookViewId="0">
      <selection activeCell="P40" sqref="P40"/>
    </sheetView>
  </sheetViews>
  <sheetFormatPr defaultColWidth="8.7109375" defaultRowHeight="15"/>
  <cols>
    <col min="1" max="2" width="8.7109375" style="298"/>
    <col min="3" max="3" width="10.28515625" style="298" bestFit="1" customWidth="1"/>
    <col min="4" max="4" width="11.28515625" style="298" bestFit="1" customWidth="1"/>
    <col min="5" max="14" width="8.7109375" style="298"/>
    <col min="15" max="15" width="11.28515625" style="298" bestFit="1" customWidth="1"/>
    <col min="16" max="16384" width="8.7109375" style="298"/>
  </cols>
  <sheetData>
    <row r="1" spans="2:15">
      <c r="C1" s="298" t="s">
        <v>364</v>
      </c>
      <c r="D1" s="298" t="s">
        <v>365</v>
      </c>
      <c r="E1" s="298" t="s">
        <v>366</v>
      </c>
      <c r="F1" s="298" t="s">
        <v>367</v>
      </c>
      <c r="G1" s="298" t="s">
        <v>368</v>
      </c>
      <c r="H1" s="298" t="s">
        <v>369</v>
      </c>
      <c r="I1" s="298" t="s">
        <v>370</v>
      </c>
      <c r="J1" s="298" t="s">
        <v>371</v>
      </c>
      <c r="K1" s="298" t="s">
        <v>372</v>
      </c>
      <c r="L1" s="298" t="s">
        <v>373</v>
      </c>
      <c r="M1" s="298" t="s">
        <v>374</v>
      </c>
      <c r="N1" s="298" t="s">
        <v>375</v>
      </c>
      <c r="O1" s="298" t="s">
        <v>19</v>
      </c>
    </row>
    <row r="2" spans="2:15">
      <c r="B2" s="298" t="s">
        <v>0</v>
      </c>
      <c r="C2" s="299">
        <v>0</v>
      </c>
      <c r="D2" s="299">
        <v>5.9989999999999997</v>
      </c>
      <c r="E2" s="299">
        <v>0</v>
      </c>
      <c r="F2" s="299">
        <v>0</v>
      </c>
      <c r="G2" s="299">
        <v>0</v>
      </c>
      <c r="H2" s="299">
        <v>0</v>
      </c>
      <c r="I2" s="299">
        <v>3.0019999999999998</v>
      </c>
      <c r="J2" s="299">
        <v>0</v>
      </c>
      <c r="K2" s="299">
        <v>1480.595</v>
      </c>
      <c r="L2" s="299">
        <v>0</v>
      </c>
      <c r="M2" s="299">
        <v>1296.704</v>
      </c>
      <c r="N2" s="300">
        <f>SUM(C2:M2)-O2</f>
        <v>0</v>
      </c>
      <c r="O2" s="71">
        <v>2786.2999999999997</v>
      </c>
    </row>
    <row r="3" spans="2:15">
      <c r="B3" s="298" t="s">
        <v>1</v>
      </c>
      <c r="C3" s="299">
        <v>0</v>
      </c>
      <c r="D3" s="299">
        <v>619.70000000000005</v>
      </c>
      <c r="E3" s="299">
        <v>0</v>
      </c>
      <c r="F3" s="299">
        <v>9.3480000000000008</v>
      </c>
      <c r="G3" s="299">
        <v>0</v>
      </c>
      <c r="H3" s="299">
        <v>797.6</v>
      </c>
      <c r="I3" s="299">
        <v>0.01</v>
      </c>
      <c r="J3" s="299">
        <v>0</v>
      </c>
      <c r="K3" s="299">
        <v>7928</v>
      </c>
      <c r="L3" s="299">
        <v>95.73</v>
      </c>
      <c r="M3" s="299">
        <v>5777</v>
      </c>
      <c r="N3" s="300">
        <f t="shared" ref="N3:N13" si="0">SUM(C3:M3)-O3</f>
        <v>0</v>
      </c>
      <c r="O3" s="71">
        <v>15227.388000000001</v>
      </c>
    </row>
    <row r="4" spans="2:15">
      <c r="B4" s="298" t="s">
        <v>2</v>
      </c>
      <c r="C4" s="299">
        <v>0</v>
      </c>
      <c r="D4" s="299">
        <v>0</v>
      </c>
      <c r="E4" s="299">
        <v>0</v>
      </c>
      <c r="F4" s="299">
        <v>48.502279604002773</v>
      </c>
      <c r="G4" s="299">
        <v>0</v>
      </c>
      <c r="H4" s="299">
        <v>0</v>
      </c>
      <c r="I4" s="299">
        <v>113.24935439787068</v>
      </c>
      <c r="J4" s="299">
        <v>0</v>
      </c>
      <c r="K4" s="299">
        <v>1162.7459527031351</v>
      </c>
      <c r="L4" s="299">
        <v>0</v>
      </c>
      <c r="M4" s="299">
        <v>568.59626442038245</v>
      </c>
      <c r="N4" s="300">
        <f t="shared" si="0"/>
        <v>0</v>
      </c>
      <c r="O4" s="71">
        <v>1893.0938511253912</v>
      </c>
    </row>
    <row r="5" spans="2:15">
      <c r="B5" s="298" t="s">
        <v>3</v>
      </c>
      <c r="C5" s="299">
        <v>0</v>
      </c>
      <c r="D5" s="299">
        <v>124.71599999999999</v>
      </c>
      <c r="E5" s="299">
        <v>0</v>
      </c>
      <c r="F5" s="299">
        <v>28.364000000000001</v>
      </c>
      <c r="G5" s="299">
        <v>0</v>
      </c>
      <c r="H5" s="299">
        <v>184.73099999999999</v>
      </c>
      <c r="I5" s="299">
        <v>352.77100000000002</v>
      </c>
      <c r="J5" s="299">
        <v>0</v>
      </c>
      <c r="K5" s="299">
        <v>3915.701</v>
      </c>
      <c r="L5" s="299">
        <v>0</v>
      </c>
      <c r="M5" s="299">
        <v>7498.3869999999997</v>
      </c>
      <c r="N5" s="300">
        <f t="shared" si="0"/>
        <v>0</v>
      </c>
      <c r="O5" s="71">
        <v>12104.67</v>
      </c>
    </row>
    <row r="6" spans="2:15">
      <c r="B6" s="298" t="s">
        <v>4</v>
      </c>
      <c r="C6" s="299">
        <v>0</v>
      </c>
      <c r="D6" s="299">
        <v>12.742000000000001</v>
      </c>
      <c r="E6" s="299">
        <v>138.995</v>
      </c>
      <c r="F6" s="299">
        <v>0</v>
      </c>
      <c r="G6" s="299">
        <v>0</v>
      </c>
      <c r="H6" s="299">
        <v>891.53099999999995</v>
      </c>
      <c r="I6" s="299">
        <v>0</v>
      </c>
      <c r="J6" s="299">
        <v>0</v>
      </c>
      <c r="K6" s="299">
        <v>5406.8280000000004</v>
      </c>
      <c r="L6" s="299">
        <v>0</v>
      </c>
      <c r="M6" s="299">
        <v>10544.615</v>
      </c>
      <c r="N6" s="300">
        <f t="shared" si="0"/>
        <v>0</v>
      </c>
      <c r="O6" s="71">
        <v>16994.710999999996</v>
      </c>
    </row>
    <row r="7" spans="2:15">
      <c r="B7" s="298" t="s">
        <v>5</v>
      </c>
      <c r="C7" s="299">
        <v>0</v>
      </c>
      <c r="D7" s="299">
        <v>9.17101891052301</v>
      </c>
      <c r="E7" s="299">
        <v>0</v>
      </c>
      <c r="F7" s="299">
        <v>17.6928720863039</v>
      </c>
      <c r="G7" s="299">
        <v>0</v>
      </c>
      <c r="H7" s="299">
        <v>52.0387651379624</v>
      </c>
      <c r="I7" s="299">
        <v>655.04883378813804</v>
      </c>
      <c r="J7" s="299">
        <v>16.478653233909601</v>
      </c>
      <c r="K7" s="299">
        <v>1651.3523659391899</v>
      </c>
      <c r="L7" s="299">
        <v>0.28232956183679903</v>
      </c>
      <c r="M7" s="299">
        <v>6101.4881657411197</v>
      </c>
      <c r="N7" s="300">
        <f t="shared" si="0"/>
        <v>0</v>
      </c>
      <c r="O7" s="71">
        <v>8503.553004398982</v>
      </c>
    </row>
    <row r="8" spans="2:15">
      <c r="B8" s="298" t="s">
        <v>6</v>
      </c>
      <c r="C8" s="299">
        <v>0</v>
      </c>
      <c r="D8" s="299">
        <v>9.8000000000000007</v>
      </c>
      <c r="E8" s="299">
        <v>0</v>
      </c>
      <c r="F8" s="299">
        <v>27.4</v>
      </c>
      <c r="G8" s="299">
        <v>0</v>
      </c>
      <c r="H8" s="299">
        <v>46.4</v>
      </c>
      <c r="I8" s="299">
        <v>300.10000000000002</v>
      </c>
      <c r="J8" s="299">
        <v>38.9</v>
      </c>
      <c r="K8" s="299">
        <v>1977.3</v>
      </c>
      <c r="L8" s="299">
        <v>0</v>
      </c>
      <c r="M8" s="299">
        <v>4455.8999999999996</v>
      </c>
      <c r="N8" s="300">
        <f t="shared" si="0"/>
        <v>0</v>
      </c>
      <c r="O8" s="71">
        <v>6855.7999999999993</v>
      </c>
    </row>
    <row r="9" spans="2:15">
      <c r="B9" s="298" t="s">
        <v>7</v>
      </c>
      <c r="C9" s="299">
        <v>0</v>
      </c>
      <c r="D9" s="299">
        <v>0</v>
      </c>
      <c r="E9" s="299">
        <v>0</v>
      </c>
      <c r="F9" s="299">
        <v>13.339105</v>
      </c>
      <c r="G9" s="299">
        <v>0</v>
      </c>
      <c r="H9" s="299">
        <v>0</v>
      </c>
      <c r="I9" s="299">
        <v>489.30326351031169</v>
      </c>
      <c r="J9" s="299">
        <v>0.41437374999999999</v>
      </c>
      <c r="K9" s="299">
        <v>51.354693851787509</v>
      </c>
      <c r="L9" s="299">
        <v>18.064295881497497</v>
      </c>
      <c r="M9" s="299">
        <v>915.80509999999992</v>
      </c>
      <c r="N9" s="300">
        <f t="shared" si="0"/>
        <v>0</v>
      </c>
      <c r="O9" s="71">
        <v>1488.2808319935966</v>
      </c>
    </row>
    <row r="10" spans="2:15">
      <c r="B10" s="298" t="s">
        <v>8</v>
      </c>
      <c r="C10" s="299">
        <v>0</v>
      </c>
      <c r="D10" s="299">
        <v>0</v>
      </c>
      <c r="E10" s="299">
        <v>0</v>
      </c>
      <c r="F10" s="299">
        <v>2.7092640738164961</v>
      </c>
      <c r="G10" s="299">
        <v>0</v>
      </c>
      <c r="H10" s="299">
        <v>0</v>
      </c>
      <c r="I10" s="299">
        <v>1263.4346341401315</v>
      </c>
      <c r="J10" s="299">
        <v>58.825721599357472</v>
      </c>
      <c r="K10" s="299">
        <v>17.26021647980723</v>
      </c>
      <c r="L10" s="299">
        <v>0</v>
      </c>
      <c r="M10" s="299">
        <v>2992.0410728044562</v>
      </c>
      <c r="N10" s="300">
        <f t="shared" ref="N10:N12" si="1">SUM(C10:M10)-O10</f>
        <v>0</v>
      </c>
      <c r="O10" s="71">
        <v>4334.2709090975695</v>
      </c>
    </row>
    <row r="11" spans="2:15">
      <c r="B11" s="298" t="s">
        <v>9</v>
      </c>
      <c r="C11" s="299">
        <v>0</v>
      </c>
      <c r="D11" s="299">
        <v>0</v>
      </c>
      <c r="E11" s="299">
        <v>0</v>
      </c>
      <c r="F11" s="299">
        <v>42.465529608888886</v>
      </c>
      <c r="G11" s="299">
        <v>0</v>
      </c>
      <c r="H11" s="299">
        <v>135.05376014422225</v>
      </c>
      <c r="I11" s="299">
        <v>0</v>
      </c>
      <c r="J11" s="299">
        <v>52.751943025666662</v>
      </c>
      <c r="K11" s="299">
        <v>3455.2932799706668</v>
      </c>
      <c r="L11" s="299">
        <v>89.946394113555542</v>
      </c>
      <c r="M11" s="299">
        <v>11841.950416723841</v>
      </c>
      <c r="N11" s="300">
        <f t="shared" si="1"/>
        <v>0</v>
      </c>
      <c r="O11" s="71">
        <v>15617.461323586838</v>
      </c>
    </row>
    <row r="12" spans="2:15">
      <c r="B12" s="298" t="s">
        <v>10</v>
      </c>
      <c r="C12" s="299">
        <v>0</v>
      </c>
      <c r="D12" s="299">
        <v>0</v>
      </c>
      <c r="E12" s="299">
        <v>0</v>
      </c>
      <c r="F12" s="299">
        <v>4.7341250000000006</v>
      </c>
      <c r="G12" s="299">
        <v>0</v>
      </c>
      <c r="H12" s="299">
        <v>0</v>
      </c>
      <c r="I12" s="299">
        <v>1464.53675</v>
      </c>
      <c r="J12" s="299">
        <v>21.600249999999999</v>
      </c>
      <c r="K12" s="299">
        <v>1.1956250000000002</v>
      </c>
      <c r="L12" s="299">
        <v>1.9001249999999998</v>
      </c>
      <c r="M12" s="299">
        <v>3201.79</v>
      </c>
      <c r="N12" s="300">
        <f t="shared" si="1"/>
        <v>0</v>
      </c>
      <c r="O12" s="71">
        <v>4695.756875</v>
      </c>
    </row>
    <row r="13" spans="2:15">
      <c r="B13" s="298" t="s">
        <v>11</v>
      </c>
      <c r="C13" s="299">
        <v>0</v>
      </c>
      <c r="D13" s="299">
        <v>0</v>
      </c>
      <c r="E13" s="299">
        <v>0</v>
      </c>
      <c r="F13" s="299">
        <v>0</v>
      </c>
      <c r="G13" s="299">
        <v>0</v>
      </c>
      <c r="H13" s="299">
        <v>68.8</v>
      </c>
      <c r="I13" s="299">
        <v>522.4</v>
      </c>
      <c r="J13" s="299">
        <v>5.9</v>
      </c>
      <c r="K13" s="299">
        <v>620.20000000000005</v>
      </c>
      <c r="L13" s="299">
        <v>0.1</v>
      </c>
      <c r="M13" s="299">
        <v>1215.4000000000001</v>
      </c>
      <c r="N13" s="300">
        <f t="shared" si="0"/>
        <v>-0.681999999999789</v>
      </c>
      <c r="O13" s="71">
        <v>2433.482</v>
      </c>
    </row>
    <row r="14" spans="2:15">
      <c r="B14" s="298" t="s">
        <v>12</v>
      </c>
      <c r="C14" s="299">
        <v>0</v>
      </c>
      <c r="D14" s="299">
        <v>0</v>
      </c>
      <c r="E14" s="299">
        <v>0</v>
      </c>
      <c r="F14" s="299">
        <v>3.9750000000000001</v>
      </c>
      <c r="G14" s="299">
        <v>0</v>
      </c>
      <c r="H14" s="299">
        <v>0</v>
      </c>
      <c r="I14" s="299">
        <v>723.40000000000009</v>
      </c>
      <c r="J14" s="299">
        <v>0</v>
      </c>
      <c r="K14" s="299">
        <v>167.5625</v>
      </c>
      <c r="L14" s="299">
        <v>2.5625</v>
      </c>
      <c r="M14" s="299">
        <v>1579.9625000000001</v>
      </c>
      <c r="N14" s="300">
        <f t="shared" ref="N14" si="2">SUM(C14:M14)-O14</f>
        <v>0</v>
      </c>
      <c r="O14" s="71">
        <v>2477.4624999999996</v>
      </c>
    </row>
    <row r="16" spans="2:15">
      <c r="C16" s="298" t="s">
        <v>386</v>
      </c>
      <c r="D16" s="298" t="s">
        <v>376</v>
      </c>
      <c r="E16" s="298" t="s">
        <v>19</v>
      </c>
      <c r="G16" s="298" t="s">
        <v>377</v>
      </c>
      <c r="K16" s="298" t="s">
        <v>377</v>
      </c>
    </row>
    <row r="17" spans="2:13">
      <c r="B17" s="298" t="s">
        <v>0</v>
      </c>
      <c r="C17" s="71">
        <f>SUM(C2:G2)</f>
        <v>5.9989999999999997</v>
      </c>
      <c r="D17" s="71">
        <f>SUM(H2:N2)</f>
        <v>2780.3009999999999</v>
      </c>
      <c r="E17" s="71">
        <f>O2</f>
        <v>2786.2999999999997</v>
      </c>
      <c r="G17" s="219">
        <f>C17/E17</f>
        <v>2.1530344901841154E-3</v>
      </c>
      <c r="I17" s="185">
        <f>G17-$G$32</f>
        <v>-4.1624579638546025E-3</v>
      </c>
      <c r="K17" s="219">
        <v>1.1135857461024498E-3</v>
      </c>
      <c r="M17" s="185">
        <v>-9.0689244725218245E-3</v>
      </c>
    </row>
    <row r="18" spans="2:13">
      <c r="B18" s="298" t="s">
        <v>1</v>
      </c>
      <c r="C18" s="71">
        <f t="shared" ref="C18:C29" si="3">SUM(C3:G3)</f>
        <v>629.048</v>
      </c>
      <c r="D18" s="71">
        <f t="shared" ref="D18:D29" si="4">SUM(H3:N3)</f>
        <v>14598.34</v>
      </c>
      <c r="E18" s="71">
        <f t="shared" ref="E18:E29" si="5">O3</f>
        <v>15227.388000000001</v>
      </c>
      <c r="G18" s="219">
        <f t="shared" ref="G18:G29" si="6">C18/E18</f>
        <v>4.1310302200219758E-2</v>
      </c>
      <c r="I18" s="185">
        <f t="shared" ref="I18:I29" si="7">G18-$G$32</f>
        <v>3.4994809746181042E-2</v>
      </c>
      <c r="K18" s="219">
        <v>9.6059887697807739E-2</v>
      </c>
      <c r="M18" s="185">
        <v>8.5877377479183462E-2</v>
      </c>
    </row>
    <row r="19" spans="2:13">
      <c r="B19" s="298" t="s">
        <v>2</v>
      </c>
      <c r="C19" s="71">
        <f t="shared" si="3"/>
        <v>48.502279604002773</v>
      </c>
      <c r="D19" s="71">
        <f t="shared" si="4"/>
        <v>1844.5915715213882</v>
      </c>
      <c r="E19" s="71">
        <f t="shared" si="5"/>
        <v>1893.0938511253912</v>
      </c>
      <c r="G19" s="219">
        <f t="shared" si="6"/>
        <v>2.5620641879518825E-2</v>
      </c>
      <c r="I19" s="185">
        <f t="shared" si="7"/>
        <v>1.9305149425480107E-2</v>
      </c>
      <c r="K19" s="219">
        <v>2.8776978417266189E-2</v>
      </c>
      <c r="M19" s="185">
        <v>1.8594468198641915E-2</v>
      </c>
    </row>
    <row r="20" spans="2:13">
      <c r="B20" s="298" t="s">
        <v>3</v>
      </c>
      <c r="C20" s="71">
        <f t="shared" si="3"/>
        <v>153.07999999999998</v>
      </c>
      <c r="D20" s="71">
        <f t="shared" si="4"/>
        <v>11951.59</v>
      </c>
      <c r="E20" s="71">
        <f t="shared" si="5"/>
        <v>12104.67</v>
      </c>
      <c r="G20" s="219">
        <f t="shared" si="6"/>
        <v>1.264635880201608E-2</v>
      </c>
      <c r="I20" s="185">
        <f t="shared" si="7"/>
        <v>6.3308663479773623E-3</v>
      </c>
      <c r="K20" s="219">
        <v>2.6082465352500646E-2</v>
      </c>
      <c r="M20" s="185">
        <v>1.5899955133876372E-2</v>
      </c>
    </row>
    <row r="21" spans="2:13">
      <c r="B21" s="298" t="s">
        <v>4</v>
      </c>
      <c r="C21" s="71">
        <f t="shared" si="3"/>
        <v>151.73699999999999</v>
      </c>
      <c r="D21" s="71">
        <f t="shared" si="4"/>
        <v>16842.974000000002</v>
      </c>
      <c r="E21" s="71">
        <f t="shared" si="5"/>
        <v>16994.710999999996</v>
      </c>
      <c r="G21" s="219">
        <f t="shared" si="6"/>
        <v>8.9284836911907497E-3</v>
      </c>
      <c r="I21" s="185">
        <f t="shared" si="7"/>
        <v>2.6129912371520318E-3</v>
      </c>
      <c r="K21" s="219">
        <v>6.2096966802006208E-2</v>
      </c>
      <c r="M21" s="185">
        <v>5.1914456583381938E-2</v>
      </c>
    </row>
    <row r="22" spans="2:13">
      <c r="B22" s="298" t="s">
        <v>5</v>
      </c>
      <c r="C22" s="71">
        <f t="shared" si="3"/>
        <v>26.86389099682691</v>
      </c>
      <c r="D22" s="71">
        <f t="shared" si="4"/>
        <v>8476.6891134021571</v>
      </c>
      <c r="E22" s="71">
        <f t="shared" si="5"/>
        <v>8503.553004398982</v>
      </c>
      <c r="G22" s="219">
        <f t="shared" si="6"/>
        <v>3.1591372433299259E-3</v>
      </c>
      <c r="I22" s="185">
        <f t="shared" si="7"/>
        <v>-3.156355210708792E-3</v>
      </c>
      <c r="K22" s="219">
        <v>1.012186213410031E-2</v>
      </c>
      <c r="M22" s="185">
        <v>-6.0648084523964169E-5</v>
      </c>
    </row>
    <row r="23" spans="2:13">
      <c r="B23" s="298" t="s">
        <v>6</v>
      </c>
      <c r="C23" s="71">
        <f t="shared" si="3"/>
        <v>37.200000000000003</v>
      </c>
      <c r="D23" s="71">
        <f t="shared" si="4"/>
        <v>6818.5999999999995</v>
      </c>
      <c r="E23" s="71">
        <f t="shared" si="5"/>
        <v>6855.7999999999993</v>
      </c>
      <c r="G23" s="219">
        <f t="shared" si="6"/>
        <v>5.4260626039266029E-3</v>
      </c>
      <c r="I23" s="185">
        <f t="shared" si="7"/>
        <v>-8.8942985011211499E-4</v>
      </c>
      <c r="K23" s="219">
        <v>1.0779545155777573E-2</v>
      </c>
      <c r="M23" s="185">
        <v>5.9703493715329917E-4</v>
      </c>
    </row>
    <row r="24" spans="2:13">
      <c r="B24" s="298" t="s">
        <v>7</v>
      </c>
      <c r="C24" s="71">
        <f t="shared" si="3"/>
        <v>13.339105</v>
      </c>
      <c r="D24" s="71">
        <f t="shared" si="4"/>
        <v>1474.9417269935966</v>
      </c>
      <c r="E24" s="71">
        <f t="shared" si="5"/>
        <v>1488.2808319935966</v>
      </c>
      <c r="G24" s="219">
        <f t="shared" si="6"/>
        <v>8.9627607325506366E-3</v>
      </c>
      <c r="I24" s="185">
        <f t="shared" si="7"/>
        <v>2.6472682785119188E-3</v>
      </c>
      <c r="K24" s="219">
        <v>1.2424969617273008E-2</v>
      </c>
      <c r="M24" s="185">
        <v>2.2424593986487343E-3</v>
      </c>
    </row>
    <row r="25" spans="2:13">
      <c r="B25" s="298" t="s">
        <v>8</v>
      </c>
      <c r="C25" s="71">
        <f t="shared" si="3"/>
        <v>2.7092640738164961</v>
      </c>
      <c r="D25" s="71">
        <f t="shared" si="4"/>
        <v>4331.5616450237521</v>
      </c>
      <c r="E25" s="71">
        <f t="shared" si="5"/>
        <v>4334.2709090975695</v>
      </c>
      <c r="G25" s="219">
        <f t="shared" si="6"/>
        <v>6.250795417817081E-4</v>
      </c>
      <c r="I25" s="185">
        <f t="shared" si="7"/>
        <v>-5.6904129122570101E-3</v>
      </c>
      <c r="K25" s="219">
        <v>2.1717670286278382E-3</v>
      </c>
      <c r="M25" s="185">
        <v>-8.010743189996436E-3</v>
      </c>
    </row>
    <row r="26" spans="2:13">
      <c r="B26" s="298" t="s">
        <v>9</v>
      </c>
      <c r="C26" s="71">
        <f t="shared" si="3"/>
        <v>42.465529608888886</v>
      </c>
      <c r="D26" s="71">
        <f t="shared" si="4"/>
        <v>15574.995793977952</v>
      </c>
      <c r="E26" s="71">
        <f t="shared" si="5"/>
        <v>15617.461323586838</v>
      </c>
      <c r="G26" s="219">
        <f t="shared" si="6"/>
        <v>2.7191057963277154E-3</v>
      </c>
      <c r="I26" s="185">
        <f t="shared" si="7"/>
        <v>-3.5963866577110024E-3</v>
      </c>
      <c r="K26" s="219">
        <v>1.0146777090699333E-2</v>
      </c>
      <c r="M26" s="185">
        <v>-3.5733127924941072E-5</v>
      </c>
    </row>
    <row r="27" spans="2:13">
      <c r="B27" s="298" t="s">
        <v>10</v>
      </c>
      <c r="C27" s="71">
        <f t="shared" si="3"/>
        <v>4.7341250000000006</v>
      </c>
      <c r="D27" s="71">
        <f t="shared" si="4"/>
        <v>4691.0227500000001</v>
      </c>
      <c r="E27" s="71">
        <f t="shared" si="5"/>
        <v>4695.756875</v>
      </c>
      <c r="G27" s="219">
        <f t="shared" si="6"/>
        <v>1.0081708073951339E-3</v>
      </c>
      <c r="I27" s="185">
        <f t="shared" si="7"/>
        <v>-5.3073216466435844E-3</v>
      </c>
      <c r="K27" s="219">
        <v>3.6850232049596967E-3</v>
      </c>
      <c r="M27" s="185">
        <v>-6.497487013664577E-3</v>
      </c>
    </row>
    <row r="28" spans="2:13">
      <c r="B28" s="298" t="s">
        <v>11</v>
      </c>
      <c r="C28" s="71">
        <f t="shared" si="3"/>
        <v>0</v>
      </c>
      <c r="D28" s="71">
        <f t="shared" si="4"/>
        <v>2432.1180000000004</v>
      </c>
      <c r="E28" s="71">
        <f t="shared" si="5"/>
        <v>2433.482</v>
      </c>
      <c r="G28" s="219">
        <f t="shared" si="6"/>
        <v>0</v>
      </c>
      <c r="I28" s="185">
        <f t="shared" si="7"/>
        <v>-6.3154924540387179E-3</v>
      </c>
      <c r="K28" s="219">
        <v>3.0880060664784936E-2</v>
      </c>
      <c r="M28" s="185">
        <v>2.0697550446160663E-2</v>
      </c>
    </row>
    <row r="29" spans="2:13">
      <c r="B29" s="298" t="s">
        <v>12</v>
      </c>
      <c r="C29" s="71">
        <f t="shared" si="3"/>
        <v>3.9750000000000001</v>
      </c>
      <c r="D29" s="71">
        <f t="shared" si="4"/>
        <v>2473.4875000000002</v>
      </c>
      <c r="E29" s="71">
        <f t="shared" si="5"/>
        <v>2477.4624999999996</v>
      </c>
      <c r="G29" s="219">
        <f t="shared" si="6"/>
        <v>1.6044642451702098E-3</v>
      </c>
      <c r="I29" s="185">
        <f t="shared" si="7"/>
        <v>-4.7110282088685083E-3</v>
      </c>
      <c r="K29" s="219">
        <v>6.132005351568306E-3</v>
      </c>
      <c r="M29" s="185">
        <v>-4.0505048670559677E-3</v>
      </c>
    </row>
    <row r="30" spans="2:13">
      <c r="G30" s="185"/>
      <c r="K30" s="185"/>
    </row>
    <row r="31" spans="2:13">
      <c r="B31" s="298" t="s">
        <v>380</v>
      </c>
      <c r="G31" s="185">
        <f>AVERAGE(G17:G29)</f>
        <v>8.7818155410470337E-3</v>
      </c>
      <c r="K31" s="185">
        <v>2.3113222635651867E-2</v>
      </c>
    </row>
    <row r="32" spans="2:13">
      <c r="B32" s="298" t="s">
        <v>381</v>
      </c>
      <c r="G32" s="185">
        <f>AVERAGE(G19,G25,G26,G27,G29)</f>
        <v>6.3154924540387179E-3</v>
      </c>
      <c r="K32" s="185">
        <v>1.0182510218624274E-2</v>
      </c>
    </row>
    <row r="34" spans="2:7">
      <c r="B34" s="298" t="s">
        <v>382</v>
      </c>
      <c r="G34" s="254">
        <f>G44</f>
        <v>3.9191979181685309E-3</v>
      </c>
    </row>
    <row r="36" spans="2:7">
      <c r="B36" s="298" t="s">
        <v>383</v>
      </c>
    </row>
    <row r="37" spans="2:7">
      <c r="E37" s="298" t="s">
        <v>384</v>
      </c>
    </row>
    <row r="38" spans="2:7">
      <c r="B38" s="298" t="s">
        <v>44</v>
      </c>
      <c r="C38" s="254">
        <f>E38/E44</f>
        <v>9.8930823066069248E-2</v>
      </c>
      <c r="E38" s="71">
        <v>322735</v>
      </c>
      <c r="G38" s="254">
        <f>C38*G19</f>
        <v>2.534671188621801E-3</v>
      </c>
    </row>
    <row r="39" spans="2:7">
      <c r="B39" s="298" t="s">
        <v>55</v>
      </c>
      <c r="C39" s="254">
        <f>E39/$E$44</f>
        <v>0.23110364109938328</v>
      </c>
      <c r="E39" s="71">
        <v>753913</v>
      </c>
      <c r="G39" s="254">
        <f>C39*G25</f>
        <v>1.4445815808248683E-4</v>
      </c>
    </row>
    <row r="40" spans="2:7">
      <c r="B40" s="298" t="s">
        <v>58</v>
      </c>
      <c r="C40" s="254">
        <f t="shared" ref="C40:C42" si="8">E40/$E$44</f>
        <v>0.25987323391460254</v>
      </c>
      <c r="E40" s="71">
        <v>847766</v>
      </c>
      <c r="G40" s="254">
        <f>C40*G26</f>
        <v>7.0662281664762405E-4</v>
      </c>
    </row>
    <row r="41" spans="2:7">
      <c r="B41" s="298" t="s">
        <v>385</v>
      </c>
      <c r="C41" s="254">
        <f t="shared" si="8"/>
        <v>0.20884462740046758</v>
      </c>
      <c r="E41" s="71">
        <v>681299</v>
      </c>
      <c r="G41" s="254">
        <f>C41*G27</f>
        <v>2.105510566264653E-4</v>
      </c>
    </row>
    <row r="42" spans="2:7">
      <c r="B42" s="298" t="s">
        <v>62</v>
      </c>
      <c r="C42" s="254">
        <f t="shared" si="8"/>
        <v>0.20124767451947734</v>
      </c>
      <c r="E42" s="71">
        <v>656516</v>
      </c>
      <c r="G42" s="254">
        <f>C42*G29</f>
        <v>3.2289469819015326E-4</v>
      </c>
    </row>
    <row r="44" spans="2:7">
      <c r="E44" s="71">
        <f>SUM(E38:E42)</f>
        <v>3262229</v>
      </c>
      <c r="G44" s="254">
        <f>SUM(G38:G42)</f>
        <v>3.9191979181685309E-3</v>
      </c>
    </row>
  </sheetData>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3"/>
  <sheetViews>
    <sheetView workbookViewId="0">
      <selection activeCell="G31" sqref="G31"/>
    </sheetView>
  </sheetViews>
  <sheetFormatPr defaultColWidth="9.28515625" defaultRowHeight="15"/>
  <cols>
    <col min="1" max="1" width="9.28515625" style="6" customWidth="1"/>
    <col min="2" max="7" width="22.7109375" style="6" customWidth="1"/>
    <col min="8" max="8" width="12.7109375" style="6" customWidth="1"/>
    <col min="9" max="10" width="12.7109375" style="114" customWidth="1"/>
    <col min="11" max="11" width="10.5703125" style="6" bestFit="1" customWidth="1"/>
    <col min="12" max="16384" width="9.28515625" style="6"/>
  </cols>
  <sheetData>
    <row r="4" spans="1:16" ht="15.75" thickBot="1">
      <c r="A4" s="220"/>
      <c r="B4" s="220" t="str">
        <f>CONCATENATE(B5, " ", B7,", " )</f>
        <v xml:space="preserve">Larry 2005-06, </v>
      </c>
      <c r="C4" s="220" t="str">
        <f t="shared" ref="C4:K4" si="0">CONCATENATE(C5, " ", C7,", " )</f>
        <v xml:space="preserve">Ului 2009-10, </v>
      </c>
      <c r="D4" s="220" t="str">
        <f t="shared" si="0"/>
        <v xml:space="preserve">Tasha 2010-11, </v>
      </c>
      <c r="E4" s="220" t="str">
        <f t="shared" si="0"/>
        <v xml:space="preserve">Anthony 2010-11, </v>
      </c>
      <c r="F4" s="220" t="str">
        <f t="shared" si="0"/>
        <v xml:space="preserve">Yasi 2010-11, </v>
      </c>
      <c r="G4" s="220" t="str">
        <f t="shared" si="0"/>
        <v xml:space="preserve">Townsville mini tornado 2011-12, </v>
      </c>
      <c r="H4" s="220" t="str">
        <f t="shared" si="0"/>
        <v xml:space="preserve">Oswald 2012-2013, </v>
      </c>
      <c r="I4" s="220" t="str">
        <f t="shared" si="0"/>
        <v xml:space="preserve">Ita 2013-14, </v>
      </c>
      <c r="J4" s="220" t="str">
        <f t="shared" si="0"/>
        <v xml:space="preserve">Dylan 2013-14, </v>
      </c>
      <c r="K4" s="220" t="str">
        <f t="shared" si="0"/>
        <v xml:space="preserve">Marci 2014-15, </v>
      </c>
    </row>
    <row r="5" spans="1:16">
      <c r="A5" s="118" t="s">
        <v>150</v>
      </c>
      <c r="B5" s="262" t="s">
        <v>151</v>
      </c>
      <c r="C5" s="262" t="s">
        <v>152</v>
      </c>
      <c r="D5" s="262" t="s">
        <v>153</v>
      </c>
      <c r="E5" s="262" t="s">
        <v>154</v>
      </c>
      <c r="F5" s="262" t="s">
        <v>155</v>
      </c>
      <c r="G5" s="262" t="s">
        <v>156</v>
      </c>
      <c r="H5" s="262" t="s">
        <v>157</v>
      </c>
      <c r="I5" s="262" t="s">
        <v>215</v>
      </c>
      <c r="J5" s="262" t="s">
        <v>214</v>
      </c>
      <c r="K5" s="262" t="s">
        <v>213</v>
      </c>
    </row>
    <row r="6" spans="1:16">
      <c r="A6" s="118" t="s">
        <v>158</v>
      </c>
      <c r="B6" s="263">
        <v>38796</v>
      </c>
      <c r="C6" s="263">
        <v>40258</v>
      </c>
      <c r="D6" s="263">
        <v>40536</v>
      </c>
      <c r="E6" s="263">
        <v>40572</v>
      </c>
      <c r="F6" s="263">
        <v>40577</v>
      </c>
      <c r="G6" s="263">
        <v>40988</v>
      </c>
      <c r="H6" s="264">
        <v>41275</v>
      </c>
      <c r="I6" s="264">
        <v>41730</v>
      </c>
      <c r="J6" s="264">
        <v>41671</v>
      </c>
      <c r="K6" s="264">
        <v>42036</v>
      </c>
    </row>
    <row r="7" spans="1:16">
      <c r="A7" s="118" t="s">
        <v>159</v>
      </c>
      <c r="B7" s="262" t="s">
        <v>160</v>
      </c>
      <c r="C7" s="262" t="s">
        <v>161</v>
      </c>
      <c r="D7" s="262" t="s">
        <v>162</v>
      </c>
      <c r="E7" s="262" t="s">
        <v>162</v>
      </c>
      <c r="F7" s="262" t="s">
        <v>162</v>
      </c>
      <c r="G7" s="262" t="s">
        <v>163</v>
      </c>
      <c r="H7" s="262" t="s">
        <v>164</v>
      </c>
      <c r="I7" s="262" t="s">
        <v>192</v>
      </c>
      <c r="J7" s="262" t="s">
        <v>192</v>
      </c>
      <c r="K7" s="262" t="s">
        <v>17</v>
      </c>
    </row>
    <row r="8" spans="1:16">
      <c r="A8" s="118" t="s">
        <v>165</v>
      </c>
      <c r="B8" s="262" t="s">
        <v>166</v>
      </c>
      <c r="C8" s="262" t="s">
        <v>167</v>
      </c>
      <c r="D8" s="262" t="s">
        <v>168</v>
      </c>
      <c r="E8" s="262" t="s">
        <v>169</v>
      </c>
      <c r="F8" s="262" t="s">
        <v>166</v>
      </c>
      <c r="G8" s="262" t="s">
        <v>170</v>
      </c>
      <c r="H8" s="262" t="s">
        <v>171</v>
      </c>
      <c r="I8" s="118"/>
      <c r="J8" s="118"/>
      <c r="K8" s="118" t="s">
        <v>166</v>
      </c>
    </row>
    <row r="9" spans="1:16">
      <c r="A9" s="118" t="s">
        <v>172</v>
      </c>
      <c r="B9" s="265">
        <v>14</v>
      </c>
      <c r="C9" s="265">
        <v>5</v>
      </c>
      <c r="D9" s="265">
        <v>7</v>
      </c>
      <c r="E9" s="265">
        <v>1</v>
      </c>
      <c r="F9" s="265">
        <v>45</v>
      </c>
      <c r="G9" s="265">
        <v>2</v>
      </c>
      <c r="H9" s="118">
        <v>30.000000000000014</v>
      </c>
      <c r="I9" s="266">
        <v>3.5009999999999999</v>
      </c>
      <c r="J9" s="266">
        <v>1.66</v>
      </c>
      <c r="K9" s="266">
        <v>6.7</v>
      </c>
      <c r="L9" s="261">
        <f>+SUM(B9:H9)</f>
        <v>104.00000000000001</v>
      </c>
    </row>
    <row r="10" spans="1:16">
      <c r="A10" s="118" t="s">
        <v>173</v>
      </c>
      <c r="B10" s="265">
        <v>29</v>
      </c>
      <c r="C10" s="265">
        <v>9</v>
      </c>
      <c r="D10" s="262">
        <v>0</v>
      </c>
      <c r="E10" s="262">
        <v>0</v>
      </c>
      <c r="F10" s="265">
        <v>55</v>
      </c>
      <c r="G10" s="262">
        <v>0</v>
      </c>
      <c r="H10" s="118"/>
      <c r="I10" s="118"/>
      <c r="J10" s="118"/>
      <c r="K10" s="118"/>
    </row>
    <row r="11" spans="1:16">
      <c r="A11" s="118" t="s">
        <v>174</v>
      </c>
      <c r="B11" s="266">
        <v>43</v>
      </c>
      <c r="C11" s="266">
        <v>14</v>
      </c>
      <c r="D11" s="266">
        <v>7</v>
      </c>
      <c r="E11" s="266">
        <v>1</v>
      </c>
      <c r="F11" s="266">
        <v>100</v>
      </c>
      <c r="G11" s="266">
        <v>2</v>
      </c>
      <c r="H11" s="266">
        <f>+SUM(H9:H10)</f>
        <v>30.000000000000014</v>
      </c>
      <c r="I11" s="266"/>
      <c r="J11" s="266"/>
      <c r="K11" s="266"/>
    </row>
    <row r="12" spans="1:16">
      <c r="F12" s="260"/>
    </row>
    <row r="13" spans="1:16" ht="15.75" thickBot="1">
      <c r="A13" s="220"/>
      <c r="B13" s="220" t="s">
        <v>175</v>
      </c>
      <c r="C13" s="220" t="s">
        <v>176</v>
      </c>
      <c r="D13" s="220" t="s">
        <v>177</v>
      </c>
      <c r="E13" s="260"/>
      <c r="F13" s="260"/>
      <c r="P13" s="89"/>
    </row>
    <row r="14" spans="1:16">
      <c r="A14" s="117" t="s">
        <v>160</v>
      </c>
      <c r="B14" s="85">
        <f>B9</f>
        <v>14</v>
      </c>
      <c r="C14" s="51">
        <f t="array" ref="C14:C24">TRANSPOSE('CPI-master'!C8:M8)</f>
        <v>1.2828162291169452</v>
      </c>
      <c r="D14" s="85">
        <f>C14*B14</f>
        <v>17.959427207637233</v>
      </c>
      <c r="E14" s="260"/>
      <c r="F14" s="260"/>
      <c r="G14" s="92"/>
      <c r="L14" s="133"/>
      <c r="M14" s="94"/>
      <c r="N14" s="94"/>
      <c r="O14" s="89"/>
    </row>
    <row r="15" spans="1:16">
      <c r="A15" s="117" t="s">
        <v>178</v>
      </c>
      <c r="B15" s="85">
        <v>0</v>
      </c>
      <c r="C15" s="51">
        <v>1.2413394919168592</v>
      </c>
      <c r="D15" s="85">
        <f t="shared" ref="D15:D22" si="1">C15*B15</f>
        <v>0</v>
      </c>
      <c r="E15" s="260"/>
      <c r="F15" s="260"/>
      <c r="G15" s="92"/>
      <c r="L15" s="133"/>
      <c r="M15" s="94"/>
      <c r="N15" s="94"/>
      <c r="O15" s="89"/>
    </row>
    <row r="16" spans="1:16">
      <c r="A16" s="117" t="s">
        <v>179</v>
      </c>
      <c r="B16" s="85">
        <v>0</v>
      </c>
      <c r="C16" s="51">
        <v>1.2065095398428733</v>
      </c>
      <c r="D16" s="85">
        <f t="shared" si="1"/>
        <v>0</v>
      </c>
      <c r="E16" s="260"/>
      <c r="F16" s="260"/>
      <c r="G16" s="92"/>
      <c r="L16" s="133"/>
      <c r="M16" s="94"/>
      <c r="N16" s="94"/>
      <c r="O16" s="89"/>
    </row>
    <row r="17" spans="1:17">
      <c r="A17" s="117" t="s">
        <v>180</v>
      </c>
      <c r="B17" s="85">
        <v>0</v>
      </c>
      <c r="C17" s="51">
        <v>1.1634199134199132</v>
      </c>
      <c r="D17" s="85">
        <f t="shared" si="1"/>
        <v>0</v>
      </c>
      <c r="E17" s="260"/>
      <c r="F17" s="260"/>
      <c r="G17" s="92"/>
      <c r="L17" s="133"/>
      <c r="M17" s="94"/>
      <c r="N17" s="94"/>
      <c r="O17" s="89"/>
      <c r="P17" s="88"/>
      <c r="Q17" s="91"/>
    </row>
    <row r="18" spans="1:17">
      <c r="A18" s="117" t="s">
        <v>161</v>
      </c>
      <c r="B18" s="85">
        <f>C9</f>
        <v>5</v>
      </c>
      <c r="C18" s="51">
        <v>1.1399787910922587</v>
      </c>
      <c r="D18" s="85">
        <f t="shared" si="1"/>
        <v>5.6998939554612935</v>
      </c>
      <c r="E18" s="260"/>
      <c r="F18" s="260"/>
      <c r="G18" s="92"/>
      <c r="L18" s="133"/>
      <c r="M18" s="94"/>
      <c r="N18" s="94"/>
      <c r="O18" s="89"/>
      <c r="P18" s="88"/>
      <c r="Q18" s="116"/>
    </row>
    <row r="19" spans="1:17">
      <c r="A19" s="117" t="s">
        <v>162</v>
      </c>
      <c r="B19" s="85">
        <f>SUM(D9:F9)</f>
        <v>53</v>
      </c>
      <c r="C19" s="51">
        <v>1.1093911248710009</v>
      </c>
      <c r="D19" s="85">
        <f t="shared" si="1"/>
        <v>58.797729618163046</v>
      </c>
      <c r="E19" s="260"/>
      <c r="F19" s="260"/>
      <c r="G19" s="92"/>
      <c r="L19" s="133"/>
      <c r="M19" s="94"/>
      <c r="N19" s="94"/>
      <c r="O19" s="89"/>
      <c r="P19" s="88"/>
      <c r="Q19" s="116"/>
    </row>
    <row r="20" spans="1:17">
      <c r="A20" s="117" t="s">
        <v>163</v>
      </c>
      <c r="B20" s="85">
        <f>G9</f>
        <v>2</v>
      </c>
      <c r="C20" s="51">
        <v>1.0771543086172346</v>
      </c>
      <c r="D20" s="85">
        <f t="shared" si="1"/>
        <v>2.1543086172344692</v>
      </c>
      <c r="E20" s="260"/>
      <c r="F20" s="260"/>
      <c r="G20" s="92"/>
      <c r="L20" s="133"/>
      <c r="M20" s="94"/>
      <c r="N20" s="94"/>
      <c r="O20" s="89"/>
      <c r="P20" s="88"/>
      <c r="Q20" s="116"/>
    </row>
    <row r="21" spans="1:17">
      <c r="A21" s="117" t="s">
        <v>181</v>
      </c>
      <c r="B21" s="85">
        <f>+H9</f>
        <v>30.000000000000014</v>
      </c>
      <c r="C21" s="51">
        <v>1.053921568627451</v>
      </c>
      <c r="D21" s="85">
        <f t="shared" si="1"/>
        <v>31.617647058823547</v>
      </c>
      <c r="E21" s="260"/>
      <c r="F21" s="260"/>
      <c r="G21" s="92"/>
      <c r="L21" s="133"/>
      <c r="M21" s="94"/>
      <c r="N21" s="94"/>
      <c r="O21" s="89"/>
      <c r="P21" s="88"/>
      <c r="Q21" s="116"/>
    </row>
    <row r="22" spans="1:17" s="89" customFormat="1">
      <c r="A22" s="117" t="s">
        <v>192</v>
      </c>
      <c r="B22" s="85">
        <f>SUM(I9:J9)</f>
        <v>5.1609999999999996</v>
      </c>
      <c r="C22" s="94">
        <v>1.0257633587786259</v>
      </c>
      <c r="D22" s="85">
        <f t="shared" si="1"/>
        <v>5.2939646946564878</v>
      </c>
      <c r="E22" s="260"/>
      <c r="F22" s="260"/>
      <c r="G22" s="21"/>
      <c r="I22" s="114"/>
      <c r="J22" s="114"/>
      <c r="L22" s="133"/>
      <c r="M22" s="94"/>
      <c r="N22" s="94"/>
      <c r="P22" s="88"/>
      <c r="Q22" s="116"/>
    </row>
    <row r="23" spans="1:17" s="89" customFormat="1">
      <c r="A23" s="117" t="s">
        <v>17</v>
      </c>
      <c r="B23" s="85">
        <f>K9</f>
        <v>6.7</v>
      </c>
      <c r="C23" s="94">
        <v>1.0084427767354598</v>
      </c>
      <c r="D23" s="85">
        <f>C23*B23</f>
        <v>6.7565666041275811</v>
      </c>
      <c r="E23" s="260"/>
      <c r="F23" s="260"/>
      <c r="I23" s="114"/>
      <c r="J23" s="114"/>
      <c r="L23" s="133"/>
      <c r="M23" s="94"/>
      <c r="N23" s="94"/>
      <c r="P23" s="88"/>
      <c r="Q23" s="116"/>
    </row>
    <row r="24" spans="1:17" s="89" customFormat="1">
      <c r="A24" s="89" t="s">
        <v>193</v>
      </c>
      <c r="B24" s="95"/>
      <c r="C24" s="94">
        <v>0.99169741697416969</v>
      </c>
      <c r="D24" s="85"/>
      <c r="E24" s="260"/>
      <c r="F24" s="260"/>
      <c r="I24" s="114"/>
      <c r="J24" s="114"/>
      <c r="L24" s="133"/>
      <c r="M24" s="94"/>
      <c r="N24" s="94"/>
      <c r="P24" s="88"/>
      <c r="Q24" s="116"/>
    </row>
    <row r="25" spans="1:17">
      <c r="A25" s="6" t="s">
        <v>19</v>
      </c>
      <c r="D25" s="86">
        <f>SUM(D14:D23)</f>
        <v>128.27953775610365</v>
      </c>
      <c r="E25" s="260"/>
      <c r="F25" s="260"/>
      <c r="G25" s="260"/>
      <c r="H25" s="260"/>
      <c r="L25" s="133"/>
    </row>
    <row r="26" spans="1:17" s="89" customFormat="1">
      <c r="D26" s="260"/>
      <c r="E26" s="260"/>
      <c r="F26" s="260"/>
      <c r="G26" s="260"/>
      <c r="H26" s="260"/>
      <c r="I26" s="115"/>
      <c r="J26" s="115"/>
      <c r="L26" s="133"/>
    </row>
    <row r="27" spans="1:17" s="89" customFormat="1">
      <c r="D27" s="260"/>
      <c r="E27" s="260"/>
      <c r="F27" s="260"/>
      <c r="G27" s="260"/>
      <c r="H27" s="260"/>
      <c r="I27" s="114"/>
      <c r="J27" s="114"/>
      <c r="L27" s="133"/>
    </row>
    <row r="28" spans="1:17" s="89" customFormat="1">
      <c r="A28" s="89" t="s">
        <v>194</v>
      </c>
      <c r="C28" s="217">
        <v>10</v>
      </c>
      <c r="D28" s="260"/>
      <c r="E28" s="260"/>
      <c r="F28" s="260"/>
      <c r="G28" s="260"/>
      <c r="H28" s="260"/>
      <c r="I28" s="114"/>
      <c r="J28" s="114"/>
    </row>
    <row r="29" spans="1:17">
      <c r="A29" s="6" t="s">
        <v>182</v>
      </c>
      <c r="C29" s="216">
        <f>D25/C28</f>
        <v>12.827953775610364</v>
      </c>
      <c r="D29" s="260"/>
      <c r="F29" s="217"/>
      <c r="G29" s="260"/>
      <c r="H29" s="260"/>
    </row>
    <row r="30" spans="1:17">
      <c r="A30" s="6" t="s">
        <v>183</v>
      </c>
      <c r="C30" s="221">
        <f ca="1">'base OPEX'!F90/1000</f>
        <v>244.62989107047872</v>
      </c>
      <c r="D30" s="260"/>
      <c r="F30" s="217"/>
      <c r="G30" s="260"/>
      <c r="H30" s="260"/>
    </row>
    <row r="31" spans="1:17">
      <c r="A31" s="6" t="s">
        <v>184</v>
      </c>
      <c r="C31" s="221"/>
      <c r="D31" s="260"/>
      <c r="F31" s="217"/>
      <c r="G31" s="260"/>
      <c r="H31" s="260"/>
    </row>
    <row r="32" spans="1:17">
      <c r="A32" s="6" t="s">
        <v>185</v>
      </c>
      <c r="C32" s="222">
        <f ca="1">C29/C30</f>
        <v>5.2438210716917608E-2</v>
      </c>
      <c r="D32" s="260"/>
      <c r="F32" s="217"/>
      <c r="G32" s="260"/>
      <c r="H32" s="260"/>
    </row>
    <row r="33" spans="1:5">
      <c r="A33" s="217"/>
      <c r="B33" s="217"/>
      <c r="C33" s="217"/>
      <c r="D33" s="217"/>
      <c r="E33" s="217"/>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zoomScaleNormal="100" workbookViewId="0">
      <selection activeCell="A2" sqref="A2"/>
    </sheetView>
  </sheetViews>
  <sheetFormatPr defaultColWidth="9.28515625" defaultRowHeight="15"/>
  <cols>
    <col min="1" max="1" width="20.5703125" style="133" customWidth="1"/>
    <col min="2" max="2" width="15.42578125" style="130" bestFit="1" customWidth="1"/>
    <col min="3" max="12" width="14.5703125" style="133" customWidth="1"/>
    <col min="13" max="13" width="12.7109375" style="133" bestFit="1" customWidth="1"/>
    <col min="14" max="14" width="16.28515625" style="133" customWidth="1"/>
    <col min="15" max="15" width="15.28515625" style="133" customWidth="1"/>
    <col min="16" max="16" width="16" style="133" customWidth="1"/>
    <col min="17" max="17" width="18.42578125" style="133" customWidth="1"/>
    <col min="18" max="16384" width="9.28515625" style="133"/>
  </cols>
  <sheetData>
    <row r="1" spans="1:20" ht="15.75" thickBot="1">
      <c r="C1" s="96" t="s">
        <v>195</v>
      </c>
      <c r="D1" s="96" t="s">
        <v>196</v>
      </c>
      <c r="E1" s="96" t="s">
        <v>197</v>
      </c>
      <c r="F1" s="96" t="s">
        <v>198</v>
      </c>
      <c r="G1" s="96" t="s">
        <v>199</v>
      </c>
      <c r="H1" s="96" t="s">
        <v>200</v>
      </c>
      <c r="I1" s="96" t="s">
        <v>201</v>
      </c>
      <c r="J1" s="96" t="s">
        <v>202</v>
      </c>
      <c r="K1" s="96" t="s">
        <v>203</v>
      </c>
      <c r="L1" s="96" t="s">
        <v>207</v>
      </c>
      <c r="M1" s="260"/>
    </row>
    <row r="2" spans="1:20" ht="15.75" thickBot="1">
      <c r="C2" s="96">
        <v>2006</v>
      </c>
      <c r="D2" s="96">
        <v>2007</v>
      </c>
      <c r="E2" s="96">
        <v>2008</v>
      </c>
      <c r="F2" s="96">
        <v>2009</v>
      </c>
      <c r="G2" s="96">
        <v>2010</v>
      </c>
      <c r="H2" s="96">
        <v>2011</v>
      </c>
      <c r="I2" s="96">
        <v>2012</v>
      </c>
      <c r="J2" s="96">
        <v>2013</v>
      </c>
      <c r="K2" s="96">
        <v>2014</v>
      </c>
      <c r="L2" s="96">
        <v>2015</v>
      </c>
      <c r="M2" s="260"/>
    </row>
    <row r="3" spans="1:20" ht="15.75" thickBot="1">
      <c r="C3" s="215">
        <f>'CPI-master'!C8</f>
        <v>1.2828162291169452</v>
      </c>
      <c r="D3" s="215">
        <f>'CPI-master'!D8</f>
        <v>1.2413394919168592</v>
      </c>
      <c r="E3" s="215">
        <f>'CPI-master'!E8</f>
        <v>1.2065095398428733</v>
      </c>
      <c r="F3" s="215">
        <f>'CPI-master'!F8</f>
        <v>1.1634199134199132</v>
      </c>
      <c r="G3" s="215">
        <f>'CPI-master'!G8</f>
        <v>1.1399787910922587</v>
      </c>
      <c r="H3" s="215">
        <f>'CPI-master'!H8</f>
        <v>1.1093911248710009</v>
      </c>
      <c r="I3" s="215">
        <f>'CPI-master'!I8</f>
        <v>1.0771543086172346</v>
      </c>
      <c r="J3" s="215">
        <f>'CPI-master'!J8</f>
        <v>1.053921568627451</v>
      </c>
      <c r="K3" s="215">
        <f>'CPI-master'!K8</f>
        <v>1.0257633587786259</v>
      </c>
      <c r="L3" s="215">
        <f>'CPI-master'!L8</f>
        <v>1.0084427767354598</v>
      </c>
      <c r="M3" s="260"/>
      <c r="N3" s="130" t="s">
        <v>133</v>
      </c>
    </row>
    <row r="4" spans="1:20" ht="16.5" thickTop="1" thickBot="1">
      <c r="C4" s="215">
        <f>'CPI-master'!C9</f>
        <v>1.2514551804423748</v>
      </c>
      <c r="D4" s="215">
        <f>'CPI-master'!D9</f>
        <v>1.225769669327252</v>
      </c>
      <c r="E4" s="215">
        <f>'CPI-master'!E9</f>
        <v>1.1735807860262009</v>
      </c>
      <c r="F4" s="215">
        <f>'CPI-master'!F9</f>
        <v>1.1571582346609257</v>
      </c>
      <c r="G4" s="215">
        <f>'CPI-master'!G9</f>
        <v>1.1221294363256786</v>
      </c>
      <c r="H4" s="215">
        <f>'CPI-master'!H9</f>
        <v>1.0836693548387097</v>
      </c>
      <c r="I4" s="215">
        <f>'CPI-master'!I9</f>
        <v>1.0707171314741035</v>
      </c>
      <c r="J4" s="215">
        <f>'CPI-master'!J9</f>
        <v>1.0457198443579767</v>
      </c>
      <c r="K4" s="215">
        <f>'CPI-master'!K9</f>
        <v>1.0151085930122756</v>
      </c>
      <c r="L4" s="215">
        <f>'CPI-master'!L9</f>
        <v>1</v>
      </c>
      <c r="M4" s="260"/>
      <c r="N4" s="130" t="s">
        <v>134</v>
      </c>
    </row>
    <row r="5" spans="1:20" ht="16.5" thickTop="1" thickBot="1">
      <c r="A5" s="277" t="s">
        <v>341</v>
      </c>
      <c r="B5" s="195"/>
      <c r="C5" s="220"/>
      <c r="D5" s="220"/>
      <c r="E5" s="220"/>
      <c r="F5" s="220">
        <v>2009</v>
      </c>
      <c r="G5" s="220">
        <v>2010</v>
      </c>
      <c r="H5" s="220">
        <v>2011</v>
      </c>
      <c r="I5" s="220">
        <v>2012</v>
      </c>
      <c r="J5" s="220">
        <v>2013</v>
      </c>
      <c r="K5" s="220">
        <v>2014</v>
      </c>
      <c r="L5" s="220">
        <v>2015</v>
      </c>
      <c r="M5" s="220"/>
      <c r="N5" s="295"/>
    </row>
    <row r="6" spans="1:20">
      <c r="A6" s="133" t="s">
        <v>241</v>
      </c>
      <c r="N6" s="295" t="s">
        <v>418</v>
      </c>
    </row>
    <row r="7" spans="1:20">
      <c r="A7" s="81" t="s">
        <v>0</v>
      </c>
      <c r="B7" s="321" t="s">
        <v>408</v>
      </c>
      <c r="C7" s="266"/>
      <c r="D7" s="266"/>
      <c r="E7" s="266"/>
      <c r="F7" s="266"/>
      <c r="G7" s="266" t="s">
        <v>351</v>
      </c>
      <c r="H7" s="266" t="s">
        <v>351</v>
      </c>
      <c r="I7" s="266" t="s">
        <v>351</v>
      </c>
      <c r="J7" s="266" t="s">
        <v>351</v>
      </c>
      <c r="K7" s="266" t="s">
        <v>351</v>
      </c>
      <c r="L7" s="266" t="s">
        <v>351</v>
      </c>
      <c r="M7" s="321"/>
      <c r="N7" s="295"/>
    </row>
    <row r="8" spans="1:20">
      <c r="A8" s="119" t="s">
        <v>1</v>
      </c>
      <c r="B8" s="253" t="s">
        <v>43</v>
      </c>
      <c r="C8" s="266"/>
      <c r="D8" s="266"/>
      <c r="E8" s="266"/>
      <c r="F8" s="266"/>
      <c r="G8" s="266">
        <v>0</v>
      </c>
      <c r="H8" s="266">
        <v>0</v>
      </c>
      <c r="I8" s="266">
        <v>0</v>
      </c>
      <c r="J8" s="266">
        <v>0</v>
      </c>
      <c r="K8" s="266">
        <v>65000</v>
      </c>
      <c r="L8" s="266">
        <v>110000</v>
      </c>
      <c r="M8" s="321"/>
      <c r="N8" s="350" t="s">
        <v>420</v>
      </c>
    </row>
    <row r="9" spans="1:20">
      <c r="A9" s="119" t="s">
        <v>2</v>
      </c>
      <c r="B9" s="253" t="s">
        <v>411</v>
      </c>
      <c r="C9" s="266"/>
      <c r="D9" s="266"/>
      <c r="E9" s="266"/>
      <c r="F9" s="266"/>
      <c r="G9" s="266">
        <v>728379.43239999993</v>
      </c>
      <c r="H9" s="266">
        <v>609052.26359999995</v>
      </c>
      <c r="I9" s="266">
        <v>831543.5811999999</v>
      </c>
      <c r="J9" s="266">
        <v>934933.88</v>
      </c>
      <c r="K9" s="266">
        <v>960701.00959999999</v>
      </c>
      <c r="L9" s="266">
        <v>979521.59680000006</v>
      </c>
      <c r="M9" s="321"/>
      <c r="N9" s="350" t="s">
        <v>420</v>
      </c>
      <c r="T9" s="73"/>
    </row>
    <row r="10" spans="1:20">
      <c r="A10" s="119" t="s">
        <v>3</v>
      </c>
      <c r="B10" s="253" t="s">
        <v>46</v>
      </c>
      <c r="C10" s="266"/>
      <c r="D10" s="266"/>
      <c r="E10" s="266"/>
      <c r="F10" s="266"/>
      <c r="G10" s="266">
        <v>19342.969528787256</v>
      </c>
      <c r="H10" s="266">
        <v>20248.149951947395</v>
      </c>
      <c r="I10" s="266">
        <v>21769.339759592782</v>
      </c>
      <c r="J10" s="266">
        <v>22870.261791635108</v>
      </c>
      <c r="K10" s="266">
        <v>24864.550027963756</v>
      </c>
      <c r="L10" s="266">
        <v>21801.294181113706</v>
      </c>
      <c r="M10" s="321"/>
      <c r="N10" s="350" t="s">
        <v>420</v>
      </c>
    </row>
    <row r="11" spans="1:20">
      <c r="A11" s="119" t="s">
        <v>4</v>
      </c>
      <c r="B11" s="321" t="s">
        <v>48</v>
      </c>
      <c r="C11" s="266"/>
      <c r="D11" s="266"/>
      <c r="E11" s="266"/>
      <c r="F11" s="266">
        <v>6106000</v>
      </c>
      <c r="G11" s="266">
        <v>7761000</v>
      </c>
      <c r="H11" s="266">
        <v>8391000</v>
      </c>
      <c r="I11" s="266">
        <v>8307000</v>
      </c>
      <c r="J11" s="266">
        <v>8655000</v>
      </c>
      <c r="K11" s="266">
        <v>9118000</v>
      </c>
      <c r="L11" s="266" t="s">
        <v>351</v>
      </c>
      <c r="M11" s="321"/>
      <c r="N11" s="350" t="s">
        <v>419</v>
      </c>
      <c r="O11" s="82"/>
      <c r="P11" s="82"/>
      <c r="Q11" s="73"/>
      <c r="T11" s="73"/>
    </row>
    <row r="12" spans="1:20">
      <c r="A12" s="119" t="s">
        <v>5</v>
      </c>
      <c r="B12" s="321" t="s">
        <v>50</v>
      </c>
      <c r="C12" s="266"/>
      <c r="D12" s="266"/>
      <c r="E12" s="266"/>
      <c r="F12" s="266">
        <v>4259800</v>
      </c>
      <c r="G12" s="266">
        <v>4535399.9999999991</v>
      </c>
      <c r="H12" s="266">
        <v>4341600.0000000009</v>
      </c>
      <c r="I12" s="266">
        <v>4450500</v>
      </c>
      <c r="J12" s="266">
        <v>4688400</v>
      </c>
      <c r="K12" s="266">
        <v>4608200</v>
      </c>
      <c r="L12" s="266" t="s">
        <v>351</v>
      </c>
      <c r="M12" s="321"/>
      <c r="N12" s="350" t="s">
        <v>419</v>
      </c>
    </row>
    <row r="13" spans="1:20">
      <c r="A13" s="119" t="s">
        <v>6</v>
      </c>
      <c r="B13" s="253" t="s">
        <v>52</v>
      </c>
      <c r="C13" s="266"/>
      <c r="D13" s="266"/>
      <c r="E13" s="266"/>
      <c r="F13" s="266"/>
      <c r="G13" s="266">
        <v>0</v>
      </c>
      <c r="H13" s="266">
        <v>0</v>
      </c>
      <c r="I13" s="266">
        <v>0</v>
      </c>
      <c r="J13" s="266">
        <v>0</v>
      </c>
      <c r="K13" s="266">
        <v>0</v>
      </c>
      <c r="L13" s="266">
        <v>0</v>
      </c>
      <c r="M13" s="321"/>
      <c r="N13" s="350" t="s">
        <v>420</v>
      </c>
    </row>
    <row r="14" spans="1:20">
      <c r="A14" s="119" t="s">
        <v>7</v>
      </c>
      <c r="B14" s="253" t="s">
        <v>54</v>
      </c>
      <c r="C14" s="266"/>
      <c r="D14" s="266"/>
      <c r="E14" s="266"/>
      <c r="F14" s="266"/>
      <c r="G14" s="266">
        <v>450661</v>
      </c>
      <c r="H14" s="266">
        <v>502465.28000000003</v>
      </c>
      <c r="I14" s="266">
        <v>748010.26</v>
      </c>
      <c r="J14" s="266">
        <v>956799.97499999998</v>
      </c>
      <c r="K14" s="266">
        <v>983967.995</v>
      </c>
      <c r="L14" s="266">
        <v>1016580.3050000001</v>
      </c>
      <c r="M14" s="321"/>
      <c r="N14" s="350" t="s">
        <v>420</v>
      </c>
    </row>
    <row r="15" spans="1:20">
      <c r="A15" s="119" t="s">
        <v>8</v>
      </c>
      <c r="B15" s="253" t="s">
        <v>56</v>
      </c>
      <c r="C15" s="266"/>
      <c r="D15" s="266"/>
      <c r="E15" s="266"/>
      <c r="F15" s="266"/>
      <c r="G15" s="266">
        <v>1006985.6575999999</v>
      </c>
      <c r="H15" s="266">
        <v>970706.24640000006</v>
      </c>
      <c r="I15" s="266">
        <v>1446340.5888</v>
      </c>
      <c r="J15" s="266">
        <v>1951253.37</v>
      </c>
      <c r="K15" s="266">
        <v>1994104.2704</v>
      </c>
      <c r="L15" s="266">
        <v>2043246.1432000003</v>
      </c>
      <c r="M15" s="321"/>
      <c r="N15" s="350" t="s">
        <v>420</v>
      </c>
    </row>
    <row r="16" spans="1:20">
      <c r="A16" s="119" t="s">
        <v>9</v>
      </c>
      <c r="B16" s="253" t="s">
        <v>58</v>
      </c>
      <c r="C16" s="266"/>
      <c r="D16" s="266"/>
      <c r="E16" s="266"/>
      <c r="F16" s="266"/>
      <c r="G16" s="266">
        <v>3184000</v>
      </c>
      <c r="H16" s="266">
        <v>3320000</v>
      </c>
      <c r="I16" s="266">
        <v>3320000</v>
      </c>
      <c r="J16" s="266">
        <v>3320000</v>
      </c>
      <c r="K16" s="266">
        <v>3324000</v>
      </c>
      <c r="L16" s="266">
        <v>3326815.89</v>
      </c>
      <c r="M16" s="321"/>
      <c r="N16" s="350" t="s">
        <v>420</v>
      </c>
    </row>
    <row r="17" spans="1:17">
      <c r="A17" s="119" t="s">
        <v>10</v>
      </c>
      <c r="B17" s="253" t="s">
        <v>400</v>
      </c>
      <c r="C17" s="266"/>
      <c r="D17" s="266"/>
      <c r="E17" s="266"/>
      <c r="F17" s="266"/>
      <c r="G17" s="266">
        <v>197075.67</v>
      </c>
      <c r="H17" s="266">
        <v>221379</v>
      </c>
      <c r="I17" s="266">
        <v>213179.3</v>
      </c>
      <c r="J17" s="266">
        <v>99077.715000000011</v>
      </c>
      <c r="K17" s="266">
        <v>152937.11586900003</v>
      </c>
      <c r="L17" s="266">
        <v>208162.24029799999</v>
      </c>
      <c r="M17" s="321"/>
      <c r="N17" s="350" t="s">
        <v>420</v>
      </c>
    </row>
    <row r="18" spans="1:17">
      <c r="A18" s="119" t="s">
        <v>11</v>
      </c>
      <c r="B18" s="253" t="s">
        <v>61</v>
      </c>
      <c r="C18" s="266"/>
      <c r="D18" s="266"/>
      <c r="E18" s="266"/>
      <c r="F18" s="266"/>
      <c r="G18" s="266">
        <v>3390586.6331577166</v>
      </c>
      <c r="H18" s="266">
        <v>3433821.1443697228</v>
      </c>
      <c r="I18" s="266">
        <v>3754263</v>
      </c>
      <c r="J18" s="266">
        <v>4022939</v>
      </c>
      <c r="K18" s="266">
        <v>3586648.5</v>
      </c>
      <c r="L18" s="266">
        <v>3679071</v>
      </c>
      <c r="M18" s="321"/>
      <c r="N18" s="350" t="s">
        <v>420</v>
      </c>
    </row>
    <row r="19" spans="1:17">
      <c r="A19" s="119" t="s">
        <v>12</v>
      </c>
      <c r="B19" s="253" t="s">
        <v>339</v>
      </c>
      <c r="C19" s="266"/>
      <c r="D19" s="266"/>
      <c r="E19" s="266"/>
      <c r="F19" s="266"/>
      <c r="G19" s="266">
        <v>0</v>
      </c>
      <c r="H19" s="266">
        <v>0</v>
      </c>
      <c r="I19" s="266">
        <v>0</v>
      </c>
      <c r="J19" s="266">
        <v>935657.22000000009</v>
      </c>
      <c r="K19" s="266">
        <v>1899670.7399999998</v>
      </c>
      <c r="L19" s="266">
        <v>1953521.0400000007</v>
      </c>
      <c r="M19" s="321"/>
      <c r="N19" s="350" t="s">
        <v>420</v>
      </c>
    </row>
    <row r="22" spans="1:17" ht="15.75" thickBot="1">
      <c r="A22" s="96" t="s">
        <v>342</v>
      </c>
      <c r="F22" s="96">
        <v>2009</v>
      </c>
      <c r="G22" s="96">
        <v>2010</v>
      </c>
      <c r="H22" s="96">
        <v>2011</v>
      </c>
      <c r="I22" s="96">
        <v>2012</v>
      </c>
      <c r="J22" s="96">
        <v>2013</v>
      </c>
      <c r="K22" s="96">
        <v>2014</v>
      </c>
      <c r="L22" s="96">
        <v>2015</v>
      </c>
      <c r="O22" s="220" t="s">
        <v>361</v>
      </c>
    </row>
    <row r="23" spans="1:17">
      <c r="A23" s="81" t="s">
        <v>0</v>
      </c>
      <c r="B23" s="130" t="s">
        <v>408</v>
      </c>
      <c r="C23" s="266"/>
      <c r="D23" s="266"/>
      <c r="E23" s="266"/>
      <c r="F23" s="266"/>
      <c r="G23" s="282"/>
      <c r="H23" s="282"/>
      <c r="I23" s="282"/>
      <c r="J23" s="282"/>
      <c r="K23" s="282"/>
      <c r="L23" s="282"/>
      <c r="M23" s="321"/>
      <c r="N23" s="133" t="s">
        <v>408</v>
      </c>
      <c r="O23" s="84"/>
    </row>
    <row r="24" spans="1:17">
      <c r="A24" s="119" t="s">
        <v>1</v>
      </c>
      <c r="B24" s="130" t="s">
        <v>43</v>
      </c>
      <c r="C24" s="266"/>
      <c r="D24" s="266"/>
      <c r="E24" s="266"/>
      <c r="F24" s="266"/>
      <c r="G24" s="282">
        <f t="shared" ref="G24" si="0">G8*G$3</f>
        <v>0</v>
      </c>
      <c r="H24" s="282">
        <f t="shared" ref="H24:L24" si="1">H8*H$3</f>
        <v>0</v>
      </c>
      <c r="I24" s="282">
        <f t="shared" si="1"/>
        <v>0</v>
      </c>
      <c r="J24" s="282">
        <f t="shared" si="1"/>
        <v>0</v>
      </c>
      <c r="K24" s="282">
        <f t="shared" si="1"/>
        <v>66674.61832061068</v>
      </c>
      <c r="L24" s="282">
        <f t="shared" si="1"/>
        <v>110928.70544090058</v>
      </c>
      <c r="M24" s="321"/>
      <c r="N24" s="133" t="s">
        <v>43</v>
      </c>
      <c r="O24" s="84">
        <f t="shared" ref="O24:O29" si="2">AVERAGE(G24:L24)/1000</f>
        <v>29.600553960251872</v>
      </c>
      <c r="P24" s="345"/>
      <c r="Q24" s="345"/>
    </row>
    <row r="25" spans="1:17">
      <c r="A25" s="119" t="s">
        <v>2</v>
      </c>
      <c r="B25" s="130" t="s">
        <v>411</v>
      </c>
      <c r="C25" s="266"/>
      <c r="D25" s="266"/>
      <c r="E25" s="266"/>
      <c r="F25" s="266"/>
      <c r="G25" s="282">
        <f>G9*G$4</f>
        <v>817336.00191022968</v>
      </c>
      <c r="H25" s="282">
        <f t="shared" ref="H25:L25" si="3">H9*H$4</f>
        <v>660011.27355846774</v>
      </c>
      <c r="I25" s="282">
        <f t="shared" si="3"/>
        <v>890347.95795816719</v>
      </c>
      <c r="J25" s="282">
        <f t="shared" si="3"/>
        <v>977678.9114785993</v>
      </c>
      <c r="K25" s="282">
        <f t="shared" si="3"/>
        <v>975215.85016052867</v>
      </c>
      <c r="L25" s="282">
        <f t="shared" si="3"/>
        <v>979521.59680000006</v>
      </c>
      <c r="M25" s="321"/>
      <c r="N25" s="133" t="s">
        <v>411</v>
      </c>
      <c r="O25" s="84">
        <f t="shared" si="2"/>
        <v>883.35193197766557</v>
      </c>
      <c r="P25" s="345"/>
      <c r="Q25" s="345"/>
    </row>
    <row r="26" spans="1:17">
      <c r="A26" s="119" t="s">
        <v>3</v>
      </c>
      <c r="B26" s="130" t="s">
        <v>46</v>
      </c>
      <c r="C26" s="266"/>
      <c r="D26" s="266"/>
      <c r="E26" s="266"/>
      <c r="F26" s="266"/>
      <c r="G26" s="282">
        <f t="shared" ref="F26:G28" si="4">G10*G$3</f>
        <v>22050.575019561293</v>
      </c>
      <c r="H26" s="282">
        <f t="shared" ref="H26:L26" si="5">H10*H$3</f>
        <v>22463.117851747622</v>
      </c>
      <c r="I26" s="282">
        <f t="shared" si="5"/>
        <v>23448.938117797839</v>
      </c>
      <c r="J26" s="282">
        <f t="shared" si="5"/>
        <v>24103.46218236053</v>
      </c>
      <c r="K26" s="282">
        <f t="shared" si="5"/>
        <v>25505.144351203278</v>
      </c>
      <c r="L26" s="282">
        <f t="shared" si="5"/>
        <v>21985.357640428927</v>
      </c>
      <c r="M26" s="321"/>
      <c r="N26" s="133" t="s">
        <v>46</v>
      </c>
      <c r="O26" s="84">
        <f t="shared" si="2"/>
        <v>23.25943252718325</v>
      </c>
      <c r="P26" s="345"/>
      <c r="Q26" s="345"/>
    </row>
    <row r="27" spans="1:17">
      <c r="A27" s="119" t="s">
        <v>4</v>
      </c>
      <c r="B27" s="130" t="s">
        <v>48</v>
      </c>
      <c r="C27" s="266"/>
      <c r="D27" s="266"/>
      <c r="E27" s="266"/>
      <c r="F27" s="282">
        <f t="shared" si="4"/>
        <v>7103841.9913419904</v>
      </c>
      <c r="G27" s="282">
        <f t="shared" si="4"/>
        <v>8847375.3976670206</v>
      </c>
      <c r="H27" s="282">
        <f t="shared" ref="H27:K27" si="6">H11*H$3</f>
        <v>9308900.9287925679</v>
      </c>
      <c r="I27" s="282">
        <f t="shared" si="6"/>
        <v>8947920.8416833673</v>
      </c>
      <c r="J27" s="282">
        <f t="shared" si="6"/>
        <v>9121691.1764705889</v>
      </c>
      <c r="K27" s="282">
        <f t="shared" si="6"/>
        <v>9352910.3053435106</v>
      </c>
      <c r="L27" s="282"/>
      <c r="M27" s="321"/>
      <c r="N27" s="133" t="s">
        <v>48</v>
      </c>
      <c r="O27" s="84">
        <f>AVERAGE(F27:K27)/1000</f>
        <v>8780.4401068831739</v>
      </c>
      <c r="P27" s="345"/>
      <c r="Q27" s="345"/>
    </row>
    <row r="28" spans="1:17">
      <c r="A28" s="119" t="s">
        <v>5</v>
      </c>
      <c r="B28" s="130" t="s">
        <v>50</v>
      </c>
      <c r="C28" s="266"/>
      <c r="D28" s="266"/>
      <c r="E28" s="266"/>
      <c r="F28" s="282">
        <f t="shared" si="4"/>
        <v>4955936.1471861461</v>
      </c>
      <c r="G28" s="282">
        <f t="shared" si="4"/>
        <v>5170259.809119829</v>
      </c>
      <c r="H28" s="282">
        <f t="shared" ref="H28:K28" si="7">H12*H$3</f>
        <v>4816532.5077399388</v>
      </c>
      <c r="I28" s="282">
        <f t="shared" si="7"/>
        <v>4793875.2505010022</v>
      </c>
      <c r="J28" s="282">
        <f t="shared" si="7"/>
        <v>4941205.8823529417</v>
      </c>
      <c r="K28" s="282">
        <f t="shared" si="7"/>
        <v>4726922.7099236641</v>
      </c>
      <c r="L28" s="282"/>
      <c r="M28" s="321"/>
      <c r="N28" s="133" t="s">
        <v>50</v>
      </c>
      <c r="O28" s="347">
        <f>AVERAGE(F28:K28)/1000</f>
        <v>4900.7887178039209</v>
      </c>
      <c r="P28" s="345"/>
      <c r="Q28" s="345"/>
    </row>
    <row r="29" spans="1:17">
      <c r="A29" s="119" t="s">
        <v>6</v>
      </c>
      <c r="B29" s="130" t="s">
        <v>52</v>
      </c>
      <c r="C29" s="266"/>
      <c r="D29" s="266"/>
      <c r="E29" s="266"/>
      <c r="F29" s="266"/>
      <c r="G29" s="282">
        <f t="shared" ref="G29" si="8">G13*G$3</f>
        <v>0</v>
      </c>
      <c r="H29" s="282">
        <f t="shared" ref="H29:L29" si="9">H13*H$3</f>
        <v>0</v>
      </c>
      <c r="I29" s="282">
        <f t="shared" si="9"/>
        <v>0</v>
      </c>
      <c r="J29" s="282">
        <f t="shared" si="9"/>
        <v>0</v>
      </c>
      <c r="K29" s="282">
        <f t="shared" si="9"/>
        <v>0</v>
      </c>
      <c r="L29" s="282">
        <f t="shared" si="9"/>
        <v>0</v>
      </c>
      <c r="M29" s="321"/>
      <c r="N29" s="133" t="s">
        <v>52</v>
      </c>
      <c r="O29" s="84">
        <f t="shared" si="2"/>
        <v>0</v>
      </c>
      <c r="P29" s="345"/>
      <c r="Q29" s="345"/>
    </row>
    <row r="30" spans="1:17">
      <c r="A30" s="119" t="s">
        <v>7</v>
      </c>
      <c r="B30" s="130" t="s">
        <v>54</v>
      </c>
      <c r="C30" s="266"/>
      <c r="D30" s="266"/>
      <c r="E30" s="266"/>
      <c r="F30" s="266"/>
      <c r="G30" s="282">
        <f>G14*G$4</f>
        <v>505699.97390396666</v>
      </c>
      <c r="H30" s="282">
        <f t="shared" ref="H30:L30" si="10">H14*H$4</f>
        <v>544506.22580645164</v>
      </c>
      <c r="I30" s="282">
        <f t="shared" si="10"/>
        <v>800907.39990039833</v>
      </c>
      <c r="J30" s="282">
        <f t="shared" si="10"/>
        <v>1000544.720938716</v>
      </c>
      <c r="K30" s="282">
        <f t="shared" si="10"/>
        <v>998834.36697355984</v>
      </c>
      <c r="L30" s="282">
        <f t="shared" si="10"/>
        <v>1016580.3050000001</v>
      </c>
      <c r="M30" s="321"/>
      <c r="N30" s="133" t="s">
        <v>54</v>
      </c>
      <c r="O30" s="84">
        <f t="shared" ref="O30:O35" si="11">AVERAGE(G30:L30)/1000</f>
        <v>811.17883208718206</v>
      </c>
      <c r="P30" s="345"/>
      <c r="Q30" s="345"/>
    </row>
    <row r="31" spans="1:17">
      <c r="A31" s="119" t="s">
        <v>8</v>
      </c>
      <c r="B31" s="130" t="s">
        <v>56</v>
      </c>
      <c r="C31" s="266"/>
      <c r="D31" s="266"/>
      <c r="E31" s="266"/>
      <c r="F31" s="266"/>
      <c r="G31" s="282">
        <f>G15*G$4</f>
        <v>1129968.2483507306</v>
      </c>
      <c r="H31" s="282">
        <f t="shared" ref="H31:L31" si="12">H15*H$4</f>
        <v>1051924.6117741936</v>
      </c>
      <c r="I31" s="282">
        <f t="shared" si="12"/>
        <v>1548621.646374502</v>
      </c>
      <c r="J31" s="282">
        <f t="shared" si="12"/>
        <v>2040464.3703793776</v>
      </c>
      <c r="K31" s="282">
        <f t="shared" si="12"/>
        <v>2024232.3802455144</v>
      </c>
      <c r="L31" s="282">
        <f t="shared" si="12"/>
        <v>2043246.1432000003</v>
      </c>
      <c r="M31" s="321"/>
      <c r="N31" s="133" t="s">
        <v>56</v>
      </c>
      <c r="O31" s="84">
        <f t="shared" si="11"/>
        <v>1639.7429000540533</v>
      </c>
      <c r="P31" s="345"/>
      <c r="Q31" s="345"/>
    </row>
    <row r="32" spans="1:17">
      <c r="A32" s="119" t="s">
        <v>9</v>
      </c>
      <c r="B32" s="130" t="s">
        <v>58</v>
      </c>
      <c r="C32" s="266"/>
      <c r="D32" s="266"/>
      <c r="E32" s="266"/>
      <c r="F32" s="266"/>
      <c r="G32" s="282">
        <f t="shared" ref="G32" si="13">G16*G$3</f>
        <v>3629692.4708377519</v>
      </c>
      <c r="H32" s="282">
        <f t="shared" ref="H32:L32" si="14">H16*H$3</f>
        <v>3683178.5345717231</v>
      </c>
      <c r="I32" s="282">
        <f t="shared" si="14"/>
        <v>3576152.3046092191</v>
      </c>
      <c r="J32" s="282">
        <f t="shared" si="14"/>
        <v>3499019.6078431373</v>
      </c>
      <c r="K32" s="282">
        <f t="shared" si="14"/>
        <v>3409637.4045801526</v>
      </c>
      <c r="L32" s="282">
        <f t="shared" si="14"/>
        <v>3354903.4537992501</v>
      </c>
      <c r="M32" s="321"/>
      <c r="N32" s="133" t="s">
        <v>58</v>
      </c>
      <c r="O32" s="84">
        <f t="shared" si="11"/>
        <v>3525.4306293735394</v>
      </c>
      <c r="P32" s="345"/>
      <c r="Q32" s="345"/>
    </row>
    <row r="33" spans="1:17">
      <c r="A33" s="119" t="s">
        <v>10</v>
      </c>
      <c r="B33" s="130" t="s">
        <v>239</v>
      </c>
      <c r="C33" s="266"/>
      <c r="D33" s="266"/>
      <c r="E33" s="266"/>
      <c r="F33" s="266"/>
      <c r="G33" s="282">
        <f t="shared" ref="G33" si="15">G17*G$3</f>
        <v>224662.08404029693</v>
      </c>
      <c r="H33" s="282">
        <f t="shared" ref="H33:L33" si="16">H17*H$3</f>
        <v>245595.89783281731</v>
      </c>
      <c r="I33" s="282">
        <f t="shared" si="16"/>
        <v>229627.00150300603</v>
      </c>
      <c r="J33" s="282">
        <f t="shared" si="16"/>
        <v>104420.14080882355</v>
      </c>
      <c r="K33" s="282">
        <f t="shared" si="16"/>
        <v>156877.28965570134</v>
      </c>
      <c r="L33" s="282">
        <f t="shared" si="16"/>
        <v>209919.70761758913</v>
      </c>
      <c r="M33" s="321"/>
      <c r="N33" s="133" t="s">
        <v>239</v>
      </c>
      <c r="O33" s="84">
        <f t="shared" si="11"/>
        <v>195.18368690970573</v>
      </c>
      <c r="P33" s="345"/>
      <c r="Q33" s="345"/>
    </row>
    <row r="34" spans="1:17">
      <c r="A34" s="119" t="s">
        <v>11</v>
      </c>
      <c r="B34" s="130" t="s">
        <v>61</v>
      </c>
      <c r="C34" s="266"/>
      <c r="D34" s="266"/>
      <c r="E34" s="266"/>
      <c r="F34" s="266"/>
      <c r="G34" s="282">
        <f t="shared" ref="G34" si="17">G18*G$3</f>
        <v>3865196.8511607056</v>
      </c>
      <c r="H34" s="282">
        <f t="shared" ref="H34:L34" si="18">H18*H$3</f>
        <v>3809450.7019581543</v>
      </c>
      <c r="I34" s="282">
        <f t="shared" si="18"/>
        <v>4043920.5661322651</v>
      </c>
      <c r="J34" s="282">
        <f t="shared" si="18"/>
        <v>4239862.1813725494</v>
      </c>
      <c r="K34" s="282">
        <f t="shared" si="18"/>
        <v>3679052.6121183205</v>
      </c>
      <c r="L34" s="282">
        <f t="shared" si="18"/>
        <v>3710132.5750469049</v>
      </c>
      <c r="M34" s="321"/>
      <c r="N34" s="133" t="s">
        <v>61</v>
      </c>
      <c r="O34" s="84">
        <f t="shared" si="11"/>
        <v>3891.2692479648167</v>
      </c>
      <c r="P34" s="345"/>
      <c r="Q34" s="345"/>
    </row>
    <row r="35" spans="1:17">
      <c r="A35" s="119" t="s">
        <v>12</v>
      </c>
      <c r="B35" s="130" t="s">
        <v>63</v>
      </c>
      <c r="C35" s="266"/>
      <c r="D35" s="266"/>
      <c r="E35" s="266"/>
      <c r="F35" s="266"/>
      <c r="G35" s="282">
        <f>G19*G$4</f>
        <v>0</v>
      </c>
      <c r="H35" s="282">
        <f t="shared" ref="H35:L35" si="19">H19*H$4</f>
        <v>0</v>
      </c>
      <c r="I35" s="282">
        <f t="shared" si="19"/>
        <v>0</v>
      </c>
      <c r="J35" s="282">
        <f t="shared" si="19"/>
        <v>978435.32247081725</v>
      </c>
      <c r="K35" s="282">
        <f t="shared" si="19"/>
        <v>1928372.0920679881</v>
      </c>
      <c r="L35" s="282">
        <f t="shared" si="19"/>
        <v>1953521.0400000007</v>
      </c>
      <c r="M35" s="321"/>
      <c r="N35" s="133" t="s">
        <v>63</v>
      </c>
      <c r="O35" s="84">
        <f t="shared" si="11"/>
        <v>810.05474242313437</v>
      </c>
      <c r="P35" s="345"/>
      <c r="Q35" s="345"/>
    </row>
    <row r="36" spans="1:17">
      <c r="M36" s="321"/>
      <c r="P36" s="345"/>
      <c r="Q36" s="345"/>
    </row>
    <row r="37" spans="1:17">
      <c r="B37" s="183"/>
      <c r="C37" s="183"/>
      <c r="D37" s="183"/>
      <c r="E37" s="183"/>
      <c r="F37" s="183"/>
      <c r="G37" s="183"/>
      <c r="H37" s="183"/>
      <c r="I37" s="183"/>
      <c r="J37" s="183"/>
      <c r="K37" s="183"/>
      <c r="L37" s="183"/>
      <c r="P37" s="345"/>
    </row>
    <row r="38" spans="1:17">
      <c r="P38" s="345"/>
    </row>
    <row r="45" spans="1:17">
      <c r="H45" s="7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workbookViewId="0">
      <selection activeCell="M2" sqref="M2:O2"/>
    </sheetView>
  </sheetViews>
  <sheetFormatPr defaultColWidth="9.28515625" defaultRowHeight="15"/>
  <cols>
    <col min="1" max="1" width="10.5703125" style="114" bestFit="1" customWidth="1"/>
    <col min="2" max="2" width="18" style="114" customWidth="1"/>
    <col min="3" max="4" width="15" style="114" bestFit="1" customWidth="1"/>
    <col min="5" max="5" width="13.28515625" style="114" customWidth="1"/>
    <col min="6" max="6" width="11.7109375" style="114" customWidth="1"/>
    <col min="7" max="7" width="11.7109375" style="260" customWidth="1"/>
    <col min="8" max="8" width="18.5703125" style="114" bestFit="1" customWidth="1"/>
    <col min="9" max="10" width="9.28515625" style="114"/>
    <col min="11" max="11" width="52.28515625" style="114" bestFit="1" customWidth="1"/>
    <col min="12" max="12" width="9.28515625" style="114"/>
    <col min="13" max="13" width="13.28515625" style="114" customWidth="1"/>
    <col min="14" max="14" width="13.42578125" style="114" customWidth="1"/>
    <col min="15" max="15" width="15.28515625" style="114" customWidth="1"/>
    <col min="16" max="16384" width="9.28515625" style="114"/>
  </cols>
  <sheetData>
    <row r="1" spans="1:15" s="183" customFormat="1" ht="45.75" thickBot="1">
      <c r="A1" s="220" t="s">
        <v>18</v>
      </c>
      <c r="B1" s="220"/>
      <c r="C1" s="220" t="s">
        <v>216</v>
      </c>
      <c r="D1" s="220" t="s">
        <v>216</v>
      </c>
      <c r="E1" s="250" t="s">
        <v>217</v>
      </c>
      <c r="F1" s="220" t="s">
        <v>40</v>
      </c>
      <c r="G1" s="220"/>
    </row>
    <row r="2" spans="1:15" s="183" customFormat="1" ht="45.75" thickBot="1">
      <c r="A2" s="250"/>
      <c r="B2" s="220"/>
      <c r="C2" s="250" t="s">
        <v>218</v>
      </c>
      <c r="D2" s="220" t="s">
        <v>219</v>
      </c>
      <c r="E2" s="250" t="s">
        <v>343</v>
      </c>
      <c r="F2" s="275" t="s">
        <v>220</v>
      </c>
      <c r="G2" s="275"/>
      <c r="K2" s="276" t="s">
        <v>18</v>
      </c>
      <c r="L2" s="276"/>
      <c r="M2" s="250" t="s">
        <v>228</v>
      </c>
      <c r="N2" s="250" t="s">
        <v>216</v>
      </c>
      <c r="O2" s="250" t="s">
        <v>216</v>
      </c>
    </row>
    <row r="3" spans="1:15" s="183" customFormat="1">
      <c r="A3" s="119" t="s">
        <v>0</v>
      </c>
      <c r="B3" s="118" t="s">
        <v>41</v>
      </c>
      <c r="C3" s="118">
        <v>31477</v>
      </c>
      <c r="D3" s="120">
        <f>VLOOKUP(B3,$H$4:$I$11,2)</f>
        <v>0.20599999999999999</v>
      </c>
      <c r="E3" s="128">
        <f>+D3*Termites!$N$15+Termites!$O$15</f>
        <v>1.4564494254616227</v>
      </c>
      <c r="F3" s="182">
        <f>+E3*$C3</f>
        <v>45844.6585652555</v>
      </c>
      <c r="G3" s="182"/>
      <c r="H3" s="183" t="s">
        <v>219</v>
      </c>
      <c r="K3" s="267" t="s">
        <v>229</v>
      </c>
      <c r="L3" s="267" t="s">
        <v>159</v>
      </c>
      <c r="M3" s="267" t="s">
        <v>236</v>
      </c>
      <c r="N3" s="267" t="s">
        <v>238</v>
      </c>
      <c r="O3" s="267" t="s">
        <v>50</v>
      </c>
    </row>
    <row r="4" spans="1:15" s="183" customFormat="1">
      <c r="A4" s="119" t="s">
        <v>1</v>
      </c>
      <c r="B4" s="118" t="s">
        <v>221</v>
      </c>
      <c r="C4" s="118">
        <v>81735</v>
      </c>
      <c r="D4" s="120">
        <f>VLOOKUP(B4,$H$4:$I$11,2)</f>
        <v>0.35</v>
      </c>
      <c r="E4" s="128">
        <f>+D4*Termites!$N$15+Termites!$O$15</f>
        <v>2.6049149866756078</v>
      </c>
      <c r="F4" s="182">
        <f t="shared" ref="F4:F15" si="0">+E4*C4</f>
        <v>212912.72643593082</v>
      </c>
      <c r="G4" s="182"/>
      <c r="H4" s="118" t="s">
        <v>41</v>
      </c>
      <c r="I4" s="120">
        <v>0.20599999999999999</v>
      </c>
      <c r="K4" s="267" t="s">
        <v>230</v>
      </c>
      <c r="L4" s="267"/>
      <c r="M4" s="268">
        <v>0</v>
      </c>
      <c r="N4" s="269">
        <f>I11</f>
        <v>0.221</v>
      </c>
      <c r="O4" s="269">
        <f>I8</f>
        <v>0.45100000000000001</v>
      </c>
    </row>
    <row r="5" spans="1:15" s="183" customFormat="1">
      <c r="A5" s="119" t="s">
        <v>2</v>
      </c>
      <c r="C5" s="118">
        <v>36215</v>
      </c>
      <c r="D5" s="121">
        <f>(I6+I7)/2</f>
        <v>9.1999999999999998E-2</v>
      </c>
      <c r="E5" s="128">
        <f>+D5*Termites!$N$15+Termites!$O$15</f>
        <v>0.54724752283388467</v>
      </c>
      <c r="F5" s="182">
        <f t="shared" si="0"/>
        <v>19818.569039429134</v>
      </c>
      <c r="G5" s="182"/>
      <c r="H5" s="118" t="s">
        <v>225</v>
      </c>
      <c r="I5" s="120">
        <v>0.36099999999999999</v>
      </c>
      <c r="K5" s="267" t="s">
        <v>231</v>
      </c>
      <c r="L5" s="267">
        <v>2010</v>
      </c>
      <c r="M5" s="267">
        <v>0</v>
      </c>
      <c r="N5" s="270">
        <v>299880</v>
      </c>
      <c r="O5" s="270">
        <v>2220086.3868551911</v>
      </c>
    </row>
    <row r="6" spans="1:15" s="183" customFormat="1">
      <c r="A6" s="119" t="s">
        <v>3</v>
      </c>
      <c r="B6" s="118" t="s">
        <v>221</v>
      </c>
      <c r="C6" s="118">
        <v>285515</v>
      </c>
      <c r="D6" s="120">
        <f t="shared" ref="D6:D15" si="1">VLOOKUP(B6,$H$4:$I$11,2)</f>
        <v>0.35</v>
      </c>
      <c r="E6" s="128">
        <f>+D6*Termites!$N$15+Termites!$O$15</f>
        <v>2.6049149866756078</v>
      </c>
      <c r="F6" s="182">
        <f t="shared" si="0"/>
        <v>743742.30242068612</v>
      </c>
      <c r="G6" s="182"/>
      <c r="H6" s="118" t="s">
        <v>223</v>
      </c>
      <c r="I6" s="120">
        <v>0.115</v>
      </c>
      <c r="K6" s="267" t="s">
        <v>232</v>
      </c>
      <c r="L6" s="267">
        <v>2010</v>
      </c>
      <c r="M6" s="267">
        <v>0</v>
      </c>
      <c r="N6" s="271">
        <f>+(O6/O5)*N5</f>
        <v>68058.808670578015</v>
      </c>
      <c r="O6" s="270">
        <v>503856.32464696642</v>
      </c>
    </row>
    <row r="7" spans="1:15" s="183" customFormat="1">
      <c r="A7" s="119" t="s">
        <v>4</v>
      </c>
      <c r="B7" s="118" t="s">
        <v>226</v>
      </c>
      <c r="C7" s="118">
        <v>396698</v>
      </c>
      <c r="D7" s="120">
        <f t="shared" si="1"/>
        <v>0.45100000000000001</v>
      </c>
      <c r="E7" s="128">
        <f>+D7*Termites!$N$15+Termites!$O$15</f>
        <v>3.4104359705826393</v>
      </c>
      <c r="F7" s="182">
        <f t="shared" si="0"/>
        <v>1352913.1286581918</v>
      </c>
      <c r="G7" s="182"/>
      <c r="H7" s="118" t="s">
        <v>222</v>
      </c>
      <c r="I7" s="120">
        <v>6.9000000000000006E-2</v>
      </c>
      <c r="K7" s="267"/>
      <c r="L7" s="267"/>
      <c r="M7" s="267"/>
      <c r="N7" s="267"/>
      <c r="O7" s="267"/>
    </row>
    <row r="8" spans="1:15" s="183" customFormat="1">
      <c r="A8" s="119" t="s">
        <v>5</v>
      </c>
      <c r="B8" s="118" t="s">
        <v>226</v>
      </c>
      <c r="C8" s="118">
        <v>865057</v>
      </c>
      <c r="D8" s="120">
        <f t="shared" si="1"/>
        <v>0.45100000000000001</v>
      </c>
      <c r="E8" s="128">
        <f>+D8*Termites!$N$15+Termites!$O$15</f>
        <v>3.4104359705826393</v>
      </c>
      <c r="F8" s="182">
        <f t="shared" si="0"/>
        <v>2950221.5094043063</v>
      </c>
      <c r="G8" s="182"/>
      <c r="H8" s="118" t="s">
        <v>226</v>
      </c>
      <c r="I8" s="120">
        <v>0.45100000000000001</v>
      </c>
      <c r="K8" s="267" t="s">
        <v>231</v>
      </c>
      <c r="L8" s="267" t="s">
        <v>237</v>
      </c>
      <c r="M8" s="270">
        <f>+M5*'CPI-master'!G8</f>
        <v>0</v>
      </c>
      <c r="N8" s="270">
        <f>+N5*$L$18</f>
        <v>336504.1753653445</v>
      </c>
      <c r="O8" s="270">
        <f>+O5*$L$19</f>
        <v>2530851.3954075612</v>
      </c>
    </row>
    <row r="9" spans="1:15" s="183" customFormat="1">
      <c r="A9" s="119" t="s">
        <v>6</v>
      </c>
      <c r="B9" s="118" t="s">
        <v>221</v>
      </c>
      <c r="C9" s="118">
        <v>1162622</v>
      </c>
      <c r="D9" s="120">
        <f t="shared" si="1"/>
        <v>0.35</v>
      </c>
      <c r="E9" s="128">
        <f>+D9*Termites!$N$15+Termites!$O$15</f>
        <v>2.6049149866756078</v>
      </c>
      <c r="F9" s="182">
        <f t="shared" si="0"/>
        <v>3028531.4716387684</v>
      </c>
      <c r="G9" s="182"/>
      <c r="H9" s="118" t="s">
        <v>221</v>
      </c>
      <c r="I9" s="120">
        <v>0.35</v>
      </c>
      <c r="K9" s="267" t="s">
        <v>232</v>
      </c>
      <c r="L9" s="267" t="s">
        <v>237</v>
      </c>
      <c r="M9" s="270">
        <f>+M6*'CPI-master'!G8</f>
        <v>0</v>
      </c>
      <c r="N9" s="270">
        <f>+N6*$L$18</f>
        <v>76370.792610512915</v>
      </c>
      <c r="O9" s="270">
        <f>+O6*$L$19</f>
        <v>574385.52385523741</v>
      </c>
    </row>
    <row r="10" spans="1:15" s="183" customFormat="1">
      <c r="A10" s="119" t="s">
        <v>7</v>
      </c>
      <c r="B10" s="118" t="s">
        <v>222</v>
      </c>
      <c r="C10" s="118">
        <v>51470</v>
      </c>
      <c r="D10" s="120">
        <f t="shared" si="1"/>
        <v>6.9000000000000006E-2</v>
      </c>
      <c r="E10" s="128">
        <f>+D10*Termites!$N$15+Termites!$O$15</f>
        <v>0.3638120512510955</v>
      </c>
      <c r="F10" s="182">
        <f t="shared" si="0"/>
        <v>18725.406277893886</v>
      </c>
      <c r="G10" s="182"/>
      <c r="H10" s="118" t="s">
        <v>227</v>
      </c>
      <c r="I10" s="122">
        <v>0.01</v>
      </c>
      <c r="K10" s="267" t="s">
        <v>233</v>
      </c>
      <c r="L10" s="267" t="s">
        <v>237</v>
      </c>
      <c r="M10" s="271">
        <f>SUM(M8:M9)</f>
        <v>0</v>
      </c>
      <c r="N10" s="271">
        <f t="shared" ref="N10:O10" si="2">SUM(N8:N9)</f>
        <v>412874.96797585743</v>
      </c>
      <c r="O10" s="271">
        <f t="shared" si="2"/>
        <v>3105236.9192627985</v>
      </c>
    </row>
    <row r="11" spans="1:15" s="183" customFormat="1">
      <c r="A11" s="119" t="s">
        <v>8</v>
      </c>
      <c r="B11" s="118" t="s">
        <v>224</v>
      </c>
      <c r="C11" s="118">
        <v>341109</v>
      </c>
      <c r="D11" s="120">
        <f t="shared" si="1"/>
        <v>0.221</v>
      </c>
      <c r="E11" s="128">
        <f>+D11*Termites!$N$15+Termites!$O$15</f>
        <v>1.5760812547547463</v>
      </c>
      <c r="F11" s="182">
        <f t="shared" si="0"/>
        <v>537615.50072813674</v>
      </c>
      <c r="G11" s="182"/>
      <c r="H11" s="118" t="s">
        <v>224</v>
      </c>
      <c r="I11" s="120">
        <v>0.221</v>
      </c>
      <c r="K11" s="267"/>
      <c r="L11" s="267"/>
      <c r="M11" s="267"/>
      <c r="N11" s="267"/>
      <c r="O11" s="267"/>
    </row>
    <row r="12" spans="1:15" s="183" customFormat="1">
      <c r="A12" s="119" t="s">
        <v>9</v>
      </c>
      <c r="B12" s="118" t="s">
        <v>225</v>
      </c>
      <c r="C12" s="118">
        <v>0</v>
      </c>
      <c r="D12" s="120">
        <f t="shared" si="1"/>
        <v>0.36099999999999999</v>
      </c>
      <c r="E12" s="128">
        <f>+D12*Termites!$N$15+Termites!$O$15</f>
        <v>2.6926449948238984</v>
      </c>
      <c r="F12" s="182">
        <f t="shared" si="0"/>
        <v>0</v>
      </c>
      <c r="G12" s="182"/>
      <c r="K12" s="267" t="s">
        <v>218</v>
      </c>
      <c r="L12" s="267"/>
      <c r="M12" s="272">
        <f>C14</f>
        <v>205576</v>
      </c>
      <c r="N12" s="267">
        <f>C11</f>
        <v>341109</v>
      </c>
      <c r="O12" s="267">
        <f>C8</f>
        <v>865057</v>
      </c>
    </row>
    <row r="13" spans="1:15" s="183" customFormat="1">
      <c r="A13" s="119" t="s">
        <v>10</v>
      </c>
      <c r="B13" s="118" t="s">
        <v>224</v>
      </c>
      <c r="C13" s="118">
        <v>173539</v>
      </c>
      <c r="D13" s="120">
        <f t="shared" si="1"/>
        <v>0.221</v>
      </c>
      <c r="E13" s="128">
        <f>+D13*Termites!$N$15+Termites!$O$15</f>
        <v>1.5760812547547463</v>
      </c>
      <c r="F13" s="182">
        <f t="shared" si="0"/>
        <v>273511.56486888393</v>
      </c>
      <c r="G13" s="182"/>
      <c r="K13" s="267" t="s">
        <v>234</v>
      </c>
      <c r="L13" s="267"/>
      <c r="M13" s="267">
        <f>+M10/M12</f>
        <v>0</v>
      </c>
      <c r="N13" s="267">
        <f t="shared" ref="N13:O13" si="3">+N10/N12</f>
        <v>1.2103901332883549</v>
      </c>
      <c r="O13" s="267">
        <f t="shared" si="3"/>
        <v>3.5896327285517584</v>
      </c>
    </row>
    <row r="14" spans="1:15" s="183" customFormat="1">
      <c r="A14" s="119" t="s">
        <v>11</v>
      </c>
      <c r="B14" s="118" t="s">
        <v>227</v>
      </c>
      <c r="C14" s="118">
        <v>205576</v>
      </c>
      <c r="D14" s="120">
        <f t="shared" si="1"/>
        <v>0.01</v>
      </c>
      <c r="E14" s="128">
        <f>+D14*Termites!$N$15+Termites!$O$15</f>
        <v>-0.10673981063519014</v>
      </c>
      <c r="F14" s="182">
        <v>0</v>
      </c>
      <c r="G14" s="182"/>
      <c r="K14" s="267" t="s">
        <v>235</v>
      </c>
      <c r="L14" s="267"/>
      <c r="M14" s="267"/>
      <c r="N14" s="267"/>
      <c r="O14" s="267"/>
    </row>
    <row r="15" spans="1:15" s="183" customFormat="1">
      <c r="A15" s="119" t="s">
        <v>12</v>
      </c>
      <c r="B15" s="118" t="s">
        <v>223</v>
      </c>
      <c r="C15" s="118">
        <v>92977</v>
      </c>
      <c r="D15" s="120">
        <f t="shared" si="1"/>
        <v>0.115</v>
      </c>
      <c r="E15" s="128">
        <f>+D15*Termites!$N$15+Termites!$O$15</f>
        <v>0.73068299441667406</v>
      </c>
      <c r="F15" s="182">
        <f t="shared" si="0"/>
        <v>67936.712771879102</v>
      </c>
      <c r="G15" s="182"/>
      <c r="K15" s="273"/>
      <c r="L15" s="273"/>
      <c r="M15" s="273"/>
      <c r="N15" s="274">
        <f t="array" ref="N15:O15">LINEST(M13:O13,M4:O4,TRUE,)</f>
        <v>7.9754552862082297</v>
      </c>
      <c r="O15" s="273">
        <v>-0.18649436349727244</v>
      </c>
    </row>
    <row r="16" spans="1:15" s="183" customFormat="1">
      <c r="G16" s="260"/>
      <c r="K16" s="273"/>
      <c r="L16" s="273"/>
      <c r="M16" s="273"/>
      <c r="N16" s="274">
        <f t="array" ref="N16:O16">LINEST(M13:O13,M4:O4,FALSE)</f>
        <v>7.4786141088065001</v>
      </c>
      <c r="O16" s="273">
        <v>0</v>
      </c>
    </row>
    <row r="17" spans="5:15" s="183" customFormat="1">
      <c r="G17" s="260"/>
      <c r="K17" s="273"/>
      <c r="L17" s="273"/>
      <c r="M17" s="273"/>
      <c r="N17" s="274">
        <f t="array" ref="N17:O17">LINEST(M13:N13,M4:N4,FALSE)</f>
        <v>5.476878431169026</v>
      </c>
      <c r="O17" s="273">
        <v>0</v>
      </c>
    </row>
    <row r="18" spans="5:15">
      <c r="E18" s="10"/>
      <c r="L18" s="114">
        <f>'CPI-master'!G9</f>
        <v>1.1221294363256786</v>
      </c>
      <c r="M18" s="130" t="s">
        <v>134</v>
      </c>
    </row>
    <row r="19" spans="5:15">
      <c r="L19" s="114">
        <f>'CPI-master'!G8</f>
        <v>1.1399787910922587</v>
      </c>
      <c r="M19" s="130" t="s">
        <v>133</v>
      </c>
    </row>
    <row r="33" spans="6:8">
      <c r="H33" s="129"/>
    </row>
    <row r="37" spans="6:8">
      <c r="F37" s="104"/>
      <c r="G37" s="104"/>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O67"/>
  <sheetViews>
    <sheetView zoomScaleNormal="100" workbookViewId="0">
      <selection activeCell="M35" sqref="M35"/>
    </sheetView>
  </sheetViews>
  <sheetFormatPr defaultColWidth="9.28515625" defaultRowHeight="15"/>
  <cols>
    <col min="1" max="1" width="59" style="104" bestFit="1" customWidth="1"/>
    <col min="2" max="4" width="10.28515625" style="101" bestFit="1" customWidth="1"/>
    <col min="5" max="9" width="11.5703125" style="101" bestFit="1" customWidth="1"/>
    <col min="10" max="10" width="11.7109375" style="101" customWidth="1"/>
    <col min="11" max="11" width="8.7109375" style="101" bestFit="1" customWidth="1"/>
    <col min="12" max="14" width="9.28515625" style="101"/>
    <col min="15" max="15" width="3" style="101" bestFit="1" customWidth="1"/>
    <col min="16" max="16384" width="9.28515625" style="101"/>
  </cols>
  <sheetData>
    <row r="1" spans="1:15" ht="15.75" thickBot="1">
      <c r="A1" s="103"/>
      <c r="B1" s="96">
        <v>2005</v>
      </c>
      <c r="C1" s="96">
        <v>2006</v>
      </c>
      <c r="D1" s="96">
        <v>2007</v>
      </c>
      <c r="E1" s="96">
        <v>2008</v>
      </c>
      <c r="F1" s="96">
        <v>2009</v>
      </c>
      <c r="G1" s="96">
        <v>2010</v>
      </c>
      <c r="H1" s="96">
        <v>2011</v>
      </c>
      <c r="I1" s="96">
        <v>2012</v>
      </c>
      <c r="J1" s="96">
        <v>2013</v>
      </c>
      <c r="K1" s="96">
        <v>2014</v>
      </c>
      <c r="L1" s="96">
        <v>2015</v>
      </c>
      <c r="M1" s="96">
        <v>2016</v>
      </c>
    </row>
    <row r="2" spans="1:15">
      <c r="A2" s="104" t="s">
        <v>204</v>
      </c>
      <c r="B2" s="101">
        <f t="shared" ref="B2:M3" si="0">SUMIFS($C$13:$C$67,$D$13:$D$67,B$1,$E$13:$E$67,$O2)</f>
        <v>83.8</v>
      </c>
      <c r="C2" s="101">
        <f t="shared" si="0"/>
        <v>86.6</v>
      </c>
      <c r="D2" s="101">
        <f t="shared" si="0"/>
        <v>89.1</v>
      </c>
      <c r="E2" s="101">
        <f t="shared" si="0"/>
        <v>92.4</v>
      </c>
      <c r="F2" s="101">
        <f t="shared" si="0"/>
        <v>94.3</v>
      </c>
      <c r="G2" s="101">
        <f t="shared" si="0"/>
        <v>96.9</v>
      </c>
      <c r="H2" s="101">
        <f t="shared" si="0"/>
        <v>99.8</v>
      </c>
      <c r="I2" s="101">
        <f t="shared" si="0"/>
        <v>102</v>
      </c>
      <c r="J2" s="101">
        <f t="shared" si="0"/>
        <v>104.8</v>
      </c>
      <c r="K2" s="101">
        <f t="shared" si="0"/>
        <v>106.6</v>
      </c>
      <c r="L2" s="101">
        <f t="shared" si="0"/>
        <v>108.4</v>
      </c>
      <c r="M2" s="101">
        <f t="shared" si="0"/>
        <v>110</v>
      </c>
      <c r="O2" s="105">
        <v>12</v>
      </c>
    </row>
    <row r="3" spans="1:15">
      <c r="A3" s="104" t="s">
        <v>205</v>
      </c>
      <c r="B3" s="101">
        <f t="shared" si="0"/>
        <v>82.6</v>
      </c>
      <c r="C3" s="101">
        <f t="shared" si="0"/>
        <v>85.9</v>
      </c>
      <c r="D3" s="101">
        <f t="shared" si="0"/>
        <v>87.7</v>
      </c>
      <c r="E3" s="101">
        <f t="shared" si="0"/>
        <v>91.6</v>
      </c>
      <c r="F3" s="101">
        <f t="shared" si="0"/>
        <v>92.9</v>
      </c>
      <c r="G3" s="101">
        <f t="shared" si="0"/>
        <v>95.8</v>
      </c>
      <c r="H3" s="101">
        <f t="shared" si="0"/>
        <v>99.2</v>
      </c>
      <c r="I3" s="101">
        <f t="shared" si="0"/>
        <v>100.4</v>
      </c>
      <c r="J3" s="101">
        <f t="shared" si="0"/>
        <v>102.8</v>
      </c>
      <c r="K3" s="101">
        <f t="shared" si="0"/>
        <v>105.9</v>
      </c>
      <c r="L3" s="101">
        <f t="shared" si="0"/>
        <v>107.5</v>
      </c>
      <c r="M3" s="101">
        <f t="shared" si="0"/>
        <v>108.6</v>
      </c>
      <c r="O3" s="105">
        <v>6</v>
      </c>
    </row>
    <row r="4" spans="1:15">
      <c r="A4" s="104" t="s">
        <v>206</v>
      </c>
      <c r="B4" s="101">
        <f t="shared" ref="B4:M4" si="1">SUMIFS($C$13:$C$67,$D$13:$D$67,B$1-1,$E$13:$E$67,$O4)</f>
        <v>81.5</v>
      </c>
      <c r="C4" s="101">
        <f t="shared" si="1"/>
        <v>83.8</v>
      </c>
      <c r="D4" s="101">
        <f t="shared" si="1"/>
        <v>86.6</v>
      </c>
      <c r="E4" s="101">
        <f t="shared" si="1"/>
        <v>89.1</v>
      </c>
      <c r="F4" s="101">
        <f t="shared" si="1"/>
        <v>92.4</v>
      </c>
      <c r="G4" s="101">
        <f t="shared" si="1"/>
        <v>94.3</v>
      </c>
      <c r="H4" s="101">
        <f t="shared" si="1"/>
        <v>96.9</v>
      </c>
      <c r="I4" s="101">
        <f t="shared" si="1"/>
        <v>99.8</v>
      </c>
      <c r="J4" s="101">
        <f t="shared" si="1"/>
        <v>102</v>
      </c>
      <c r="K4" s="101">
        <f t="shared" si="1"/>
        <v>104.8</v>
      </c>
      <c r="L4" s="101">
        <f t="shared" si="1"/>
        <v>106.6</v>
      </c>
      <c r="M4" s="101">
        <f t="shared" si="1"/>
        <v>108.4</v>
      </c>
      <c r="O4" s="105">
        <v>12</v>
      </c>
    </row>
    <row r="6" spans="1:15">
      <c r="C6" s="101" t="s">
        <v>195</v>
      </c>
      <c r="D6" s="101" t="s">
        <v>196</v>
      </c>
      <c r="E6" s="101" t="s">
        <v>197</v>
      </c>
      <c r="F6" s="101" t="s">
        <v>198</v>
      </c>
      <c r="G6" s="101" t="s">
        <v>199</v>
      </c>
      <c r="H6" s="101" t="s">
        <v>200</v>
      </c>
      <c r="I6" s="101" t="s">
        <v>201</v>
      </c>
      <c r="J6" s="101" t="s">
        <v>202</v>
      </c>
      <c r="K6" s="101" t="s">
        <v>203</v>
      </c>
      <c r="L6" s="106" t="s">
        <v>207</v>
      </c>
      <c r="M6" s="106" t="s">
        <v>208</v>
      </c>
    </row>
    <row r="7" spans="1:15">
      <c r="C7" s="101">
        <v>2006</v>
      </c>
      <c r="D7" s="101">
        <v>2007</v>
      </c>
      <c r="E7" s="101">
        <v>2008</v>
      </c>
      <c r="F7" s="101">
        <v>2009</v>
      </c>
      <c r="G7" s="101">
        <v>2010</v>
      </c>
      <c r="H7" s="101">
        <v>2011</v>
      </c>
      <c r="I7" s="101">
        <v>2012</v>
      </c>
      <c r="J7" s="101">
        <v>2013</v>
      </c>
      <c r="K7" s="101">
        <v>2014</v>
      </c>
      <c r="L7" s="101">
        <v>2015</v>
      </c>
      <c r="M7" s="101">
        <v>2016</v>
      </c>
    </row>
    <row r="8" spans="1:15">
      <c r="A8" s="104" t="s">
        <v>133</v>
      </c>
      <c r="C8" s="107">
        <f t="shared" ref="C8:M8" si="2">$L$3/B2</f>
        <v>1.2828162291169452</v>
      </c>
      <c r="D8" s="107">
        <f t="shared" si="2"/>
        <v>1.2413394919168592</v>
      </c>
      <c r="E8" s="107">
        <f t="shared" si="2"/>
        <v>1.2065095398428733</v>
      </c>
      <c r="F8" s="107">
        <f t="shared" si="2"/>
        <v>1.1634199134199132</v>
      </c>
      <c r="G8" s="107">
        <f t="shared" si="2"/>
        <v>1.1399787910922587</v>
      </c>
      <c r="H8" s="107">
        <f t="shared" si="2"/>
        <v>1.1093911248710009</v>
      </c>
      <c r="I8" s="107">
        <f t="shared" si="2"/>
        <v>1.0771543086172346</v>
      </c>
      <c r="J8" s="107">
        <f t="shared" si="2"/>
        <v>1.053921568627451</v>
      </c>
      <c r="K8" s="107">
        <f t="shared" si="2"/>
        <v>1.0257633587786259</v>
      </c>
      <c r="L8" s="107">
        <f t="shared" si="2"/>
        <v>1.0084427767354598</v>
      </c>
      <c r="M8" s="107">
        <f t="shared" si="2"/>
        <v>0.99169741697416969</v>
      </c>
    </row>
    <row r="9" spans="1:15">
      <c r="A9" s="104" t="s">
        <v>134</v>
      </c>
      <c r="C9" s="107">
        <f t="shared" ref="C9:M9" si="3">$L$3/C3</f>
        <v>1.2514551804423748</v>
      </c>
      <c r="D9" s="107">
        <f t="shared" si="3"/>
        <v>1.225769669327252</v>
      </c>
      <c r="E9" s="107">
        <f t="shared" si="3"/>
        <v>1.1735807860262009</v>
      </c>
      <c r="F9" s="107">
        <f t="shared" si="3"/>
        <v>1.1571582346609257</v>
      </c>
      <c r="G9" s="107">
        <f t="shared" si="3"/>
        <v>1.1221294363256786</v>
      </c>
      <c r="H9" s="107">
        <f t="shared" si="3"/>
        <v>1.0836693548387097</v>
      </c>
      <c r="I9" s="107">
        <f t="shared" si="3"/>
        <v>1.0707171314741035</v>
      </c>
      <c r="J9" s="107">
        <f t="shared" si="3"/>
        <v>1.0457198443579767</v>
      </c>
      <c r="K9" s="107">
        <f t="shared" si="3"/>
        <v>1.0151085930122756</v>
      </c>
      <c r="L9" s="107">
        <f t="shared" si="3"/>
        <v>1</v>
      </c>
      <c r="M9" s="107">
        <f t="shared" si="3"/>
        <v>0.98987108655616951</v>
      </c>
    </row>
    <row r="11" spans="1:15" ht="15.75" thickBot="1">
      <c r="B11" s="96" t="s">
        <v>209</v>
      </c>
      <c r="C11" s="96"/>
      <c r="D11" s="96"/>
      <c r="E11" s="96"/>
      <c r="F11" s="96"/>
      <c r="G11" s="96"/>
      <c r="H11" s="96"/>
      <c r="I11" s="96"/>
      <c r="J11" s="96"/>
      <c r="K11" s="96"/>
      <c r="L11" s="96"/>
      <c r="M11" s="96"/>
    </row>
    <row r="12" spans="1:15">
      <c r="C12" s="108"/>
      <c r="G12" s="101" t="s">
        <v>186</v>
      </c>
    </row>
    <row r="13" spans="1:15">
      <c r="B13" s="109">
        <v>37986</v>
      </c>
      <c r="C13" s="260">
        <v>79.5</v>
      </c>
      <c r="D13" s="101">
        <f t="shared" ref="D13:D67" si="4">YEAR(B13)</f>
        <v>2003</v>
      </c>
      <c r="E13" s="101">
        <f t="shared" ref="E13:E67" si="5">MONTH(B13)</f>
        <v>12</v>
      </c>
      <c r="G13" s="101" t="s">
        <v>187</v>
      </c>
    </row>
    <row r="14" spans="1:15">
      <c r="B14" s="109">
        <v>38077</v>
      </c>
      <c r="C14" s="260">
        <v>80.2</v>
      </c>
      <c r="D14" s="101">
        <f t="shared" si="4"/>
        <v>2004</v>
      </c>
      <c r="E14" s="101">
        <f t="shared" si="5"/>
        <v>3</v>
      </c>
      <c r="G14" s="101" t="s">
        <v>188</v>
      </c>
    </row>
    <row r="15" spans="1:15">
      <c r="B15" s="109">
        <v>38168</v>
      </c>
      <c r="C15" s="260">
        <v>80.599999999999994</v>
      </c>
      <c r="D15" s="101">
        <f t="shared" si="4"/>
        <v>2004</v>
      </c>
      <c r="E15" s="101">
        <f t="shared" si="5"/>
        <v>6</v>
      </c>
      <c r="G15" s="101" t="s">
        <v>189</v>
      </c>
    </row>
    <row r="16" spans="1:15">
      <c r="B16" s="109">
        <v>38260</v>
      </c>
      <c r="C16" s="260">
        <v>80.900000000000006</v>
      </c>
      <c r="D16" s="101">
        <f t="shared" si="4"/>
        <v>2004</v>
      </c>
      <c r="E16" s="101">
        <f t="shared" si="5"/>
        <v>9</v>
      </c>
      <c r="G16" s="101" t="s">
        <v>190</v>
      </c>
    </row>
    <row r="17" spans="2:7">
      <c r="B17" s="109">
        <v>38352</v>
      </c>
      <c r="C17" s="260">
        <v>81.5</v>
      </c>
      <c r="D17" s="101">
        <f t="shared" si="4"/>
        <v>2004</v>
      </c>
      <c r="E17" s="101">
        <f t="shared" si="5"/>
        <v>12</v>
      </c>
      <c r="G17" s="101">
        <v>3</v>
      </c>
    </row>
    <row r="18" spans="2:7">
      <c r="B18" s="109">
        <v>38442</v>
      </c>
      <c r="C18" s="260">
        <v>82.1</v>
      </c>
      <c r="D18" s="101">
        <f t="shared" si="4"/>
        <v>2005</v>
      </c>
      <c r="E18" s="101">
        <f t="shared" si="5"/>
        <v>3</v>
      </c>
      <c r="G18" s="110">
        <v>17777</v>
      </c>
    </row>
    <row r="19" spans="2:7">
      <c r="B19" s="109">
        <v>38533</v>
      </c>
      <c r="C19" s="260">
        <v>82.6</v>
      </c>
      <c r="D19" s="101">
        <f t="shared" si="4"/>
        <v>2005</v>
      </c>
      <c r="E19" s="101">
        <f t="shared" si="5"/>
        <v>6</v>
      </c>
      <c r="G19" s="110">
        <v>42887</v>
      </c>
    </row>
    <row r="20" spans="2:7">
      <c r="B20" s="109">
        <v>38625</v>
      </c>
      <c r="C20" s="260">
        <v>83.4</v>
      </c>
      <c r="D20" s="101">
        <f t="shared" si="4"/>
        <v>2005</v>
      </c>
      <c r="E20" s="101">
        <f t="shared" si="5"/>
        <v>9</v>
      </c>
      <c r="G20" s="101">
        <v>276</v>
      </c>
    </row>
    <row r="21" spans="2:7">
      <c r="B21" s="109">
        <v>38717</v>
      </c>
      <c r="C21" s="260">
        <v>83.8</v>
      </c>
      <c r="D21" s="101">
        <f t="shared" si="4"/>
        <v>2005</v>
      </c>
      <c r="E21" s="101">
        <f t="shared" si="5"/>
        <v>12</v>
      </c>
      <c r="G21" s="101" t="s">
        <v>191</v>
      </c>
    </row>
    <row r="22" spans="2:7">
      <c r="B22" s="109">
        <v>38807</v>
      </c>
      <c r="C22" s="260">
        <v>84.5</v>
      </c>
      <c r="D22" s="101">
        <f t="shared" si="4"/>
        <v>2006</v>
      </c>
      <c r="E22" s="101">
        <f t="shared" si="5"/>
        <v>3</v>
      </c>
    </row>
    <row r="23" spans="2:7">
      <c r="B23" s="109">
        <v>38898</v>
      </c>
      <c r="C23" s="260">
        <v>85.9</v>
      </c>
      <c r="D23" s="101">
        <f t="shared" si="4"/>
        <v>2006</v>
      </c>
      <c r="E23" s="101">
        <f t="shared" si="5"/>
        <v>6</v>
      </c>
    </row>
    <row r="24" spans="2:7">
      <c r="B24" s="109">
        <v>38990</v>
      </c>
      <c r="C24" s="260">
        <v>86.7</v>
      </c>
      <c r="D24" s="101">
        <f t="shared" si="4"/>
        <v>2006</v>
      </c>
      <c r="E24" s="101">
        <f t="shared" si="5"/>
        <v>9</v>
      </c>
    </row>
    <row r="25" spans="2:7">
      <c r="B25" s="109">
        <v>39082</v>
      </c>
      <c r="C25" s="260">
        <v>86.6</v>
      </c>
      <c r="D25" s="101">
        <f t="shared" si="4"/>
        <v>2006</v>
      </c>
      <c r="E25" s="101">
        <f t="shared" si="5"/>
        <v>12</v>
      </c>
    </row>
    <row r="26" spans="2:7">
      <c r="B26" s="109">
        <v>39172</v>
      </c>
      <c r="C26" s="260">
        <v>86.6</v>
      </c>
      <c r="D26" s="101">
        <f t="shared" si="4"/>
        <v>2007</v>
      </c>
      <c r="E26" s="101">
        <f t="shared" si="5"/>
        <v>3</v>
      </c>
    </row>
    <row r="27" spans="2:7">
      <c r="B27" s="109">
        <v>39263</v>
      </c>
      <c r="C27" s="260">
        <v>87.7</v>
      </c>
      <c r="D27" s="101">
        <f t="shared" si="4"/>
        <v>2007</v>
      </c>
      <c r="E27" s="101">
        <f t="shared" si="5"/>
        <v>6</v>
      </c>
    </row>
    <row r="28" spans="2:7">
      <c r="B28" s="109">
        <v>39355</v>
      </c>
      <c r="C28" s="260">
        <v>88.3</v>
      </c>
      <c r="D28" s="101">
        <f t="shared" si="4"/>
        <v>2007</v>
      </c>
      <c r="E28" s="101">
        <f t="shared" si="5"/>
        <v>9</v>
      </c>
    </row>
    <row r="29" spans="2:7">
      <c r="B29" s="109">
        <v>39447</v>
      </c>
      <c r="C29" s="260">
        <v>89.1</v>
      </c>
      <c r="D29" s="101">
        <f t="shared" si="4"/>
        <v>2007</v>
      </c>
      <c r="E29" s="101">
        <f t="shared" si="5"/>
        <v>12</v>
      </c>
    </row>
    <row r="30" spans="2:7">
      <c r="B30" s="109">
        <v>39538</v>
      </c>
      <c r="C30" s="260">
        <v>90.3</v>
      </c>
      <c r="D30" s="101">
        <f t="shared" si="4"/>
        <v>2008</v>
      </c>
      <c r="E30" s="101">
        <f t="shared" si="5"/>
        <v>3</v>
      </c>
    </row>
    <row r="31" spans="2:7">
      <c r="B31" s="109">
        <v>39629</v>
      </c>
      <c r="C31" s="260">
        <v>91.6</v>
      </c>
      <c r="D31" s="101">
        <f t="shared" si="4"/>
        <v>2008</v>
      </c>
      <c r="E31" s="101">
        <f t="shared" si="5"/>
        <v>6</v>
      </c>
    </row>
    <row r="32" spans="2:7">
      <c r="B32" s="109">
        <v>39721</v>
      </c>
      <c r="C32" s="260">
        <v>92.7</v>
      </c>
      <c r="D32" s="101">
        <f t="shared" si="4"/>
        <v>2008</v>
      </c>
      <c r="E32" s="101">
        <f t="shared" si="5"/>
        <v>9</v>
      </c>
    </row>
    <row r="33" spans="2:5">
      <c r="B33" s="109">
        <v>39813</v>
      </c>
      <c r="C33" s="260">
        <v>92.4</v>
      </c>
      <c r="D33" s="101">
        <f t="shared" si="4"/>
        <v>2008</v>
      </c>
      <c r="E33" s="101">
        <f t="shared" si="5"/>
        <v>12</v>
      </c>
    </row>
    <row r="34" spans="2:5">
      <c r="B34" s="109">
        <v>39903</v>
      </c>
      <c r="C34" s="260">
        <v>92.5</v>
      </c>
      <c r="D34" s="101">
        <f t="shared" si="4"/>
        <v>2009</v>
      </c>
      <c r="E34" s="101">
        <f t="shared" si="5"/>
        <v>3</v>
      </c>
    </row>
    <row r="35" spans="2:5">
      <c r="B35" s="109">
        <v>39994</v>
      </c>
      <c r="C35" s="260">
        <v>92.9</v>
      </c>
      <c r="D35" s="101">
        <f t="shared" si="4"/>
        <v>2009</v>
      </c>
      <c r="E35" s="101">
        <f t="shared" si="5"/>
        <v>6</v>
      </c>
    </row>
    <row r="36" spans="2:5">
      <c r="B36" s="109">
        <v>40086</v>
      </c>
      <c r="C36" s="260">
        <v>93.8</v>
      </c>
      <c r="D36" s="101">
        <f t="shared" si="4"/>
        <v>2009</v>
      </c>
      <c r="E36" s="101">
        <f t="shared" si="5"/>
        <v>9</v>
      </c>
    </row>
    <row r="37" spans="2:5">
      <c r="B37" s="109">
        <v>40178</v>
      </c>
      <c r="C37" s="260">
        <v>94.3</v>
      </c>
      <c r="D37" s="101">
        <f t="shared" si="4"/>
        <v>2009</v>
      </c>
      <c r="E37" s="101">
        <f t="shared" si="5"/>
        <v>12</v>
      </c>
    </row>
    <row r="38" spans="2:5">
      <c r="B38" s="109">
        <v>40268</v>
      </c>
      <c r="C38" s="260">
        <v>95.2</v>
      </c>
      <c r="D38" s="101">
        <f t="shared" si="4"/>
        <v>2010</v>
      </c>
      <c r="E38" s="101">
        <f t="shared" si="5"/>
        <v>3</v>
      </c>
    </row>
    <row r="39" spans="2:5">
      <c r="B39" s="109">
        <v>40359</v>
      </c>
      <c r="C39" s="260">
        <v>95.8</v>
      </c>
      <c r="D39" s="101">
        <f t="shared" si="4"/>
        <v>2010</v>
      </c>
      <c r="E39" s="101">
        <f t="shared" si="5"/>
        <v>6</v>
      </c>
    </row>
    <row r="40" spans="2:5">
      <c r="B40" s="109">
        <v>40451</v>
      </c>
      <c r="C40" s="260">
        <v>96.5</v>
      </c>
      <c r="D40" s="101">
        <f t="shared" si="4"/>
        <v>2010</v>
      </c>
      <c r="E40" s="101">
        <f t="shared" si="5"/>
        <v>9</v>
      </c>
    </row>
    <row r="41" spans="2:5">
      <c r="B41" s="109">
        <v>40543</v>
      </c>
      <c r="C41" s="260">
        <v>96.9</v>
      </c>
      <c r="D41" s="101">
        <f t="shared" si="4"/>
        <v>2010</v>
      </c>
      <c r="E41" s="101">
        <f t="shared" si="5"/>
        <v>12</v>
      </c>
    </row>
    <row r="42" spans="2:5">
      <c r="B42" s="109">
        <v>40633</v>
      </c>
      <c r="C42" s="260">
        <v>98.3</v>
      </c>
      <c r="D42" s="101">
        <f t="shared" si="4"/>
        <v>2011</v>
      </c>
      <c r="E42" s="101">
        <f t="shared" si="5"/>
        <v>3</v>
      </c>
    </row>
    <row r="43" spans="2:5">
      <c r="B43" s="109">
        <v>40724</v>
      </c>
      <c r="C43" s="260">
        <v>99.2</v>
      </c>
      <c r="D43" s="101">
        <f t="shared" si="4"/>
        <v>2011</v>
      </c>
      <c r="E43" s="101">
        <f t="shared" si="5"/>
        <v>6</v>
      </c>
    </row>
    <row r="44" spans="2:5">
      <c r="B44" s="109">
        <v>40816</v>
      </c>
      <c r="C44" s="260">
        <v>99.8</v>
      </c>
      <c r="D44" s="101">
        <f t="shared" si="4"/>
        <v>2011</v>
      </c>
      <c r="E44" s="101">
        <f t="shared" si="5"/>
        <v>9</v>
      </c>
    </row>
    <row r="45" spans="2:5">
      <c r="B45" s="109">
        <v>40908</v>
      </c>
      <c r="C45" s="260">
        <v>99.8</v>
      </c>
      <c r="D45" s="101">
        <f t="shared" si="4"/>
        <v>2011</v>
      </c>
      <c r="E45" s="101">
        <f t="shared" si="5"/>
        <v>12</v>
      </c>
    </row>
    <row r="46" spans="2:5">
      <c r="B46" s="109">
        <v>40999</v>
      </c>
      <c r="C46" s="260">
        <v>99.9</v>
      </c>
      <c r="D46" s="101">
        <f t="shared" si="4"/>
        <v>2012</v>
      </c>
      <c r="E46" s="101">
        <f t="shared" si="5"/>
        <v>3</v>
      </c>
    </row>
    <row r="47" spans="2:5">
      <c r="B47" s="109">
        <v>41090</v>
      </c>
      <c r="C47" s="260">
        <v>100.4</v>
      </c>
      <c r="D47" s="101">
        <f t="shared" si="4"/>
        <v>2012</v>
      </c>
      <c r="E47" s="101">
        <f t="shared" si="5"/>
        <v>6</v>
      </c>
    </row>
    <row r="48" spans="2:5">
      <c r="B48" s="109">
        <v>41182</v>
      </c>
      <c r="C48" s="260">
        <v>101.8</v>
      </c>
      <c r="D48" s="101">
        <f t="shared" si="4"/>
        <v>2012</v>
      </c>
      <c r="E48" s="101">
        <f t="shared" si="5"/>
        <v>9</v>
      </c>
    </row>
    <row r="49" spans="2:5">
      <c r="B49" s="109">
        <v>41274</v>
      </c>
      <c r="C49" s="260">
        <v>102</v>
      </c>
      <c r="D49" s="101">
        <f t="shared" si="4"/>
        <v>2012</v>
      </c>
      <c r="E49" s="101">
        <f t="shared" si="5"/>
        <v>12</v>
      </c>
    </row>
    <row r="50" spans="2:5">
      <c r="B50" s="109">
        <v>41364</v>
      </c>
      <c r="C50" s="260">
        <v>102.4</v>
      </c>
      <c r="D50" s="101">
        <f t="shared" si="4"/>
        <v>2013</v>
      </c>
      <c r="E50" s="101">
        <f t="shared" si="5"/>
        <v>3</v>
      </c>
    </row>
    <row r="51" spans="2:5">
      <c r="B51" s="109">
        <v>41455</v>
      </c>
      <c r="C51" s="260">
        <v>102.8</v>
      </c>
      <c r="D51" s="101">
        <f t="shared" si="4"/>
        <v>2013</v>
      </c>
      <c r="E51" s="101">
        <f t="shared" si="5"/>
        <v>6</v>
      </c>
    </row>
    <row r="52" spans="2:5">
      <c r="B52" s="109">
        <v>41547</v>
      </c>
      <c r="C52" s="260">
        <v>104</v>
      </c>
      <c r="D52" s="101">
        <f t="shared" si="4"/>
        <v>2013</v>
      </c>
      <c r="E52" s="101">
        <f t="shared" si="5"/>
        <v>9</v>
      </c>
    </row>
    <row r="53" spans="2:5">
      <c r="B53" s="109">
        <v>41639</v>
      </c>
      <c r="C53" s="260">
        <v>104.8</v>
      </c>
      <c r="D53" s="101">
        <f t="shared" si="4"/>
        <v>2013</v>
      </c>
      <c r="E53" s="101">
        <f t="shared" si="5"/>
        <v>12</v>
      </c>
    </row>
    <row r="54" spans="2:5">
      <c r="B54" s="109">
        <v>41729</v>
      </c>
      <c r="C54" s="260">
        <v>105.4</v>
      </c>
      <c r="D54" s="101">
        <f t="shared" si="4"/>
        <v>2014</v>
      </c>
      <c r="E54" s="101">
        <f t="shared" si="5"/>
        <v>3</v>
      </c>
    </row>
    <row r="55" spans="2:5">
      <c r="B55" s="109">
        <v>41820</v>
      </c>
      <c r="C55" s="260">
        <v>105.9</v>
      </c>
      <c r="D55" s="101">
        <f t="shared" si="4"/>
        <v>2014</v>
      </c>
      <c r="E55" s="101">
        <f t="shared" si="5"/>
        <v>6</v>
      </c>
    </row>
    <row r="56" spans="2:5">
      <c r="B56" s="109">
        <v>41912</v>
      </c>
      <c r="C56" s="260">
        <v>106.4</v>
      </c>
      <c r="D56" s="101">
        <f t="shared" si="4"/>
        <v>2014</v>
      </c>
      <c r="E56" s="101">
        <f t="shared" si="5"/>
        <v>9</v>
      </c>
    </row>
    <row r="57" spans="2:5">
      <c r="B57" s="109">
        <v>42004</v>
      </c>
      <c r="C57" s="260">
        <v>106.6</v>
      </c>
      <c r="D57" s="101">
        <f t="shared" si="4"/>
        <v>2014</v>
      </c>
      <c r="E57" s="101">
        <f t="shared" si="5"/>
        <v>12</v>
      </c>
    </row>
    <row r="58" spans="2:5">
      <c r="B58" s="109">
        <v>42094</v>
      </c>
      <c r="C58" s="260">
        <v>106.8</v>
      </c>
      <c r="D58" s="101">
        <f t="shared" si="4"/>
        <v>2015</v>
      </c>
      <c r="E58" s="101">
        <f t="shared" si="5"/>
        <v>3</v>
      </c>
    </row>
    <row r="59" spans="2:5">
      <c r="B59" s="109">
        <v>42185</v>
      </c>
      <c r="C59" s="260">
        <v>107.5</v>
      </c>
      <c r="D59" s="101">
        <f t="shared" si="4"/>
        <v>2015</v>
      </c>
      <c r="E59" s="101">
        <f t="shared" si="5"/>
        <v>6</v>
      </c>
    </row>
    <row r="60" spans="2:5">
      <c r="B60" s="109">
        <v>42277</v>
      </c>
      <c r="C60" s="260">
        <v>108</v>
      </c>
      <c r="D60" s="101">
        <f t="shared" si="4"/>
        <v>2015</v>
      </c>
      <c r="E60" s="101">
        <f t="shared" si="5"/>
        <v>9</v>
      </c>
    </row>
    <row r="61" spans="2:5">
      <c r="B61" s="109">
        <v>42369</v>
      </c>
      <c r="C61" s="260">
        <v>108.4</v>
      </c>
      <c r="D61" s="101">
        <f t="shared" si="4"/>
        <v>2015</v>
      </c>
      <c r="E61" s="101">
        <f t="shared" si="5"/>
        <v>12</v>
      </c>
    </row>
    <row r="62" spans="2:5">
      <c r="B62" s="109">
        <v>42460</v>
      </c>
      <c r="C62" s="260">
        <v>108.2</v>
      </c>
      <c r="D62" s="101">
        <f t="shared" si="4"/>
        <v>2016</v>
      </c>
      <c r="E62" s="101">
        <f t="shared" si="5"/>
        <v>3</v>
      </c>
    </row>
    <row r="63" spans="2:5">
      <c r="B63" s="109">
        <v>42551</v>
      </c>
      <c r="C63" s="260">
        <v>108.6</v>
      </c>
      <c r="D63" s="101">
        <f t="shared" si="4"/>
        <v>2016</v>
      </c>
      <c r="E63" s="101">
        <f t="shared" si="5"/>
        <v>6</v>
      </c>
    </row>
    <row r="64" spans="2:5">
      <c r="B64" s="109">
        <v>42643</v>
      </c>
      <c r="C64" s="260">
        <v>109.4</v>
      </c>
      <c r="D64" s="101">
        <f t="shared" si="4"/>
        <v>2016</v>
      </c>
      <c r="E64" s="101">
        <f t="shared" si="5"/>
        <v>9</v>
      </c>
    </row>
    <row r="65" spans="2:5">
      <c r="B65" s="109">
        <v>42735</v>
      </c>
      <c r="C65" s="260">
        <v>110</v>
      </c>
      <c r="D65" s="101">
        <f t="shared" si="4"/>
        <v>2016</v>
      </c>
      <c r="E65" s="101">
        <f t="shared" si="5"/>
        <v>12</v>
      </c>
    </row>
    <row r="66" spans="2:5">
      <c r="B66" s="109">
        <v>42825</v>
      </c>
      <c r="C66" s="260">
        <v>110.5</v>
      </c>
      <c r="D66" s="101">
        <f t="shared" si="4"/>
        <v>2017</v>
      </c>
      <c r="E66" s="101">
        <f t="shared" si="5"/>
        <v>3</v>
      </c>
    </row>
    <row r="67" spans="2:5">
      <c r="B67" s="109">
        <v>42916</v>
      </c>
      <c r="C67" s="260">
        <v>110.7</v>
      </c>
      <c r="D67" s="101">
        <f t="shared" si="4"/>
        <v>2017</v>
      </c>
      <c r="E67" s="101">
        <f t="shared" si="5"/>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f4fba49f-3f0c-4781-b05d-9c2014cb5799">
      <Terms xmlns="http://schemas.microsoft.com/office/infopath/2007/PartnerControls"/>
    </TaxKeywordTaxHTField>
    <Client xmlns="c90870df-d24c-4ed5-974e-d29621d13942" xsi:nil="true"/>
    <Project_x0020_Descriptiion xmlns="c90870df-d24c-4ed5-974e-d29621d13942" xsi:nil="true"/>
    <TaxCatchAll xmlns="f4fba49f-3f0c-4781-b05d-9c2014cb579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AE2A870D2C0A448BDBAE18E065B4A4" ma:contentTypeVersion="14" ma:contentTypeDescription="Create a new document." ma:contentTypeScope="" ma:versionID="1d4f229d112a3e19fdb5f37466f279b3">
  <xsd:schema xmlns:xsd="http://www.w3.org/2001/XMLSchema" xmlns:xs="http://www.w3.org/2001/XMLSchema" xmlns:p="http://schemas.microsoft.com/office/2006/metadata/properties" xmlns:ns2="c90870df-d24c-4ed5-974e-d29621d13942" xmlns:ns3="f4fba49f-3f0c-4781-b05d-9c2014cb5799" targetNamespace="http://schemas.microsoft.com/office/2006/metadata/properties" ma:root="true" ma:fieldsID="3c52bca692781a01e79319099d15f18a" ns2:_="" ns3:_="">
    <xsd:import namespace="c90870df-d24c-4ed5-974e-d29621d13942"/>
    <xsd:import namespace="f4fba49f-3f0c-4781-b05d-9c2014cb5799"/>
    <xsd:element name="properties">
      <xsd:complexType>
        <xsd:sequence>
          <xsd:element name="documentManagement">
            <xsd:complexType>
              <xsd:all>
                <xsd:element ref="ns2:MediaServiceMetadata" minOccurs="0"/>
                <xsd:element ref="ns2:MediaServiceFastMetadata" minOccurs="0"/>
                <xsd:element ref="ns3:TaxKeywordTaxHTField" minOccurs="0"/>
                <xsd:element ref="ns3:TaxCatchAll" minOccurs="0"/>
                <xsd:element ref="ns2:Client" minOccurs="0"/>
                <xsd:element ref="ns2:Project_x0020_Descriptiion"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870df-d24c-4ed5-974e-d29621d139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lient" ma:index="13" nillable="true" ma:displayName="Client" ma:description="Job client." ma:internalName="Client">
      <xsd:simpleType>
        <xsd:union memberTypes="dms:Text">
          <xsd:simpleType>
            <xsd:restriction base="dms:Choice">
              <xsd:enumeration value="Horizon Power"/>
              <xsd:enumeration value="Tianqi Lithium"/>
              <xsd:enumeration value="Talison Lithium"/>
              <xsd:enumeration value="Canadian Solar"/>
              <xsd:enumeration value="Spring Solar"/>
              <xsd:enumeration value="MSP Engineering"/>
            </xsd:restriction>
          </xsd:simpleType>
        </xsd:union>
      </xsd:simpleType>
    </xsd:element>
    <xsd:element name="Project_x0020_Descriptiion" ma:index="14" nillable="true" ma:displayName="Project Description" ma:description="Descriptor for the project." ma:internalName="Project_x0020_Descriptiion">
      <xsd:simpleType>
        <xsd:restriction base="dms:Text">
          <xsd:maxLength value="255"/>
        </xsd:restriction>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fba49f-3f0c-4781-b05d-9c2014cb5799"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b8b78e1e-d559-4a50-91ae-b6725eef3cf6"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86d911da-b29a-4c2f-9ed5-b79eb9c2e16f}" ma:internalName="TaxCatchAll" ma:showField="CatchAllData" ma:web="f4fba49f-3f0c-4781-b05d-9c2014cb579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95F624-B18A-4A4A-AEA7-FCF2EE9B80E4}">
  <ds:schemaRefs>
    <ds:schemaRef ds:uri="http://purl.org/dc/terms/"/>
    <ds:schemaRef ds:uri="http://schemas.openxmlformats.org/package/2006/metadata/core-properties"/>
    <ds:schemaRef ds:uri="http://schemas.microsoft.com/office/2006/documentManagement/types"/>
    <ds:schemaRef ds:uri="f4fba49f-3f0c-4781-b05d-9c2014cb5799"/>
    <ds:schemaRef ds:uri="http://purl.org/dc/elements/1.1/"/>
    <ds:schemaRef ds:uri="http://schemas.microsoft.com/office/2006/metadata/properties"/>
    <ds:schemaRef ds:uri="c90870df-d24c-4ed5-974e-d29621d13942"/>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B227184-9B50-408E-8F36-CC2582B28C76}">
  <ds:schemaRefs>
    <ds:schemaRef ds:uri="http://schemas.microsoft.com/sharepoint/v3/contenttype/forms"/>
  </ds:schemaRefs>
</ds:datastoreItem>
</file>

<file path=customXml/itemProps3.xml><?xml version="1.0" encoding="utf-8"?>
<ds:datastoreItem xmlns:ds="http://schemas.openxmlformats.org/officeDocument/2006/customXml" ds:itemID="{1D05C563-77D5-4F8E-90C7-D0758DE59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870df-d24c-4ed5-974e-d29621d13942"/>
    <ds:schemaRef ds:uri="f4fba49f-3f0c-4781-b05d-9c2014cb5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 tables</vt:lpstr>
      <vt:lpstr>Efficiency Estimates</vt:lpstr>
      <vt:lpstr>base OPEX</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Merz Consulting 1</dc:creator>
  <cp:lastModifiedBy>James Swansson</cp:lastModifiedBy>
  <cp:lastPrinted>2018-05-18T02:33:38Z</cp:lastPrinted>
  <dcterms:created xsi:type="dcterms:W3CDTF">2017-06-19T23:33:57Z</dcterms:created>
  <dcterms:modified xsi:type="dcterms:W3CDTF">2018-09-17T06:58:51Z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0x01010067AE2A870D2C0A448BDBAE18E065B4A4</vt:lpwstr>
  </property>
  <property fmtid="{D5CDD505-2E9C-101B-9397-08002B2CF9AE}" pid="3" name="TaxKeyword">
    <vt:lpwstr/>
  </property>
</Properties>
</file>