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fileSharing readOnlyRecommended="1"/>
  <workbookPr showInkAnnotation="0" codeName="ThisWorkbook" defaultThemeVersion="124226"/>
  <mc:AlternateContent xmlns:mc="http://schemas.openxmlformats.org/markup-compatibility/2006">
    <mc:Choice Requires="x15">
      <x15ac:absPath xmlns:x15ac="http://schemas.microsoft.com/office/spreadsheetml/2010/11/ac" url="https://farrierswier.sharepoint.com/48417 PWC Modelling WACC/03. Working/Revenue Scenarios/RP03/Submission/"/>
    </mc:Choice>
  </mc:AlternateContent>
  <xr:revisionPtr revIDLastSave="1" documentId="14_{9608E6FA-7AAB-4CB4-B3F2-76ADF3EB1251}" xr6:coauthVersionLast="38" xr6:coauthVersionMax="38" xr10:uidLastSave="{58603932-DBB3-4C67-9B0F-19FEDCDACF22}"/>
  <bookViews>
    <workbookView xWindow="0" yWindow="0" windowWidth="11520" windowHeight="4290" tabRatio="889" xr2:uid="{00000000-000D-0000-FFFF-FFFF00000000}"/>
  </bookViews>
  <sheets>
    <sheet name="Cover" sheetId="27" r:id="rId1"/>
    <sheet name="TOC" sheetId="28" r:id="rId2"/>
    <sheet name="Inputs" sheetId="120" r:id="rId3"/>
    <sheet name="Calc" sheetId="121" r:id="rId4"/>
    <sheet name="Lookup" sheetId="4" r:id="rId5"/>
    <sheet name="Checks" sheetId="25" r:id="rId6"/>
  </sheets>
  <externalReferences>
    <externalReference r:id="rId7"/>
    <externalReference r:id="rId8"/>
  </externalReferences>
  <definedNames>
    <definedName name="Base_Year">Lookup!$E$11</definedName>
    <definedName name="Days_In_Wk">Lookup!$D$30</definedName>
    <definedName name="Days_In_Yr">Lookup!$D$31</definedName>
    <definedName name="Dollars">Lookup!$D$46</definedName>
    <definedName name="End_year">Lookup!$D$65</definedName>
    <definedName name="Error">Lookup!$D$36</definedName>
    <definedName name="Factor">Lookup!$D$49</definedName>
    <definedName name="Half">Lookup!$D$32</definedName>
    <definedName name="Kilometres">Lookup!$D$51</definedName>
    <definedName name="LU_Basis">Lookup!$D$56:$D$59</definedName>
    <definedName name="LU_Timing">Lookup!$D$63:$D$66</definedName>
    <definedName name="LU_Timing_Value">Lookup!$E$63:$E$66</definedName>
    <definedName name="LU_Units">Lookup!$D$45:$D$52</definedName>
    <definedName name="Mid_year">Lookup!$D$64</definedName>
    <definedName name="Million">Lookup!$D$33</definedName>
    <definedName name="Millions">Lookup!$D$47</definedName>
    <definedName name="Model_Name">Cover!$B$3</definedName>
    <definedName name="Model_Start_Date">Lookup!$E$10</definedName>
    <definedName name="Mths_In_Mth">Lookup!$D$26</definedName>
    <definedName name="Mths_In_Qtr">Lookup!$D$27</definedName>
    <definedName name="Mths_In_Yr">Lookup!$D$29</definedName>
    <definedName name="NA">Lookup!$D$35</definedName>
    <definedName name="No">Lookup!$D$41</definedName>
    <definedName name="Nominal">Lookup!$D$59</definedName>
    <definedName name="Number">Lookup!$D$50</definedName>
    <definedName name="Ok">Lookup!$D$34</definedName>
    <definedName name="Percent">Lookup!$D$45</definedName>
    <definedName name="Qtrs_In_Yr">Lookup!$D$28</definedName>
    <definedName name="RA_RY">Lookup!$J$20:$AW$20</definedName>
    <definedName name="Real2018">Lookup!$D$56</definedName>
    <definedName name="Real2019">Lookup!$D$57</definedName>
    <definedName name="Start_year">Lookup!$D$63</definedName>
    <definedName name="Thousands">Lookup!$D$48</definedName>
    <definedName name="Title_Msg">Checks!$H$10</definedName>
    <definedName name="Yes">Lookup!$D$40</definedName>
    <definedName name="Yes_No">Lookup!$D$40:$D$41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20" i="120" l="1"/>
  <c r="X20" i="120"/>
  <c r="W20" i="120"/>
  <c r="V20" i="120"/>
  <c r="U20" i="120"/>
  <c r="T20" i="120"/>
  <c r="Y13" i="120"/>
  <c r="X13" i="120"/>
  <c r="W13" i="120"/>
  <c r="V13" i="120"/>
  <c r="U13" i="120"/>
  <c r="T13" i="120"/>
  <c r="T32" i="120" l="1"/>
  <c r="S32" i="120"/>
  <c r="R32" i="120"/>
  <c r="Q32" i="120"/>
  <c r="P32" i="120"/>
  <c r="O32" i="120"/>
  <c r="N32" i="120"/>
  <c r="M32" i="120"/>
  <c r="L32" i="120"/>
  <c r="K32" i="120"/>
  <c r="J32" i="120"/>
  <c r="S12" i="121" l="1"/>
  <c r="D19" i="25" l="1"/>
  <c r="H34" i="120" l="1"/>
  <c r="H32" i="120"/>
  <c r="H20" i="120"/>
  <c r="H13" i="120"/>
  <c r="T34" i="120"/>
  <c r="S34" i="120" s="1"/>
  <c r="F33" i="120"/>
  <c r="H33" i="120"/>
  <c r="G33" i="120"/>
  <c r="R34" i="120" l="1"/>
  <c r="Q34" i="120" s="1"/>
  <c r="P34" i="120" s="1"/>
  <c r="O34" i="120" s="1"/>
  <c r="N34" i="120" s="1"/>
  <c r="M34" i="120" s="1"/>
  <c r="L34" i="120" s="1"/>
  <c r="K34" i="120" s="1"/>
  <c r="J34" i="120" s="1"/>
  <c r="S20" i="120"/>
  <c r="S13" i="120"/>
  <c r="D11" i="28"/>
  <c r="G25" i="121" l="1"/>
  <c r="R13" i="120"/>
  <c r="Q13" i="120"/>
  <c r="P13" i="120"/>
  <c r="O13" i="120"/>
  <c r="N13" i="120"/>
  <c r="M13" i="120"/>
  <c r="L13" i="120"/>
  <c r="K13" i="120"/>
  <c r="J13" i="120"/>
  <c r="R20" i="120"/>
  <c r="Q20" i="120"/>
  <c r="P20" i="120"/>
  <c r="O20" i="120"/>
  <c r="N20" i="120"/>
  <c r="M20" i="120"/>
  <c r="L20" i="120"/>
  <c r="K20" i="120"/>
  <c r="J20" i="120"/>
  <c r="G20" i="120"/>
  <c r="G23" i="121" s="1"/>
  <c r="H19" i="120"/>
  <c r="G19" i="120"/>
  <c r="F19" i="120"/>
  <c r="F13" i="120"/>
  <c r="F22" i="121" s="1"/>
  <c r="G13" i="120"/>
  <c r="G22" i="121" s="1"/>
  <c r="H12" i="120"/>
  <c r="G12" i="120"/>
  <c r="F12" i="120"/>
  <c r="R29" i="121" l="1"/>
  <c r="Q29" i="121"/>
  <c r="P29" i="121"/>
  <c r="O29" i="121"/>
  <c r="N29" i="121"/>
  <c r="M29" i="121"/>
  <c r="L29" i="121"/>
  <c r="K29" i="121"/>
  <c r="J29" i="121"/>
  <c r="O23" i="121"/>
  <c r="N23" i="121"/>
  <c r="O22" i="121"/>
  <c r="N22" i="121"/>
  <c r="R20" i="121"/>
  <c r="Q20" i="121"/>
  <c r="P20" i="121"/>
  <c r="O20" i="121"/>
  <c r="N20" i="121"/>
  <c r="M20" i="121"/>
  <c r="L20" i="121"/>
  <c r="K20" i="121"/>
  <c r="J20" i="121"/>
  <c r="P12" i="121"/>
  <c r="R10" i="121"/>
  <c r="Q10" i="121"/>
  <c r="P10" i="121"/>
  <c r="O10" i="121"/>
  <c r="N10" i="121"/>
  <c r="M10" i="121"/>
  <c r="L10" i="121"/>
  <c r="K10" i="121"/>
  <c r="J10" i="121"/>
  <c r="R30" i="120"/>
  <c r="Q30" i="120"/>
  <c r="P30" i="120"/>
  <c r="O30" i="120"/>
  <c r="N30" i="120"/>
  <c r="M30" i="120"/>
  <c r="L30" i="120"/>
  <c r="K30" i="120"/>
  <c r="J30" i="120"/>
  <c r="R24" i="120"/>
  <c r="Q24" i="120"/>
  <c r="P24" i="120"/>
  <c r="O24" i="120"/>
  <c r="N24" i="120"/>
  <c r="M24" i="120"/>
  <c r="L24" i="120"/>
  <c r="K24" i="120"/>
  <c r="J24" i="120"/>
  <c r="Q17" i="120"/>
  <c r="P17" i="120"/>
  <c r="O17" i="120"/>
  <c r="N17" i="120"/>
  <c r="M17" i="120"/>
  <c r="L17" i="120"/>
  <c r="K17" i="120"/>
  <c r="J17" i="120"/>
  <c r="R17" i="120"/>
  <c r="K12" i="121"/>
  <c r="K23" i="121"/>
  <c r="K22" i="121"/>
  <c r="L12" i="121"/>
  <c r="L23" i="121"/>
  <c r="L22" i="121"/>
  <c r="M12" i="121"/>
  <c r="M23" i="121"/>
  <c r="M22" i="121"/>
  <c r="N12" i="121"/>
  <c r="O12" i="121"/>
  <c r="P23" i="121"/>
  <c r="P22" i="121"/>
  <c r="F34" i="120"/>
  <c r="M25" i="121" l="1"/>
  <c r="N25" i="121"/>
  <c r="K25" i="121"/>
  <c r="L25" i="121"/>
  <c r="P25" i="121"/>
  <c r="O25" i="121"/>
  <c r="O14" i="121"/>
  <c r="N14" i="121"/>
  <c r="L14" i="121"/>
  <c r="P14" i="121"/>
  <c r="M14" i="121"/>
  <c r="M31" i="121" l="1"/>
  <c r="O31" i="121"/>
  <c r="N31" i="121"/>
  <c r="L31" i="121"/>
  <c r="P31" i="121"/>
  <c r="S23" i="121"/>
  <c r="G34" i="120"/>
  <c r="R12" i="121" l="1"/>
  <c r="Q12" i="121"/>
  <c r="Q14" i="121" l="1"/>
  <c r="R23" i="121"/>
  <c r="Q23" i="121"/>
  <c r="R22" i="121"/>
  <c r="Q22" i="121"/>
  <c r="AA23" i="121" l="1"/>
  <c r="Q25" i="121"/>
  <c r="Q31" i="121" s="1"/>
  <c r="R25" i="121"/>
  <c r="H14" i="121"/>
  <c r="G14" i="121"/>
  <c r="J12" i="121"/>
  <c r="K14" i="121" s="1"/>
  <c r="H31" i="121"/>
  <c r="G31" i="121"/>
  <c r="H12" i="121"/>
  <c r="G12" i="121"/>
  <c r="B16" i="121"/>
  <c r="H25" i="121"/>
  <c r="F25" i="121"/>
  <c r="J23" i="121"/>
  <c r="J22" i="121"/>
  <c r="B4" i="121"/>
  <c r="A1" i="121"/>
  <c r="H19" i="25" s="1"/>
  <c r="G26" i="120"/>
  <c r="H26" i="120"/>
  <c r="H23" i="121"/>
  <c r="F20" i="120"/>
  <c r="F23" i="121" s="1"/>
  <c r="H22" i="121"/>
  <c r="K31" i="121" l="1"/>
  <c r="R14" i="121"/>
  <c r="R31" i="121" s="1"/>
  <c r="S22" i="121"/>
  <c r="J25" i="121"/>
  <c r="D18" i="25"/>
  <c r="D10" i="28"/>
  <c r="A1" i="120"/>
  <c r="H18" i="25" s="1"/>
  <c r="B6" i="120"/>
  <c r="B4" i="120"/>
  <c r="S25" i="121" l="1"/>
  <c r="AA22" i="121"/>
  <c r="AA25" i="121" s="1"/>
  <c r="J17" i="4" l="1"/>
  <c r="D58" i="4" l="1"/>
  <c r="E66" i="4"/>
  <c r="D66" i="4"/>
  <c r="D52" i="4"/>
  <c r="B3" i="25"/>
  <c r="B3" i="4"/>
  <c r="D16" i="28"/>
  <c r="D15" i="28"/>
  <c r="B6" i="28"/>
  <c r="B4" i="28"/>
  <c r="B4" i="25"/>
  <c r="B4" i="4"/>
  <c r="J15" i="4" l="1"/>
  <c r="K17" i="4"/>
  <c r="J16" i="4" l="1"/>
  <c r="L17" i="4"/>
  <c r="J18" i="4" l="1"/>
  <c r="K15" i="4"/>
  <c r="M17" i="4"/>
  <c r="J20" i="4" l="1"/>
  <c r="K16" i="4"/>
  <c r="N17" i="4"/>
  <c r="S30" i="120" l="1"/>
  <c r="S10" i="121"/>
  <c r="S24" i="120"/>
  <c r="S20" i="121"/>
  <c r="S10" i="120"/>
  <c r="S29" i="121" s="1"/>
  <c r="S17" i="120"/>
  <c r="O17" i="4"/>
  <c r="P17" i="4" s="1"/>
  <c r="K18" i="4"/>
  <c r="L15" i="4"/>
  <c r="K20" i="4" l="1"/>
  <c r="L16" i="4"/>
  <c r="Q17" i="4"/>
  <c r="T30" i="120" l="1"/>
  <c r="T10" i="121"/>
  <c r="T24" i="120"/>
  <c r="T20" i="121"/>
  <c r="T17" i="120"/>
  <c r="T10" i="120"/>
  <c r="L18" i="4"/>
  <c r="M15" i="4"/>
  <c r="R17" i="4"/>
  <c r="M16" i="4" l="1"/>
  <c r="L20" i="4"/>
  <c r="S17" i="4"/>
  <c r="U30" i="120" l="1"/>
  <c r="U10" i="121"/>
  <c r="U20" i="121"/>
  <c r="U10" i="120"/>
  <c r="U24" i="120"/>
  <c r="U17" i="120"/>
  <c r="M18" i="4"/>
  <c r="N15" i="4"/>
  <c r="T17" i="4"/>
  <c r="N16" i="4" l="1"/>
  <c r="M20" i="4"/>
  <c r="U17" i="4"/>
  <c r="V30" i="120" l="1"/>
  <c r="V10" i="121"/>
  <c r="V20" i="121"/>
  <c r="V10" i="120"/>
  <c r="V17" i="120"/>
  <c r="V24" i="120"/>
  <c r="N18" i="4"/>
  <c r="O15" i="4"/>
  <c r="V17" i="4"/>
  <c r="O16" i="4" l="1"/>
  <c r="N20" i="4"/>
  <c r="W17" i="4"/>
  <c r="W30" i="120" l="1"/>
  <c r="W10" i="121"/>
  <c r="W20" i="121"/>
  <c r="W17" i="120"/>
  <c r="W10" i="120"/>
  <c r="W24" i="120"/>
  <c r="O18" i="4"/>
  <c r="O20" i="4" s="1"/>
  <c r="P15" i="4"/>
  <c r="P16" i="4" s="1"/>
  <c r="X17" i="4"/>
  <c r="X30" i="120" l="1"/>
  <c r="X10" i="121"/>
  <c r="X24" i="120"/>
  <c r="X10" i="120"/>
  <c r="X17" i="120"/>
  <c r="X20" i="121"/>
  <c r="Y17" i="4"/>
  <c r="P18" i="4"/>
  <c r="Q15" i="4"/>
  <c r="Z17" i="4" l="1"/>
  <c r="P20" i="4"/>
  <c r="Q16" i="4"/>
  <c r="Y30" i="120" l="1"/>
  <c r="Y10" i="121"/>
  <c r="Y10" i="120"/>
  <c r="Y17" i="120"/>
  <c r="Y24" i="120"/>
  <c r="Y20" i="121"/>
  <c r="AA17" i="4"/>
  <c r="R15" i="4"/>
  <c r="Q18" i="4"/>
  <c r="AB17" i="4" l="1"/>
  <c r="Q20" i="4"/>
  <c r="R16" i="4"/>
  <c r="AC17" i="4" l="1"/>
  <c r="S15" i="4"/>
  <c r="R18" i="4"/>
  <c r="AD17" i="4" l="1"/>
  <c r="S16" i="4"/>
  <c r="R20" i="4"/>
  <c r="AE17" i="4" l="1"/>
  <c r="T15" i="4"/>
  <c r="S18" i="4"/>
  <c r="AF17" i="4" l="1"/>
  <c r="S20" i="4"/>
  <c r="T16" i="4"/>
  <c r="AG17" i="4" l="1"/>
  <c r="U15" i="4"/>
  <c r="T18" i="4"/>
  <c r="AH17" i="4" l="1"/>
  <c r="T20" i="4"/>
  <c r="U16" i="4"/>
  <c r="AI17" i="4" l="1"/>
  <c r="U18" i="4"/>
  <c r="V15" i="4"/>
  <c r="AJ17" i="4" l="1"/>
  <c r="U20" i="4"/>
  <c r="V16" i="4"/>
  <c r="AK17" i="4" l="1"/>
  <c r="V18" i="4"/>
  <c r="W15" i="4"/>
  <c r="AL17" i="4" l="1"/>
  <c r="W16" i="4"/>
  <c r="V20" i="4"/>
  <c r="AM17" i="4" l="1"/>
  <c r="X15" i="4"/>
  <c r="W18" i="4"/>
  <c r="AN17" i="4" l="1"/>
  <c r="W20" i="4"/>
  <c r="X16" i="4"/>
  <c r="AO17" i="4" l="1"/>
  <c r="X18" i="4"/>
  <c r="Y15" i="4"/>
  <c r="AP17" i="4" l="1"/>
  <c r="Y16" i="4"/>
  <c r="X20" i="4"/>
  <c r="AQ17" i="4" l="1"/>
  <c r="Y18" i="4"/>
  <c r="Z15" i="4"/>
  <c r="AR17" i="4" l="1"/>
  <c r="Z16" i="4"/>
  <c r="Y20" i="4"/>
  <c r="AS17" i="4" l="1"/>
  <c r="Z18" i="4"/>
  <c r="AA15" i="4"/>
  <c r="AT17" i="4" l="1"/>
  <c r="Z20" i="4"/>
  <c r="AA16" i="4"/>
  <c r="AU17" i="4" l="1"/>
  <c r="AA18" i="4"/>
  <c r="AB15" i="4"/>
  <c r="AV17" i="4" l="1"/>
  <c r="AB16" i="4"/>
  <c r="AA20" i="4"/>
  <c r="AW17" i="4" l="1"/>
  <c r="AC15" i="4"/>
  <c r="AB18" i="4"/>
  <c r="AC16" i="4" l="1"/>
  <c r="AB20" i="4"/>
  <c r="AC18" i="4" l="1"/>
  <c r="AD15" i="4"/>
  <c r="AD16" i="4" l="1"/>
  <c r="AC20" i="4"/>
  <c r="AD18" i="4" l="1"/>
  <c r="AE15" i="4"/>
  <c r="AE16" i="4" l="1"/>
  <c r="AD20" i="4"/>
  <c r="AE18" i="4" l="1"/>
  <c r="AF15" i="4"/>
  <c r="AF16" i="4" l="1"/>
  <c r="AE20" i="4"/>
  <c r="AF18" i="4" l="1"/>
  <c r="AG15" i="4"/>
  <c r="AF20" i="4" l="1"/>
  <c r="AG16" i="4"/>
  <c r="AG18" i="4" l="1"/>
  <c r="AH15" i="4"/>
  <c r="AG20" i="4" l="1"/>
  <c r="AH16" i="4"/>
  <c r="AH18" i="4" l="1"/>
  <c r="AI15" i="4"/>
  <c r="AI16" i="4" l="1"/>
  <c r="AH20" i="4"/>
  <c r="AI18" i="4" l="1"/>
  <c r="AJ15" i="4"/>
  <c r="AJ16" i="4" l="1"/>
  <c r="AI20" i="4"/>
  <c r="AJ18" i="4" l="1"/>
  <c r="AK15" i="4"/>
  <c r="AK16" i="4" l="1"/>
  <c r="AJ20" i="4"/>
  <c r="AK18" i="4" l="1"/>
  <c r="AL15" i="4"/>
  <c r="AL16" i="4" l="1"/>
  <c r="AK20" i="4"/>
  <c r="AL18" i="4" l="1"/>
  <c r="AM15" i="4"/>
  <c r="AM16" i="4" l="1"/>
  <c r="AL20" i="4"/>
  <c r="AM18" i="4" l="1"/>
  <c r="AN15" i="4"/>
  <c r="AM20" i="4" l="1"/>
  <c r="AN16" i="4"/>
  <c r="AN18" i="4" l="1"/>
  <c r="AO15" i="4"/>
  <c r="AO16" i="4" l="1"/>
  <c r="AN20" i="4"/>
  <c r="AO18" i="4" l="1"/>
  <c r="AP15" i="4"/>
  <c r="AO20" i="4" l="1"/>
  <c r="AP16" i="4"/>
  <c r="AP18" i="4" l="1"/>
  <c r="AQ15" i="4"/>
  <c r="AQ16" i="4" l="1"/>
  <c r="AP20" i="4"/>
  <c r="AQ18" i="4" l="1"/>
  <c r="AR15" i="4"/>
  <c r="AQ20" i="4" l="1"/>
  <c r="AR16" i="4"/>
  <c r="AR18" i="4" l="1"/>
  <c r="AS15" i="4"/>
  <c r="AR20" i="4" l="1"/>
  <c r="AS16" i="4"/>
  <c r="AS18" i="4" l="1"/>
  <c r="AT15" i="4"/>
  <c r="AT16" i="4" l="1"/>
  <c r="AS20" i="4"/>
  <c r="AT18" i="4" l="1"/>
  <c r="AU15" i="4"/>
  <c r="AU16" i="4" l="1"/>
  <c r="AT20" i="4"/>
  <c r="AU18" i="4" l="1"/>
  <c r="AV15" i="4"/>
  <c r="AV16" i="4" l="1"/>
  <c r="AU20" i="4"/>
  <c r="AV18" i="4" l="1"/>
  <c r="AW15" i="4"/>
  <c r="AV20" i="4" l="1"/>
  <c r="AW16" i="4"/>
  <c r="AW18" i="4" l="1"/>
  <c r="AW20" i="4" l="1"/>
  <c r="H21" i="25" l="1"/>
  <c r="H8" i="25" s="1"/>
  <c r="H10" i="25" s="1"/>
  <c r="B2" i="121" s="1"/>
  <c r="B2" i="120" l="1"/>
  <c r="B2" i="25"/>
  <c r="B2" i="28"/>
  <c r="B2" i="4"/>
  <c r="S14" i="121" l="1"/>
  <c r="S31" i="121" l="1"/>
  <c r="U31" i="121" s="1"/>
  <c r="AA14" i="121"/>
  <c r="T23" i="121" l="1"/>
  <c r="V22" i="121"/>
  <c r="V23" i="121"/>
  <c r="V25" i="121" l="1"/>
  <c r="V14" i="121" s="1"/>
  <c r="U23" i="121"/>
  <c r="U22" i="121"/>
  <c r="T22" i="121"/>
  <c r="W23" i="121"/>
  <c r="W22" i="121"/>
  <c r="W25" i="121" l="1"/>
  <c r="W14" i="121" s="1"/>
  <c r="T25" i="121"/>
  <c r="T14" i="121" s="1"/>
  <c r="X23" i="121"/>
  <c r="X22" i="121"/>
  <c r="Y22" i="121"/>
  <c r="Y23" i="121"/>
  <c r="U25" i="121"/>
  <c r="U14" i="121" s="1"/>
  <c r="AB23" i="121" l="1"/>
  <c r="Y25" i="121"/>
  <c r="Y14" i="121" s="1"/>
  <c r="X25" i="121"/>
  <c r="X14" i="121" s="1"/>
  <c r="T12" i="121"/>
  <c r="AB22" i="121"/>
  <c r="AB25" i="121" l="1"/>
  <c r="AB14" i="121"/>
  <c r="U12" i="121"/>
  <c r="V12" i="121" l="1"/>
  <c r="W12" i="121" l="1"/>
  <c r="X12" i="121" l="1"/>
  <c r="Y12" i="1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 Grace-Webb</author>
  </authors>
  <commentList>
    <comment ref="J33" authorId="0" shapeId="0" xr:uid="{D6055B34-2905-4855-BD24-3D3AD12F5A53}">
      <text>
        <r>
          <rPr>
            <b/>
            <sz val="9"/>
            <color indexed="81"/>
            <rFont val="Tahoma"/>
            <family val="2"/>
          </rPr>
          <t>Note:</t>
        </r>
        <r>
          <rPr>
            <sz val="9"/>
            <color indexed="81"/>
            <rFont val="Tahoma"/>
            <family val="2"/>
          </rPr>
          <t xml:space="preserve">
(1) A value of 1 means that the index converts from end of year dollars in the year of spend to end of year dollars in RY19. 
(2) A value of 0 means that the index converts from start of year dollars in the year of spend to end of year dollars in RY19.
(3) A value of 0.5 means that the index converts from mid year dollars (i.e. nominal dollars) in the year of spend to end of year dollars in RY19.</t>
        </r>
      </text>
    </comment>
  </commentList>
</comments>
</file>

<file path=xl/sharedStrings.xml><?xml version="1.0" encoding="utf-8"?>
<sst xmlns="http://schemas.openxmlformats.org/spreadsheetml/2006/main" count="259" uniqueCount="143">
  <si>
    <t>General Model Constant</t>
  </si>
  <si>
    <t>Name</t>
  </si>
  <si>
    <t>Mths_In_Mth</t>
  </si>
  <si>
    <t>Mths_In_Qtr</t>
  </si>
  <si>
    <t>Mths_In_Yr</t>
  </si>
  <si>
    <t>Heading 1</t>
  </si>
  <si>
    <t>Ok</t>
  </si>
  <si>
    <t>Error</t>
  </si>
  <si>
    <t>Half</t>
  </si>
  <si>
    <t>Yes</t>
  </si>
  <si>
    <t>No</t>
  </si>
  <si>
    <t>Yes_No</t>
  </si>
  <si>
    <t>Error Checks</t>
  </si>
  <si>
    <t>Days_In_Wk</t>
  </si>
  <si>
    <t>Assumptions</t>
  </si>
  <si>
    <t>Error Message</t>
  </si>
  <si>
    <t>Model Title Message</t>
  </si>
  <si>
    <t>Alert Message</t>
  </si>
  <si>
    <t>Model Message</t>
  </si>
  <si>
    <t>Input</t>
  </si>
  <si>
    <t>Output</t>
  </si>
  <si>
    <t>Cells containing input texts/numbers NOT intended to be changed by model users</t>
  </si>
  <si>
    <t>Cells containing formulae NOT intended to be changed by model users</t>
  </si>
  <si>
    <t>Heading 2</t>
  </si>
  <si>
    <t>Cells containing assumptions intended to be manipulated by model users</t>
  </si>
  <si>
    <t>Level 1 heading NOT intended to be changed by model users</t>
  </si>
  <si>
    <t>Level 2 heading NOT intended to be changed by model users</t>
  </si>
  <si>
    <t>Model Developer:</t>
  </si>
  <si>
    <t>Purpose of the Model:</t>
  </si>
  <si>
    <t>Model Settings</t>
  </si>
  <si>
    <t>Model Checks</t>
  </si>
  <si>
    <t>End</t>
  </si>
  <si>
    <t>Qtrs_In_Yr</t>
  </si>
  <si>
    <t>N/A</t>
  </si>
  <si>
    <t>NA</t>
  </si>
  <si>
    <t>Model Legend:</t>
  </si>
  <si>
    <t>Cells where inputs or outputs are not applicable</t>
  </si>
  <si>
    <t>Cells containing a drop down list for users to select inputs</t>
  </si>
  <si>
    <t>Cells containing a hyperlink to another part of the workbook</t>
  </si>
  <si>
    <t>Cells representing there is an error in the nominated area of the workbook</t>
  </si>
  <si>
    <t>Cells representing there are no errors in the nominated area of the workbook</t>
  </si>
  <si>
    <t>Cells containing a link from external workbooks</t>
  </si>
  <si>
    <t>Drop Down</t>
  </si>
  <si>
    <t>Hyperlink</t>
  </si>
  <si>
    <t>Model Lookups</t>
  </si>
  <si>
    <t>Days_In_Yr</t>
  </si>
  <si>
    <t>Total Errors</t>
  </si>
  <si>
    <t>Table of Contents</t>
  </si>
  <si>
    <t>Appendix</t>
  </si>
  <si>
    <t>Go to Cover Sheet</t>
  </si>
  <si>
    <t>Period Counter</t>
  </si>
  <si>
    <t>Period Start Date</t>
  </si>
  <si>
    <t>Period End Date</t>
  </si>
  <si>
    <t>Model Start Date</t>
  </si>
  <si>
    <t>Periodicity Inputs</t>
  </si>
  <si>
    <t>Time Series Headings</t>
  </si>
  <si>
    <t>Base Year</t>
  </si>
  <si>
    <t>Year</t>
  </si>
  <si>
    <t>Period Type</t>
  </si>
  <si>
    <t>Actual</t>
  </si>
  <si>
    <t>Forecast</t>
  </si>
  <si>
    <t>Regulatory Year</t>
  </si>
  <si>
    <t>Source</t>
  </si>
  <si>
    <t>Unit</t>
  </si>
  <si>
    <t>Basis</t>
  </si>
  <si>
    <t>Timing</t>
  </si>
  <si>
    <t>Real $2018</t>
  </si>
  <si>
    <t>Nominal</t>
  </si>
  <si>
    <t>Real$2018</t>
  </si>
  <si>
    <t>LU_Basis</t>
  </si>
  <si>
    <t>Units</t>
  </si>
  <si>
    <t>Percent</t>
  </si>
  <si>
    <t>Dollars</t>
  </si>
  <si>
    <t>Factor</t>
  </si>
  <si>
    <t>$Millions</t>
  </si>
  <si>
    <t>$000's</t>
  </si>
  <si>
    <t>Millions</t>
  </si>
  <si>
    <t>Thousands</t>
  </si>
  <si>
    <t>LU_Units</t>
  </si>
  <si>
    <t>Start year</t>
  </si>
  <si>
    <t>Mid year</t>
  </si>
  <si>
    <t>End year</t>
  </si>
  <si>
    <t>LU_Timing</t>
  </si>
  <si>
    <t>LU_Timing_Value</t>
  </si>
  <si>
    <t>End_year</t>
  </si>
  <si>
    <t>Mid_year</t>
  </si>
  <si>
    <t>Start_year</t>
  </si>
  <si>
    <t>Not Applicable</t>
  </si>
  <si>
    <t>Number</t>
  </si>
  <si>
    <t>Km</t>
  </si>
  <si>
    <t>Kilometres</t>
  </si>
  <si>
    <t>Disclaimer:</t>
  </si>
  <si>
    <t>Real $2019</t>
  </si>
  <si>
    <t>Real$2019</t>
  </si>
  <si>
    <t>General Model Inputs and Calculations</t>
  </si>
  <si>
    <t>Million</t>
  </si>
  <si>
    <t>Input worksheets</t>
  </si>
  <si>
    <t>This model is confidential information of, and is owned by, Power and Water Corporation ABN 15 947 352 360 (PWC).  It has been developed by PWC to inform it of its new and replacement metering policy and it may not be disclosed to, or used or relied on by, any person without the consent of PWC. To the extent permitted by law, any person using or relying on this model or its outputs does so at their own risk and agrees that PWC will not be liable to any person for any loss or damage of any kind arising out of or in any way connected with the use of this model (including negligence).   The references to PWC in this disclaimer includes their respective directors, officers, employees, contractors, advisers or agents.</t>
  </si>
  <si>
    <t>The purpose of this model is to collect assumptions as part of the Power and Water Corporation - Determination 2019-24.</t>
  </si>
  <si>
    <t>Augmentation expenditure</t>
  </si>
  <si>
    <t>Connection expenditure</t>
  </si>
  <si>
    <t>Line length</t>
  </si>
  <si>
    <t>RY15</t>
  </si>
  <si>
    <t>RY16</t>
  </si>
  <si>
    <t>RY17</t>
  </si>
  <si>
    <t>Total Augex</t>
  </si>
  <si>
    <t>Item</t>
  </si>
  <si>
    <t>Total Connection</t>
  </si>
  <si>
    <t>Calculations - Line length forecast</t>
  </si>
  <si>
    <t>Total expenditure</t>
  </si>
  <si>
    <t>Total</t>
  </si>
  <si>
    <t>Calculated</t>
  </si>
  <si>
    <t>Summary</t>
  </si>
  <si>
    <t>Line Length Forecast</t>
  </si>
  <si>
    <t>Line length to Expenditure Ratio</t>
  </si>
  <si>
    <t>Change in line length</t>
  </si>
  <si>
    <t>CA RIN 2.1.1</t>
  </si>
  <si>
    <t>Total augmentation expenditure</t>
  </si>
  <si>
    <t>Total connection expenditure</t>
  </si>
  <si>
    <t>CPI Assumptions</t>
  </si>
  <si>
    <t>Inputs - Line length assumptions</t>
  </si>
  <si>
    <t>Km per Million</t>
  </si>
  <si>
    <t>Inputs</t>
  </si>
  <si>
    <t>RY14</t>
  </si>
  <si>
    <t>RY13</t>
  </si>
  <si>
    <t>RY10</t>
  </si>
  <si>
    <t>RY12</t>
  </si>
  <si>
    <t>RY11</t>
  </si>
  <si>
    <t>RY09</t>
  </si>
  <si>
    <t>Nominal to Real $2019 Factor</t>
  </si>
  <si>
    <t>Proposal Charts</t>
  </si>
  <si>
    <t>Inflation</t>
  </si>
  <si>
    <t>SC Opex Model</t>
  </si>
  <si>
    <t>Per cent</t>
  </si>
  <si>
    <t>PWC</t>
  </si>
  <si>
    <t>Timing assumption</t>
  </si>
  <si>
    <t>Forecast Line Length Calculation</t>
  </si>
  <si>
    <t>Capex Forecast Model</t>
  </si>
  <si>
    <t>Change in Line length: Expenditure Ratio</t>
  </si>
  <si>
    <t>Average (RY09-RY18)</t>
  </si>
  <si>
    <t>Average (RY19-RY24)</t>
  </si>
  <si>
    <t>EB RIN 3.5.1</t>
  </si>
  <si>
    <t>Average (km per Million, 2010-18)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</si>
</sst>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quot;* #,##0.00_-;\-&quot;$&quot;* #,##0.00_-;_-&quot;$&quot;* &quot;-&quot;??_-;_-@_-"/>
    <numFmt numFmtId="43" formatCode="_-* #,##0.00_-;\-* #,##0.00_-;_-* &quot;-&quot;??_-;_-@_-"/>
    <numFmt numFmtId="164" formatCode="_(###0_);\(###0\);_(###0_)"/>
    <numFmt numFmtId="165" formatCode="_(#,##0.0_);\(#,##0.0\);_(&quot;-&quot;_)"/>
    <numFmt numFmtId="166" formatCode="_(#,##0.0\x_);\(#,##0.0\x\);_(&quot;-&quot;_)"/>
    <numFmt numFmtId="167" formatCode="_(#,##0.0%_);\(#,##0.0%\);_(&quot;-&quot;_)"/>
    <numFmt numFmtId="168" formatCode="_(&quot;$&quot;#,##0.00_);\(&quot;$&quot;#,##0.00\);_(&quot;-&quot;_)"/>
    <numFmt numFmtId="169" formatCode="_(#,##0_);\(#,##0\);_(&quot;-&quot;_)"/>
    <numFmt numFmtId="170" formatCode="_)d\-mmm\-yy_)"/>
    <numFmt numFmtId="171" formatCode="_(&quot;$&quot;#,##0.0_);\(&quot;$&quot;#,##0.0\);_(&quot;-&quot;_)"/>
    <numFmt numFmtId="172" formatCode="0.0"/>
    <numFmt numFmtId="173" formatCode="[Red]\●;[Red]\●;[Color10]\●"/>
    <numFmt numFmtId="174" formatCode="[Green]\●;[Red]\●;[Color16]\●"/>
    <numFmt numFmtId="175" formatCode="_(#,##0.00_);\(#,##0.00\);_(&quot;-&quot;_)"/>
    <numFmt numFmtId="176" formatCode="_(#,##0.0000_);\(#,##0.0000\);_(&quot;-&quot;_)"/>
    <numFmt numFmtId="177" formatCode="&quot;$&quot;#,##0.00"/>
  </numFmts>
  <fonts count="62" x14ac:knownFonts="1">
    <font>
      <sz val="8"/>
      <color rgb="FFFF0066"/>
      <name val="Helvetica"/>
      <family val="2"/>
    </font>
    <font>
      <sz val="11"/>
      <color theme="1"/>
      <name val="Calibri"/>
      <family val="2"/>
      <scheme val="minor"/>
    </font>
    <font>
      <b/>
      <sz val="9"/>
      <color theme="1"/>
      <name val="Helvetica"/>
      <family val="2"/>
    </font>
    <font>
      <sz val="8"/>
      <color theme="1"/>
      <name val="Helvetica"/>
      <family val="2"/>
    </font>
    <font>
      <b/>
      <sz val="8"/>
      <color theme="1"/>
      <name val="Helvetica"/>
      <family val="2"/>
    </font>
    <font>
      <b/>
      <sz val="11"/>
      <color theme="1"/>
      <name val="Calibri"/>
      <family val="2"/>
      <scheme val="minor"/>
    </font>
    <font>
      <sz val="8"/>
      <name val="Helvetica"/>
      <family val="2"/>
    </font>
    <font>
      <b/>
      <sz val="18"/>
      <color theme="3"/>
      <name val="Cambria"/>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u/>
      <sz val="8"/>
      <color theme="10"/>
      <name val="Helvetica"/>
      <family val="2"/>
    </font>
    <font>
      <b/>
      <sz val="15"/>
      <color theme="1"/>
      <name val="Helvetica"/>
      <family val="2"/>
    </font>
    <font>
      <i/>
      <sz val="8"/>
      <color rgb="FF92D050"/>
      <name val="Helvetica"/>
      <family val="2"/>
    </font>
    <font>
      <b/>
      <sz val="8"/>
      <color theme="0"/>
      <name val="Helvetica"/>
      <family val="2"/>
    </font>
    <font>
      <b/>
      <sz val="8"/>
      <color theme="4"/>
      <name val="Helvetica"/>
      <family val="2"/>
    </font>
    <font>
      <sz val="8"/>
      <color theme="4"/>
      <name val="Helvetica"/>
      <family val="2"/>
    </font>
    <font>
      <sz val="7"/>
      <color theme="4"/>
      <name val="Helvetica"/>
      <family val="2"/>
    </font>
    <font>
      <b/>
      <sz val="15"/>
      <color theme="4"/>
      <name val="Helvetica"/>
      <family val="2"/>
    </font>
    <font>
      <i/>
      <sz val="8"/>
      <color theme="6" tint="0.39994506668294322"/>
      <name val="Helvetica"/>
      <family val="2"/>
    </font>
    <font>
      <b/>
      <sz val="10"/>
      <color theme="1"/>
      <name val="Helvetica"/>
      <family val="2"/>
    </font>
    <font>
      <sz val="10"/>
      <color theme="1"/>
      <name val="Helvetica"/>
      <family val="2"/>
    </font>
    <font>
      <sz val="10"/>
      <color theme="4"/>
      <name val="Helvetica"/>
      <family val="2"/>
    </font>
    <font>
      <b/>
      <sz val="10"/>
      <color theme="4"/>
      <name val="Helvetica"/>
      <family val="2"/>
    </font>
    <font>
      <b/>
      <sz val="11"/>
      <color theme="1"/>
      <name val="Helvetica"/>
      <family val="2"/>
    </font>
    <font>
      <b/>
      <sz val="11"/>
      <color theme="4"/>
      <name val="Helvetica"/>
      <family val="2"/>
    </font>
    <font>
      <b/>
      <sz val="12"/>
      <color theme="0"/>
      <name val="Helvetica"/>
      <family val="2"/>
    </font>
    <font>
      <b/>
      <sz val="10"/>
      <color theme="5"/>
      <name val="Helvetica"/>
      <family val="2"/>
    </font>
    <font>
      <sz val="10"/>
      <name val="Helvetica"/>
      <family val="2"/>
    </font>
    <font>
      <b/>
      <sz val="10"/>
      <name val="Helvetica"/>
      <family val="2"/>
    </font>
    <font>
      <sz val="8"/>
      <color theme="1"/>
      <name val="Arial"/>
      <family val="2"/>
    </font>
    <font>
      <sz val="8"/>
      <color rgb="FFFF0066"/>
      <name val="Helvetica"/>
      <family val="2"/>
    </font>
    <font>
      <b/>
      <sz val="15"/>
      <color theme="4"/>
      <name val="Helvetica"/>
      <family val="2"/>
    </font>
    <font>
      <sz val="8"/>
      <color rgb="FFFF0066"/>
      <name val="Helvetica"/>
      <family val="2"/>
    </font>
    <font>
      <i/>
      <sz val="8"/>
      <color rgb="FF92D050"/>
      <name val="Helvetica"/>
      <family val="2"/>
    </font>
    <font>
      <u/>
      <sz val="8"/>
      <color theme="10"/>
      <name val="Helvetica"/>
      <family val="2"/>
    </font>
    <font>
      <sz val="10"/>
      <color theme="4"/>
      <name val="Helvetica"/>
      <family val="2"/>
    </font>
    <font>
      <b/>
      <sz val="10"/>
      <color theme="1"/>
      <name val="Helvetica"/>
      <family val="2"/>
    </font>
    <font>
      <b/>
      <sz val="12"/>
      <color theme="0"/>
      <name val="Helvetica"/>
      <family val="2"/>
    </font>
    <font>
      <b/>
      <sz val="11"/>
      <color theme="4"/>
      <name val="Helvetica"/>
      <family val="2"/>
    </font>
    <font>
      <sz val="8"/>
      <name val="Helvetica"/>
      <family val="2"/>
    </font>
    <font>
      <b/>
      <sz val="15"/>
      <color theme="4"/>
      <name val="Helvetica"/>
      <family val="2"/>
    </font>
    <font>
      <sz val="8"/>
      <color rgb="FFFF0066"/>
      <name val="Helvetica"/>
      <family val="2"/>
    </font>
    <font>
      <i/>
      <sz val="8"/>
      <color rgb="FF92D050"/>
      <name val="Helvetica"/>
      <family val="2"/>
    </font>
    <font>
      <u/>
      <sz val="8"/>
      <color theme="10"/>
      <name val="Helvetica"/>
      <family val="2"/>
    </font>
    <font>
      <sz val="10"/>
      <color theme="4"/>
      <name val="Helvetica"/>
      <family val="2"/>
    </font>
    <font>
      <b/>
      <sz val="10"/>
      <color theme="1"/>
      <name val="Helvetica"/>
      <family val="2"/>
    </font>
    <font>
      <b/>
      <sz val="10"/>
      <name val="Helvetica"/>
      <family val="2"/>
    </font>
    <font>
      <b/>
      <sz val="12"/>
      <color theme="0"/>
      <name val="Helvetica"/>
      <family val="2"/>
    </font>
    <font>
      <b/>
      <sz val="11"/>
      <color theme="4"/>
      <name val="Helvetica"/>
      <family val="2"/>
    </font>
    <font>
      <sz val="10"/>
      <color theme="1"/>
      <name val="Helvetica"/>
      <family val="2"/>
    </font>
    <font>
      <b/>
      <sz val="10"/>
      <color theme="1"/>
      <name val="Helvetica"/>
    </font>
    <font>
      <b/>
      <sz val="8"/>
      <color rgb="FFFF0066"/>
      <name val="Helvetica"/>
    </font>
    <font>
      <sz val="9"/>
      <color indexed="81"/>
      <name val="Tahoma"/>
      <family val="2"/>
    </font>
    <font>
      <b/>
      <sz val="9"/>
      <color indexed="81"/>
      <name val="Tahoma"/>
      <family val="2"/>
    </font>
  </fonts>
  <fills count="18">
    <fill>
      <patternFill patternType="none"/>
    </fill>
    <fill>
      <patternFill patternType="gray125"/>
    </fill>
    <fill>
      <patternFill patternType="solid">
        <fgColor theme="3" tint="0.79998168889431442"/>
        <bgColor indexed="64"/>
      </patternFill>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bgColor indexed="64"/>
      </patternFill>
    </fill>
    <fill>
      <patternFill patternType="solid">
        <fgColor theme="4" tint="0.79998168889431442"/>
        <bgColor indexed="64"/>
      </patternFill>
    </fill>
    <fill>
      <patternFill patternType="solid">
        <fgColor theme="9" tint="-0.24994659260841701"/>
        <bgColor indexed="64"/>
      </patternFill>
    </fill>
    <fill>
      <patternFill patternType="solid">
        <fgColor theme="6" tint="-0.24994659260841701"/>
        <bgColor indexed="64"/>
      </patternFill>
    </fill>
    <fill>
      <patternFill patternType="solid">
        <fgColor theme="6" tint="0.39994506668294322"/>
        <bgColor indexed="64"/>
      </patternFill>
    </fill>
    <fill>
      <patternFill patternType="solid">
        <fgColor theme="6" tint="0.59996337778862885"/>
        <bgColor indexed="64"/>
      </patternFill>
    </fill>
    <fill>
      <patternFill patternType="lightUp"/>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auto="1"/>
      </top>
      <bottom/>
      <diagonal/>
    </border>
    <border>
      <left style="thin">
        <color theme="0"/>
      </left>
      <right style="thin">
        <color theme="0"/>
      </right>
      <top style="thin">
        <color theme="0"/>
      </top>
      <bottom style="thin">
        <color theme="0"/>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auto="1"/>
      </left>
      <right/>
      <top/>
      <bottom/>
      <diagonal/>
    </border>
    <border>
      <left/>
      <right style="dotted">
        <color auto="1"/>
      </right>
      <top/>
      <bottom/>
      <diagonal/>
    </border>
    <border>
      <left style="dotted">
        <color auto="1"/>
      </left>
      <right style="thin">
        <color theme="0"/>
      </right>
      <top style="thin">
        <color theme="0"/>
      </top>
      <bottom style="thin">
        <color theme="0"/>
      </bottom>
      <diagonal/>
    </border>
    <border>
      <left style="thin">
        <color theme="0"/>
      </left>
      <right style="dotted">
        <color auto="1"/>
      </right>
      <top style="thin">
        <color theme="0"/>
      </top>
      <bottom style="thin">
        <color theme="0"/>
      </bottom>
      <diagonal/>
    </border>
    <border>
      <left style="dotted">
        <color auto="1"/>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dotted">
        <color auto="1"/>
      </right>
      <top style="thin">
        <color indexed="64"/>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dotted">
        <color auto="1"/>
      </left>
      <right style="dotted">
        <color auto="1"/>
      </right>
      <top/>
      <bottom/>
      <diagonal/>
    </border>
    <border>
      <left style="dotted">
        <color auto="1"/>
      </left>
      <right style="dotted">
        <color auto="1"/>
      </right>
      <top style="thin">
        <color theme="0"/>
      </top>
      <bottom style="thin">
        <color theme="0"/>
      </bottom>
      <diagonal/>
    </border>
  </borders>
  <cellStyleXfs count="63">
    <xf numFmtId="0" fontId="0" fillId="0" borderId="0"/>
    <xf numFmtId="168" fontId="3" fillId="0" borderId="0" applyFill="0" applyBorder="0" applyProtection="0">
      <alignment vertical="center"/>
    </xf>
    <xf numFmtId="0" fontId="7" fillId="0" borderId="0" applyNumberFormat="0" applyFill="0" applyBorder="0" applyAlignment="0" applyProtection="0"/>
    <xf numFmtId="0" fontId="33" fillId="11" borderId="0" applyBorder="0">
      <alignment horizontal="left" vertical="center"/>
    </xf>
    <xf numFmtId="0" fontId="2" fillId="3" borderId="0" applyProtection="0">
      <alignment vertical="center"/>
    </xf>
    <xf numFmtId="0" fontId="4" fillId="0" borderId="0" applyFill="0" applyProtection="0">
      <alignment vertical="center"/>
    </xf>
    <xf numFmtId="0" fontId="3" fillId="0" borderId="0" applyFill="0" applyBorder="0" applyProtection="0">
      <alignment vertical="center"/>
    </xf>
    <xf numFmtId="0" fontId="5" fillId="0" borderId="5" applyNumberFormat="0" applyFill="0" applyAlignment="0" applyProtection="0"/>
    <xf numFmtId="0" fontId="29" fillId="12" borderId="4">
      <alignment horizontal="left" vertical="center"/>
      <protection locked="0"/>
    </xf>
    <xf numFmtId="164" fontId="28" fillId="0" borderId="0" applyFill="0" applyBorder="0">
      <alignment horizontal="center" vertical="center"/>
    </xf>
    <xf numFmtId="164" fontId="29" fillId="2" borderId="4">
      <alignment horizontal="center" vertical="center"/>
      <protection locked="0"/>
    </xf>
    <xf numFmtId="170" fontId="28" fillId="0" borderId="0" applyFill="0" applyBorder="0">
      <alignment horizontal="center" vertical="center"/>
    </xf>
    <xf numFmtId="170" fontId="29" fillId="12" borderId="4">
      <alignment horizontal="center" vertical="center"/>
      <protection locked="0"/>
    </xf>
    <xf numFmtId="165" fontId="28" fillId="0" borderId="0" applyFill="0" applyBorder="0">
      <alignment horizontal="right" vertical="center"/>
    </xf>
    <xf numFmtId="165" fontId="29" fillId="12" borderId="4">
      <alignment horizontal="right" vertical="center"/>
      <protection locked="0"/>
    </xf>
    <xf numFmtId="167" fontId="28" fillId="0" borderId="0" applyFill="0" applyBorder="0">
      <alignment horizontal="right" vertical="center"/>
    </xf>
    <xf numFmtId="167" fontId="29" fillId="12" borderId="4">
      <alignment horizontal="right" vertical="center"/>
      <protection locked="0"/>
    </xf>
    <xf numFmtId="166" fontId="28" fillId="0" borderId="0" applyFill="0" applyBorder="0">
      <alignment horizontal="right" vertical="center"/>
    </xf>
    <xf numFmtId="166" fontId="29" fillId="12" borderId="4">
      <alignment horizontal="right" vertical="center"/>
      <protection locked="0"/>
    </xf>
    <xf numFmtId="168" fontId="29" fillId="12" borderId="4">
      <alignment horizontal="right" vertical="center"/>
      <protection locked="0"/>
    </xf>
    <xf numFmtId="0" fontId="25" fillId="0" borderId="0" applyFill="0" applyBorder="0">
      <alignment horizontal="left" vertical="center"/>
    </xf>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6" applyNumberFormat="0" applyAlignment="0" applyProtection="0"/>
    <xf numFmtId="0" fontId="12" fillId="8" borderId="7" applyNumberFormat="0" applyAlignment="0" applyProtection="0"/>
    <xf numFmtId="0" fontId="13" fillId="8" borderId="6" applyNumberFormat="0" applyAlignment="0" applyProtection="0"/>
    <xf numFmtId="0" fontId="14" fillId="0" borderId="8" applyNumberFormat="0" applyFill="0" applyAlignment="0" applyProtection="0"/>
    <xf numFmtId="0" fontId="15" fillId="9" borderId="9" applyNumberFormat="0" applyAlignment="0" applyProtection="0"/>
    <xf numFmtId="0" fontId="16" fillId="0" borderId="0" applyNumberFormat="0" applyFill="0" applyBorder="0" applyAlignment="0" applyProtection="0"/>
    <xf numFmtId="0" fontId="3" fillId="10" borderId="10" applyNumberFormat="0" applyFont="0" applyAlignment="0" applyProtection="0"/>
    <xf numFmtId="0" fontId="17" fillId="0" borderId="0" applyNumberFormat="0" applyFill="0" applyBorder="0" applyAlignment="0" applyProtection="0"/>
    <xf numFmtId="0" fontId="18" fillId="0" borderId="0" applyNumberFormat="0" applyFill="0" applyBorder="0">
      <alignment horizontal="left" vertical="center"/>
    </xf>
    <xf numFmtId="0" fontId="19" fillId="0" borderId="0" applyFill="0" applyBorder="0">
      <alignment vertical="center"/>
    </xf>
    <xf numFmtId="0" fontId="30" fillId="0" borderId="0" applyFill="0" applyBorder="0">
      <alignment horizontal="left" vertical="center"/>
    </xf>
    <xf numFmtId="0" fontId="36" fillId="0" borderId="0" applyFill="0" applyBorder="0">
      <alignment horizontal="left" vertical="center"/>
    </xf>
    <xf numFmtId="0" fontId="29" fillId="0" borderId="0" applyFill="0" applyBorder="0">
      <alignment horizontal="left" vertical="center"/>
    </xf>
    <xf numFmtId="0" fontId="28" fillId="0" borderId="0" applyFill="0" applyBorder="0">
      <alignment vertical="center"/>
    </xf>
    <xf numFmtId="0" fontId="32" fillId="15" borderId="0" applyBorder="0">
      <alignment horizontal="left" vertical="center"/>
    </xf>
    <xf numFmtId="0" fontId="31" fillId="15" borderId="0" applyBorder="0">
      <alignment horizontal="left" vertical="center"/>
    </xf>
    <xf numFmtId="171" fontId="28" fillId="0" borderId="0" applyFill="0" applyBorder="0">
      <alignment horizontal="right" vertical="center"/>
    </xf>
    <xf numFmtId="0" fontId="24" fillId="0" borderId="0">
      <alignment horizontal="right" vertical="center"/>
    </xf>
    <xf numFmtId="0" fontId="21" fillId="13" borderId="0">
      <alignment horizontal="left" indent="3"/>
    </xf>
    <xf numFmtId="0" fontId="21" fillId="14" borderId="0">
      <alignment horizontal="left" indent="3"/>
    </xf>
    <xf numFmtId="173" fontId="6" fillId="0" borderId="0">
      <alignment horizontal="center" vertical="center"/>
    </xf>
    <xf numFmtId="174" fontId="23" fillId="12" borderId="4">
      <alignment horizontal="center" vertical="center"/>
      <protection locked="0"/>
    </xf>
    <xf numFmtId="174" fontId="6" fillId="0" borderId="0"/>
    <xf numFmtId="165" fontId="29" fillId="0" borderId="0" applyFill="0" applyBorder="0">
      <alignment horizontal="right" vertical="center"/>
    </xf>
    <xf numFmtId="170" fontId="29" fillId="0" borderId="0" applyFill="0" applyBorder="0">
      <alignment horizontal="center" vertical="center"/>
    </xf>
    <xf numFmtId="171" fontId="29" fillId="0" borderId="0" applyFill="0" applyBorder="0">
      <alignment horizontal="right" vertical="center"/>
    </xf>
    <xf numFmtId="166" fontId="29" fillId="0" borderId="0" applyFill="0" applyBorder="0">
      <alignment horizontal="right" vertical="center"/>
    </xf>
    <xf numFmtId="167" fontId="29" fillId="0" borderId="0" applyFill="0" applyBorder="0">
      <alignment horizontal="right" vertical="center"/>
    </xf>
    <xf numFmtId="164" fontId="29" fillId="0" borderId="0" applyFill="0" applyBorder="0">
      <alignment horizontal="center" vertical="center"/>
    </xf>
    <xf numFmtId="0" fontId="29" fillId="16" borderId="4">
      <alignment horizontal="center" vertical="center"/>
      <protection locked="0"/>
    </xf>
    <xf numFmtId="0" fontId="6" fillId="17" borderId="0"/>
    <xf numFmtId="165" fontId="35" fillId="3" borderId="4">
      <alignment horizontal="right" vertical="center"/>
      <protection locked="0"/>
    </xf>
    <xf numFmtId="0" fontId="37" fillId="0" borderId="0"/>
    <xf numFmtId="0" fontId="38"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38" fillId="0" borderId="0" applyFont="0" applyFill="0" applyBorder="0" applyAlignment="0" applyProtection="0"/>
  </cellStyleXfs>
  <cellXfs count="146">
    <xf numFmtId="0" fontId="0" fillId="0" borderId="0" xfId="0"/>
    <xf numFmtId="0" fontId="0" fillId="0" borderId="0" xfId="0" applyFont="1"/>
    <xf numFmtId="0" fontId="0" fillId="0" borderId="0" xfId="0" applyFont="1" applyFill="1"/>
    <xf numFmtId="0" fontId="0" fillId="0" borderId="0" xfId="0" applyFont="1" applyFill="1" applyAlignment="1">
      <alignment horizontal="left"/>
    </xf>
    <xf numFmtId="0" fontId="33" fillId="11" borderId="0" xfId="3">
      <alignment horizontal="left" vertical="center"/>
    </xf>
    <xf numFmtId="0" fontId="25" fillId="0" borderId="0" xfId="20">
      <alignment horizontal="left" vertical="center"/>
    </xf>
    <xf numFmtId="0" fontId="0" fillId="0" borderId="0" xfId="0" applyFont="1" applyFill="1"/>
    <xf numFmtId="0" fontId="0" fillId="0" borderId="0" xfId="0" applyFont="1"/>
    <xf numFmtId="0" fontId="30" fillId="0" borderId="0" xfId="34">
      <alignment horizontal="left" vertical="center"/>
    </xf>
    <xf numFmtId="0" fontId="0" fillId="0" borderId="0" xfId="0"/>
    <xf numFmtId="0" fontId="29" fillId="0" borderId="0" xfId="36">
      <alignment horizontal="left" vertical="center"/>
    </xf>
    <xf numFmtId="0" fontId="28" fillId="0" borderId="0" xfId="37">
      <alignment vertical="center"/>
    </xf>
    <xf numFmtId="0" fontId="32" fillId="15" borderId="0" xfId="38">
      <alignment horizontal="left" vertical="center"/>
    </xf>
    <xf numFmtId="0" fontId="30" fillId="0" borderId="0" xfId="34" applyFill="1">
      <alignment horizontal="left" vertical="center"/>
    </xf>
    <xf numFmtId="0" fontId="29" fillId="0" borderId="0" xfId="36" applyFill="1">
      <alignment horizontal="left" vertical="center"/>
    </xf>
    <xf numFmtId="0" fontId="29" fillId="0" borderId="1" xfId="36" applyBorder="1" applyAlignment="1">
      <alignment horizontal="center" vertical="center"/>
    </xf>
    <xf numFmtId="0" fontId="20" fillId="0" borderId="0" xfId="37" applyFont="1" applyFill="1">
      <alignment vertical="center"/>
    </xf>
    <xf numFmtId="0" fontId="29" fillId="0" borderId="0" xfId="36" applyAlignment="1">
      <alignment horizontal="right" vertical="center"/>
    </xf>
    <xf numFmtId="0" fontId="30" fillId="0" borderId="0" xfId="34" applyAlignment="1">
      <alignment horizontal="center" vertical="center"/>
    </xf>
    <xf numFmtId="0" fontId="0" fillId="0" borderId="0" xfId="0" applyFont="1" applyAlignment="1">
      <alignment horizontal="center"/>
    </xf>
    <xf numFmtId="0" fontId="29" fillId="0" borderId="0" xfId="36" applyAlignment="1">
      <alignment horizontal="center" vertical="center"/>
    </xf>
    <xf numFmtId="4" fontId="0" fillId="0" borderId="0" xfId="0" applyNumberFormat="1" applyFont="1"/>
    <xf numFmtId="172" fontId="0" fillId="0" borderId="0" xfId="0" applyNumberFormat="1" applyFont="1"/>
    <xf numFmtId="0" fontId="33" fillId="11" borderId="0" xfId="3" applyFill="1">
      <alignment horizontal="left" vertical="center"/>
    </xf>
    <xf numFmtId="0" fontId="26" fillId="0" borderId="0" xfId="37" applyFont="1" applyFill="1">
      <alignment vertical="center"/>
    </xf>
    <xf numFmtId="169" fontId="28" fillId="0" borderId="0" xfId="13" applyNumberFormat="1">
      <alignment horizontal="right" vertical="center"/>
    </xf>
    <xf numFmtId="173" fontId="6" fillId="0" borderId="3" xfId="44" applyBorder="1" applyAlignment="1">
      <alignment horizontal="center"/>
    </xf>
    <xf numFmtId="0" fontId="28" fillId="0" borderId="3" xfId="37" applyBorder="1">
      <alignment vertical="center"/>
    </xf>
    <xf numFmtId="0" fontId="0" fillId="0" borderId="14" xfId="0" applyBorder="1"/>
    <xf numFmtId="0" fontId="0" fillId="0" borderId="3" xfId="0" applyBorder="1"/>
    <xf numFmtId="0" fontId="0" fillId="0" borderId="15" xfId="0" applyBorder="1"/>
    <xf numFmtId="0" fontId="0" fillId="0" borderId="12" xfId="0" applyBorder="1"/>
    <xf numFmtId="0" fontId="0" fillId="0" borderId="0" xfId="0" applyBorder="1"/>
    <xf numFmtId="0" fontId="0" fillId="0" borderId="11" xfId="0" applyBorder="1"/>
    <xf numFmtId="0" fontId="29" fillId="0" borderId="0" xfId="36" applyBorder="1">
      <alignment horizontal="left" vertical="center"/>
    </xf>
    <xf numFmtId="0" fontId="30" fillId="0" borderId="0" xfId="34" applyBorder="1" applyAlignment="1">
      <alignment horizontal="center" vertical="center"/>
    </xf>
    <xf numFmtId="0" fontId="36" fillId="0" borderId="0" xfId="35" applyBorder="1" applyAlignment="1">
      <alignment horizontal="center" vertical="center"/>
    </xf>
    <xf numFmtId="0" fontId="21" fillId="11" borderId="0" xfId="3" applyFont="1" applyBorder="1" applyAlignment="1">
      <alignment horizontal="center" vertical="center"/>
    </xf>
    <xf numFmtId="0" fontId="22" fillId="15" borderId="0" xfId="38" applyFont="1" applyBorder="1" applyAlignment="1">
      <alignment horizontal="center" vertical="center"/>
    </xf>
    <xf numFmtId="0" fontId="0" fillId="0" borderId="16" xfId="0" applyBorder="1"/>
    <xf numFmtId="0" fontId="0" fillId="0" borderId="2" xfId="0" applyBorder="1"/>
    <xf numFmtId="0" fontId="0" fillId="0" borderId="13" xfId="0" applyBorder="1"/>
    <xf numFmtId="0" fontId="29" fillId="12" borderId="4" xfId="8" applyBorder="1" applyAlignment="1">
      <alignment horizontal="center" vertical="center"/>
      <protection locked="0"/>
    </xf>
    <xf numFmtId="0" fontId="30" fillId="0" borderId="0" xfId="34" applyFill="1" applyBorder="1" applyAlignment="1">
      <alignment vertical="center"/>
    </xf>
    <xf numFmtId="0" fontId="27" fillId="0" borderId="0" xfId="3" applyFont="1" applyFill="1">
      <alignment horizontal="left" vertical="center"/>
    </xf>
    <xf numFmtId="0" fontId="34" fillId="0" borderId="0" xfId="0" applyFont="1" applyFill="1" applyAlignment="1">
      <alignment horizontal="center"/>
    </xf>
    <xf numFmtId="0" fontId="18" fillId="0" borderId="0" xfId="32" applyBorder="1">
      <alignment horizontal="left" vertical="center"/>
    </xf>
    <xf numFmtId="0" fontId="18" fillId="0" borderId="0" xfId="32">
      <alignment horizontal="left" vertical="center"/>
    </xf>
    <xf numFmtId="0" fontId="18" fillId="0" borderId="0" xfId="32" applyAlignment="1">
      <alignment horizontal="center" vertical="center"/>
    </xf>
    <xf numFmtId="0" fontId="6" fillId="17" borderId="0" xfId="54"/>
    <xf numFmtId="0" fontId="29" fillId="16" borderId="4" xfId="53">
      <alignment horizontal="center" vertical="center"/>
      <protection locked="0"/>
    </xf>
    <xf numFmtId="165" fontId="29" fillId="3" borderId="4" xfId="14" applyFill="1">
      <alignment horizontal="right" vertical="center"/>
      <protection locked="0"/>
    </xf>
    <xf numFmtId="0" fontId="0" fillId="0" borderId="0" xfId="0" applyFill="1"/>
    <xf numFmtId="0" fontId="18" fillId="0" borderId="0" xfId="32" applyFill="1">
      <alignment horizontal="left" vertical="center"/>
    </xf>
    <xf numFmtId="170" fontId="29" fillId="0" borderId="1" xfId="48" applyBorder="1">
      <alignment horizontal="center" vertical="center"/>
    </xf>
    <xf numFmtId="170" fontId="28" fillId="0" borderId="0" xfId="11" applyAlignment="1">
      <alignment horizontal="right" vertical="center"/>
    </xf>
    <xf numFmtId="0" fontId="36" fillId="0" borderId="0" xfId="35" applyAlignment="1">
      <alignment horizontal="right" vertical="center"/>
    </xf>
    <xf numFmtId="0" fontId="36" fillId="0" borderId="0" xfId="35" applyAlignment="1">
      <alignment horizontal="center" vertical="center"/>
    </xf>
    <xf numFmtId="0" fontId="28" fillId="0" borderId="0" xfId="37" applyAlignment="1">
      <alignment horizontal="center" vertical="center"/>
    </xf>
    <xf numFmtId="0" fontId="29" fillId="0" borderId="0" xfId="36" applyFill="1" applyAlignment="1">
      <alignment horizontal="center" vertical="center"/>
    </xf>
    <xf numFmtId="173" fontId="6" fillId="0" borderId="0" xfId="44" applyBorder="1" applyAlignment="1">
      <alignment horizontal="center" vertical="center"/>
    </xf>
    <xf numFmtId="173" fontId="6" fillId="0" borderId="0" xfId="44" applyFill="1" applyBorder="1" applyAlignment="1">
      <alignment horizontal="center" vertical="center"/>
    </xf>
    <xf numFmtId="20" fontId="0" fillId="0" borderId="0" xfId="0" quotePrefix="1" applyNumberFormat="1"/>
    <xf numFmtId="0" fontId="39" fillId="0" borderId="0" xfId="20" applyFont="1">
      <alignment horizontal="left" vertical="center"/>
    </xf>
    <xf numFmtId="0" fontId="40" fillId="0" borderId="0" xfId="0" applyFont="1"/>
    <xf numFmtId="0" fontId="41" fillId="0" borderId="0" xfId="37" applyFont="1" applyFill="1">
      <alignment vertical="center"/>
    </xf>
    <xf numFmtId="0" fontId="42" fillId="0" borderId="0" xfId="32" applyFont="1" applyFill="1">
      <alignment horizontal="left" vertical="center"/>
    </xf>
    <xf numFmtId="0" fontId="43" fillId="0" borderId="0" xfId="36" applyFont="1" applyFill="1">
      <alignment horizontal="left" vertical="center"/>
    </xf>
    <xf numFmtId="0" fontId="44" fillId="0" borderId="0" xfId="3" applyFont="1" applyFill="1">
      <alignment horizontal="left" vertical="center"/>
    </xf>
    <xf numFmtId="0" fontId="45" fillId="11" borderId="0" xfId="3" applyFont="1">
      <alignment horizontal="left" vertical="center"/>
    </xf>
    <xf numFmtId="0" fontId="40" fillId="0" borderId="0" xfId="0" applyFont="1" applyFill="1"/>
    <xf numFmtId="0" fontId="46" fillId="15" borderId="0" xfId="38" applyFont="1">
      <alignment horizontal="left" vertical="center"/>
    </xf>
    <xf numFmtId="0" fontId="36" fillId="0" borderId="0" xfId="35">
      <alignment horizontal="left" vertical="center"/>
    </xf>
    <xf numFmtId="0" fontId="29" fillId="0" borderId="0" xfId="36" applyFill="1" applyBorder="1">
      <alignment horizontal="left" vertical="center"/>
    </xf>
    <xf numFmtId="0" fontId="36" fillId="0" borderId="17" xfId="35" applyBorder="1" applyAlignment="1">
      <alignment horizontal="center" vertical="center"/>
    </xf>
    <xf numFmtId="0" fontId="36" fillId="0" borderId="18" xfId="35" applyBorder="1" applyAlignment="1">
      <alignment horizontal="center" vertical="center"/>
    </xf>
    <xf numFmtId="0" fontId="40" fillId="0" borderId="17" xfId="0" applyFont="1" applyBorder="1"/>
    <xf numFmtId="0" fontId="40" fillId="0" borderId="0" xfId="0" applyFont="1" applyBorder="1"/>
    <xf numFmtId="0" fontId="40" fillId="0" borderId="18" xfId="0" applyFont="1" applyBorder="1"/>
    <xf numFmtId="168" fontId="29" fillId="12" borderId="19" xfId="19" applyBorder="1" applyAlignment="1">
      <alignment horizontal="center" vertical="center"/>
      <protection locked="0"/>
    </xf>
    <xf numFmtId="168" fontId="29" fillId="12" borderId="4" xfId="19" applyBorder="1" applyAlignment="1">
      <alignment horizontal="center" vertical="center"/>
      <protection locked="0"/>
    </xf>
    <xf numFmtId="168" fontId="29" fillId="12" borderId="20" xfId="19" applyBorder="1" applyAlignment="1">
      <alignment horizontal="center" vertical="center"/>
      <protection locked="0"/>
    </xf>
    <xf numFmtId="165" fontId="29" fillId="12" borderId="19" xfId="14" applyBorder="1" applyAlignment="1">
      <alignment horizontal="center" vertical="center"/>
      <protection locked="0"/>
    </xf>
    <xf numFmtId="165" fontId="29" fillId="12" borderId="4" xfId="14" applyBorder="1" applyAlignment="1">
      <alignment horizontal="center" vertical="center"/>
      <protection locked="0"/>
    </xf>
    <xf numFmtId="165" fontId="29" fillId="17" borderId="19" xfId="14" applyFill="1" applyBorder="1" applyAlignment="1">
      <alignment horizontal="center" vertical="center"/>
      <protection locked="0"/>
    </xf>
    <xf numFmtId="165" fontId="29" fillId="17" borderId="4" xfId="14" applyFill="1" applyBorder="1" applyAlignment="1">
      <alignment horizontal="center" vertical="center"/>
      <protection locked="0"/>
    </xf>
    <xf numFmtId="165" fontId="29" fillId="17" borderId="20" xfId="14" applyFill="1" applyBorder="1" applyAlignment="1">
      <alignment horizontal="center" vertical="center"/>
      <protection locked="0"/>
    </xf>
    <xf numFmtId="173" fontId="47" fillId="0" borderId="0" xfId="44" applyFont="1" applyBorder="1" applyAlignment="1">
      <alignment horizontal="center" vertical="center"/>
    </xf>
    <xf numFmtId="0" fontId="48" fillId="0" borderId="0" xfId="20" applyFont="1">
      <alignment horizontal="left" vertical="center"/>
    </xf>
    <xf numFmtId="0" fontId="49" fillId="0" borderId="0" xfId="0" applyFont="1"/>
    <xf numFmtId="0" fontId="50" fillId="0" borderId="0" xfId="37" applyFont="1" applyFill="1">
      <alignment vertical="center"/>
    </xf>
    <xf numFmtId="0" fontId="51" fillId="0" borderId="0" xfId="32" applyFont="1" applyFill="1">
      <alignment horizontal="left" vertical="center"/>
    </xf>
    <xf numFmtId="0" fontId="52" fillId="0" borderId="0" xfId="36" applyFont="1" applyFill="1">
      <alignment horizontal="left" vertical="center"/>
    </xf>
    <xf numFmtId="0" fontId="53" fillId="0" borderId="0" xfId="3" applyFont="1" applyFill="1">
      <alignment horizontal="left" vertical="center"/>
    </xf>
    <xf numFmtId="0" fontId="54" fillId="0" borderId="0" xfId="35" applyFont="1" applyAlignment="1">
      <alignment horizontal="center" vertical="center"/>
    </xf>
    <xf numFmtId="0" fontId="55" fillId="11" borderId="0" xfId="3" applyFont="1">
      <alignment horizontal="left" vertical="center"/>
    </xf>
    <xf numFmtId="0" fontId="49" fillId="0" borderId="0" xfId="0" applyFont="1" applyFill="1"/>
    <xf numFmtId="0" fontId="56" fillId="15" borderId="0" xfId="38" applyFont="1">
      <alignment horizontal="left" vertical="center"/>
    </xf>
    <xf numFmtId="0" fontId="54" fillId="0" borderId="0" xfId="35" applyFont="1">
      <alignment horizontal="left" vertical="center"/>
    </xf>
    <xf numFmtId="0" fontId="54" fillId="0" borderId="17" xfId="35" applyFont="1" applyBorder="1" applyAlignment="1">
      <alignment horizontal="center" vertical="center"/>
    </xf>
    <xf numFmtId="0" fontId="54" fillId="0" borderId="0" xfId="35" applyFont="1" applyBorder="1" applyAlignment="1">
      <alignment horizontal="center" vertical="center"/>
    </xf>
    <xf numFmtId="0" fontId="54" fillId="0" borderId="18" xfId="35" applyFont="1" applyBorder="1" applyAlignment="1">
      <alignment horizontal="center" vertical="center"/>
    </xf>
    <xf numFmtId="0" fontId="54" fillId="0" borderId="0" xfId="35" applyFont="1" applyBorder="1" applyAlignment="1">
      <alignment horizontal="center" vertical="center" wrapText="1"/>
    </xf>
    <xf numFmtId="0" fontId="49" fillId="0" borderId="17" xfId="0" applyFont="1" applyBorder="1"/>
    <xf numFmtId="0" fontId="49" fillId="0" borderId="0" xfId="0" applyFont="1" applyBorder="1"/>
    <xf numFmtId="0" fontId="49" fillId="0" borderId="18" xfId="0" applyFont="1" applyBorder="1"/>
    <xf numFmtId="0" fontId="57" fillId="0" borderId="0" xfId="37" applyFont="1">
      <alignment vertical="center"/>
    </xf>
    <xf numFmtId="0" fontId="57" fillId="0" borderId="0" xfId="37" applyFont="1" applyAlignment="1">
      <alignment horizontal="center" vertical="center"/>
    </xf>
    <xf numFmtId="165" fontId="57" fillId="0" borderId="19" xfId="13" applyFont="1" applyFill="1" applyBorder="1" applyAlignment="1">
      <alignment horizontal="center" vertical="center"/>
    </xf>
    <xf numFmtId="165" fontId="57" fillId="0" borderId="4" xfId="13" applyFont="1" applyFill="1" applyBorder="1" applyAlignment="1">
      <alignment horizontal="center" vertical="center"/>
    </xf>
    <xf numFmtId="165" fontId="57" fillId="0" borderId="20" xfId="13" applyFont="1" applyFill="1" applyBorder="1" applyAlignment="1">
      <alignment horizontal="center" vertical="center"/>
    </xf>
    <xf numFmtId="165" fontId="57" fillId="17" borderId="4" xfId="13" applyFont="1" applyFill="1" applyBorder="1" applyAlignment="1">
      <alignment horizontal="center" vertical="center"/>
    </xf>
    <xf numFmtId="165" fontId="57" fillId="0" borderId="0" xfId="13" applyFont="1" applyFill="1" applyBorder="1" applyAlignment="1">
      <alignment horizontal="center" vertical="center"/>
    </xf>
    <xf numFmtId="165" fontId="57" fillId="17" borderId="19" xfId="13" applyFont="1" applyFill="1" applyBorder="1" applyAlignment="1">
      <alignment horizontal="center" vertical="center"/>
    </xf>
    <xf numFmtId="171" fontId="57" fillId="0" borderId="19" xfId="40" applyFont="1" applyFill="1" applyBorder="1" applyAlignment="1">
      <alignment horizontal="center" vertical="center"/>
    </xf>
    <xf numFmtId="171" fontId="57" fillId="0" borderId="4" xfId="40" applyFont="1" applyFill="1" applyBorder="1" applyAlignment="1">
      <alignment horizontal="center" vertical="center"/>
    </xf>
    <xf numFmtId="171" fontId="57" fillId="0" borderId="20" xfId="40" applyFont="1" applyFill="1" applyBorder="1" applyAlignment="1">
      <alignment horizontal="center" vertical="center"/>
    </xf>
    <xf numFmtId="0" fontId="58" fillId="0" borderId="3" xfId="37" applyFont="1" applyBorder="1">
      <alignment vertical="center"/>
    </xf>
    <xf numFmtId="0" fontId="58" fillId="0" borderId="3" xfId="37" applyFont="1" applyBorder="1" applyAlignment="1">
      <alignment horizontal="center" vertical="center"/>
    </xf>
    <xf numFmtId="0" fontId="59" fillId="0" borderId="3" xfId="0" applyFont="1" applyBorder="1"/>
    <xf numFmtId="171" fontId="58" fillId="0" borderId="21" xfId="40" applyFont="1" applyFill="1" applyBorder="1" applyAlignment="1">
      <alignment horizontal="center" vertical="center"/>
    </xf>
    <xf numFmtId="171" fontId="58" fillId="0" borderId="22" xfId="40" applyFont="1" applyFill="1" applyBorder="1" applyAlignment="1">
      <alignment horizontal="center" vertical="center"/>
    </xf>
    <xf numFmtId="171" fontId="58" fillId="0" borderId="23" xfId="40" applyFont="1" applyFill="1" applyBorder="1" applyAlignment="1">
      <alignment horizontal="center" vertical="center"/>
    </xf>
    <xf numFmtId="175" fontId="57" fillId="0" borderId="4" xfId="13" applyNumberFormat="1" applyFont="1" applyFill="1" applyBorder="1" applyAlignment="1">
      <alignment horizontal="center" vertical="center"/>
    </xf>
    <xf numFmtId="175" fontId="57" fillId="0" borderId="20" xfId="13" applyNumberFormat="1" applyFont="1" applyFill="1" applyBorder="1" applyAlignment="1">
      <alignment horizontal="center" vertical="center"/>
    </xf>
    <xf numFmtId="175" fontId="58" fillId="0" borderId="1" xfId="13" applyNumberFormat="1" applyFont="1" applyFill="1" applyBorder="1" applyAlignment="1">
      <alignment horizontal="center" vertical="center"/>
    </xf>
    <xf numFmtId="177" fontId="49" fillId="0" borderId="0" xfId="0" applyNumberFormat="1" applyFont="1"/>
    <xf numFmtId="168" fontId="57" fillId="0" borderId="19" xfId="40" applyNumberFormat="1" applyFont="1" applyFill="1" applyBorder="1" applyAlignment="1">
      <alignment horizontal="center" vertical="center"/>
    </xf>
    <xf numFmtId="168" fontId="57" fillId="0" borderId="4" xfId="40" applyNumberFormat="1" applyFont="1" applyFill="1" applyBorder="1" applyAlignment="1">
      <alignment horizontal="center" vertical="center"/>
    </xf>
    <xf numFmtId="165" fontId="29" fillId="12" borderId="19" xfId="14" applyNumberFormat="1" applyBorder="1" applyAlignment="1">
      <alignment horizontal="center" vertical="center"/>
      <protection locked="0"/>
    </xf>
    <xf numFmtId="10" fontId="29" fillId="12" borderId="19" xfId="62" applyNumberFormat="1" applyFont="1" applyFill="1" applyBorder="1" applyAlignment="1" applyProtection="1">
      <alignment horizontal="center" vertical="center"/>
      <protection locked="0"/>
    </xf>
    <xf numFmtId="10" fontId="29" fillId="12" borderId="4" xfId="62" applyNumberFormat="1" applyFont="1" applyFill="1" applyBorder="1" applyAlignment="1" applyProtection="1">
      <alignment horizontal="center" vertical="center"/>
      <protection locked="0"/>
    </xf>
    <xf numFmtId="10" fontId="29" fillId="12" borderId="20" xfId="62" applyNumberFormat="1" applyFont="1" applyFill="1" applyBorder="1" applyAlignment="1" applyProtection="1">
      <alignment horizontal="center" vertical="center"/>
      <protection locked="0"/>
    </xf>
    <xf numFmtId="176" fontId="29" fillId="0" borderId="20" xfId="14" applyNumberFormat="1" applyFill="1" applyBorder="1" applyAlignment="1">
      <alignment horizontal="center" vertical="center"/>
      <protection locked="0"/>
    </xf>
    <xf numFmtId="168" fontId="29" fillId="12" borderId="24" xfId="19" applyBorder="1" applyAlignment="1">
      <alignment horizontal="center" vertical="center"/>
      <protection locked="0"/>
    </xf>
    <xf numFmtId="168" fontId="57" fillId="0" borderId="24" xfId="40" applyNumberFormat="1" applyFont="1" applyFill="1" applyBorder="1" applyAlignment="1">
      <alignment horizontal="center" vertical="center"/>
    </xf>
    <xf numFmtId="165" fontId="29" fillId="17" borderId="25" xfId="14" applyFill="1" applyBorder="1" applyAlignment="1">
      <alignment horizontal="center" vertical="center"/>
      <protection locked="0"/>
    </xf>
    <xf numFmtId="168" fontId="29" fillId="12" borderId="25" xfId="19" applyBorder="1" applyAlignment="1">
      <alignment horizontal="center" vertical="center"/>
      <protection locked="0"/>
    </xf>
    <xf numFmtId="0" fontId="36" fillId="0" borderId="26" xfId="35" applyBorder="1" applyAlignment="1">
      <alignment horizontal="center" vertical="center"/>
    </xf>
    <xf numFmtId="0" fontId="40" fillId="0" borderId="26" xfId="0" applyFont="1" applyBorder="1"/>
    <xf numFmtId="168" fontId="29" fillId="12" borderId="27" xfId="19" applyBorder="1" applyAlignment="1">
      <alignment horizontal="center" vertical="center"/>
      <protection locked="0"/>
    </xf>
    <xf numFmtId="168" fontId="57" fillId="0" borderId="27" xfId="40" applyNumberFormat="1" applyFont="1" applyFill="1" applyBorder="1" applyAlignment="1">
      <alignment horizontal="center" vertical="center"/>
    </xf>
    <xf numFmtId="0" fontId="28" fillId="0" borderId="0" xfId="37" applyFill="1" applyAlignment="1">
      <alignment horizontal="center" vertical="center"/>
    </xf>
    <xf numFmtId="165" fontId="29" fillId="12" borderId="24" xfId="14" applyBorder="1" applyAlignment="1">
      <alignment horizontal="center" vertical="center"/>
      <protection locked="0"/>
    </xf>
    <xf numFmtId="165" fontId="29" fillId="12" borderId="27" xfId="14" applyBorder="1" applyAlignment="1">
      <alignment horizontal="center" vertical="center"/>
      <protection locked="0"/>
    </xf>
    <xf numFmtId="0" fontId="29" fillId="0" borderId="0" xfId="36" applyFill="1" applyAlignment="1">
      <alignment horizontal="left" vertical="center" wrapText="1"/>
    </xf>
  </cellXfs>
  <cellStyles count="63">
    <cellStyle name="Bad" xfId="22" builtinId="27" hidden="1"/>
    <cellStyle name="Calculation" xfId="26" builtinId="22" hidden="1"/>
    <cellStyle name="Check Cell" xfId="28" builtinId="23" hidden="1"/>
    <cellStyle name="Check RedRedGreen" xfId="44" xr:uid="{00000000-0005-0000-0000-000003000000}"/>
    <cellStyle name="Comma 2" xfId="61" xr:uid="{00000000-0005-0000-0000-000004000000}"/>
    <cellStyle name="Currency" xfId="1" builtinId="4" hidden="1" customBuiltin="1"/>
    <cellStyle name="Currency" xfId="40" xr:uid="{00000000-0005-0000-0000-000006000000}"/>
    <cellStyle name="Currency 2" xfId="59" xr:uid="{00000000-0005-0000-0000-000007000000}"/>
    <cellStyle name="Currency Assumptions" xfId="19" xr:uid="{00000000-0005-0000-0000-000008000000}"/>
    <cellStyle name="Currency Input" xfId="49" xr:uid="{00000000-0005-0000-0000-000009000000}"/>
    <cellStyle name="Date" xfId="11" xr:uid="{00000000-0005-0000-0000-00000A000000}"/>
    <cellStyle name="Date Assumptions" xfId="12" xr:uid="{00000000-0005-0000-0000-00000B000000}"/>
    <cellStyle name="Date Input" xfId="48" xr:uid="{00000000-0005-0000-0000-00000C000000}"/>
    <cellStyle name="Dropdown" xfId="53" xr:uid="{00000000-0005-0000-0000-00000D000000}"/>
    <cellStyle name="Explanatory Text" xfId="31" builtinId="53" hidden="1"/>
    <cellStyle name="External Link" xfId="55" xr:uid="{00000000-0005-0000-0000-00000F000000}"/>
    <cellStyle name="Good" xfId="21" builtinId="26" hidden="1"/>
    <cellStyle name="Heading 1" xfId="3" builtinId="16" customBuiltin="1"/>
    <cellStyle name="Heading 2" xfId="4" builtinId="17" hidden="1" customBuiltin="1"/>
    <cellStyle name="Heading 2 Input" xfId="38" xr:uid="{00000000-0005-0000-0000-000013000000}"/>
    <cellStyle name="Heading 2 Output" xfId="39" xr:uid="{00000000-0005-0000-0000-000014000000}"/>
    <cellStyle name="Heading 3" xfId="5" builtinId="18" hidden="1" customBuiltin="1"/>
    <cellStyle name="Heading 3 Input" xfId="34" xr:uid="{00000000-0005-0000-0000-000016000000}"/>
    <cellStyle name="Heading 3 Output" xfId="35" xr:uid="{00000000-0005-0000-0000-000017000000}"/>
    <cellStyle name="Heading 4" xfId="6" builtinId="19" hidden="1" customBuiltin="1"/>
    <cellStyle name="Heading 4 Assumptions" xfId="8" xr:uid="{00000000-0005-0000-0000-000019000000}"/>
    <cellStyle name="Heading 4 Input" xfId="36" xr:uid="{00000000-0005-0000-0000-00001A000000}"/>
    <cellStyle name="Heading 4 Output" xfId="37" xr:uid="{00000000-0005-0000-0000-00001B000000}"/>
    <cellStyle name="Hyperlink" xfId="32" builtinId="8" customBuiltin="1"/>
    <cellStyle name="Input" xfId="24" builtinId="20" hidden="1"/>
    <cellStyle name="Line Item Modifier" xfId="41" xr:uid="{00000000-0005-0000-0000-00001E000000}"/>
    <cellStyle name="Linked Cell" xfId="27" builtinId="24" hidden="1"/>
    <cellStyle name="Multiple" xfId="17" xr:uid="{00000000-0005-0000-0000-000020000000}"/>
    <cellStyle name="Multiple Assumptions" xfId="18" xr:uid="{00000000-0005-0000-0000-000021000000}"/>
    <cellStyle name="Multiple Input" xfId="50" xr:uid="{00000000-0005-0000-0000-000022000000}"/>
    <cellStyle name="Neutral" xfId="23" builtinId="28" hidden="1"/>
    <cellStyle name="Normal" xfId="0" builtinId="0" customBuiltin="1"/>
    <cellStyle name="Normal 10 2" xfId="56" xr:uid="{00000000-0005-0000-0000-000025000000}"/>
    <cellStyle name="Normal 2" xfId="57" xr:uid="{00000000-0005-0000-0000-000026000000}"/>
    <cellStyle name="Normal 3" xfId="58" xr:uid="{00000000-0005-0000-0000-000027000000}"/>
    <cellStyle name="Not Applicable" xfId="54" xr:uid="{00000000-0005-0000-0000-000028000000}"/>
    <cellStyle name="Note" xfId="30" builtinId="10" hidden="1"/>
    <cellStyle name="Number" xfId="13" xr:uid="{00000000-0005-0000-0000-00002A000000}"/>
    <cellStyle name="Number Assumptions" xfId="14" xr:uid="{00000000-0005-0000-0000-00002B000000}"/>
    <cellStyle name="Number Input" xfId="47" xr:uid="{00000000-0005-0000-0000-00002C000000}"/>
    <cellStyle name="Output" xfId="25" builtinId="21" hidden="1"/>
    <cellStyle name="Percent" xfId="62" builtinId="5"/>
    <cellStyle name="Percent 2" xfId="60" xr:uid="{00000000-0005-0000-0000-00002F000000}"/>
    <cellStyle name="Percentage" xfId="15" xr:uid="{00000000-0005-0000-0000-000030000000}"/>
    <cellStyle name="Percentage Assumptions" xfId="16" xr:uid="{00000000-0005-0000-0000-000031000000}"/>
    <cellStyle name="Percentage Input" xfId="51" xr:uid="{00000000-0005-0000-0000-000032000000}"/>
    <cellStyle name="Sheet Title Input" xfId="20" xr:uid="{00000000-0005-0000-0000-000033000000}"/>
    <cellStyle name="Sheet Title Output" xfId="33" xr:uid="{00000000-0005-0000-0000-000034000000}"/>
    <cellStyle name="Table Header 1" xfId="42" xr:uid="{00000000-0005-0000-0000-000035000000}"/>
    <cellStyle name="Table Header 2" xfId="43" xr:uid="{00000000-0005-0000-0000-000036000000}"/>
    <cellStyle name="Title" xfId="2" builtinId="15" hidden="1"/>
    <cellStyle name="Total" xfId="7" builtinId="25" hidden="1"/>
    <cellStyle name="Trigger Assumption GreenRedGrey" xfId="45" xr:uid="{00000000-0005-0000-0000-000039000000}"/>
    <cellStyle name="Trigger GreenRedGrey" xfId="46" xr:uid="{00000000-0005-0000-0000-00003A000000}"/>
    <cellStyle name="Warning Text" xfId="29" builtinId="11" hidden="1"/>
    <cellStyle name="Year" xfId="9" xr:uid="{00000000-0005-0000-0000-00003C000000}"/>
    <cellStyle name="Year Assumptions" xfId="10" xr:uid="{00000000-0005-0000-0000-00003D000000}"/>
    <cellStyle name="Year Input" xfId="52" xr:uid="{00000000-0005-0000-0000-00003E000000}"/>
  </cellStyles>
  <dxfs count="12">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val="0"/>
        <i val="0"/>
        <color rgb="FF00B050"/>
      </font>
    </dxf>
    <dxf>
      <font>
        <b val="0"/>
        <i val="0"/>
        <color rgb="FF00B050"/>
      </font>
    </dxf>
  </dxfs>
  <tableStyles count="0" defaultTableStyle="TableStyleMedium2" defaultPivotStyle="PivotStyleLight16"/>
  <colors>
    <mruColors>
      <color rgb="FF4F81BD"/>
      <color rgb="FF9BBB59"/>
      <color rgb="FFC0504D"/>
      <color rgb="FFF79646"/>
      <color rgb="FF8064A2"/>
      <color rgb="FF4BACC6"/>
      <color rgb="FF000000"/>
      <color rgb="FFFF0066"/>
      <color rgb="FF139C00"/>
      <color rgb="FF4262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5</xdr:row>
      <xdr:rowOff>76200</xdr:rowOff>
    </xdr:from>
    <xdr:to>
      <xdr:col>5</xdr:col>
      <xdr:colOff>371750</xdr:colOff>
      <xdr:row>8</xdr:row>
      <xdr:rowOff>104839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6775" y="895350"/>
          <a:ext cx="1971950" cy="4572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WCR04.04%20-%20SCS%20Opex%20Model%20-%2029%20Nov%2018%20-%20PUBL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WCR04.07P%20-%20SCS%20and%20ACS%20Metering%20Capex%20Model%20-%2029%20Nov%2018%20-%20Publi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General"/>
      <sheetName val="Input|Inflation"/>
      <sheetName val="Input|Reported opex"/>
      <sheetName val="Input|Base year adjustments"/>
      <sheetName val="Input|Rate of change"/>
      <sheetName val="Input|Step changes"/>
      <sheetName val="Calc|Opex forecast"/>
      <sheetName val="Output|Models"/>
      <sheetName val="Lookup|Tables"/>
      <sheetName val="Check|List"/>
    </sheetNames>
    <sheetDataSet>
      <sheetData sheetId="0"/>
      <sheetData sheetId="1"/>
      <sheetData sheetId="2">
        <row r="14">
          <cell r="D14">
            <v>164.6</v>
          </cell>
        </row>
        <row r="18">
          <cell r="D18">
            <v>167</v>
          </cell>
        </row>
        <row r="22">
          <cell r="D22">
            <v>172.1</v>
          </cell>
          <cell r="E22">
            <v>3.0538922155688653E-2</v>
          </cell>
        </row>
        <row r="26">
          <cell r="E26">
            <v>3.6025566531086683E-2</v>
          </cell>
          <cell r="F26">
            <v>99.2</v>
          </cell>
        </row>
        <row r="30">
          <cell r="F30">
            <v>100.4</v>
          </cell>
        </row>
        <row r="34">
          <cell r="F34">
            <v>102.8</v>
          </cell>
        </row>
        <row r="38">
          <cell r="F38">
            <v>105.9</v>
          </cell>
        </row>
        <row r="42">
          <cell r="F42">
            <v>107.5</v>
          </cell>
        </row>
        <row r="46">
          <cell r="F46">
            <v>108.6</v>
          </cell>
        </row>
        <row r="50">
          <cell r="F50">
            <v>110.7</v>
          </cell>
        </row>
        <row r="54">
          <cell r="F54">
            <v>113</v>
          </cell>
        </row>
        <row r="58">
          <cell r="F58">
            <v>115.26</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Project List"/>
      <sheetName val="Total by category"/>
      <sheetName val="SCS --&gt;"/>
      <sheetName val="SCS total"/>
      <sheetName val="SCS CapCon"/>
      <sheetName val="Augex"/>
      <sheetName val="Repex"/>
      <sheetName val="Connections"/>
      <sheetName val="Non-Network"/>
      <sheetName val="IT"/>
      <sheetName val="Escalation"/>
      <sheetName val="Capitalised OH"/>
      <sheetName val="Capital Contributions"/>
      <sheetName val="ACS Metering --&gt;"/>
      <sheetName val="Metering total"/>
      <sheetName val="Metering"/>
      <sheetName val="Metering | Escalation"/>
      <sheetName val="Metering | Capitalised OH"/>
      <sheetName val="Repex --&gt;"/>
      <sheetName val="BNI 1"/>
      <sheetName val="BNI 2"/>
      <sheetName val="BNI 3"/>
      <sheetName val="BNI 4"/>
      <sheetName val="BNI 5"/>
      <sheetName val="BNI 6"/>
      <sheetName val="BNI 7"/>
      <sheetName val="BNI 8"/>
      <sheetName val="BNI 9"/>
      <sheetName val="BNI 10"/>
      <sheetName val="BNI 11"/>
      <sheetName val="BNI 12"/>
      <sheetName val="BNI 13"/>
      <sheetName val="BNI 14"/>
      <sheetName val="BNI 15"/>
      <sheetName val="BNI 16"/>
      <sheetName val="BNI 17"/>
      <sheetName val="BNI 18"/>
      <sheetName val="BNI 19"/>
      <sheetName val="BNI 20"/>
      <sheetName val="BNI 21"/>
      <sheetName val="BNI 22"/>
      <sheetName val="BNI 23"/>
      <sheetName val="BNI 24"/>
      <sheetName val="BNI 25"/>
      <sheetName val="BNI 26"/>
      <sheetName val="BNI 27"/>
      <sheetName val="BNI 28"/>
      <sheetName val="BNI 29"/>
      <sheetName val="BNI 30"/>
      <sheetName val="BNI 31"/>
      <sheetName val="BNI 32"/>
      <sheetName val="BNI 33"/>
      <sheetName val="BNI 34"/>
      <sheetName val="BNI 35"/>
      <sheetName val="Augex --&gt;"/>
      <sheetName val="A-BNI 1"/>
      <sheetName val="A-BNI 2"/>
      <sheetName val="A-BNI 3"/>
      <sheetName val="A-BNI 4"/>
      <sheetName val="A-BNI 5"/>
      <sheetName val="A-BNI 6"/>
      <sheetName val="A-BNI 7"/>
      <sheetName val="A-BNI 8"/>
      <sheetName val="A-BNI 9"/>
      <sheetName val="A-BNI 10"/>
      <sheetName val="A-BNI 11"/>
      <sheetName val="A-BNI 12"/>
      <sheetName val="A-BNI 13"/>
      <sheetName val="A-BNI 14"/>
      <sheetName val="A-BNI 15"/>
      <sheetName val="ICT --&gt;"/>
      <sheetName val="I-BNI 1"/>
      <sheetName val="NonN --&gt;"/>
      <sheetName val="N-BNI 1"/>
      <sheetName val="N-BNI 2"/>
      <sheetName val="N-BNI 3"/>
      <sheetName val="N-BNI 4"/>
      <sheetName val="N-BNI 5"/>
      <sheetName val="N-BNI 6"/>
      <sheetName val="Checks"/>
    </sheetNames>
    <sheetDataSet>
      <sheetData sheetId="0"/>
      <sheetData sheetId="1"/>
      <sheetData sheetId="2"/>
      <sheetData sheetId="3">
        <row r="25">
          <cell r="T25">
            <v>3.9992049523044249</v>
          </cell>
          <cell r="U25">
            <v>11.411938598076912</v>
          </cell>
          <cell r="V25">
            <v>5.442303049939853</v>
          </cell>
          <cell r="W25">
            <v>5.7280242828709049</v>
          </cell>
          <cell r="X25">
            <v>6.7070316069298652</v>
          </cell>
          <cell r="Y25">
            <v>6.5508269108931581</v>
          </cell>
        </row>
        <row r="27">
          <cell r="T27">
            <v>11.627214356321003</v>
          </cell>
          <cell r="U27">
            <v>10.70352576895106</v>
          </cell>
          <cell r="V27">
            <v>11.036655812631722</v>
          </cell>
          <cell r="W27">
            <v>11.94474258669476</v>
          </cell>
          <cell r="X27">
            <v>10.880894824451632</v>
          </cell>
          <cell r="Y27">
            <v>10.966102623026453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X33"/>
  <sheetViews>
    <sheetView showGridLines="0" tabSelected="1" zoomScaleNormal="100" workbookViewId="0"/>
  </sheetViews>
  <sheetFormatPr defaultColWidth="9.33203125" defaultRowHeight="10.15" x14ac:dyDescent="0.3"/>
  <cols>
    <col min="1" max="1" width="9.33203125" style="9"/>
    <col min="2" max="3" width="5.83203125" style="9" customWidth="1"/>
    <col min="4" max="4" width="12.83203125" style="9" customWidth="1"/>
    <col min="5" max="5" width="9.33203125" style="9"/>
    <col min="6" max="13" width="10.83203125" style="9" customWidth="1"/>
    <col min="14" max="16384" width="9.33203125" style="9"/>
  </cols>
  <sheetData>
    <row r="1" spans="2:15" ht="11.25" customHeight="1" x14ac:dyDescent="0.3"/>
    <row r="2" spans="2:15" ht="11.25" customHeight="1" x14ac:dyDescent="0.3"/>
    <row r="3" spans="2:15" s="7" customFormat="1" ht="18.75" x14ac:dyDescent="0.3">
      <c r="B3" s="5" t="s">
        <v>136</v>
      </c>
    </row>
    <row r="4" spans="2:15" ht="11.25" customHeight="1" x14ac:dyDescent="0.3"/>
    <row r="5" spans="2:15" ht="11.25" customHeight="1" x14ac:dyDescent="0.3">
      <c r="N5" s="62"/>
      <c r="O5" s="62"/>
    </row>
    <row r="6" spans="2:15" ht="11.25" customHeight="1" x14ac:dyDescent="0.3">
      <c r="C6" s="52"/>
      <c r="D6" s="52"/>
      <c r="E6" s="52"/>
      <c r="F6" s="52"/>
      <c r="G6" s="52"/>
      <c r="N6" s="62"/>
      <c r="O6" s="62"/>
    </row>
    <row r="7" spans="2:15" ht="11.25" customHeight="1" x14ac:dyDescent="0.3">
      <c r="C7" s="52"/>
      <c r="D7" s="52"/>
      <c r="E7" s="52"/>
      <c r="F7" s="52"/>
      <c r="G7" s="52"/>
      <c r="N7" s="62"/>
      <c r="O7" s="62"/>
    </row>
    <row r="8" spans="2:15" ht="11.25" customHeight="1" x14ac:dyDescent="0.3">
      <c r="C8" s="52"/>
      <c r="D8" s="52"/>
      <c r="E8" s="52"/>
      <c r="F8" s="52"/>
      <c r="G8" s="52"/>
    </row>
    <row r="9" spans="2:15" x14ac:dyDescent="0.3">
      <c r="C9" s="52"/>
      <c r="D9" s="52"/>
      <c r="E9" s="52"/>
      <c r="F9" s="52"/>
      <c r="G9" s="52"/>
    </row>
    <row r="11" spans="2:15" ht="13.15" x14ac:dyDescent="0.3">
      <c r="C11" s="43" t="s">
        <v>27</v>
      </c>
      <c r="F11" s="73" t="s">
        <v>134</v>
      </c>
    </row>
    <row r="13" spans="2:15" ht="13.15" x14ac:dyDescent="0.3">
      <c r="C13" s="13" t="s">
        <v>28</v>
      </c>
    </row>
    <row r="14" spans="2:15" ht="12.75" x14ac:dyDescent="0.3">
      <c r="C14" s="14" t="s">
        <v>98</v>
      </c>
    </row>
    <row r="16" spans="2:15" ht="13.15" x14ac:dyDescent="0.3">
      <c r="C16" s="13" t="s">
        <v>35</v>
      </c>
    </row>
    <row r="18" spans="3:13" x14ac:dyDescent="0.3">
      <c r="C18" s="28"/>
      <c r="D18" s="29"/>
      <c r="E18" s="29"/>
      <c r="F18" s="29"/>
      <c r="G18" s="29"/>
      <c r="H18" s="29"/>
      <c r="I18" s="29"/>
      <c r="J18" s="29"/>
      <c r="K18" s="29"/>
      <c r="L18" s="29"/>
      <c r="M18" s="30"/>
    </row>
    <row r="19" spans="3:13" ht="12.75" x14ac:dyDescent="0.3">
      <c r="C19" s="31"/>
      <c r="D19" s="42" t="s">
        <v>14</v>
      </c>
      <c r="E19" s="32"/>
      <c r="F19" s="34" t="s">
        <v>24</v>
      </c>
      <c r="G19" s="32"/>
      <c r="H19" s="32"/>
      <c r="I19" s="32"/>
      <c r="J19" s="32"/>
      <c r="K19" s="32"/>
      <c r="L19" s="32"/>
      <c r="M19" s="33"/>
    </row>
    <row r="20" spans="3:13" ht="12.75" x14ac:dyDescent="0.3">
      <c r="C20" s="31"/>
      <c r="D20" s="50" t="s">
        <v>42</v>
      </c>
      <c r="E20" s="32"/>
      <c r="F20" s="34" t="s">
        <v>37</v>
      </c>
      <c r="G20" s="32"/>
      <c r="H20" s="32"/>
      <c r="I20" s="32"/>
      <c r="J20" s="32"/>
      <c r="K20" s="32"/>
      <c r="L20" s="32"/>
      <c r="M20" s="33"/>
    </row>
    <row r="21" spans="3:13" ht="13.15" x14ac:dyDescent="0.3">
      <c r="C21" s="31"/>
      <c r="D21" s="35" t="s">
        <v>19</v>
      </c>
      <c r="E21" s="32"/>
      <c r="F21" s="34" t="s">
        <v>21</v>
      </c>
      <c r="G21" s="32"/>
      <c r="H21" s="32"/>
      <c r="I21" s="32"/>
      <c r="J21" s="32"/>
      <c r="K21" s="32"/>
      <c r="L21" s="32"/>
      <c r="M21" s="33"/>
    </row>
    <row r="22" spans="3:13" ht="13.15" x14ac:dyDescent="0.3">
      <c r="C22" s="31"/>
      <c r="D22" s="36" t="s">
        <v>20</v>
      </c>
      <c r="E22" s="32"/>
      <c r="F22" s="34" t="s">
        <v>22</v>
      </c>
      <c r="G22" s="32"/>
      <c r="H22" s="32"/>
      <c r="I22" s="32"/>
      <c r="J22" s="32"/>
      <c r="K22" s="32"/>
      <c r="L22" s="32"/>
      <c r="M22" s="33"/>
    </row>
    <row r="23" spans="3:13" ht="12.75" x14ac:dyDescent="0.3">
      <c r="C23" s="31"/>
      <c r="D23" s="37" t="s">
        <v>5</v>
      </c>
      <c r="E23" s="32"/>
      <c r="F23" s="34" t="s">
        <v>25</v>
      </c>
      <c r="G23" s="32"/>
      <c r="H23" s="32"/>
      <c r="I23" s="32"/>
      <c r="J23" s="32"/>
      <c r="K23" s="32"/>
      <c r="L23" s="32"/>
      <c r="M23" s="33"/>
    </row>
    <row r="24" spans="3:13" ht="12.75" x14ac:dyDescent="0.3">
      <c r="C24" s="31"/>
      <c r="D24" s="38" t="s">
        <v>23</v>
      </c>
      <c r="E24" s="32"/>
      <c r="F24" s="34" t="s">
        <v>26</v>
      </c>
      <c r="G24" s="32"/>
      <c r="H24" s="32"/>
      <c r="I24" s="32"/>
      <c r="J24" s="32"/>
      <c r="K24" s="32"/>
      <c r="L24" s="32"/>
      <c r="M24" s="33"/>
    </row>
    <row r="25" spans="3:13" ht="12.75" x14ac:dyDescent="0.3">
      <c r="C25" s="31"/>
      <c r="D25" s="49"/>
      <c r="E25" s="32"/>
      <c r="F25" s="34" t="s">
        <v>36</v>
      </c>
      <c r="G25" s="32"/>
      <c r="H25" s="32"/>
      <c r="I25" s="32"/>
      <c r="J25" s="32"/>
      <c r="K25" s="32"/>
      <c r="L25" s="32"/>
      <c r="M25" s="33"/>
    </row>
    <row r="26" spans="3:13" ht="12.75" x14ac:dyDescent="0.3">
      <c r="C26" s="31"/>
      <c r="D26" s="48" t="s">
        <v>43</v>
      </c>
      <c r="E26" s="32"/>
      <c r="F26" s="34" t="s">
        <v>38</v>
      </c>
      <c r="G26" s="32"/>
      <c r="H26" s="32"/>
      <c r="I26" s="32"/>
      <c r="J26" s="32"/>
      <c r="K26" s="32"/>
      <c r="L26" s="32"/>
      <c r="M26" s="33"/>
    </row>
    <row r="27" spans="3:13" ht="13.15" x14ac:dyDescent="0.4">
      <c r="C27" s="31"/>
      <c r="D27" s="45" t="s">
        <v>7</v>
      </c>
      <c r="E27" s="32"/>
      <c r="F27" s="34" t="s">
        <v>39</v>
      </c>
      <c r="G27" s="32"/>
      <c r="H27" s="32"/>
      <c r="I27" s="32"/>
      <c r="J27" s="32"/>
      <c r="K27" s="32"/>
      <c r="L27" s="32"/>
      <c r="M27" s="33"/>
    </row>
    <row r="28" spans="3:13" ht="13.15" x14ac:dyDescent="0.4">
      <c r="C28" s="31"/>
      <c r="D28" s="45" t="s">
        <v>6</v>
      </c>
      <c r="E28" s="32"/>
      <c r="F28" s="34" t="s">
        <v>40</v>
      </c>
      <c r="G28" s="32"/>
      <c r="H28" s="32"/>
      <c r="I28" s="32"/>
      <c r="J28" s="32"/>
      <c r="K28" s="32"/>
      <c r="L28" s="32"/>
      <c r="M28" s="33"/>
    </row>
    <row r="29" spans="3:13" ht="12.75" x14ac:dyDescent="0.3">
      <c r="C29" s="31"/>
      <c r="D29" s="51"/>
      <c r="E29" s="32"/>
      <c r="F29" s="34" t="s">
        <v>41</v>
      </c>
      <c r="G29" s="32"/>
      <c r="H29" s="32"/>
      <c r="I29" s="32"/>
      <c r="J29" s="32"/>
      <c r="K29" s="32"/>
      <c r="L29" s="32"/>
      <c r="M29" s="33"/>
    </row>
    <row r="30" spans="3:13" x14ac:dyDescent="0.3">
      <c r="C30" s="39"/>
      <c r="D30" s="40"/>
      <c r="E30" s="40"/>
      <c r="F30" s="40"/>
      <c r="G30" s="40"/>
      <c r="H30" s="40"/>
      <c r="I30" s="40"/>
      <c r="J30" s="40"/>
      <c r="K30" s="40"/>
      <c r="L30" s="40"/>
      <c r="M30" s="41"/>
    </row>
    <row r="32" spans="3:13" ht="13.15" x14ac:dyDescent="0.3">
      <c r="C32" s="13" t="s">
        <v>91</v>
      </c>
      <c r="D32" s="46"/>
    </row>
    <row r="33" spans="3:24" ht="81" customHeight="1" x14ac:dyDescent="0.3">
      <c r="C33" s="145" t="s">
        <v>97</v>
      </c>
      <c r="D33" s="145"/>
      <c r="E33" s="145"/>
      <c r="F33" s="145"/>
      <c r="G33" s="145"/>
      <c r="H33" s="145"/>
      <c r="I33" s="145"/>
      <c r="J33" s="145"/>
      <c r="K33" s="145"/>
      <c r="L33" s="145"/>
      <c r="M33" s="145"/>
      <c r="N33" s="145"/>
      <c r="O33" s="145"/>
      <c r="P33" s="145"/>
      <c r="Q33" s="145"/>
      <c r="R33" s="145"/>
      <c r="S33" s="145"/>
      <c r="T33" s="145"/>
      <c r="U33" s="145"/>
      <c r="V33" s="145"/>
      <c r="W33" s="145"/>
      <c r="X33" s="145"/>
    </row>
  </sheetData>
  <mergeCells count="1">
    <mergeCell ref="C33:X33"/>
  </mergeCells>
  <conditionalFormatting sqref="D28">
    <cfRule type="cellIs" dxfId="11" priority="2" operator="equal">
      <formula>"Ok"</formula>
    </cfRule>
  </conditionalFormatting>
  <conditionalFormatting sqref="D27">
    <cfRule type="cellIs" dxfId="10" priority="1" operator="equal">
      <formula>"Ok"</formula>
    </cfRule>
  </conditionalFormatting>
  <pageMargins left="0.7" right="0.7" top="0.75" bottom="0.75" header="0.3" footer="0.3"/>
  <pageSetup paperSize="9" scale="7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O18"/>
  <sheetViews>
    <sheetView showGridLines="0" zoomScaleNormal="100" workbookViewId="0">
      <pane xSplit="1" ySplit="4" topLeftCell="B5" activePane="bottomRight" state="frozen"/>
      <selection activeCell="E32" sqref="E32"/>
      <selection pane="topRight" activeCell="E32" sqref="E32"/>
      <selection pane="bottomLeft" activeCell="E32" sqref="E32"/>
      <selection pane="bottomRight" activeCell="E32" sqref="E32"/>
    </sheetView>
  </sheetViews>
  <sheetFormatPr defaultColWidth="0" defaultRowHeight="10.15" x14ac:dyDescent="0.3"/>
  <cols>
    <col min="1" max="3" width="2.83203125" style="7" customWidth="1"/>
    <col min="4" max="4" width="43.83203125" style="7" customWidth="1"/>
    <col min="5" max="9" width="10.83203125" style="7" customWidth="1"/>
    <col min="10" max="15" width="10.83203125" style="7" hidden="1" customWidth="1"/>
    <col min="16" max="16384" width="9.33203125" style="7" hidden="1"/>
  </cols>
  <sheetData>
    <row r="1" spans="2:5" ht="18.75" x14ac:dyDescent="0.3">
      <c r="B1" s="5" t="s">
        <v>47</v>
      </c>
    </row>
    <row r="2" spans="2:5" x14ac:dyDescent="0.3">
      <c r="B2" s="16" t="str">
        <f>Title_Msg</f>
        <v>No Errors Found</v>
      </c>
    </row>
    <row r="3" spans="2:5" ht="12.75" x14ac:dyDescent="0.3">
      <c r="B3" s="53" t="s">
        <v>49</v>
      </c>
      <c r="C3" s="53"/>
      <c r="D3" s="53"/>
      <c r="E3" s="14"/>
    </row>
    <row r="4" spans="2:5" ht="13.15" x14ac:dyDescent="0.3">
      <c r="B4" s="44" t="str">
        <f>Model_Name</f>
        <v>Forecast Line Length Calculation</v>
      </c>
    </row>
    <row r="6" spans="2:5" s="4" customFormat="1" ht="15" x14ac:dyDescent="0.3">
      <c r="B6" s="4" t="str">
        <f>B1</f>
        <v>Table of Contents</v>
      </c>
    </row>
    <row r="7" spans="2:5" s="6" customFormat="1" ht="4.5" customHeight="1" x14ac:dyDescent="0.3"/>
    <row r="8" spans="2:5" s="12" customFormat="1" ht="13.9" x14ac:dyDescent="0.3">
      <c r="C8" s="12" t="s">
        <v>96</v>
      </c>
    </row>
    <row r="9" spans="2:5" s="6" customFormat="1" ht="4.5" customHeight="1" x14ac:dyDescent="0.3"/>
    <row r="10" spans="2:5" s="6" customFormat="1" ht="11.25" customHeight="1" x14ac:dyDescent="0.3">
      <c r="D10" s="53" t="str">
        <f>Inputs!$B$1</f>
        <v>Inputs - Line length assumptions</v>
      </c>
    </row>
    <row r="11" spans="2:5" s="6" customFormat="1" ht="11.25" customHeight="1" x14ac:dyDescent="0.3">
      <c r="D11" s="53" t="str">
        <f>Calc!B1</f>
        <v>Calculations - Line length forecast</v>
      </c>
    </row>
    <row r="12" spans="2:5" s="6" customFormat="1" ht="4.5" customHeight="1" x14ac:dyDescent="0.3"/>
    <row r="13" spans="2:5" s="12" customFormat="1" ht="13.9" x14ac:dyDescent="0.3">
      <c r="C13" s="12" t="s">
        <v>48</v>
      </c>
    </row>
    <row r="14" spans="2:5" s="6" customFormat="1" ht="4.5" customHeight="1" x14ac:dyDescent="0.3"/>
    <row r="15" spans="2:5" x14ac:dyDescent="0.3">
      <c r="D15" s="53" t="str">
        <f>Lookup!B1</f>
        <v>Model Lookups</v>
      </c>
    </row>
    <row r="16" spans="2:5" x14ac:dyDescent="0.3">
      <c r="D16" s="53" t="str">
        <f>Checks!B1</f>
        <v>Model Checks</v>
      </c>
    </row>
    <row r="17" spans="2:2" s="6" customFormat="1" ht="4.5" customHeight="1" x14ac:dyDescent="0.3"/>
    <row r="18" spans="2:2" s="4" customFormat="1" ht="15" x14ac:dyDescent="0.3">
      <c r="B18" s="4" t="s">
        <v>31</v>
      </c>
    </row>
  </sheetData>
  <conditionalFormatting sqref="B2">
    <cfRule type="cellIs" dxfId="9" priority="1" operator="notEqual">
      <formula>"No Errors Found"</formula>
    </cfRule>
  </conditionalFormatting>
  <hyperlinks>
    <hyperlink ref="D15" location="Lookup!A1" display="Lookup!A1" xr:uid="{00000000-0004-0000-0100-000000000000}"/>
    <hyperlink ref="D16" location="Checks!A1" display="Checks!A1" xr:uid="{00000000-0004-0000-0100-000001000000}"/>
    <hyperlink ref="B3:D3" location="Cover!A1" display="Go to Cover Sheet" xr:uid="{00000000-0004-0000-0100-000002000000}"/>
    <hyperlink ref="C8" location="SC_General!A1" display="SC_General!A1" xr:uid="{00000000-0004-0000-0100-000004000000}"/>
    <hyperlink ref="D10" location="Input_IT!A1" display="Input_IT!A1" xr:uid="{A53D3DA1-0FCE-4B5E-8023-BAF130A70B56}"/>
    <hyperlink ref="D11" location="Calc!A1" display="Calc!A1" xr:uid="{59B284B0-7B86-4E8F-A47E-FE47088B1A9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28BB6-D52D-4472-BFB2-1357500039A4}">
  <sheetPr>
    <tabColor theme="4" tint="0.59999389629810485"/>
  </sheetPr>
  <dimension ref="A1:Y36"/>
  <sheetViews>
    <sheetView showGridLines="0" zoomScaleNormal="100" workbookViewId="0">
      <pane xSplit="1" ySplit="4" topLeftCell="B5" activePane="bottomRight" state="frozen"/>
      <selection activeCell="E32" sqref="E32"/>
      <selection pane="topRight" activeCell="E32" sqref="E32"/>
      <selection pane="bottomLeft" activeCell="E32" sqref="E32"/>
      <selection pane="bottomRight" activeCell="E32" sqref="E32"/>
    </sheetView>
  </sheetViews>
  <sheetFormatPr defaultColWidth="9.33203125" defaultRowHeight="10.15" x14ac:dyDescent="0.3"/>
  <cols>
    <col min="1" max="3" width="2.83203125" style="64" customWidth="1"/>
    <col min="4" max="4" width="30.6640625" style="64" customWidth="1"/>
    <col min="5" max="5" width="22.9140625" style="64" bestFit="1" customWidth="1"/>
    <col min="6" max="6" width="9.1640625" style="64" bestFit="1" customWidth="1"/>
    <col min="7" max="7" width="11.83203125" style="64" bestFit="1" customWidth="1"/>
    <col min="8" max="8" width="8.9140625" style="64" bestFit="1" customWidth="1"/>
    <col min="9" max="9" width="3.58203125" style="64" customWidth="1"/>
    <col min="10" max="25" width="15.58203125" style="64" customWidth="1"/>
    <col min="26" max="16384" width="9.33203125" style="64"/>
  </cols>
  <sheetData>
    <row r="1" spans="1:25" ht="18.75" x14ac:dyDescent="0.3">
      <c r="A1" s="60">
        <f>IF(SUM($A6:$A103)&gt;0,1,0)</f>
        <v>0</v>
      </c>
      <c r="B1" s="63" t="s">
        <v>120</v>
      </c>
    </row>
    <row r="2" spans="1:25" x14ac:dyDescent="0.3">
      <c r="B2" s="65" t="str">
        <f>Title_Msg</f>
        <v>No Errors Found</v>
      </c>
    </row>
    <row r="3" spans="1:25" ht="12.75" x14ac:dyDescent="0.3">
      <c r="B3" s="66" t="s">
        <v>49</v>
      </c>
      <c r="C3" s="66"/>
      <c r="D3" s="66"/>
      <c r="E3" s="67"/>
    </row>
    <row r="4" spans="1:25" ht="13.15" x14ac:dyDescent="0.3">
      <c r="B4" s="68" t="str">
        <f>Model_Name</f>
        <v>Forecast Line Length Calculation</v>
      </c>
      <c r="E4" s="57"/>
      <c r="F4" s="57"/>
      <c r="G4" s="57"/>
      <c r="H4" s="57"/>
      <c r="J4" s="57"/>
      <c r="K4" s="57"/>
      <c r="L4" s="57"/>
      <c r="M4" s="57"/>
      <c r="N4" s="57"/>
      <c r="O4" s="57"/>
      <c r="P4" s="57"/>
    </row>
    <row r="6" spans="1:25" s="69" customFormat="1" ht="15" x14ac:dyDescent="0.3">
      <c r="B6" s="69" t="str">
        <f>B1</f>
        <v>Inputs - Line length assumptions</v>
      </c>
    </row>
    <row r="7" spans="1:25" s="70" customFormat="1" ht="4.5" customHeight="1" x14ac:dyDescent="0.3"/>
    <row r="8" spans="1:25" s="71" customFormat="1" ht="13.9" x14ac:dyDescent="0.3">
      <c r="C8" s="71" t="s">
        <v>99</v>
      </c>
    </row>
    <row r="10" spans="1:25" ht="13.15" x14ac:dyDescent="0.3">
      <c r="D10" s="72" t="s">
        <v>106</v>
      </c>
      <c r="E10" s="57" t="s">
        <v>62</v>
      </c>
      <c r="F10" s="57" t="s">
        <v>63</v>
      </c>
      <c r="G10" s="57" t="s">
        <v>64</v>
      </c>
      <c r="H10" s="57" t="s">
        <v>65</v>
      </c>
      <c r="I10" s="72"/>
      <c r="J10" s="74" t="s">
        <v>128</v>
      </c>
      <c r="K10" s="36" t="s">
        <v>125</v>
      </c>
      <c r="L10" s="36" t="s">
        <v>127</v>
      </c>
      <c r="M10" s="36" t="s">
        <v>126</v>
      </c>
      <c r="N10" s="36" t="s">
        <v>124</v>
      </c>
      <c r="O10" s="36" t="s">
        <v>123</v>
      </c>
      <c r="P10" s="36" t="s">
        <v>102</v>
      </c>
      <c r="Q10" s="36" t="s">
        <v>103</v>
      </c>
      <c r="R10" s="36" t="s">
        <v>104</v>
      </c>
      <c r="S10" s="138" t="str">
        <f>Lookup!J$20</f>
        <v>RY18</v>
      </c>
      <c r="T10" s="36" t="str">
        <f>Lookup!K$20</f>
        <v>RY19</v>
      </c>
      <c r="U10" s="36" t="str">
        <f>Lookup!L$20</f>
        <v>RY20</v>
      </c>
      <c r="V10" s="36" t="str">
        <f>Lookup!M$20</f>
        <v>RY21</v>
      </c>
      <c r="W10" s="36" t="str">
        <f>Lookup!N$20</f>
        <v>RY22</v>
      </c>
      <c r="X10" s="36" t="str">
        <f>Lookup!O$20</f>
        <v>RY23</v>
      </c>
      <c r="Y10" s="75" t="str">
        <f>Lookup!P$20</f>
        <v>RY24</v>
      </c>
    </row>
    <row r="11" spans="1:25" x14ac:dyDescent="0.3">
      <c r="J11" s="76"/>
      <c r="K11" s="77"/>
      <c r="L11" s="77"/>
      <c r="M11" s="77"/>
      <c r="N11" s="77"/>
      <c r="O11" s="77"/>
      <c r="P11" s="77"/>
      <c r="Q11" s="77"/>
      <c r="R11" s="77"/>
      <c r="S11" s="139"/>
      <c r="T11" s="77"/>
      <c r="U11" s="77"/>
      <c r="V11" s="77"/>
      <c r="W11" s="77"/>
      <c r="X11" s="77"/>
      <c r="Y11" s="78"/>
    </row>
    <row r="12" spans="1:25" ht="12.75" x14ac:dyDescent="0.3">
      <c r="D12" s="11" t="s">
        <v>117</v>
      </c>
      <c r="E12" s="142" t="s">
        <v>116</v>
      </c>
      <c r="F12" s="58" t="str">
        <f>Millions</f>
        <v>$Millions</v>
      </c>
      <c r="G12" s="58" t="str">
        <f>Nominal</f>
        <v>Nominal</v>
      </c>
      <c r="H12" s="58" t="str">
        <f>Mid_year</f>
        <v>Mid year</v>
      </c>
      <c r="J12" s="79">
        <v>31.757977439282982</v>
      </c>
      <c r="K12" s="80">
        <v>57.479194001331919</v>
      </c>
      <c r="L12" s="80">
        <v>52.524992477064607</v>
      </c>
      <c r="M12" s="80">
        <v>31.745955883084861</v>
      </c>
      <c r="N12" s="80">
        <v>62.089144155765531</v>
      </c>
      <c r="O12" s="80">
        <v>29.658235541408729</v>
      </c>
      <c r="P12" s="80">
        <v>23.668510701580434</v>
      </c>
      <c r="Q12" s="80">
        <v>17.562837162606233</v>
      </c>
      <c r="R12" s="134">
        <v>12.834467993108163</v>
      </c>
      <c r="S12" s="140">
        <v>17.626042000000002</v>
      </c>
      <c r="T12" s="136"/>
      <c r="U12" s="85"/>
      <c r="V12" s="85"/>
      <c r="W12" s="85"/>
      <c r="X12" s="85"/>
      <c r="Y12" s="86"/>
    </row>
    <row r="13" spans="1:25" ht="12.75" x14ac:dyDescent="0.3">
      <c r="D13" s="11" t="s">
        <v>117</v>
      </c>
      <c r="E13" s="58" t="s">
        <v>137</v>
      </c>
      <c r="F13" s="58" t="str">
        <f>Millions</f>
        <v>$Millions</v>
      </c>
      <c r="G13" s="58" t="str">
        <f>Real2019</f>
        <v>Real $2019</v>
      </c>
      <c r="H13" s="58" t="str">
        <f>End_year</f>
        <v>End year</v>
      </c>
      <c r="J13" s="127">
        <f t="shared" ref="J13:S13" si="0">J12*J$34</f>
        <v>45.183993491853613</v>
      </c>
      <c r="K13" s="128">
        <f t="shared" si="0"/>
        <v>79.97733463785039</v>
      </c>
      <c r="L13" s="128">
        <f t="shared" si="0"/>
        <v>66.284425890346455</v>
      </c>
      <c r="M13" s="128">
        <f t="shared" si="0"/>
        <v>36.664378795791812</v>
      </c>
      <c r="N13" s="128">
        <f t="shared" si="0"/>
        <v>70.441869755480184</v>
      </c>
      <c r="O13" s="128">
        <f t="shared" si="0"/>
        <v>32.762677572716235</v>
      </c>
      <c r="P13" s="128">
        <f t="shared" si="0"/>
        <v>25.56803397077039</v>
      </c>
      <c r="Q13" s="128">
        <f t="shared" si="0"/>
        <v>18.735019315974785</v>
      </c>
      <c r="R13" s="135">
        <f t="shared" si="0"/>
        <v>13.491733791522872</v>
      </c>
      <c r="S13" s="141">
        <f t="shared" si="0"/>
        <v>18.1643718404578</v>
      </c>
      <c r="T13" s="137">
        <f>'[2]Total by category'!T25</f>
        <v>3.9992049523044249</v>
      </c>
      <c r="U13" s="80">
        <f>'[2]Total by category'!U25</f>
        <v>11.411938598076912</v>
      </c>
      <c r="V13" s="80">
        <f>'[2]Total by category'!V25</f>
        <v>5.442303049939853</v>
      </c>
      <c r="W13" s="80">
        <f>'[2]Total by category'!W25</f>
        <v>5.7280242828709049</v>
      </c>
      <c r="X13" s="80">
        <f>'[2]Total by category'!X25</f>
        <v>6.7070316069298652</v>
      </c>
      <c r="Y13" s="81">
        <f>'[2]Total by category'!Y25</f>
        <v>6.5508269108931581</v>
      </c>
    </row>
    <row r="15" spans="1:25" s="71" customFormat="1" ht="13.9" x14ac:dyDescent="0.3">
      <c r="C15" s="71" t="s">
        <v>100</v>
      </c>
    </row>
    <row r="17" spans="3:25" ht="13.15" x14ac:dyDescent="0.3">
      <c r="D17" s="72" t="s">
        <v>106</v>
      </c>
      <c r="E17" s="57" t="s">
        <v>62</v>
      </c>
      <c r="F17" s="57" t="s">
        <v>63</v>
      </c>
      <c r="G17" s="57" t="s">
        <v>64</v>
      </c>
      <c r="H17" s="57" t="s">
        <v>65</v>
      </c>
      <c r="I17" s="72"/>
      <c r="J17" s="74" t="str">
        <f t="shared" ref="J17:Q17" si="1">J$10</f>
        <v>RY09</v>
      </c>
      <c r="K17" s="36" t="str">
        <f t="shared" si="1"/>
        <v>RY10</v>
      </c>
      <c r="L17" s="36" t="str">
        <f t="shared" si="1"/>
        <v>RY11</v>
      </c>
      <c r="M17" s="36" t="str">
        <f t="shared" si="1"/>
        <v>RY12</v>
      </c>
      <c r="N17" s="36" t="str">
        <f t="shared" si="1"/>
        <v>RY13</v>
      </c>
      <c r="O17" s="36" t="str">
        <f t="shared" si="1"/>
        <v>RY14</v>
      </c>
      <c r="P17" s="36" t="str">
        <f t="shared" si="1"/>
        <v>RY15</v>
      </c>
      <c r="Q17" s="36" t="str">
        <f t="shared" si="1"/>
        <v>RY16</v>
      </c>
      <c r="R17" s="36" t="str">
        <f>R$10</f>
        <v>RY17</v>
      </c>
      <c r="S17" s="138" t="str">
        <f>Lookup!J$20</f>
        <v>RY18</v>
      </c>
      <c r="T17" s="74" t="str">
        <f>Lookup!K$20</f>
        <v>RY19</v>
      </c>
      <c r="U17" s="36" t="str">
        <f>Lookup!L$20</f>
        <v>RY20</v>
      </c>
      <c r="V17" s="36" t="str">
        <f>Lookup!M$20</f>
        <v>RY21</v>
      </c>
      <c r="W17" s="36" t="str">
        <f>Lookup!N$20</f>
        <v>RY22</v>
      </c>
      <c r="X17" s="36" t="str">
        <f>Lookup!O$20</f>
        <v>RY23</v>
      </c>
      <c r="Y17" s="75" t="str">
        <f>Lookup!P$20</f>
        <v>RY24</v>
      </c>
    </row>
    <row r="18" spans="3:25" x14ac:dyDescent="0.3">
      <c r="J18" s="76"/>
      <c r="K18" s="77"/>
      <c r="L18" s="77"/>
      <c r="M18" s="77"/>
      <c r="N18" s="77"/>
      <c r="O18" s="77"/>
      <c r="P18" s="77"/>
      <c r="Q18" s="77"/>
      <c r="R18" s="77"/>
      <c r="S18" s="139"/>
      <c r="T18" s="76"/>
      <c r="U18" s="77"/>
      <c r="V18" s="77"/>
      <c r="W18" s="77"/>
      <c r="X18" s="77"/>
      <c r="Y18" s="78"/>
    </row>
    <row r="19" spans="3:25" ht="12.75" x14ac:dyDescent="0.3">
      <c r="D19" s="11" t="s">
        <v>118</v>
      </c>
      <c r="E19" s="142" t="s">
        <v>116</v>
      </c>
      <c r="F19" s="58" t="str">
        <f>Millions</f>
        <v>$Millions</v>
      </c>
      <c r="G19" s="58" t="str">
        <f>Nominal</f>
        <v>Nominal</v>
      </c>
      <c r="H19" s="58" t="str">
        <f>Mid_year</f>
        <v>Mid year</v>
      </c>
      <c r="J19" s="79">
        <v>9.706738640864927</v>
      </c>
      <c r="K19" s="80">
        <v>6.4508044190668734</v>
      </c>
      <c r="L19" s="80">
        <v>6.1281130000000026</v>
      </c>
      <c r="M19" s="80">
        <v>5.5469329620853038</v>
      </c>
      <c r="N19" s="80">
        <v>6.4646123981042676</v>
      </c>
      <c r="O19" s="80">
        <v>8.9884622197314368</v>
      </c>
      <c r="P19" s="80">
        <v>7.9383555730173763</v>
      </c>
      <c r="Q19" s="80">
        <v>5.9930295320853135</v>
      </c>
      <c r="R19" s="134">
        <v>3.3126484609636648</v>
      </c>
      <c r="S19" s="140">
        <v>2.6229089999999999</v>
      </c>
      <c r="T19" s="84"/>
      <c r="U19" s="85"/>
      <c r="V19" s="85"/>
      <c r="W19" s="85"/>
      <c r="X19" s="85"/>
      <c r="Y19" s="86"/>
    </row>
    <row r="20" spans="3:25" ht="12.75" x14ac:dyDescent="0.3">
      <c r="D20" s="11" t="s">
        <v>118</v>
      </c>
      <c r="E20" s="58" t="s">
        <v>137</v>
      </c>
      <c r="F20" s="58" t="str">
        <f>Millions</f>
        <v>$Millions</v>
      </c>
      <c r="G20" s="58" t="str">
        <f>Real2019</f>
        <v>Real $2019</v>
      </c>
      <c r="H20" s="58" t="str">
        <f>End_year</f>
        <v>End year</v>
      </c>
      <c r="J20" s="127">
        <f t="shared" ref="J20:S20" si="2">J19*J$34</f>
        <v>13.810363598075126</v>
      </c>
      <c r="K20" s="128">
        <f t="shared" si="2"/>
        <v>8.9757372675594667</v>
      </c>
      <c r="L20" s="128">
        <f t="shared" si="2"/>
        <v>7.7334318928943802</v>
      </c>
      <c r="M20" s="128">
        <f t="shared" si="2"/>
        <v>6.4063231242982646</v>
      </c>
      <c r="N20" s="128">
        <f t="shared" si="2"/>
        <v>7.334283484798803</v>
      </c>
      <c r="O20" s="128">
        <f t="shared" si="2"/>
        <v>9.9293192667662851</v>
      </c>
      <c r="P20" s="128">
        <f t="shared" si="2"/>
        <v>8.5754506281381619</v>
      </c>
      <c r="Q20" s="128">
        <f t="shared" si="2"/>
        <v>6.3930174268132882</v>
      </c>
      <c r="R20" s="135">
        <f t="shared" si="2"/>
        <v>3.4822924646521467</v>
      </c>
      <c r="S20" s="141">
        <f t="shared" si="2"/>
        <v>2.7030171821718865</v>
      </c>
      <c r="T20" s="79">
        <f>'[2]Total by category'!T27</f>
        <v>11.627214356321003</v>
      </c>
      <c r="U20" s="80">
        <f>'[2]Total by category'!U27</f>
        <v>10.70352576895106</v>
      </c>
      <c r="V20" s="80">
        <f>'[2]Total by category'!V27</f>
        <v>11.036655812631722</v>
      </c>
      <c r="W20" s="80">
        <f>'[2]Total by category'!W27</f>
        <v>11.94474258669476</v>
      </c>
      <c r="X20" s="80">
        <f>'[2]Total by category'!X27</f>
        <v>10.880894824451632</v>
      </c>
      <c r="Y20" s="81">
        <f>'[2]Total by category'!Y27</f>
        <v>10.966102623026453</v>
      </c>
    </row>
    <row r="22" spans="3:25" s="71" customFormat="1" ht="13.9" x14ac:dyDescent="0.3">
      <c r="C22" s="71" t="s">
        <v>101</v>
      </c>
    </row>
    <row r="24" spans="3:25" ht="13.15" x14ac:dyDescent="0.3">
      <c r="D24" s="72" t="s">
        <v>106</v>
      </c>
      <c r="E24" s="57" t="s">
        <v>62</v>
      </c>
      <c r="F24" s="57" t="s">
        <v>63</v>
      </c>
      <c r="G24" s="57" t="s">
        <v>64</v>
      </c>
      <c r="H24" s="57" t="s">
        <v>65</v>
      </c>
      <c r="I24" s="72"/>
      <c r="J24" s="74" t="str">
        <f t="shared" ref="J24:Q24" si="3">J$10</f>
        <v>RY09</v>
      </c>
      <c r="K24" s="36" t="str">
        <f t="shared" si="3"/>
        <v>RY10</v>
      </c>
      <c r="L24" s="36" t="str">
        <f t="shared" si="3"/>
        <v>RY11</v>
      </c>
      <c r="M24" s="36" t="str">
        <f t="shared" si="3"/>
        <v>RY12</v>
      </c>
      <c r="N24" s="36" t="str">
        <f t="shared" si="3"/>
        <v>RY13</v>
      </c>
      <c r="O24" s="36" t="str">
        <f t="shared" si="3"/>
        <v>RY14</v>
      </c>
      <c r="P24" s="36" t="str">
        <f t="shared" si="3"/>
        <v>RY15</v>
      </c>
      <c r="Q24" s="36" t="str">
        <f t="shared" si="3"/>
        <v>RY16</v>
      </c>
      <c r="R24" s="36" t="str">
        <f>R$10</f>
        <v>RY17</v>
      </c>
      <c r="S24" s="138" t="str">
        <f>Lookup!J$20</f>
        <v>RY18</v>
      </c>
      <c r="T24" s="36" t="str">
        <f>Lookup!K$20</f>
        <v>RY19</v>
      </c>
      <c r="U24" s="36" t="str">
        <f>Lookup!L$20</f>
        <v>RY20</v>
      </c>
      <c r="V24" s="36" t="str">
        <f>Lookup!M$20</f>
        <v>RY21</v>
      </c>
      <c r="W24" s="36" t="str">
        <f>Lookup!N$20</f>
        <v>RY22</v>
      </c>
      <c r="X24" s="36" t="str">
        <f>Lookup!O$20</f>
        <v>RY23</v>
      </c>
      <c r="Y24" s="75" t="str">
        <f>Lookup!P$20</f>
        <v>RY24</v>
      </c>
    </row>
    <row r="25" spans="3:25" x14ac:dyDescent="0.3">
      <c r="J25" s="76"/>
      <c r="K25" s="77"/>
      <c r="L25" s="77"/>
      <c r="M25" s="77"/>
      <c r="N25" s="77"/>
      <c r="O25" s="77"/>
      <c r="P25" s="77"/>
      <c r="Q25" s="77"/>
      <c r="R25" s="77"/>
      <c r="S25" s="139"/>
      <c r="T25" s="77"/>
      <c r="U25" s="77"/>
      <c r="V25" s="77"/>
      <c r="W25" s="77"/>
      <c r="X25" s="77"/>
      <c r="Y25" s="78"/>
    </row>
    <row r="26" spans="3:25" ht="12.75" x14ac:dyDescent="0.3">
      <c r="D26" s="11" t="s">
        <v>101</v>
      </c>
      <c r="E26" s="142" t="s">
        <v>141</v>
      </c>
      <c r="F26" s="58" t="s">
        <v>89</v>
      </c>
      <c r="G26" s="58" t="str">
        <f>NA</f>
        <v>N/A</v>
      </c>
      <c r="H26" s="58" t="str">
        <f>NA</f>
        <v>N/A</v>
      </c>
      <c r="J26" s="82">
        <v>6186.262751609097</v>
      </c>
      <c r="K26" s="83">
        <v>6308.3389161965952</v>
      </c>
      <c r="L26" s="83">
        <v>6459.972669515877</v>
      </c>
      <c r="M26" s="83">
        <v>6521.8216065389906</v>
      </c>
      <c r="N26" s="83">
        <v>6601.2018262221291</v>
      </c>
      <c r="O26" s="83">
        <v>6663.7507806682315</v>
      </c>
      <c r="P26" s="83">
        <v>6845.0452486310824</v>
      </c>
      <c r="Q26" s="83">
        <v>6944.8262185339427</v>
      </c>
      <c r="R26" s="143">
        <v>7014.7993669631696</v>
      </c>
      <c r="S26" s="144">
        <v>7049</v>
      </c>
      <c r="T26" s="136"/>
      <c r="U26" s="85"/>
      <c r="V26" s="85"/>
      <c r="W26" s="85"/>
      <c r="X26" s="85"/>
      <c r="Y26" s="86"/>
    </row>
    <row r="28" spans="3:25" s="71" customFormat="1" ht="13.9" x14ac:dyDescent="0.3">
      <c r="C28" s="71" t="s">
        <v>119</v>
      </c>
    </row>
    <row r="30" spans="3:25" ht="13.15" x14ac:dyDescent="0.3">
      <c r="D30" s="72" t="s">
        <v>106</v>
      </c>
      <c r="E30" s="57" t="s">
        <v>62</v>
      </c>
      <c r="F30" s="57" t="s">
        <v>63</v>
      </c>
      <c r="G30" s="57" t="s">
        <v>64</v>
      </c>
      <c r="H30" s="57" t="s">
        <v>65</v>
      </c>
      <c r="J30" s="74" t="str">
        <f t="shared" ref="J30:Q30" si="4">J$10</f>
        <v>RY09</v>
      </c>
      <c r="K30" s="36" t="str">
        <f t="shared" si="4"/>
        <v>RY10</v>
      </c>
      <c r="L30" s="36" t="str">
        <f t="shared" si="4"/>
        <v>RY11</v>
      </c>
      <c r="M30" s="36" t="str">
        <f t="shared" si="4"/>
        <v>RY12</v>
      </c>
      <c r="N30" s="36" t="str">
        <f t="shared" si="4"/>
        <v>RY13</v>
      </c>
      <c r="O30" s="36" t="str">
        <f t="shared" si="4"/>
        <v>RY14</v>
      </c>
      <c r="P30" s="36" t="str">
        <f t="shared" si="4"/>
        <v>RY15</v>
      </c>
      <c r="Q30" s="36" t="str">
        <f t="shared" si="4"/>
        <v>RY16</v>
      </c>
      <c r="R30" s="36" t="str">
        <f>R$10</f>
        <v>RY17</v>
      </c>
      <c r="S30" s="36" t="str">
        <f>Lookup!J$20</f>
        <v>RY18</v>
      </c>
      <c r="T30" s="75" t="str">
        <f>Lookup!K$20</f>
        <v>RY19</v>
      </c>
      <c r="U30" s="74" t="str">
        <f>Lookup!L$20</f>
        <v>RY20</v>
      </c>
      <c r="V30" s="36" t="str">
        <f>Lookup!M$20</f>
        <v>RY21</v>
      </c>
      <c r="W30" s="36" t="str">
        <f>Lookup!N$20</f>
        <v>RY22</v>
      </c>
      <c r="X30" s="36" t="str">
        <f>Lookup!O$20</f>
        <v>RY23</v>
      </c>
      <c r="Y30" s="75" t="str">
        <f>Lookup!P$20</f>
        <v>RY24</v>
      </c>
    </row>
    <row r="31" spans="3:25" x14ac:dyDescent="0.3">
      <c r="J31" s="76"/>
      <c r="K31" s="77"/>
      <c r="L31" s="77"/>
      <c r="M31" s="77"/>
      <c r="N31" s="77"/>
      <c r="O31" s="77"/>
      <c r="P31" s="77"/>
      <c r="Q31" s="77"/>
      <c r="R31" s="77"/>
      <c r="S31" s="77"/>
      <c r="T31" s="78"/>
      <c r="U31" s="76"/>
      <c r="V31" s="77"/>
      <c r="W31" s="77"/>
      <c r="X31" s="77"/>
      <c r="Y31" s="78"/>
    </row>
    <row r="32" spans="3:25" ht="12.75" x14ac:dyDescent="0.3">
      <c r="D32" s="11" t="s">
        <v>131</v>
      </c>
      <c r="E32" s="58" t="s">
        <v>132</v>
      </c>
      <c r="F32" s="58" t="s">
        <v>133</v>
      </c>
      <c r="G32" s="58" t="s">
        <v>67</v>
      </c>
      <c r="H32" s="58" t="str">
        <f>End_year</f>
        <v>End year</v>
      </c>
      <c r="J32" s="130">
        <f>'[1]Input|Inflation'!$D$18/'[1]Input|Inflation'!$D$14-1</f>
        <v>1.4580801944106936E-2</v>
      </c>
      <c r="K32" s="131">
        <f>'[1]Input|Inflation'!$D$22/'[1]Input|Inflation'!$D$18-1</f>
        <v>3.0538922155688653E-2</v>
      </c>
      <c r="L32" s="131">
        <f>'[1]Input|Inflation'!$E$26/'[1]Input|Inflation'!$E$22-1</f>
        <v>0.17966070797871958</v>
      </c>
      <c r="M32" s="131">
        <f>'[1]Input|Inflation'!$F$30/'[1]Input|Inflation'!$F$26-1</f>
        <v>1.2096774193548487E-2</v>
      </c>
      <c r="N32" s="131">
        <f>'[1]Input|Inflation'!$F$34/'[1]Input|Inflation'!$F$30-1</f>
        <v>2.3904382470119501E-2</v>
      </c>
      <c r="O32" s="131">
        <f>'[1]Input|Inflation'!$F$38/'[1]Input|Inflation'!$F$34-1</f>
        <v>3.0155642023346418E-2</v>
      </c>
      <c r="P32" s="131">
        <f>'[1]Input|Inflation'!$F$42/'[1]Input|Inflation'!$F$38-1</f>
        <v>1.5108593012275628E-2</v>
      </c>
      <c r="Q32" s="131">
        <f>'[1]Input|Inflation'!$F$46/'[1]Input|Inflation'!$F$42-1</f>
        <v>1.0232558139534831E-2</v>
      </c>
      <c r="R32" s="132">
        <f>'[1]Input|Inflation'!$F$50/'[1]Input|Inflation'!$F$46-1</f>
        <v>1.9337016574585641E-2</v>
      </c>
      <c r="S32" s="131">
        <f>'[1]Input|Inflation'!$F$54/'[1]Input|Inflation'!$F$50-1</f>
        <v>2.0776874435411097E-2</v>
      </c>
      <c r="T32" s="132">
        <f>'[1]Input|Inflation'!$F$58/'[1]Input|Inflation'!$F$54-1</f>
        <v>2.0000000000000018E-2</v>
      </c>
      <c r="U32" s="84"/>
      <c r="V32" s="85"/>
      <c r="W32" s="85"/>
      <c r="X32" s="85"/>
      <c r="Y32" s="86"/>
    </row>
    <row r="33" spans="2:25" ht="12.75" x14ac:dyDescent="0.3">
      <c r="D33" s="11" t="s">
        <v>135</v>
      </c>
      <c r="E33" s="58" t="s">
        <v>134</v>
      </c>
      <c r="F33" s="58" t="str">
        <f>Factor</f>
        <v>Factor</v>
      </c>
      <c r="G33" s="58" t="str">
        <f>NA</f>
        <v>N/A</v>
      </c>
      <c r="H33" s="58" t="str">
        <f>NA</f>
        <v>N/A</v>
      </c>
      <c r="J33" s="129">
        <v>0.5</v>
      </c>
      <c r="K33" s="84"/>
      <c r="L33" s="85"/>
      <c r="M33" s="85"/>
      <c r="N33" s="85"/>
      <c r="O33" s="85"/>
      <c r="P33" s="85"/>
      <c r="Q33" s="85"/>
      <c r="R33" s="85"/>
      <c r="S33" s="85"/>
      <c r="T33" s="85"/>
      <c r="U33" s="85"/>
      <c r="V33" s="85"/>
      <c r="W33" s="85"/>
      <c r="X33" s="85"/>
      <c r="Y33" s="86"/>
    </row>
    <row r="34" spans="2:25" ht="12.75" x14ac:dyDescent="0.3">
      <c r="D34" s="11" t="s">
        <v>129</v>
      </c>
      <c r="E34" s="58" t="s">
        <v>130</v>
      </c>
      <c r="F34" s="58" t="str">
        <f>Factor</f>
        <v>Factor</v>
      </c>
      <c r="G34" s="58" t="str">
        <f>NA</f>
        <v>N/A</v>
      </c>
      <c r="H34" s="58" t="str">
        <f>End_year</f>
        <v>End year</v>
      </c>
      <c r="J34" s="133">
        <f t="shared" ref="J34:R34" si="5">K34*(1+J32)^(1-$J$33)*(1+K32)^$J$33</f>
        <v>1.4227604254156103</v>
      </c>
      <c r="K34" s="133">
        <f t="shared" si="5"/>
        <v>1.3914136415343115</v>
      </c>
      <c r="L34" s="133">
        <f t="shared" si="5"/>
        <v>1.2619597407708338</v>
      </c>
      <c r="M34" s="133">
        <f t="shared" si="5"/>
        <v>1.1549306919854829</v>
      </c>
      <c r="N34" s="133">
        <f t="shared" si="5"/>
        <v>1.1345279551407543</v>
      </c>
      <c r="O34" s="133">
        <f t="shared" si="5"/>
        <v>1.1046738612272835</v>
      </c>
      <c r="P34" s="133">
        <f t="shared" si="5"/>
        <v>1.0802552933363534</v>
      </c>
      <c r="Q34" s="133">
        <f t="shared" si="5"/>
        <v>1.0667421864995876</v>
      </c>
      <c r="R34" s="133">
        <f t="shared" si="5"/>
        <v>1.051210988937574</v>
      </c>
      <c r="S34" s="133">
        <f>T34*(1+S32)^(1-$J$33)*(1+T32)^$J$33</f>
        <v>1.0305417314027618</v>
      </c>
      <c r="T34" s="133">
        <f>(1+T32)^(1-$J$33)</f>
        <v>1.0099504938362078</v>
      </c>
      <c r="U34" s="84"/>
      <c r="V34" s="85"/>
      <c r="W34" s="85"/>
      <c r="X34" s="85"/>
      <c r="Y34" s="86"/>
    </row>
    <row r="36" spans="2:25" s="69" customFormat="1" ht="15" x14ac:dyDescent="0.3">
      <c r="B36" s="69" t="s">
        <v>31</v>
      </c>
    </row>
  </sheetData>
  <conditionalFormatting sqref="B2">
    <cfRule type="cellIs" dxfId="8" priority="1" operator="notEqual">
      <formula>"No Errors Found"</formula>
    </cfRule>
  </conditionalFormatting>
  <hyperlinks>
    <hyperlink ref="B3:D3" location="Cover!A1" display="Go to Cover Sheet" xr:uid="{B2ABB665-2337-44E7-BAE1-6746D1AADA45}"/>
  </hyperlink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BECC7-D63A-4A7D-8054-A10095D6971A}">
  <sheetPr>
    <tabColor theme="6" tint="0.59999389629810485"/>
  </sheetPr>
  <dimension ref="A1:AB33"/>
  <sheetViews>
    <sheetView showGridLines="0" zoomScaleNormal="100" workbookViewId="0">
      <pane xSplit="1" ySplit="4" topLeftCell="B5" activePane="bottomRight" state="frozen"/>
      <selection activeCell="E32" sqref="E32"/>
      <selection pane="topRight" activeCell="E32" sqref="E32"/>
      <selection pane="bottomLeft" activeCell="E32" sqref="E32"/>
      <selection pane="bottomRight" activeCell="E32" sqref="E32"/>
    </sheetView>
  </sheetViews>
  <sheetFormatPr defaultColWidth="9.33203125" defaultRowHeight="10.15" x14ac:dyDescent="0.3"/>
  <cols>
    <col min="1" max="3" width="2.83203125" style="89" customWidth="1"/>
    <col min="4" max="4" width="40.5" style="89" customWidth="1"/>
    <col min="5" max="5" width="20.83203125" style="89" customWidth="1"/>
    <col min="6" max="6" width="14.5" style="89" bestFit="1" customWidth="1"/>
    <col min="7" max="7" width="11.83203125" style="89" bestFit="1" customWidth="1"/>
    <col min="8" max="8" width="9.83203125" style="89" bestFit="1" customWidth="1"/>
    <col min="9" max="9" width="3.58203125" style="89" customWidth="1"/>
    <col min="10" max="25" width="15.58203125" style="89" customWidth="1"/>
    <col min="26" max="26" width="9.33203125" style="89"/>
    <col min="27" max="28" width="15.58203125" style="89" customWidth="1"/>
    <col min="29" max="16384" width="9.33203125" style="89"/>
  </cols>
  <sheetData>
    <row r="1" spans="1:28" ht="18.75" x14ac:dyDescent="0.3">
      <c r="A1" s="87">
        <f>IF(SUM($A16:$A100)&gt;0,1,0)</f>
        <v>0</v>
      </c>
      <c r="B1" s="88" t="s">
        <v>108</v>
      </c>
    </row>
    <row r="2" spans="1:28" x14ac:dyDescent="0.3">
      <c r="B2" s="90" t="str">
        <f>Title_Msg</f>
        <v>No Errors Found</v>
      </c>
    </row>
    <row r="3" spans="1:28" ht="12.75" x14ac:dyDescent="0.3">
      <c r="B3" s="91" t="s">
        <v>49</v>
      </c>
      <c r="C3" s="91"/>
      <c r="D3" s="91"/>
      <c r="E3" s="92"/>
    </row>
    <row r="4" spans="1:28" ht="13.15" x14ac:dyDescent="0.3">
      <c r="B4" s="93" t="str">
        <f>Model_Name</f>
        <v>Forecast Line Length Calculation</v>
      </c>
      <c r="E4" s="94"/>
      <c r="F4" s="94"/>
      <c r="G4" s="94"/>
      <c r="H4" s="94"/>
      <c r="J4" s="94"/>
    </row>
    <row r="6" spans="1:28" s="95" customFormat="1" ht="15" x14ac:dyDescent="0.3">
      <c r="B6" s="95" t="s">
        <v>112</v>
      </c>
    </row>
    <row r="7" spans="1:28" s="96" customFormat="1" ht="4.5" customHeight="1" x14ac:dyDescent="0.3"/>
    <row r="8" spans="1:28" s="97" customFormat="1" ht="13.9" x14ac:dyDescent="0.3">
      <c r="C8" s="97" t="s">
        <v>113</v>
      </c>
    </row>
    <row r="10" spans="1:28" ht="26.25" x14ac:dyDescent="0.3">
      <c r="D10" s="98" t="s">
        <v>106</v>
      </c>
      <c r="E10" s="94" t="s">
        <v>62</v>
      </c>
      <c r="F10" s="94" t="s">
        <v>63</v>
      </c>
      <c r="G10" s="94" t="s">
        <v>64</v>
      </c>
      <c r="H10" s="94" t="s">
        <v>65</v>
      </c>
      <c r="I10" s="98"/>
      <c r="J10" s="99" t="str">
        <f>Inputs!J$10</f>
        <v>RY09</v>
      </c>
      <c r="K10" s="100" t="str">
        <f>Inputs!K$10</f>
        <v>RY10</v>
      </c>
      <c r="L10" s="100" t="str">
        <f>Inputs!L$10</f>
        <v>RY11</v>
      </c>
      <c r="M10" s="100" t="str">
        <f>Inputs!M$10</f>
        <v>RY12</v>
      </c>
      <c r="N10" s="100" t="str">
        <f>Inputs!N$10</f>
        <v>RY13</v>
      </c>
      <c r="O10" s="100" t="str">
        <f>Inputs!O$10</f>
        <v>RY14</v>
      </c>
      <c r="P10" s="100" t="str">
        <f>Inputs!P$10</f>
        <v>RY15</v>
      </c>
      <c r="Q10" s="100" t="str">
        <f>Inputs!Q$10</f>
        <v>RY16</v>
      </c>
      <c r="R10" s="100" t="str">
        <f>Inputs!R$10</f>
        <v>RY17</v>
      </c>
      <c r="S10" s="101" t="str">
        <f>Lookup!J$20</f>
        <v>RY18</v>
      </c>
      <c r="T10" s="99" t="str">
        <f>Lookup!K$20</f>
        <v>RY19</v>
      </c>
      <c r="U10" s="100" t="str">
        <f>Lookup!L$20</f>
        <v>RY20</v>
      </c>
      <c r="V10" s="100" t="str">
        <f>Lookup!M$20</f>
        <v>RY21</v>
      </c>
      <c r="W10" s="100" t="str">
        <f>Lookup!N$20</f>
        <v>RY22</v>
      </c>
      <c r="X10" s="100" t="str">
        <f>Lookup!O$20</f>
        <v>RY23</v>
      </c>
      <c r="Y10" s="101" t="str">
        <f>Lookup!P$20</f>
        <v>RY24</v>
      </c>
      <c r="AA10" s="102" t="s">
        <v>139</v>
      </c>
      <c r="AB10" s="102" t="s">
        <v>140</v>
      </c>
    </row>
    <row r="11" spans="1:28" x14ac:dyDescent="0.3">
      <c r="J11" s="103"/>
      <c r="K11" s="104"/>
      <c r="L11" s="104"/>
      <c r="M11" s="104"/>
      <c r="N11" s="104"/>
      <c r="O11" s="104"/>
      <c r="P11" s="104"/>
      <c r="Q11" s="104"/>
      <c r="R11" s="104"/>
      <c r="S11" s="105"/>
      <c r="T11" s="103"/>
      <c r="U11" s="104"/>
      <c r="V11" s="104"/>
      <c r="W11" s="104"/>
      <c r="X11" s="104"/>
      <c r="Y11" s="105"/>
    </row>
    <row r="12" spans="1:28" ht="12.75" x14ac:dyDescent="0.3">
      <c r="D12" s="106" t="s">
        <v>101</v>
      </c>
      <c r="E12" s="107" t="s">
        <v>111</v>
      </c>
      <c r="F12" s="107" t="s">
        <v>89</v>
      </c>
      <c r="G12" s="107" t="str">
        <f>NA</f>
        <v>N/A</v>
      </c>
      <c r="H12" s="107" t="str">
        <f>NA</f>
        <v>N/A</v>
      </c>
      <c r="J12" s="108">
        <f>Inputs!J26</f>
        <v>6186.262751609097</v>
      </c>
      <c r="K12" s="109">
        <f>Inputs!K26</f>
        <v>6308.3389161965952</v>
      </c>
      <c r="L12" s="109">
        <f>Inputs!L26</f>
        <v>6459.972669515877</v>
      </c>
      <c r="M12" s="109">
        <f>Inputs!M26</f>
        <v>6521.8216065389906</v>
      </c>
      <c r="N12" s="109">
        <f>Inputs!N26</f>
        <v>6601.2018262221291</v>
      </c>
      <c r="O12" s="109">
        <f>Inputs!O26</f>
        <v>6663.7507806682315</v>
      </c>
      <c r="P12" s="109">
        <f>Inputs!P26</f>
        <v>6845.0452486310824</v>
      </c>
      <c r="Q12" s="109">
        <f>Inputs!Q26</f>
        <v>6944.8262185339427</v>
      </c>
      <c r="R12" s="109">
        <f>Inputs!R26</f>
        <v>7014.7993669631696</v>
      </c>
      <c r="S12" s="110">
        <f>Inputs!S26</f>
        <v>7049</v>
      </c>
      <c r="T12" s="108">
        <f t="shared" ref="T12:Y12" si="0">S12+T14</f>
        <v>7087.8658728928804</v>
      </c>
      <c r="U12" s="109">
        <f t="shared" si="0"/>
        <v>7142.8712333711755</v>
      </c>
      <c r="V12" s="109">
        <f t="shared" si="0"/>
        <v>7183.8575340655507</v>
      </c>
      <c r="W12" s="109">
        <f t="shared" si="0"/>
        <v>7227.8130620244674</v>
      </c>
      <c r="X12" s="109">
        <f t="shared" si="0"/>
        <v>7271.5575756990802</v>
      </c>
      <c r="Y12" s="110">
        <f t="shared" si="0"/>
        <v>7315.1255066045997</v>
      </c>
      <c r="AA12" s="111"/>
      <c r="AB12" s="111"/>
    </row>
    <row r="13" spans="1:28" ht="12.75" x14ac:dyDescent="0.3">
      <c r="D13" s="106"/>
      <c r="E13" s="107"/>
      <c r="F13" s="107"/>
      <c r="G13" s="107"/>
      <c r="H13" s="107"/>
      <c r="J13" s="112"/>
      <c r="K13" s="112"/>
      <c r="L13" s="112"/>
      <c r="M13" s="112"/>
      <c r="N13" s="112"/>
      <c r="O13" s="112"/>
      <c r="P13" s="112"/>
      <c r="Q13" s="112"/>
      <c r="R13" s="112"/>
      <c r="S13" s="112"/>
      <c r="T13" s="112"/>
      <c r="U13" s="112"/>
      <c r="V13" s="112"/>
      <c r="W13" s="112"/>
      <c r="X13" s="112"/>
      <c r="Y13" s="112"/>
      <c r="AA13" s="112"/>
      <c r="AB13" s="112"/>
    </row>
    <row r="14" spans="1:28" ht="12.75" x14ac:dyDescent="0.3">
      <c r="D14" s="106" t="s">
        <v>115</v>
      </c>
      <c r="E14" s="107" t="s">
        <v>111</v>
      </c>
      <c r="F14" s="107" t="s">
        <v>89</v>
      </c>
      <c r="G14" s="107" t="str">
        <f>NA</f>
        <v>N/A</v>
      </c>
      <c r="H14" s="107" t="str">
        <f>NA</f>
        <v>N/A</v>
      </c>
      <c r="J14" s="113"/>
      <c r="K14" s="109">
        <f t="shared" ref="K14" si="1">K12-J12</f>
        <v>122.07616458749817</v>
      </c>
      <c r="L14" s="109">
        <f t="shared" ref="L14" si="2">L12-K12</f>
        <v>151.63375331928182</v>
      </c>
      <c r="M14" s="109">
        <f t="shared" ref="M14" si="3">M12-L12</f>
        <v>61.848937023113649</v>
      </c>
      <c r="N14" s="109">
        <f t="shared" ref="N14" si="4">N12-M12</f>
        <v>79.380219683138421</v>
      </c>
      <c r="O14" s="109">
        <f t="shared" ref="O14" si="5">O12-N12</f>
        <v>62.548954446102471</v>
      </c>
      <c r="P14" s="109">
        <f t="shared" ref="P14" si="6">P12-O12</f>
        <v>181.29446796285083</v>
      </c>
      <c r="Q14" s="109">
        <f t="shared" ref="Q14" si="7">Q12-P12</f>
        <v>99.780969902860306</v>
      </c>
      <c r="R14" s="109">
        <f t="shared" ref="R14:S14" si="8">R12-Q12</f>
        <v>69.973148429226967</v>
      </c>
      <c r="S14" s="110">
        <f t="shared" si="8"/>
        <v>34.200633036830368</v>
      </c>
      <c r="T14" s="108">
        <f t="shared" ref="T14:Y14" si="9">$U$31*T25</f>
        <v>38.865872892880361</v>
      </c>
      <c r="U14" s="109">
        <f t="shared" si="9"/>
        <v>55.005360478295195</v>
      </c>
      <c r="V14" s="109">
        <f t="shared" si="9"/>
        <v>40.986300694375117</v>
      </c>
      <c r="W14" s="109">
        <f t="shared" si="9"/>
        <v>43.955527958917052</v>
      </c>
      <c r="X14" s="109">
        <f t="shared" si="9"/>
        <v>43.74451367461316</v>
      </c>
      <c r="Y14" s="110">
        <f t="shared" si="9"/>
        <v>43.56793090551907</v>
      </c>
      <c r="AA14" s="109">
        <f>AVERAGE(K14:S14)</f>
        <v>95.859694265655889</v>
      </c>
      <c r="AB14" s="109">
        <f>AVERAGE(T14:Y14)</f>
        <v>44.354251100766668</v>
      </c>
    </row>
    <row r="16" spans="1:28" s="95" customFormat="1" ht="15" x14ac:dyDescent="0.3">
      <c r="B16" s="95" t="str">
        <f>B1</f>
        <v>Calculations - Line length forecast</v>
      </c>
    </row>
    <row r="17" spans="3:28" s="96" customFormat="1" ht="4.5" customHeight="1" x14ac:dyDescent="0.3"/>
    <row r="18" spans="3:28" s="97" customFormat="1" ht="13.9" x14ac:dyDescent="0.3">
      <c r="C18" s="97" t="s">
        <v>109</v>
      </c>
    </row>
    <row r="20" spans="3:28" ht="26.25" x14ac:dyDescent="0.3">
      <c r="D20" s="98" t="s">
        <v>106</v>
      </c>
      <c r="E20" s="94" t="s">
        <v>62</v>
      </c>
      <c r="F20" s="94" t="s">
        <v>63</v>
      </c>
      <c r="G20" s="94" t="s">
        <v>64</v>
      </c>
      <c r="H20" s="94" t="s">
        <v>65</v>
      </c>
      <c r="I20" s="98"/>
      <c r="J20" s="99" t="str">
        <f>Inputs!J$10</f>
        <v>RY09</v>
      </c>
      <c r="K20" s="100" t="str">
        <f>Inputs!K$10</f>
        <v>RY10</v>
      </c>
      <c r="L20" s="100" t="str">
        <f>Inputs!L$10</f>
        <v>RY11</v>
      </c>
      <c r="M20" s="100" t="str">
        <f>Inputs!M$10</f>
        <v>RY12</v>
      </c>
      <c r="N20" s="100" t="str">
        <f>Inputs!N$10</f>
        <v>RY13</v>
      </c>
      <c r="O20" s="100" t="str">
        <f>Inputs!O$10</f>
        <v>RY14</v>
      </c>
      <c r="P20" s="100" t="str">
        <f>Inputs!P$10</f>
        <v>RY15</v>
      </c>
      <c r="Q20" s="100" t="str">
        <f>Inputs!Q$10</f>
        <v>RY16</v>
      </c>
      <c r="R20" s="100" t="str">
        <f>Inputs!R$10</f>
        <v>RY17</v>
      </c>
      <c r="S20" s="101" t="str">
        <f>Lookup!J$20</f>
        <v>RY18</v>
      </c>
      <c r="T20" s="99" t="str">
        <f>Lookup!K$20</f>
        <v>RY19</v>
      </c>
      <c r="U20" s="100" t="str">
        <f>Lookup!L$20</f>
        <v>RY20</v>
      </c>
      <c r="V20" s="100" t="str">
        <f>Lookup!M$20</f>
        <v>RY21</v>
      </c>
      <c r="W20" s="100" t="str">
        <f>Lookup!N$20</f>
        <v>RY22</v>
      </c>
      <c r="X20" s="100" t="str">
        <f>Lookup!O$20</f>
        <v>RY23</v>
      </c>
      <c r="Y20" s="101" t="str">
        <f>Lookup!P$20</f>
        <v>RY24</v>
      </c>
      <c r="AA20" s="102" t="s">
        <v>139</v>
      </c>
      <c r="AB20" s="102" t="s">
        <v>140</v>
      </c>
    </row>
    <row r="21" spans="3:28" x14ac:dyDescent="0.3">
      <c r="J21" s="103"/>
      <c r="K21" s="104"/>
      <c r="L21" s="104"/>
      <c r="M21" s="104"/>
      <c r="N21" s="104"/>
      <c r="O21" s="104"/>
      <c r="P21" s="104"/>
      <c r="Q21" s="104"/>
      <c r="R21" s="104"/>
      <c r="S21" s="105"/>
      <c r="T21" s="103"/>
      <c r="U21" s="104"/>
      <c r="V21" s="104"/>
      <c r="W21" s="104"/>
      <c r="X21" s="104"/>
      <c r="Y21" s="105"/>
    </row>
    <row r="22" spans="3:28" ht="12.75" x14ac:dyDescent="0.3">
      <c r="D22" s="106" t="s">
        <v>105</v>
      </c>
      <c r="E22" s="107" t="s">
        <v>122</v>
      </c>
      <c r="F22" s="107" t="str">
        <f>Inputs!F13</f>
        <v>$Millions</v>
      </c>
      <c r="G22" s="107" t="str">
        <f>Inputs!G13</f>
        <v>Real $2019</v>
      </c>
      <c r="H22" s="107" t="str">
        <f>Inputs!H13</f>
        <v>End year</v>
      </c>
      <c r="J22" s="114">
        <f>Inputs!J13</f>
        <v>45.183993491853613</v>
      </c>
      <c r="K22" s="115">
        <f>Inputs!K13</f>
        <v>79.97733463785039</v>
      </c>
      <c r="L22" s="115">
        <f>Inputs!L13</f>
        <v>66.284425890346455</v>
      </c>
      <c r="M22" s="115">
        <f>Inputs!M13</f>
        <v>36.664378795791812</v>
      </c>
      <c r="N22" s="115">
        <f>Inputs!N13</f>
        <v>70.441869755480184</v>
      </c>
      <c r="O22" s="115">
        <f>Inputs!O13</f>
        <v>32.762677572716235</v>
      </c>
      <c r="P22" s="115">
        <f>Inputs!P13</f>
        <v>25.56803397077039</v>
      </c>
      <c r="Q22" s="115">
        <f>Inputs!Q13</f>
        <v>18.735019315974785</v>
      </c>
      <c r="R22" s="115">
        <f>Inputs!R13</f>
        <v>13.491733791522872</v>
      </c>
      <c r="S22" s="116">
        <f>Inputs!S13</f>
        <v>18.1643718404578</v>
      </c>
      <c r="T22" s="114">
        <f>Inputs!T13</f>
        <v>3.9992049523044249</v>
      </c>
      <c r="U22" s="115">
        <f>Inputs!U13</f>
        <v>11.411938598076912</v>
      </c>
      <c r="V22" s="115">
        <f>Inputs!V13</f>
        <v>5.442303049939853</v>
      </c>
      <c r="W22" s="115">
        <f>Inputs!W13</f>
        <v>5.7280242828709049</v>
      </c>
      <c r="X22" s="115">
        <f>Inputs!X13</f>
        <v>6.7070316069298652</v>
      </c>
      <c r="Y22" s="116">
        <f>Inputs!Y13</f>
        <v>6.5508269108931581</v>
      </c>
      <c r="AA22" s="115">
        <f t="shared" ref="AA22:AA23" si="10">AVERAGE(K22:S22)</f>
        <v>40.232205063434549</v>
      </c>
      <c r="AB22" s="115">
        <f t="shared" ref="AB22:AB23" si="11">AVERAGE(T22:Y22)</f>
        <v>6.6398882335025187</v>
      </c>
    </row>
    <row r="23" spans="3:28" ht="12.75" x14ac:dyDescent="0.3">
      <c r="D23" s="106" t="s">
        <v>107</v>
      </c>
      <c r="E23" s="107" t="s">
        <v>122</v>
      </c>
      <c r="F23" s="107" t="str">
        <f>Inputs!F20</f>
        <v>$Millions</v>
      </c>
      <c r="G23" s="107" t="str">
        <f>Inputs!G20</f>
        <v>Real $2019</v>
      </c>
      <c r="H23" s="107" t="str">
        <f>Inputs!H20</f>
        <v>End year</v>
      </c>
      <c r="J23" s="114">
        <f>Inputs!J20</f>
        <v>13.810363598075126</v>
      </c>
      <c r="K23" s="115">
        <f>Inputs!K20</f>
        <v>8.9757372675594667</v>
      </c>
      <c r="L23" s="115">
        <f>Inputs!L20</f>
        <v>7.7334318928943802</v>
      </c>
      <c r="M23" s="115">
        <f>Inputs!M20</f>
        <v>6.4063231242982646</v>
      </c>
      <c r="N23" s="115">
        <f>Inputs!N20</f>
        <v>7.334283484798803</v>
      </c>
      <c r="O23" s="115">
        <f>Inputs!O20</f>
        <v>9.9293192667662851</v>
      </c>
      <c r="P23" s="115">
        <f>Inputs!P20</f>
        <v>8.5754506281381619</v>
      </c>
      <c r="Q23" s="115">
        <f>Inputs!Q20</f>
        <v>6.3930174268132882</v>
      </c>
      <c r="R23" s="115">
        <f>Inputs!R20</f>
        <v>3.4822924646521467</v>
      </c>
      <c r="S23" s="116">
        <f>Inputs!S20</f>
        <v>2.7030171821718865</v>
      </c>
      <c r="T23" s="114">
        <f>Inputs!T20</f>
        <v>11.627214356321003</v>
      </c>
      <c r="U23" s="115">
        <f>Inputs!U20</f>
        <v>10.70352576895106</v>
      </c>
      <c r="V23" s="115">
        <f>Inputs!V20</f>
        <v>11.036655812631722</v>
      </c>
      <c r="W23" s="115">
        <f>Inputs!W20</f>
        <v>11.94474258669476</v>
      </c>
      <c r="X23" s="115">
        <f>Inputs!X20</f>
        <v>10.880894824451632</v>
      </c>
      <c r="Y23" s="116">
        <f>Inputs!Y20</f>
        <v>10.966102623026453</v>
      </c>
      <c r="AA23" s="115">
        <f t="shared" si="10"/>
        <v>6.8369858597880757</v>
      </c>
      <c r="AB23" s="115">
        <f t="shared" si="11"/>
        <v>11.193189328679438</v>
      </c>
    </row>
    <row r="25" spans="3:28" ht="13.15" x14ac:dyDescent="0.3">
      <c r="D25" s="117" t="s">
        <v>110</v>
      </c>
      <c r="E25" s="118" t="s">
        <v>111</v>
      </c>
      <c r="F25" s="118" t="str">
        <f>Millions</f>
        <v>$Millions</v>
      </c>
      <c r="G25" s="118" t="str">
        <f>Real2019</f>
        <v>Real $2019</v>
      </c>
      <c r="H25" s="118" t="str">
        <f>Mid_year</f>
        <v>Mid year</v>
      </c>
      <c r="I25" s="119"/>
      <c r="J25" s="120">
        <f>SUM(J22:J23)</f>
        <v>58.994357089928741</v>
      </c>
      <c r="K25" s="121">
        <f t="shared" ref="K25:AB25" si="12">SUM(K22:K23)</f>
        <v>88.953071905409857</v>
      </c>
      <c r="L25" s="121">
        <f t="shared" si="12"/>
        <v>74.017857783240828</v>
      </c>
      <c r="M25" s="121">
        <f t="shared" si="12"/>
        <v>43.070701920090073</v>
      </c>
      <c r="N25" s="121">
        <f t="shared" si="12"/>
        <v>77.776153240278987</v>
      </c>
      <c r="O25" s="121">
        <f t="shared" si="12"/>
        <v>42.69199683948252</v>
      </c>
      <c r="P25" s="121">
        <f t="shared" si="12"/>
        <v>34.14348459890855</v>
      </c>
      <c r="Q25" s="121">
        <f t="shared" si="12"/>
        <v>25.128036742788073</v>
      </c>
      <c r="R25" s="121">
        <f t="shared" si="12"/>
        <v>16.974026256175019</v>
      </c>
      <c r="S25" s="122">
        <f t="shared" si="12"/>
        <v>20.867389022629688</v>
      </c>
      <c r="T25" s="120">
        <f t="shared" si="12"/>
        <v>15.626419308625428</v>
      </c>
      <c r="U25" s="121">
        <f t="shared" si="12"/>
        <v>22.115464367027972</v>
      </c>
      <c r="V25" s="121">
        <f t="shared" si="12"/>
        <v>16.478958862571574</v>
      </c>
      <c r="W25" s="121">
        <f t="shared" si="12"/>
        <v>17.672766869565663</v>
      </c>
      <c r="X25" s="121">
        <f t="shared" si="12"/>
        <v>17.587926431381497</v>
      </c>
      <c r="Y25" s="122">
        <f t="shared" si="12"/>
        <v>17.516929533919612</v>
      </c>
      <c r="AA25" s="121">
        <f t="shared" si="12"/>
        <v>47.069190923222621</v>
      </c>
      <c r="AB25" s="121">
        <f t="shared" si="12"/>
        <v>17.833077562181955</v>
      </c>
    </row>
    <row r="27" spans="3:28" s="97" customFormat="1" ht="13.9" x14ac:dyDescent="0.3">
      <c r="C27" s="97" t="s">
        <v>114</v>
      </c>
    </row>
    <row r="29" spans="3:28" ht="13.15" x14ac:dyDescent="0.3">
      <c r="D29" s="98" t="s">
        <v>106</v>
      </c>
      <c r="E29" s="94" t="s">
        <v>62</v>
      </c>
      <c r="F29" s="94" t="s">
        <v>63</v>
      </c>
      <c r="G29" s="94" t="s">
        <v>64</v>
      </c>
      <c r="H29" s="94" t="s">
        <v>65</v>
      </c>
      <c r="I29" s="98"/>
      <c r="J29" s="99" t="str">
        <f>Inputs!J$10</f>
        <v>RY09</v>
      </c>
      <c r="K29" s="100" t="str">
        <f>Inputs!K$10</f>
        <v>RY10</v>
      </c>
      <c r="L29" s="100" t="str">
        <f>Inputs!L$10</f>
        <v>RY11</v>
      </c>
      <c r="M29" s="100" t="str">
        <f>Inputs!M$10</f>
        <v>RY12</v>
      </c>
      <c r="N29" s="100" t="str">
        <f>Inputs!N$10</f>
        <v>RY13</v>
      </c>
      <c r="O29" s="100" t="str">
        <f>Inputs!O$10</f>
        <v>RY14</v>
      </c>
      <c r="P29" s="100" t="str">
        <f>Inputs!P$10</f>
        <v>RY15</v>
      </c>
      <c r="Q29" s="100" t="str">
        <f>Inputs!Q$10</f>
        <v>RY16</v>
      </c>
      <c r="R29" s="100" t="str">
        <f>Inputs!R$10</f>
        <v>RY17</v>
      </c>
      <c r="S29" s="101" t="str">
        <f>Inputs!S$10</f>
        <v>RY18</v>
      </c>
      <c r="U29" s="100" t="s">
        <v>142</v>
      </c>
    </row>
    <row r="30" spans="3:28" x14ac:dyDescent="0.3">
      <c r="J30" s="103"/>
      <c r="K30" s="104"/>
      <c r="L30" s="104"/>
      <c r="M30" s="104"/>
      <c r="N30" s="104"/>
      <c r="O30" s="104"/>
      <c r="P30" s="104"/>
      <c r="Q30" s="104"/>
      <c r="R30" s="104"/>
      <c r="S30" s="105"/>
    </row>
    <row r="31" spans="3:28" ht="13.15" x14ac:dyDescent="0.3">
      <c r="D31" s="106" t="s">
        <v>138</v>
      </c>
      <c r="E31" s="107" t="s">
        <v>111</v>
      </c>
      <c r="F31" s="107" t="s">
        <v>121</v>
      </c>
      <c r="G31" s="107" t="str">
        <f>NA</f>
        <v>N/A</v>
      </c>
      <c r="H31" s="107" t="str">
        <f>NA</f>
        <v>N/A</v>
      </c>
      <c r="J31" s="113"/>
      <c r="K31" s="123">
        <f>IF(K25=0,0,K14/K25)</f>
        <v>1.3723659225317193</v>
      </c>
      <c r="L31" s="123">
        <f t="shared" ref="L31:R31" si="13">IF(L25=0,0,L14/L25)</f>
        <v>2.0486104010647934</v>
      </c>
      <c r="M31" s="123">
        <f t="shared" si="13"/>
        <v>1.4359862799046834</v>
      </c>
      <c r="N31" s="123">
        <f t="shared" si="13"/>
        <v>1.0206241421828088</v>
      </c>
      <c r="O31" s="123">
        <f t="shared" si="13"/>
        <v>1.4651213125794995</v>
      </c>
      <c r="P31" s="123">
        <f t="shared" si="13"/>
        <v>5.3097822349581207</v>
      </c>
      <c r="Q31" s="123">
        <f t="shared" si="13"/>
        <v>3.9709019420905678</v>
      </c>
      <c r="R31" s="123">
        <f t="shared" si="13"/>
        <v>4.1223659827774375</v>
      </c>
      <c r="S31" s="124">
        <f t="shared" ref="S31" si="14">IF(S25=0,0,S14/S25)</f>
        <v>1.6389512362922556</v>
      </c>
      <c r="U31" s="125">
        <f>AVERAGE(K31:S31)</f>
        <v>2.487189939375765</v>
      </c>
      <c r="V31" s="126"/>
      <c r="W31" s="126"/>
      <c r="Y31" s="126"/>
    </row>
    <row r="33" spans="2:2" s="95" customFormat="1" ht="15" x14ac:dyDescent="0.3">
      <c r="B33" s="95" t="s">
        <v>31</v>
      </c>
    </row>
  </sheetData>
  <conditionalFormatting sqref="B2">
    <cfRule type="cellIs" dxfId="7" priority="1" operator="notEqual">
      <formula>"No Errors Found"</formula>
    </cfRule>
  </conditionalFormatting>
  <hyperlinks>
    <hyperlink ref="B3:D3" location="Cover!A1" display="Go to Cover Sheet" xr:uid="{4AE08D36-4040-488B-AB83-4FCD3939F50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
  <dimension ref="B1:AW68"/>
  <sheetViews>
    <sheetView showGridLines="0"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9.33203125" defaultRowHeight="10.15" outlineLevelRow="1" x14ac:dyDescent="0.3"/>
  <cols>
    <col min="1" max="3" width="2.83203125" style="1" customWidth="1"/>
    <col min="4" max="4" width="34" style="1" customWidth="1"/>
    <col min="5" max="6" width="30.83203125" style="1" customWidth="1"/>
    <col min="7" max="9" width="10.83203125" style="1" customWidth="1"/>
    <col min="10" max="19" width="12.83203125" style="1" customWidth="1"/>
    <col min="20" max="28" width="12.58203125" style="1" customWidth="1"/>
    <col min="29" max="49" width="12.58203125" style="7" customWidth="1"/>
    <col min="50" max="16384" width="9.33203125" style="1"/>
  </cols>
  <sheetData>
    <row r="1" spans="2:49" ht="18.75" x14ac:dyDescent="0.3">
      <c r="B1" s="5" t="s">
        <v>44</v>
      </c>
    </row>
    <row r="2" spans="2:49" x14ac:dyDescent="0.3">
      <c r="B2" s="16" t="str">
        <f>Title_Msg</f>
        <v>No Errors Found</v>
      </c>
    </row>
    <row r="3" spans="2:49" s="7" customFormat="1" x14ac:dyDescent="0.3">
      <c r="B3" s="53" t="str">
        <f>TOC!B1</f>
        <v>Table of Contents</v>
      </c>
      <c r="C3" s="47"/>
      <c r="D3" s="47"/>
      <c r="E3" s="47"/>
    </row>
    <row r="4" spans="2:49" s="7" customFormat="1" ht="13.15" x14ac:dyDescent="0.3">
      <c r="B4" s="44" t="str">
        <f>Model_Name</f>
        <v>Forecast Line Length Calculation</v>
      </c>
    </row>
    <row r="5" spans="2:49" s="7" customFormat="1" x14ac:dyDescent="0.3"/>
    <row r="6" spans="2:49" s="4" customFormat="1" ht="15" x14ac:dyDescent="0.3">
      <c r="B6" s="4" t="s">
        <v>29</v>
      </c>
    </row>
    <row r="7" spans="2:49" s="2" customFormat="1" ht="6.75" customHeight="1" x14ac:dyDescent="0.3">
      <c r="AC7" s="6"/>
      <c r="AD7" s="6"/>
      <c r="AE7" s="6"/>
      <c r="AF7" s="6"/>
      <c r="AG7" s="6"/>
      <c r="AH7" s="6"/>
      <c r="AI7" s="6"/>
      <c r="AJ7" s="6"/>
      <c r="AK7" s="6"/>
      <c r="AL7" s="6"/>
      <c r="AM7" s="6"/>
      <c r="AN7" s="6"/>
      <c r="AO7" s="6"/>
      <c r="AP7" s="6"/>
      <c r="AQ7" s="6"/>
      <c r="AR7" s="6"/>
      <c r="AS7" s="6"/>
      <c r="AT7" s="6"/>
      <c r="AU7" s="6"/>
      <c r="AV7" s="6"/>
      <c r="AW7" s="6"/>
    </row>
    <row r="8" spans="2:49" s="12" customFormat="1" ht="13.9" x14ac:dyDescent="0.3">
      <c r="C8" s="12" t="s">
        <v>54</v>
      </c>
    </row>
    <row r="9" spans="2:49" s="2" customFormat="1" x14ac:dyDescent="0.3">
      <c r="D9" s="3"/>
      <c r="AC9" s="6"/>
      <c r="AD9" s="6"/>
      <c r="AE9" s="6"/>
      <c r="AF9" s="6"/>
      <c r="AG9" s="6"/>
      <c r="AH9" s="6"/>
      <c r="AI9" s="6"/>
      <c r="AJ9" s="6"/>
      <c r="AK9" s="6"/>
      <c r="AL9" s="6"/>
      <c r="AM9" s="6"/>
      <c r="AN9" s="6"/>
      <c r="AO9" s="6"/>
      <c r="AP9" s="6"/>
      <c r="AQ9" s="6"/>
      <c r="AR9" s="6"/>
      <c r="AS9" s="6"/>
      <c r="AT9" s="6"/>
      <c r="AU9" s="6"/>
      <c r="AV9" s="6"/>
      <c r="AW9" s="6"/>
    </row>
    <row r="10" spans="2:49" s="6" customFormat="1" ht="12.75" x14ac:dyDescent="0.3">
      <c r="D10" s="14" t="s">
        <v>53</v>
      </c>
      <c r="E10" s="54">
        <v>42917</v>
      </c>
    </row>
    <row r="11" spans="2:49" s="7" customFormat="1" ht="12.75" x14ac:dyDescent="0.3">
      <c r="D11" s="14" t="s">
        <v>56</v>
      </c>
      <c r="E11" s="15">
        <v>2018</v>
      </c>
      <c r="L11" s="21"/>
      <c r="M11" s="22"/>
      <c r="N11" s="22"/>
      <c r="O11" s="22"/>
    </row>
    <row r="12" spans="2:49" s="7" customFormat="1" x14ac:dyDescent="0.3">
      <c r="L12" s="21"/>
      <c r="M12" s="22"/>
      <c r="N12" s="22"/>
      <c r="O12" s="22"/>
    </row>
    <row r="13" spans="2:49" s="12" customFormat="1" ht="13.9" x14ac:dyDescent="0.3">
      <c r="C13" s="12" t="s">
        <v>55</v>
      </c>
    </row>
    <row r="14" spans="2:49" s="7" customFormat="1" x14ac:dyDescent="0.3">
      <c r="L14" s="21"/>
      <c r="M14" s="22"/>
      <c r="N14" s="22"/>
      <c r="O14" s="22"/>
    </row>
    <row r="15" spans="2:49" s="7" customFormat="1" ht="12.75" outlineLevel="1" x14ac:dyDescent="0.3">
      <c r="B15" s="14" t="s">
        <v>51</v>
      </c>
      <c r="J15" s="55">
        <f>IF(J17=1,Model_Start_Date,#REF!+1)</f>
        <v>42917</v>
      </c>
      <c r="K15" s="55">
        <f t="shared" ref="K15:R15" si="0">IF(K17=1,Model_Start_Date,J16+1)</f>
        <v>43282</v>
      </c>
      <c r="L15" s="55">
        <f t="shared" si="0"/>
        <v>43647</v>
      </c>
      <c r="M15" s="55">
        <f t="shared" si="0"/>
        <v>44013</v>
      </c>
      <c r="N15" s="55">
        <f t="shared" si="0"/>
        <v>44378</v>
      </c>
      <c r="O15" s="55">
        <f t="shared" si="0"/>
        <v>44743</v>
      </c>
      <c r="P15" s="55">
        <f t="shared" si="0"/>
        <v>45108</v>
      </c>
      <c r="Q15" s="55">
        <f t="shared" si="0"/>
        <v>45474</v>
      </c>
      <c r="R15" s="55">
        <f t="shared" si="0"/>
        <v>45839</v>
      </c>
      <c r="S15" s="55">
        <f t="shared" ref="S15" si="1">IF(S17=1,Model_Start_Date,R16+1)</f>
        <v>46204</v>
      </c>
      <c r="T15" s="55">
        <f t="shared" ref="T15" si="2">IF(T17=1,Model_Start_Date,S16+1)</f>
        <v>46569</v>
      </c>
      <c r="U15" s="55">
        <f t="shared" ref="U15" si="3">IF(U17=1,Model_Start_Date,T16+1)</f>
        <v>46935</v>
      </c>
      <c r="V15" s="55">
        <f t="shared" ref="V15" si="4">IF(V17=1,Model_Start_Date,U16+1)</f>
        <v>47300</v>
      </c>
      <c r="W15" s="55">
        <f t="shared" ref="W15" si="5">IF(W17=1,Model_Start_Date,V16+1)</f>
        <v>47665</v>
      </c>
      <c r="X15" s="55">
        <f t="shared" ref="X15" si="6">IF(X17=1,Model_Start_Date,W16+1)</f>
        <v>48030</v>
      </c>
      <c r="Y15" s="55">
        <f t="shared" ref="Y15" si="7">IF(Y17=1,Model_Start_Date,X16+1)</f>
        <v>48396</v>
      </c>
      <c r="Z15" s="55">
        <f t="shared" ref="Z15" si="8">IF(Z17=1,Model_Start_Date,Y16+1)</f>
        <v>48761</v>
      </c>
      <c r="AA15" s="55">
        <f t="shared" ref="AA15" si="9">IF(AA17=1,Model_Start_Date,Z16+1)</f>
        <v>49126</v>
      </c>
      <c r="AB15" s="55">
        <f t="shared" ref="AB15" si="10">IF(AB17=1,Model_Start_Date,AA16+1)</f>
        <v>49491</v>
      </c>
      <c r="AC15" s="55">
        <f t="shared" ref="AC15" si="11">IF(AC17=1,Model_Start_Date,AB16+1)</f>
        <v>49857</v>
      </c>
      <c r="AD15" s="55">
        <f t="shared" ref="AD15" si="12">IF(AD17=1,Model_Start_Date,AC16+1)</f>
        <v>50222</v>
      </c>
      <c r="AE15" s="55">
        <f t="shared" ref="AE15" si="13">IF(AE17=1,Model_Start_Date,AD16+1)</f>
        <v>50587</v>
      </c>
      <c r="AF15" s="55">
        <f t="shared" ref="AF15" si="14">IF(AF17=1,Model_Start_Date,AE16+1)</f>
        <v>50952</v>
      </c>
      <c r="AG15" s="55">
        <f t="shared" ref="AG15" si="15">IF(AG17=1,Model_Start_Date,AF16+1)</f>
        <v>51318</v>
      </c>
      <c r="AH15" s="55">
        <f t="shared" ref="AH15" si="16">IF(AH17=1,Model_Start_Date,AG16+1)</f>
        <v>51683</v>
      </c>
      <c r="AI15" s="55">
        <f t="shared" ref="AI15" si="17">IF(AI17=1,Model_Start_Date,AH16+1)</f>
        <v>52048</v>
      </c>
      <c r="AJ15" s="55">
        <f t="shared" ref="AJ15" si="18">IF(AJ17=1,Model_Start_Date,AI16+1)</f>
        <v>52413</v>
      </c>
      <c r="AK15" s="55">
        <f t="shared" ref="AK15" si="19">IF(AK17=1,Model_Start_Date,AJ16+1)</f>
        <v>52779</v>
      </c>
      <c r="AL15" s="55">
        <f t="shared" ref="AL15" si="20">IF(AL17=1,Model_Start_Date,AK16+1)</f>
        <v>53144</v>
      </c>
      <c r="AM15" s="55">
        <f t="shared" ref="AM15" si="21">IF(AM17=1,Model_Start_Date,AL16+1)</f>
        <v>53509</v>
      </c>
      <c r="AN15" s="55">
        <f t="shared" ref="AN15" si="22">IF(AN17=1,Model_Start_Date,AM16+1)</f>
        <v>53874</v>
      </c>
      <c r="AO15" s="55">
        <f t="shared" ref="AO15" si="23">IF(AO17=1,Model_Start_Date,AN16+1)</f>
        <v>54240</v>
      </c>
      <c r="AP15" s="55">
        <f t="shared" ref="AP15" si="24">IF(AP17=1,Model_Start_Date,AO16+1)</f>
        <v>54605</v>
      </c>
      <c r="AQ15" s="55">
        <f t="shared" ref="AQ15" si="25">IF(AQ17=1,Model_Start_Date,AP16+1)</f>
        <v>54970</v>
      </c>
      <c r="AR15" s="55">
        <f t="shared" ref="AR15" si="26">IF(AR17=1,Model_Start_Date,AQ16+1)</f>
        <v>55335</v>
      </c>
      <c r="AS15" s="55">
        <f t="shared" ref="AS15" si="27">IF(AS17=1,Model_Start_Date,AR16+1)</f>
        <v>55701</v>
      </c>
      <c r="AT15" s="55">
        <f t="shared" ref="AT15" si="28">IF(AT17=1,Model_Start_Date,AS16+1)</f>
        <v>56066</v>
      </c>
      <c r="AU15" s="55">
        <f t="shared" ref="AU15" si="29">IF(AU17=1,Model_Start_Date,AT16+1)</f>
        <v>56431</v>
      </c>
      <c r="AV15" s="55">
        <f t="shared" ref="AV15" si="30">IF(AV17=1,Model_Start_Date,AU16+1)</f>
        <v>56796</v>
      </c>
      <c r="AW15" s="55">
        <f t="shared" ref="AW15" si="31">IF(AW17=1,Model_Start_Date,AV16+1)</f>
        <v>57162</v>
      </c>
    </row>
    <row r="16" spans="2:49" s="7" customFormat="1" ht="12.75" outlineLevel="1" x14ac:dyDescent="0.3">
      <c r="B16" s="14" t="s">
        <v>52</v>
      </c>
      <c r="J16" s="55">
        <f t="shared" ref="J16:R16" si="32">EOMONTH(J15,Mths_In_Yr-1)</f>
        <v>43281</v>
      </c>
      <c r="K16" s="55">
        <f t="shared" si="32"/>
        <v>43646</v>
      </c>
      <c r="L16" s="55">
        <f t="shared" si="32"/>
        <v>44012</v>
      </c>
      <c r="M16" s="55">
        <f t="shared" si="32"/>
        <v>44377</v>
      </c>
      <c r="N16" s="55">
        <f t="shared" si="32"/>
        <v>44742</v>
      </c>
      <c r="O16" s="55">
        <f t="shared" si="32"/>
        <v>45107</v>
      </c>
      <c r="P16" s="55">
        <f t="shared" si="32"/>
        <v>45473</v>
      </c>
      <c r="Q16" s="55">
        <f t="shared" si="32"/>
        <v>45838</v>
      </c>
      <c r="R16" s="55">
        <f t="shared" si="32"/>
        <v>46203</v>
      </c>
      <c r="S16" s="55">
        <f t="shared" ref="S16:V16" si="33">EOMONTH(S15,Mths_In_Yr-1)</f>
        <v>46568</v>
      </c>
      <c r="T16" s="55">
        <f t="shared" si="33"/>
        <v>46934</v>
      </c>
      <c r="U16" s="55">
        <f t="shared" si="33"/>
        <v>47299</v>
      </c>
      <c r="V16" s="55">
        <f t="shared" si="33"/>
        <v>47664</v>
      </c>
      <c r="W16" s="55">
        <f t="shared" ref="W16:AB16" si="34">EOMONTH(W15,Mths_In_Yr-1)</f>
        <v>48029</v>
      </c>
      <c r="X16" s="55">
        <f t="shared" si="34"/>
        <v>48395</v>
      </c>
      <c r="Y16" s="55">
        <f t="shared" si="34"/>
        <v>48760</v>
      </c>
      <c r="Z16" s="55">
        <f t="shared" si="34"/>
        <v>49125</v>
      </c>
      <c r="AA16" s="55">
        <f t="shared" si="34"/>
        <v>49490</v>
      </c>
      <c r="AB16" s="55">
        <f t="shared" si="34"/>
        <v>49856</v>
      </c>
      <c r="AC16" s="55">
        <f t="shared" ref="AC16:AW16" si="35">EOMONTH(AC15,Mths_In_Yr-1)</f>
        <v>50221</v>
      </c>
      <c r="AD16" s="55">
        <f t="shared" si="35"/>
        <v>50586</v>
      </c>
      <c r="AE16" s="55">
        <f t="shared" si="35"/>
        <v>50951</v>
      </c>
      <c r="AF16" s="55">
        <f t="shared" si="35"/>
        <v>51317</v>
      </c>
      <c r="AG16" s="55">
        <f t="shared" si="35"/>
        <v>51682</v>
      </c>
      <c r="AH16" s="55">
        <f t="shared" si="35"/>
        <v>52047</v>
      </c>
      <c r="AI16" s="55">
        <f t="shared" si="35"/>
        <v>52412</v>
      </c>
      <c r="AJ16" s="55">
        <f t="shared" si="35"/>
        <v>52778</v>
      </c>
      <c r="AK16" s="55">
        <f t="shared" si="35"/>
        <v>53143</v>
      </c>
      <c r="AL16" s="55">
        <f t="shared" si="35"/>
        <v>53508</v>
      </c>
      <c r="AM16" s="55">
        <f t="shared" si="35"/>
        <v>53873</v>
      </c>
      <c r="AN16" s="55">
        <f t="shared" si="35"/>
        <v>54239</v>
      </c>
      <c r="AO16" s="55">
        <f t="shared" si="35"/>
        <v>54604</v>
      </c>
      <c r="AP16" s="55">
        <f t="shared" si="35"/>
        <v>54969</v>
      </c>
      <c r="AQ16" s="55">
        <f t="shared" si="35"/>
        <v>55334</v>
      </c>
      <c r="AR16" s="55">
        <f t="shared" si="35"/>
        <v>55700</v>
      </c>
      <c r="AS16" s="55">
        <f t="shared" si="35"/>
        <v>56065</v>
      </c>
      <c r="AT16" s="55">
        <f t="shared" si="35"/>
        <v>56430</v>
      </c>
      <c r="AU16" s="55">
        <f t="shared" si="35"/>
        <v>56795</v>
      </c>
      <c r="AV16" s="55">
        <f t="shared" si="35"/>
        <v>57161</v>
      </c>
      <c r="AW16" s="55">
        <f t="shared" si="35"/>
        <v>57526</v>
      </c>
    </row>
    <row r="17" spans="2:49" s="7" customFormat="1" ht="12.75" outlineLevel="1" x14ac:dyDescent="0.3">
      <c r="B17" s="14" t="s">
        <v>50</v>
      </c>
      <c r="J17" s="25">
        <f t="shared" ref="J17:R17" si="36">N(I17)+1</f>
        <v>1</v>
      </c>
      <c r="K17" s="25">
        <f t="shared" si="36"/>
        <v>2</v>
      </c>
      <c r="L17" s="25">
        <f t="shared" si="36"/>
        <v>3</v>
      </c>
      <c r="M17" s="25">
        <f t="shared" si="36"/>
        <v>4</v>
      </c>
      <c r="N17" s="25">
        <f t="shared" si="36"/>
        <v>5</v>
      </c>
      <c r="O17" s="25">
        <f t="shared" si="36"/>
        <v>6</v>
      </c>
      <c r="P17" s="25">
        <f t="shared" si="36"/>
        <v>7</v>
      </c>
      <c r="Q17" s="25">
        <f t="shared" si="36"/>
        <v>8</v>
      </c>
      <c r="R17" s="25">
        <f t="shared" si="36"/>
        <v>9</v>
      </c>
      <c r="S17" s="25">
        <f t="shared" ref="S17" si="37">N(R17)+1</f>
        <v>10</v>
      </c>
      <c r="T17" s="25">
        <f t="shared" ref="T17" si="38">N(S17)+1</f>
        <v>11</v>
      </c>
      <c r="U17" s="25">
        <f t="shared" ref="U17" si="39">N(T17)+1</f>
        <v>12</v>
      </c>
      <c r="V17" s="25">
        <f t="shared" ref="V17" si="40">N(U17)+1</f>
        <v>13</v>
      </c>
      <c r="W17" s="25">
        <f t="shared" ref="W17" si="41">N(V17)+1</f>
        <v>14</v>
      </c>
      <c r="X17" s="25">
        <f t="shared" ref="X17" si="42">N(W17)+1</f>
        <v>15</v>
      </c>
      <c r="Y17" s="25">
        <f t="shared" ref="Y17" si="43">N(X17)+1</f>
        <v>16</v>
      </c>
      <c r="Z17" s="25">
        <f t="shared" ref="Z17" si="44">N(Y17)+1</f>
        <v>17</v>
      </c>
      <c r="AA17" s="25">
        <f t="shared" ref="AA17" si="45">N(Z17)+1</f>
        <v>18</v>
      </c>
      <c r="AB17" s="25">
        <f t="shared" ref="AB17" si="46">N(AA17)+1</f>
        <v>19</v>
      </c>
      <c r="AC17" s="25">
        <f t="shared" ref="AC17" si="47">N(AB17)+1</f>
        <v>20</v>
      </c>
      <c r="AD17" s="25">
        <f t="shared" ref="AD17" si="48">N(AC17)+1</f>
        <v>21</v>
      </c>
      <c r="AE17" s="25">
        <f t="shared" ref="AE17" si="49">N(AD17)+1</f>
        <v>22</v>
      </c>
      <c r="AF17" s="25">
        <f t="shared" ref="AF17" si="50">N(AE17)+1</f>
        <v>23</v>
      </c>
      <c r="AG17" s="25">
        <f t="shared" ref="AG17" si="51">N(AF17)+1</f>
        <v>24</v>
      </c>
      <c r="AH17" s="25">
        <f t="shared" ref="AH17" si="52">N(AG17)+1</f>
        <v>25</v>
      </c>
      <c r="AI17" s="25">
        <f t="shared" ref="AI17" si="53">N(AH17)+1</f>
        <v>26</v>
      </c>
      <c r="AJ17" s="25">
        <f t="shared" ref="AJ17" si="54">N(AI17)+1</f>
        <v>27</v>
      </c>
      <c r="AK17" s="25">
        <f t="shared" ref="AK17" si="55">N(AJ17)+1</f>
        <v>28</v>
      </c>
      <c r="AL17" s="25">
        <f t="shared" ref="AL17" si="56">N(AK17)+1</f>
        <v>29</v>
      </c>
      <c r="AM17" s="25">
        <f t="shared" ref="AM17" si="57">N(AL17)+1</f>
        <v>30</v>
      </c>
      <c r="AN17" s="25">
        <f t="shared" ref="AN17" si="58">N(AM17)+1</f>
        <v>31</v>
      </c>
      <c r="AO17" s="25">
        <f t="shared" ref="AO17" si="59">N(AN17)+1</f>
        <v>32</v>
      </c>
      <c r="AP17" s="25">
        <f t="shared" ref="AP17" si="60">N(AO17)+1</f>
        <v>33</v>
      </c>
      <c r="AQ17" s="25">
        <f t="shared" ref="AQ17" si="61">N(AP17)+1</f>
        <v>34</v>
      </c>
      <c r="AR17" s="25">
        <f t="shared" ref="AR17" si="62">N(AQ17)+1</f>
        <v>35</v>
      </c>
      <c r="AS17" s="25">
        <f t="shared" ref="AS17" si="63">N(AR17)+1</f>
        <v>36</v>
      </c>
      <c r="AT17" s="25">
        <f t="shared" ref="AT17" si="64">N(AS17)+1</f>
        <v>37</v>
      </c>
      <c r="AU17" s="25">
        <f t="shared" ref="AU17" si="65">N(AT17)+1</f>
        <v>38</v>
      </c>
      <c r="AV17" s="25">
        <f t="shared" ref="AV17" si="66">N(AU17)+1</f>
        <v>39</v>
      </c>
      <c r="AW17" s="25">
        <f t="shared" ref="AW17" si="67">N(AV17)+1</f>
        <v>40</v>
      </c>
    </row>
    <row r="18" spans="2:49" s="7" customFormat="1" ht="12.75" outlineLevel="1" x14ac:dyDescent="0.3">
      <c r="B18" s="14" t="s">
        <v>57</v>
      </c>
      <c r="J18" s="11">
        <f t="shared" ref="J18" si="68">YEAR(J16)</f>
        <v>2018</v>
      </c>
      <c r="K18" s="11">
        <f t="shared" ref="K18:R18" si="69">YEAR(K16)</f>
        <v>2019</v>
      </c>
      <c r="L18" s="11">
        <f t="shared" si="69"/>
        <v>2020</v>
      </c>
      <c r="M18" s="11">
        <f t="shared" si="69"/>
        <v>2021</v>
      </c>
      <c r="N18" s="11">
        <f t="shared" si="69"/>
        <v>2022</v>
      </c>
      <c r="O18" s="11">
        <f t="shared" si="69"/>
        <v>2023</v>
      </c>
      <c r="P18" s="11">
        <f t="shared" si="69"/>
        <v>2024</v>
      </c>
      <c r="Q18" s="11">
        <f t="shared" si="69"/>
        <v>2025</v>
      </c>
      <c r="R18" s="11">
        <f t="shared" si="69"/>
        <v>2026</v>
      </c>
      <c r="S18" s="11">
        <f t="shared" ref="S18:V18" si="70">YEAR(S16)</f>
        <v>2027</v>
      </c>
      <c r="T18" s="11">
        <f t="shared" si="70"/>
        <v>2028</v>
      </c>
      <c r="U18" s="11">
        <f t="shared" si="70"/>
        <v>2029</v>
      </c>
      <c r="V18" s="11">
        <f t="shared" si="70"/>
        <v>2030</v>
      </c>
      <c r="W18" s="11">
        <f t="shared" ref="W18:AB18" si="71">YEAR(W16)</f>
        <v>2031</v>
      </c>
      <c r="X18" s="11">
        <f t="shared" si="71"/>
        <v>2032</v>
      </c>
      <c r="Y18" s="11">
        <f t="shared" si="71"/>
        <v>2033</v>
      </c>
      <c r="Z18" s="11">
        <f t="shared" si="71"/>
        <v>2034</v>
      </c>
      <c r="AA18" s="11">
        <f t="shared" si="71"/>
        <v>2035</v>
      </c>
      <c r="AB18" s="11">
        <f t="shared" si="71"/>
        <v>2036</v>
      </c>
      <c r="AC18" s="11">
        <f t="shared" ref="AC18:AW18" si="72">YEAR(AC16)</f>
        <v>2037</v>
      </c>
      <c r="AD18" s="11">
        <f t="shared" si="72"/>
        <v>2038</v>
      </c>
      <c r="AE18" s="11">
        <f t="shared" si="72"/>
        <v>2039</v>
      </c>
      <c r="AF18" s="11">
        <f t="shared" si="72"/>
        <v>2040</v>
      </c>
      <c r="AG18" s="11">
        <f t="shared" si="72"/>
        <v>2041</v>
      </c>
      <c r="AH18" s="11">
        <f t="shared" si="72"/>
        <v>2042</v>
      </c>
      <c r="AI18" s="11">
        <f t="shared" si="72"/>
        <v>2043</v>
      </c>
      <c r="AJ18" s="11">
        <f t="shared" si="72"/>
        <v>2044</v>
      </c>
      <c r="AK18" s="11">
        <f t="shared" si="72"/>
        <v>2045</v>
      </c>
      <c r="AL18" s="11">
        <f t="shared" si="72"/>
        <v>2046</v>
      </c>
      <c r="AM18" s="11">
        <f t="shared" si="72"/>
        <v>2047</v>
      </c>
      <c r="AN18" s="11">
        <f t="shared" si="72"/>
        <v>2048</v>
      </c>
      <c r="AO18" s="11">
        <f t="shared" si="72"/>
        <v>2049</v>
      </c>
      <c r="AP18" s="11">
        <f t="shared" si="72"/>
        <v>2050</v>
      </c>
      <c r="AQ18" s="11">
        <f t="shared" si="72"/>
        <v>2051</v>
      </c>
      <c r="AR18" s="11">
        <f t="shared" si="72"/>
        <v>2052</v>
      </c>
      <c r="AS18" s="11">
        <f t="shared" si="72"/>
        <v>2053</v>
      </c>
      <c r="AT18" s="11">
        <f t="shared" si="72"/>
        <v>2054</v>
      </c>
      <c r="AU18" s="11">
        <f t="shared" si="72"/>
        <v>2055</v>
      </c>
      <c r="AV18" s="11">
        <f t="shared" si="72"/>
        <v>2056</v>
      </c>
      <c r="AW18" s="11">
        <f t="shared" si="72"/>
        <v>2057</v>
      </c>
    </row>
    <row r="19" spans="2:49" s="7" customFormat="1" ht="12.75" outlineLevel="1" x14ac:dyDescent="0.3">
      <c r="B19" s="14" t="s">
        <v>58</v>
      </c>
      <c r="J19" s="17" t="s">
        <v>59</v>
      </c>
      <c r="K19" s="17" t="s">
        <v>59</v>
      </c>
      <c r="L19" s="17" t="s">
        <v>59</v>
      </c>
      <c r="M19" s="17" t="s">
        <v>56</v>
      </c>
      <c r="N19" s="17" t="s">
        <v>60</v>
      </c>
      <c r="O19" s="17" t="s">
        <v>60</v>
      </c>
      <c r="P19" s="17" t="s">
        <v>60</v>
      </c>
      <c r="Q19" s="17" t="s">
        <v>60</v>
      </c>
      <c r="R19" s="17" t="s">
        <v>60</v>
      </c>
      <c r="S19" s="17" t="s">
        <v>60</v>
      </c>
      <c r="T19" s="17" t="s">
        <v>60</v>
      </c>
      <c r="U19" s="17" t="s">
        <v>60</v>
      </c>
      <c r="V19" s="17" t="s">
        <v>60</v>
      </c>
      <c r="W19" s="17" t="s">
        <v>60</v>
      </c>
      <c r="X19" s="17" t="s">
        <v>60</v>
      </c>
      <c r="Y19" s="17" t="s">
        <v>60</v>
      </c>
      <c r="Z19" s="17" t="s">
        <v>60</v>
      </c>
      <c r="AA19" s="17" t="s">
        <v>60</v>
      </c>
      <c r="AB19" s="17" t="s">
        <v>60</v>
      </c>
      <c r="AC19" s="17" t="s">
        <v>60</v>
      </c>
      <c r="AD19" s="17" t="s">
        <v>60</v>
      </c>
      <c r="AE19" s="17" t="s">
        <v>60</v>
      </c>
      <c r="AF19" s="17" t="s">
        <v>60</v>
      </c>
      <c r="AG19" s="17" t="s">
        <v>60</v>
      </c>
      <c r="AH19" s="17" t="s">
        <v>60</v>
      </c>
      <c r="AI19" s="17" t="s">
        <v>60</v>
      </c>
      <c r="AJ19" s="17" t="s">
        <v>60</v>
      </c>
      <c r="AK19" s="17" t="s">
        <v>60</v>
      </c>
      <c r="AL19" s="17" t="s">
        <v>60</v>
      </c>
      <c r="AM19" s="17" t="s">
        <v>60</v>
      </c>
      <c r="AN19" s="17" t="s">
        <v>60</v>
      </c>
      <c r="AO19" s="17" t="s">
        <v>60</v>
      </c>
      <c r="AP19" s="17" t="s">
        <v>60</v>
      </c>
      <c r="AQ19" s="17" t="s">
        <v>60</v>
      </c>
      <c r="AR19" s="17" t="s">
        <v>60</v>
      </c>
      <c r="AS19" s="17" t="s">
        <v>60</v>
      </c>
      <c r="AT19" s="17" t="s">
        <v>60</v>
      </c>
      <c r="AU19" s="17" t="s">
        <v>60</v>
      </c>
      <c r="AV19" s="17" t="s">
        <v>60</v>
      </c>
      <c r="AW19" s="17" t="s">
        <v>60</v>
      </c>
    </row>
    <row r="20" spans="2:49" s="7" customFormat="1" ht="13.15" x14ac:dyDescent="0.3">
      <c r="B20" s="13" t="s">
        <v>61</v>
      </c>
      <c r="E20" s="18" t="s">
        <v>62</v>
      </c>
      <c r="F20" s="18" t="s">
        <v>63</v>
      </c>
      <c r="G20" s="18" t="s">
        <v>64</v>
      </c>
      <c r="H20" s="18" t="s">
        <v>65</v>
      </c>
      <c r="J20" s="56" t="str">
        <f t="shared" ref="J20" si="73">"RY"&amp;RIGHT(J18,2)</f>
        <v>RY18</v>
      </c>
      <c r="K20" s="56" t="str">
        <f t="shared" ref="K20:R20" si="74">"RY"&amp;RIGHT(K18,2)</f>
        <v>RY19</v>
      </c>
      <c r="L20" s="56" t="str">
        <f t="shared" si="74"/>
        <v>RY20</v>
      </c>
      <c r="M20" s="56" t="str">
        <f t="shared" si="74"/>
        <v>RY21</v>
      </c>
      <c r="N20" s="56" t="str">
        <f t="shared" si="74"/>
        <v>RY22</v>
      </c>
      <c r="O20" s="56" t="str">
        <f t="shared" si="74"/>
        <v>RY23</v>
      </c>
      <c r="P20" s="56" t="str">
        <f t="shared" si="74"/>
        <v>RY24</v>
      </c>
      <c r="Q20" s="56" t="str">
        <f t="shared" si="74"/>
        <v>RY25</v>
      </c>
      <c r="R20" s="56" t="str">
        <f t="shared" si="74"/>
        <v>RY26</v>
      </c>
      <c r="S20" s="56" t="str">
        <f t="shared" ref="S20:V20" si="75">"RY"&amp;RIGHT(S18,2)</f>
        <v>RY27</v>
      </c>
      <c r="T20" s="56" t="str">
        <f t="shared" si="75"/>
        <v>RY28</v>
      </c>
      <c r="U20" s="56" t="str">
        <f t="shared" si="75"/>
        <v>RY29</v>
      </c>
      <c r="V20" s="56" t="str">
        <f t="shared" si="75"/>
        <v>RY30</v>
      </c>
      <c r="W20" s="56" t="str">
        <f t="shared" ref="W20:AB20" si="76">"RY"&amp;RIGHT(W18,2)</f>
        <v>RY31</v>
      </c>
      <c r="X20" s="56" t="str">
        <f t="shared" si="76"/>
        <v>RY32</v>
      </c>
      <c r="Y20" s="56" t="str">
        <f t="shared" si="76"/>
        <v>RY33</v>
      </c>
      <c r="Z20" s="56" t="str">
        <f t="shared" si="76"/>
        <v>RY34</v>
      </c>
      <c r="AA20" s="56" t="str">
        <f t="shared" si="76"/>
        <v>RY35</v>
      </c>
      <c r="AB20" s="56" t="str">
        <f t="shared" si="76"/>
        <v>RY36</v>
      </c>
      <c r="AC20" s="56" t="str">
        <f t="shared" ref="AC20:AW20" si="77">"RY"&amp;RIGHT(AC18,2)</f>
        <v>RY37</v>
      </c>
      <c r="AD20" s="56" t="str">
        <f t="shared" si="77"/>
        <v>RY38</v>
      </c>
      <c r="AE20" s="56" t="str">
        <f t="shared" si="77"/>
        <v>RY39</v>
      </c>
      <c r="AF20" s="56" t="str">
        <f t="shared" si="77"/>
        <v>RY40</v>
      </c>
      <c r="AG20" s="56" t="str">
        <f t="shared" si="77"/>
        <v>RY41</v>
      </c>
      <c r="AH20" s="56" t="str">
        <f t="shared" si="77"/>
        <v>RY42</v>
      </c>
      <c r="AI20" s="56" t="str">
        <f t="shared" si="77"/>
        <v>RY43</v>
      </c>
      <c r="AJ20" s="56" t="str">
        <f t="shared" si="77"/>
        <v>RY44</v>
      </c>
      <c r="AK20" s="56" t="str">
        <f t="shared" si="77"/>
        <v>RY45</v>
      </c>
      <c r="AL20" s="56" t="str">
        <f t="shared" si="77"/>
        <v>RY46</v>
      </c>
      <c r="AM20" s="56" t="str">
        <f t="shared" si="77"/>
        <v>RY47</v>
      </c>
      <c r="AN20" s="56" t="str">
        <f t="shared" si="77"/>
        <v>RY48</v>
      </c>
      <c r="AO20" s="56" t="str">
        <f t="shared" si="77"/>
        <v>RY49</v>
      </c>
      <c r="AP20" s="56" t="str">
        <f t="shared" si="77"/>
        <v>RY50</v>
      </c>
      <c r="AQ20" s="56" t="str">
        <f t="shared" si="77"/>
        <v>RY51</v>
      </c>
      <c r="AR20" s="56" t="str">
        <f t="shared" si="77"/>
        <v>RY52</v>
      </c>
      <c r="AS20" s="56" t="str">
        <f t="shared" si="77"/>
        <v>RY53</v>
      </c>
      <c r="AT20" s="56" t="str">
        <f t="shared" si="77"/>
        <v>RY54</v>
      </c>
      <c r="AU20" s="56" t="str">
        <f t="shared" si="77"/>
        <v>RY55</v>
      </c>
      <c r="AV20" s="56" t="str">
        <f t="shared" si="77"/>
        <v>RY56</v>
      </c>
      <c r="AW20" s="56" t="str">
        <f t="shared" si="77"/>
        <v>RY57</v>
      </c>
    </row>
    <row r="21" spans="2:49" s="7" customFormat="1" x14ac:dyDescent="0.3">
      <c r="L21" s="21"/>
      <c r="M21" s="22"/>
      <c r="N21" s="22"/>
      <c r="O21" s="22"/>
    </row>
    <row r="22" spans="2:49" s="4" customFormat="1" ht="15" x14ac:dyDescent="0.3">
      <c r="B22" s="4" t="s">
        <v>44</v>
      </c>
    </row>
    <row r="23" spans="2:49" s="7" customFormat="1" x14ac:dyDescent="0.3">
      <c r="L23" s="21"/>
      <c r="M23" s="22"/>
      <c r="N23" s="22"/>
      <c r="O23" s="22"/>
    </row>
    <row r="24" spans="2:49" ht="13.15" x14ac:dyDescent="0.3">
      <c r="C24" s="8" t="s">
        <v>0</v>
      </c>
      <c r="E24" s="18" t="s">
        <v>1</v>
      </c>
    </row>
    <row r="25" spans="2:49" x14ac:dyDescent="0.3">
      <c r="E25" s="19"/>
    </row>
    <row r="26" spans="2:49" ht="12.75" x14ac:dyDescent="0.3">
      <c r="D26" s="15">
        <v>1</v>
      </c>
      <c r="E26" s="20" t="s">
        <v>2</v>
      </c>
    </row>
    <row r="27" spans="2:49" ht="12.75" x14ac:dyDescent="0.3">
      <c r="D27" s="15">
        <v>3</v>
      </c>
      <c r="E27" s="20" t="s">
        <v>3</v>
      </c>
    </row>
    <row r="28" spans="2:49" s="7" customFormat="1" ht="12.75" x14ac:dyDescent="0.3">
      <c r="D28" s="15">
        <v>4</v>
      </c>
      <c r="E28" s="20" t="s">
        <v>32</v>
      </c>
    </row>
    <row r="29" spans="2:49" ht="12.75" x14ac:dyDescent="0.3">
      <c r="D29" s="15">
        <v>12</v>
      </c>
      <c r="E29" s="20" t="s">
        <v>4</v>
      </c>
    </row>
    <row r="30" spans="2:49" s="7" customFormat="1" ht="12.75" x14ac:dyDescent="0.3">
      <c r="D30" s="15">
        <v>7</v>
      </c>
      <c r="E30" s="20" t="s">
        <v>13</v>
      </c>
    </row>
    <row r="31" spans="2:49" s="7" customFormat="1" ht="12.75" x14ac:dyDescent="0.3">
      <c r="D31" s="15">
        <v>365</v>
      </c>
      <c r="E31" s="20" t="s">
        <v>45</v>
      </c>
    </row>
    <row r="32" spans="2:49" s="7" customFormat="1" ht="12.75" x14ac:dyDescent="0.3">
      <c r="D32" s="15">
        <v>0.5</v>
      </c>
      <c r="E32" s="20" t="s">
        <v>8</v>
      </c>
    </row>
    <row r="33" spans="3:5" s="7" customFormat="1" ht="12.75" x14ac:dyDescent="0.3">
      <c r="D33" s="15">
        <v>1000000</v>
      </c>
      <c r="E33" s="20" t="s">
        <v>95</v>
      </c>
    </row>
    <row r="34" spans="3:5" ht="12.75" x14ac:dyDescent="0.3">
      <c r="D34" s="15" t="s">
        <v>6</v>
      </c>
      <c r="E34" s="20" t="s">
        <v>6</v>
      </c>
    </row>
    <row r="35" spans="3:5" s="7" customFormat="1" ht="12.75" x14ac:dyDescent="0.3">
      <c r="D35" s="15" t="s">
        <v>33</v>
      </c>
      <c r="E35" s="20" t="s">
        <v>34</v>
      </c>
    </row>
    <row r="36" spans="3:5" ht="12.75" x14ac:dyDescent="0.3">
      <c r="D36" s="15" t="s">
        <v>7</v>
      </c>
      <c r="E36" s="20" t="s">
        <v>7</v>
      </c>
    </row>
    <row r="37" spans="3:5" x14ac:dyDescent="0.3">
      <c r="E37" s="19"/>
    </row>
    <row r="38" spans="3:5" s="7" customFormat="1" ht="13.15" x14ac:dyDescent="0.3">
      <c r="C38" s="8" t="s">
        <v>0</v>
      </c>
      <c r="E38" s="18" t="s">
        <v>1</v>
      </c>
    </row>
    <row r="39" spans="3:5" s="7" customFormat="1" ht="12.75" x14ac:dyDescent="0.3">
      <c r="E39" s="20" t="s">
        <v>11</v>
      </c>
    </row>
    <row r="40" spans="3:5" s="7" customFormat="1" ht="12.75" x14ac:dyDescent="0.3">
      <c r="D40" s="15" t="s">
        <v>9</v>
      </c>
      <c r="E40" s="20" t="s">
        <v>9</v>
      </c>
    </row>
    <row r="41" spans="3:5" s="7" customFormat="1" ht="12.75" x14ac:dyDescent="0.3">
      <c r="D41" s="15" t="s">
        <v>10</v>
      </c>
      <c r="E41" s="20" t="s">
        <v>10</v>
      </c>
    </row>
    <row r="42" spans="3:5" s="7" customFormat="1" x14ac:dyDescent="0.3">
      <c r="E42" s="19"/>
    </row>
    <row r="43" spans="3:5" s="7" customFormat="1" ht="13.15" x14ac:dyDescent="0.3">
      <c r="C43" s="8" t="s">
        <v>70</v>
      </c>
      <c r="E43" s="18" t="s">
        <v>1</v>
      </c>
    </row>
    <row r="44" spans="3:5" s="7" customFormat="1" ht="12.75" x14ac:dyDescent="0.3">
      <c r="E44" s="20" t="s">
        <v>78</v>
      </c>
    </row>
    <row r="45" spans="3:5" s="7" customFormat="1" ht="12.75" x14ac:dyDescent="0.3">
      <c r="D45" s="15" t="s">
        <v>71</v>
      </c>
      <c r="E45" s="20" t="s">
        <v>71</v>
      </c>
    </row>
    <row r="46" spans="3:5" s="7" customFormat="1" ht="12.75" x14ac:dyDescent="0.3">
      <c r="D46" s="15" t="s">
        <v>72</v>
      </c>
      <c r="E46" s="20" t="s">
        <v>72</v>
      </c>
    </row>
    <row r="47" spans="3:5" s="7" customFormat="1" ht="12.75" x14ac:dyDescent="0.3">
      <c r="D47" s="15" t="s">
        <v>74</v>
      </c>
      <c r="E47" s="20" t="s">
        <v>76</v>
      </c>
    </row>
    <row r="48" spans="3:5" s="7" customFormat="1" ht="12.75" x14ac:dyDescent="0.3">
      <c r="D48" s="15" t="s">
        <v>75</v>
      </c>
      <c r="E48" s="20" t="s">
        <v>77</v>
      </c>
    </row>
    <row r="49" spans="3:6" s="7" customFormat="1" ht="12.75" x14ac:dyDescent="0.3">
      <c r="D49" s="15" t="s">
        <v>73</v>
      </c>
      <c r="E49" s="20" t="s">
        <v>73</v>
      </c>
    </row>
    <row r="50" spans="3:6" s="7" customFormat="1" ht="12.75" x14ac:dyDescent="0.3">
      <c r="D50" s="15" t="s">
        <v>88</v>
      </c>
      <c r="E50" s="20" t="s">
        <v>88</v>
      </c>
    </row>
    <row r="51" spans="3:6" s="7" customFormat="1" ht="12.75" x14ac:dyDescent="0.3">
      <c r="D51" s="15" t="s">
        <v>89</v>
      </c>
      <c r="E51" s="59" t="s">
        <v>90</v>
      </c>
    </row>
    <row r="52" spans="3:6" s="7" customFormat="1" ht="12.75" x14ac:dyDescent="0.3">
      <c r="D52" s="15" t="str">
        <f>NA</f>
        <v>N/A</v>
      </c>
      <c r="E52" s="20" t="s">
        <v>87</v>
      </c>
    </row>
    <row r="53" spans="3:6" s="7" customFormat="1" x14ac:dyDescent="0.3">
      <c r="E53" s="19"/>
    </row>
    <row r="54" spans="3:6" s="7" customFormat="1" ht="13.15" x14ac:dyDescent="0.3">
      <c r="C54" s="8" t="s">
        <v>64</v>
      </c>
      <c r="E54" s="18" t="s">
        <v>1</v>
      </c>
    </row>
    <row r="55" spans="3:6" s="7" customFormat="1" ht="12.75" x14ac:dyDescent="0.3">
      <c r="E55" s="20" t="s">
        <v>69</v>
      </c>
    </row>
    <row r="56" spans="3:6" s="7" customFormat="1" ht="12.75" x14ac:dyDescent="0.3">
      <c r="D56" s="15" t="s">
        <v>66</v>
      </c>
      <c r="E56" s="20" t="s">
        <v>68</v>
      </c>
    </row>
    <row r="57" spans="3:6" s="7" customFormat="1" ht="12.75" x14ac:dyDescent="0.3">
      <c r="D57" s="15" t="s">
        <v>92</v>
      </c>
      <c r="E57" s="20" t="s">
        <v>93</v>
      </c>
    </row>
    <row r="58" spans="3:6" s="7" customFormat="1" ht="12.75" x14ac:dyDescent="0.3">
      <c r="D58" s="15" t="str">
        <f>NA</f>
        <v>N/A</v>
      </c>
      <c r="E58" s="20" t="s">
        <v>87</v>
      </c>
    </row>
    <row r="59" spans="3:6" s="7" customFormat="1" ht="12.75" x14ac:dyDescent="0.3">
      <c r="D59" s="15" t="s">
        <v>67</v>
      </c>
      <c r="E59" s="20" t="s">
        <v>67</v>
      </c>
    </row>
    <row r="60" spans="3:6" s="7" customFormat="1" x14ac:dyDescent="0.3">
      <c r="E60" s="19"/>
    </row>
    <row r="61" spans="3:6" s="7" customFormat="1" ht="13.15" x14ac:dyDescent="0.3">
      <c r="C61" s="8" t="s">
        <v>65</v>
      </c>
      <c r="E61" s="18"/>
      <c r="F61" s="18" t="s">
        <v>1</v>
      </c>
    </row>
    <row r="62" spans="3:6" s="7" customFormat="1" ht="12.75" x14ac:dyDescent="0.3">
      <c r="D62" s="20" t="s">
        <v>82</v>
      </c>
      <c r="E62" s="20" t="s">
        <v>83</v>
      </c>
    </row>
    <row r="63" spans="3:6" s="7" customFormat="1" ht="12.75" x14ac:dyDescent="0.3">
      <c r="D63" s="15" t="s">
        <v>79</v>
      </c>
      <c r="E63" s="15">
        <v>0</v>
      </c>
      <c r="F63" s="20" t="s">
        <v>86</v>
      </c>
    </row>
    <row r="64" spans="3:6" s="7" customFormat="1" ht="12.75" x14ac:dyDescent="0.3">
      <c r="D64" s="15" t="s">
        <v>80</v>
      </c>
      <c r="E64" s="15">
        <v>0.5</v>
      </c>
      <c r="F64" s="20" t="s">
        <v>85</v>
      </c>
    </row>
    <row r="65" spans="2:6" s="7" customFormat="1" ht="12.75" x14ac:dyDescent="0.3">
      <c r="D65" s="15" t="s">
        <v>81</v>
      </c>
      <c r="E65" s="15">
        <v>1</v>
      </c>
      <c r="F65" s="20" t="s">
        <v>84</v>
      </c>
    </row>
    <row r="66" spans="2:6" s="7" customFormat="1" ht="12.75" x14ac:dyDescent="0.3">
      <c r="D66" s="15" t="str">
        <f>NA</f>
        <v>N/A</v>
      </c>
      <c r="E66" s="15" t="str">
        <f>NA</f>
        <v>N/A</v>
      </c>
      <c r="F66" s="20"/>
    </row>
    <row r="67" spans="2:6" s="7" customFormat="1" x14ac:dyDescent="0.3">
      <c r="E67" s="19"/>
    </row>
    <row r="68" spans="2:6" s="4" customFormat="1" ht="15" x14ac:dyDescent="0.3">
      <c r="B68" s="4" t="s">
        <v>31</v>
      </c>
    </row>
  </sheetData>
  <conditionalFormatting sqref="B2">
    <cfRule type="cellIs" dxfId="6" priority="1" operator="notEqual">
      <formula>"No Errors Found"</formula>
    </cfRule>
  </conditionalFormatting>
  <hyperlinks>
    <hyperlink ref="B3:E3" location="TOC!A1" display="TOC!A1" xr:uid="{00000000-0004-0000-0F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I23"/>
  <sheetViews>
    <sheetView showGridLines="0" zoomScaleNormal="100" workbookViewId="0">
      <pane xSplit="1" ySplit="4" topLeftCell="B5" activePane="bottomRight" state="frozen"/>
      <selection pane="topRight" activeCell="B1" sqref="B1"/>
      <selection pane="bottomLeft" activeCell="A4" sqref="A4"/>
      <selection pane="bottomRight" activeCell="B5" sqref="B5"/>
    </sheetView>
  </sheetViews>
  <sheetFormatPr defaultRowHeight="10.15" x14ac:dyDescent="0.3"/>
  <cols>
    <col min="1" max="3" width="2.83203125" customWidth="1"/>
    <col min="4" max="4" width="65" customWidth="1"/>
    <col min="5" max="7" width="3.83203125" customWidth="1"/>
  </cols>
  <sheetData>
    <row r="1" spans="1:9" ht="18.75" x14ac:dyDescent="0.3">
      <c r="A1" s="7"/>
      <c r="B1" s="5" t="s">
        <v>30</v>
      </c>
      <c r="C1" s="7"/>
      <c r="D1" s="7"/>
      <c r="E1" s="7"/>
      <c r="F1" s="7"/>
      <c r="G1" s="7"/>
      <c r="H1" s="7"/>
      <c r="I1" s="7"/>
    </row>
    <row r="2" spans="1:9" s="9" customFormat="1" x14ac:dyDescent="0.3">
      <c r="A2" s="7"/>
      <c r="B2" s="16" t="str">
        <f>Title_Msg</f>
        <v>No Errors Found</v>
      </c>
      <c r="C2" s="7"/>
      <c r="D2" s="7"/>
      <c r="E2" s="7"/>
      <c r="F2" s="7"/>
      <c r="G2" s="7"/>
      <c r="H2" s="7"/>
      <c r="I2" s="7"/>
    </row>
    <row r="3" spans="1:9" s="7" customFormat="1" x14ac:dyDescent="0.3">
      <c r="B3" s="53" t="str">
        <f>TOC!B1</f>
        <v>Table of Contents</v>
      </c>
      <c r="C3" s="47"/>
      <c r="D3" s="47"/>
      <c r="E3" s="47"/>
    </row>
    <row r="4" spans="1:9" s="7" customFormat="1" ht="13.15" x14ac:dyDescent="0.3">
      <c r="B4" s="44" t="str">
        <f>Model_Name</f>
        <v>Forecast Line Length Calculation</v>
      </c>
    </row>
    <row r="5" spans="1:9" s="9" customFormat="1" x14ac:dyDescent="0.3">
      <c r="A5" s="7"/>
      <c r="B5" s="16"/>
      <c r="C5" s="7"/>
      <c r="D5" s="7"/>
      <c r="E5" s="7"/>
      <c r="F5" s="7"/>
      <c r="G5" s="7"/>
      <c r="H5" s="7"/>
      <c r="I5" s="7"/>
    </row>
    <row r="6" spans="1:9" s="23" customFormat="1" ht="15" x14ac:dyDescent="0.3">
      <c r="B6" s="4" t="s">
        <v>16</v>
      </c>
    </row>
    <row r="7" spans="1:9" s="9" customFormat="1" ht="4.1500000000000004" customHeight="1" x14ac:dyDescent="0.3">
      <c r="A7" s="7"/>
      <c r="B7" s="24"/>
      <c r="C7" s="7"/>
      <c r="D7" s="7"/>
      <c r="E7" s="7"/>
      <c r="F7" s="7"/>
      <c r="G7" s="7"/>
      <c r="H7" s="7"/>
      <c r="I7" s="7"/>
    </row>
    <row r="8" spans="1:9" s="9" customFormat="1" ht="12.75" x14ac:dyDescent="0.3">
      <c r="A8" s="7"/>
      <c r="D8" s="10" t="s">
        <v>15</v>
      </c>
      <c r="E8" s="7"/>
      <c r="F8" s="7"/>
      <c r="G8" s="7"/>
      <c r="H8" s="11" t="str">
        <f>IF(H21=0,"No Errors Found","Errors Found")</f>
        <v>No Errors Found</v>
      </c>
      <c r="I8" s="7"/>
    </row>
    <row r="9" spans="1:9" s="9" customFormat="1" ht="12.75" x14ac:dyDescent="0.3">
      <c r="A9" s="7"/>
      <c r="D9" s="10" t="s">
        <v>17</v>
      </c>
      <c r="E9" s="7"/>
      <c r="F9" s="7"/>
      <c r="G9" s="7"/>
      <c r="H9" s="10"/>
      <c r="I9" s="7"/>
    </row>
    <row r="10" spans="1:9" s="9" customFormat="1" ht="12.75" x14ac:dyDescent="0.3">
      <c r="A10" s="7"/>
      <c r="D10" s="10" t="s">
        <v>18</v>
      </c>
      <c r="E10" s="7"/>
      <c r="F10" s="7"/>
      <c r="G10" s="7"/>
      <c r="H10" s="27" t="str">
        <f>H8&amp;IF(H9="","",", " &amp;H9)</f>
        <v>No Errors Found</v>
      </c>
      <c r="I10" s="7"/>
    </row>
    <row r="11" spans="1:9" s="9" customFormat="1" ht="4.1500000000000004" customHeight="1" x14ac:dyDescent="0.3">
      <c r="A11" s="7"/>
      <c r="B11" s="24"/>
      <c r="C11" s="7"/>
      <c r="D11" s="7"/>
      <c r="E11" s="7"/>
      <c r="F11" s="7"/>
      <c r="G11" s="7"/>
      <c r="H11" s="7"/>
      <c r="I11" s="7"/>
    </row>
    <row r="12" spans="1:9" s="23" customFormat="1" ht="15" x14ac:dyDescent="0.3">
      <c r="B12" s="4" t="s">
        <v>30</v>
      </c>
    </row>
    <row r="13" spans="1:9" s="9" customFormat="1" ht="4.1500000000000004" customHeight="1" x14ac:dyDescent="0.3">
      <c r="A13" s="7"/>
      <c r="B13" s="24"/>
      <c r="C13" s="7"/>
      <c r="D13" s="7"/>
      <c r="E13" s="7"/>
      <c r="F13" s="7"/>
      <c r="G13" s="7"/>
      <c r="H13" s="7"/>
      <c r="I13" s="7"/>
    </row>
    <row r="14" spans="1:9" s="12" customFormat="1" ht="13.9" x14ac:dyDescent="0.3">
      <c r="C14" s="12" t="s">
        <v>12</v>
      </c>
    </row>
    <row r="15" spans="1:9" s="9" customFormat="1" ht="4.1500000000000004" customHeight="1" x14ac:dyDescent="0.3">
      <c r="A15" s="7"/>
      <c r="B15" s="24"/>
      <c r="C15" s="7"/>
      <c r="D15" s="7"/>
      <c r="E15" s="7"/>
      <c r="F15" s="7"/>
      <c r="G15" s="7"/>
      <c r="H15" s="7"/>
      <c r="I15" s="7"/>
    </row>
    <row r="16" spans="1:9" s="9" customFormat="1" ht="13.15" x14ac:dyDescent="0.3">
      <c r="C16" s="13" t="s">
        <v>94</v>
      </c>
    </row>
    <row r="17" spans="1:9" s="9" customFormat="1" ht="4.1500000000000004" customHeight="1" x14ac:dyDescent="0.3">
      <c r="A17" s="7"/>
      <c r="B17" s="24"/>
      <c r="C17" s="7"/>
      <c r="D17" s="7"/>
      <c r="E17" s="7"/>
      <c r="F17" s="7"/>
      <c r="G17" s="7"/>
      <c r="H17" s="7"/>
      <c r="I17" s="7"/>
    </row>
    <row r="18" spans="1:9" s="9" customFormat="1" ht="12.75" x14ac:dyDescent="0.3">
      <c r="A18" s="7"/>
      <c r="D18" s="10" t="str">
        <f>Inputs!$B$1</f>
        <v>Inputs - Line length assumptions</v>
      </c>
      <c r="E18" s="7"/>
      <c r="F18" s="7"/>
      <c r="G18" s="7"/>
      <c r="H18" s="61">
        <f>Inputs!$A$1</f>
        <v>0</v>
      </c>
      <c r="I18" s="7"/>
    </row>
    <row r="19" spans="1:9" s="9" customFormat="1" ht="12.75" x14ac:dyDescent="0.3">
      <c r="A19" s="7"/>
      <c r="D19" s="10" t="str">
        <f>Calc!$B$1</f>
        <v>Calculations - Line length forecast</v>
      </c>
      <c r="E19" s="7"/>
      <c r="F19" s="7"/>
      <c r="G19" s="7"/>
      <c r="H19" s="61">
        <f>Calc!$A$1</f>
        <v>0</v>
      </c>
      <c r="I19" s="7"/>
    </row>
    <row r="20" spans="1:9" s="9" customFormat="1" ht="4.1500000000000004" customHeight="1" x14ac:dyDescent="0.3">
      <c r="A20" s="7"/>
      <c r="B20" s="24"/>
      <c r="C20" s="7"/>
      <c r="D20" s="7"/>
      <c r="E20" s="7"/>
      <c r="F20" s="7"/>
      <c r="G20" s="7"/>
      <c r="H20" s="7"/>
      <c r="I20" s="7"/>
    </row>
    <row r="21" spans="1:9" ht="13.15" x14ac:dyDescent="0.3">
      <c r="C21" s="13" t="s">
        <v>46</v>
      </c>
      <c r="H21" s="26">
        <f>IF(SUM(H18:H19)=0,0,1)</f>
        <v>0</v>
      </c>
    </row>
    <row r="22" spans="1:9" s="9" customFormat="1" ht="4.1500000000000004" customHeight="1" x14ac:dyDescent="0.3">
      <c r="A22" s="7"/>
      <c r="B22" s="24"/>
      <c r="C22" s="7"/>
      <c r="D22" s="7"/>
      <c r="E22" s="7"/>
      <c r="F22" s="7"/>
      <c r="G22" s="7"/>
      <c r="H22" s="7"/>
      <c r="I22" s="7"/>
    </row>
    <row r="23" spans="1:9" s="23" customFormat="1" ht="15" x14ac:dyDescent="0.3">
      <c r="B23" s="23" t="s">
        <v>31</v>
      </c>
    </row>
  </sheetData>
  <conditionalFormatting sqref="B7 B2 B5">
    <cfRule type="cellIs" dxfId="5" priority="21" operator="notEqual">
      <formula>"No Errors Found"</formula>
    </cfRule>
  </conditionalFormatting>
  <conditionalFormatting sqref="B11">
    <cfRule type="cellIs" dxfId="4" priority="18" operator="notEqual">
      <formula>"No Errors Found"</formula>
    </cfRule>
  </conditionalFormatting>
  <conditionalFormatting sqref="B13">
    <cfRule type="cellIs" dxfId="3" priority="17" operator="notEqual">
      <formula>"No Errors Found"</formula>
    </cfRule>
  </conditionalFormatting>
  <conditionalFormatting sqref="B15 B17">
    <cfRule type="cellIs" dxfId="2" priority="16" operator="notEqual">
      <formula>"No Errors Found"</formula>
    </cfRule>
  </conditionalFormatting>
  <conditionalFormatting sqref="B20">
    <cfRule type="cellIs" dxfId="1" priority="15" operator="notEqual">
      <formula>"No Errors Found"</formula>
    </cfRule>
  </conditionalFormatting>
  <conditionalFormatting sqref="B22">
    <cfRule type="cellIs" dxfId="0" priority="14" operator="notEqual">
      <formula>"No Errors Found"</formula>
    </cfRule>
  </conditionalFormatting>
  <hyperlinks>
    <hyperlink ref="B3:E3" location="TOC!A1" display="TOC!A1" xr:uid="{00000000-0004-0000-1000-000000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ct:contentTypeSchema xmlns:ct="http://schemas.microsoft.com/office/2006/metadata/contentType" xmlns:ma="http://schemas.microsoft.com/office/2006/metadata/properties/metaAttributes" ct:_="" ma:_="" ma:contentTypeName="Document" ma:contentTypeID="0x0101003BA3B04C24F8D74DBE21978B58C569F6" ma:contentTypeVersion="6" ma:contentTypeDescription="Create a new document." ma:contentTypeScope="" ma:versionID="a7feb8a73cf6b750bc32f6390f3d24f3">
  <xsd:schema xmlns:xsd="http://www.w3.org/2001/XMLSchema" xmlns:xs="http://www.w3.org/2001/XMLSchema" xmlns:p="http://schemas.microsoft.com/office/2006/metadata/properties" xmlns:ns2="4eb6023d-658b-4527-be73-24b0518f0bf9" xmlns:ns3="7aa583b4-7878-4620-ad4f-d1b586498304" targetNamespace="http://schemas.microsoft.com/office/2006/metadata/properties" ma:root="true" ma:fieldsID="ef6085330bcbcbe5f1a5203980ea3ed5" ns2:_="" ns3:_="">
    <xsd:import namespace="4eb6023d-658b-4527-be73-24b0518f0bf9"/>
    <xsd:import namespace="7aa583b4-7878-4620-ad4f-d1b5864983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b6023d-658b-4527-be73-24b0518f0bf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a583b4-7878-4620-ad4f-d1b58649830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7D1906-7167-4C5C-9E63-49526D43A088}">
  <ds:schemaRefs>
    <ds:schemaRef ds:uri="http://schemas.microsoft.com/PowerBIAddIn"/>
  </ds:schemaRefs>
</ds:datastoreItem>
</file>

<file path=customXml/itemProps2.xml><?xml version="1.0" encoding="utf-8"?>
<ds:datastoreItem xmlns:ds="http://schemas.openxmlformats.org/officeDocument/2006/customXml" ds:itemID="{5AD0742A-D61A-41E9-B3E4-CFBA08BD34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b6023d-658b-4527-be73-24b0518f0bf9"/>
    <ds:schemaRef ds:uri="7aa583b4-7878-4620-ad4f-d1b586498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97CDD1-FCE8-40FA-A22B-39998E6D97A8}">
  <ds:schemaRefs>
    <ds:schemaRef ds:uri="http://schemas.microsoft.com/office/2006/metadata/properties"/>
    <ds:schemaRef ds:uri="7aa583b4-7878-4620-ad4f-d1b586498304"/>
    <ds:schemaRef ds:uri="http://purl.org/dc/terms/"/>
    <ds:schemaRef ds:uri="http://schemas.microsoft.com/office/2006/documentManagement/types"/>
    <ds:schemaRef ds:uri="http://schemas.openxmlformats.org/package/2006/metadata/core-properties"/>
    <ds:schemaRef ds:uri="4eb6023d-658b-4527-be73-24b0518f0bf9"/>
    <ds:schemaRef ds:uri="http://purl.org/dc/elements/1.1/"/>
    <ds:schemaRef ds:uri="http://www.w3.org/XML/1998/namespace"/>
    <ds:schemaRef ds:uri="http://schemas.microsoft.com/office/infopath/2007/PartnerControls"/>
    <ds:schemaRef ds:uri="http://purl.org/dc/dcmitype/"/>
  </ds:schemaRefs>
</ds:datastoreItem>
</file>

<file path=customXml/itemProps4.xml><?xml version="1.0" encoding="utf-8"?>
<ds:datastoreItem xmlns:ds="http://schemas.openxmlformats.org/officeDocument/2006/customXml" ds:itemID="{CA4CC24A-A301-4156-98D3-737AA101AD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36</vt:i4>
      </vt:variant>
    </vt:vector>
  </HeadingPairs>
  <TitlesOfParts>
    <vt:vector size="42" baseType="lpstr">
      <vt:lpstr>Cover</vt:lpstr>
      <vt:lpstr>TOC</vt:lpstr>
      <vt:lpstr>Inputs</vt:lpstr>
      <vt:lpstr>Calc</vt:lpstr>
      <vt:lpstr>Lookup</vt:lpstr>
      <vt:lpstr>Checks</vt:lpstr>
      <vt:lpstr>Base_Year</vt:lpstr>
      <vt:lpstr>Days_In_Wk</vt:lpstr>
      <vt:lpstr>Days_In_Yr</vt:lpstr>
      <vt:lpstr>Dollars</vt:lpstr>
      <vt:lpstr>End_year</vt:lpstr>
      <vt:lpstr>Error</vt:lpstr>
      <vt:lpstr>Factor</vt:lpstr>
      <vt:lpstr>Half</vt:lpstr>
      <vt:lpstr>Kilometres</vt:lpstr>
      <vt:lpstr>LU_Basis</vt:lpstr>
      <vt:lpstr>LU_Timing</vt:lpstr>
      <vt:lpstr>LU_Timing_Value</vt:lpstr>
      <vt:lpstr>LU_Units</vt:lpstr>
      <vt:lpstr>Mid_year</vt:lpstr>
      <vt:lpstr>Million</vt:lpstr>
      <vt:lpstr>Millions</vt:lpstr>
      <vt:lpstr>Model_Name</vt:lpstr>
      <vt:lpstr>Model_Start_Date</vt:lpstr>
      <vt:lpstr>Mths_In_Mth</vt:lpstr>
      <vt:lpstr>Mths_In_Qtr</vt:lpstr>
      <vt:lpstr>Mths_In_Yr</vt:lpstr>
      <vt:lpstr>NA</vt:lpstr>
      <vt:lpstr>No</vt:lpstr>
      <vt:lpstr>Nominal</vt:lpstr>
      <vt:lpstr>Number</vt:lpstr>
      <vt:lpstr>Ok</vt:lpstr>
      <vt:lpstr>Percent</vt:lpstr>
      <vt:lpstr>Qtrs_In_Yr</vt:lpstr>
      <vt:lpstr>RA_RY</vt:lpstr>
      <vt:lpstr>Real2018</vt:lpstr>
      <vt:lpstr>Real2019</vt:lpstr>
      <vt:lpstr>Start_year</vt:lpstr>
      <vt:lpstr>Thousands</vt:lpstr>
      <vt:lpstr>Title_Msg</vt:lpstr>
      <vt:lpstr>Yes</vt:lpstr>
      <vt:lpstr>Yes_No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Power and Water Corporation</dc:creator>
  <cp:lastModifiedBy>Eli Grace-Webb</cp:lastModifiedBy>
  <cp:lastPrinted>2017-09-21T03:25:38Z</cp:lastPrinted>
  <dcterms:created xsi:type="dcterms:W3CDTF">2012-02-19T06:14:59Z</dcterms:created>
  <dcterms:modified xsi:type="dcterms:W3CDTF">2018-11-24T12:47:00Z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0x0101003BA3B04C24F8D74DBE21978B58C569F6</vt:lpwstr>
  </property>
</Properties>
</file>