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farrierswier.sharepoint.com/projects/607_PWC_AER2429_Modelling/Working/Scenarios/IP10/Submission/"/>
    </mc:Choice>
  </mc:AlternateContent>
  <xr:revisionPtr revIDLastSave="37" documentId="13_ncr:800001_{CB49AB11-63BB-4FAC-BD65-F0AC59AA607A}" xr6:coauthVersionLast="47" xr6:coauthVersionMax="47" xr10:uidLastSave="{D6143094-D853-4E3D-B132-57702E489564}"/>
  <bookViews>
    <workbookView xWindow="-98" yWindow="-98" windowWidth="22695" windowHeight="14476" tabRatio="847" xr2:uid="{00000000-000D-0000-FFFF-FFFF00000000}"/>
  </bookViews>
  <sheets>
    <sheet name="Cover" sheetId="27" r:id="rId1"/>
    <sheet name="TOC" sheetId="28" r:id="rId2"/>
    <sheet name="Input_CPI" sheetId="79" r:id="rId3"/>
    <sheet name="Input_Data" sheetId="34" r:id="rId4"/>
    <sheet name="Calc_Returns" sheetId="49" r:id="rId5"/>
    <sheet name="Output_PTRM" sheetId="78" r:id="rId6"/>
    <sheet name="Lookup" sheetId="4" r:id="rId7"/>
    <sheet name="Checks" sheetId="25" r:id="rId8"/>
  </sheets>
  <definedNames>
    <definedName name="A_Weight">Input_Data!$M$84</definedName>
    <definedName name="Base_Year">Lookup!$E$11</definedName>
    <definedName name="BBB_Weight">Input_Data!$L$84</definedName>
    <definedName name="Beta">Input_Data!$J$94</definedName>
    <definedName name="Days_In_Wk">Lookup!$D$30</definedName>
    <definedName name="Days_In_Yr">Lookup!$D$31</definedName>
    <definedName name="Dollars">Lookup!$D$45</definedName>
    <definedName name="End_year">Lookup!$F$66</definedName>
    <definedName name="Error">Lookup!$D$35</definedName>
    <definedName name="Factor">Lookup!$D$48</definedName>
    <definedName name="Gamma">Input_Data!$J$95</definedName>
    <definedName name="Half">Lookup!$D$32</definedName>
    <definedName name="Inflation">Calc_Returns!$O$73</definedName>
    <definedName name="Kilometres">Lookup!$D$52</definedName>
    <definedName name="Leverage">Input_Data!$J$96</definedName>
    <definedName name="LU_Basis">Lookup!$D$57:$D$60</definedName>
    <definedName name="LU_Source">Lookup!$D$73:$D$74</definedName>
    <definedName name="LU_Timing">Lookup!$D$64:$D$67</definedName>
    <definedName name="LU_Timing_Value">Lookup!$E$64:$E$67</definedName>
    <definedName name="LU_Units">Lookup!$D$44:$D$53</definedName>
    <definedName name="Mid_year">Lookup!$D$65</definedName>
    <definedName name="Millions">Lookup!$D$46</definedName>
    <definedName name="Model_Name">Cover!$B$3</definedName>
    <definedName name="Model_Start_Date">Lookup!$E$10</definedName>
    <definedName name="MRP">Input_Data!$J$93</definedName>
    <definedName name="Mths_In_Mth">Lookup!$D$26</definedName>
    <definedName name="Mths_In_Qtr">Lookup!$D$27</definedName>
    <definedName name="Mths_In_Yr">Lookup!$D$29</definedName>
    <definedName name="NA">Lookup!$D$34</definedName>
    <definedName name="No">Lookup!$D$40</definedName>
    <definedName name="Nominal">Lookup!$D$60</definedName>
    <definedName name="Number">Lookup!$D$49</definedName>
    <definedName name="Ok">Lookup!$D$33</definedName>
    <definedName name="Percent">Lookup!$D$44</definedName>
    <definedName name="Qtrs_In_Yr">Lookup!$D$28</definedName>
    <definedName name="Real2018">Lookup!$D$57</definedName>
    <definedName name="Real2019">Lookup!$D$58</definedName>
    <definedName name="RFR">Calc_Returns!$R$41</definedName>
    <definedName name="ROD">Calc_Returns!$O$75</definedName>
    <definedName name="ROE">Calc_Returns!$O$74</definedName>
    <definedName name="Start_year">Lookup!$D$64</definedName>
    <definedName name="Thousands">Lookup!$D$47</definedName>
    <definedName name="Title_Msg">Checks!$H$10</definedName>
    <definedName name="Weight_New_Debt">Input_Data!$J$82</definedName>
    <definedName name="Yes">Lookup!$D$39</definedName>
    <definedName name="Yes_No">Lookup!$D$39:$D$40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25" l="1"/>
  <c r="D23" i="25"/>
  <c r="P39" i="49"/>
  <c r="P38" i="49"/>
  <c r="P37" i="49"/>
  <c r="P36" i="49"/>
  <c r="P35" i="49"/>
  <c r="P34" i="49"/>
  <c r="P33" i="49"/>
  <c r="P32" i="49"/>
  <c r="P31" i="49"/>
  <c r="P30" i="49"/>
  <c r="P29" i="49"/>
  <c r="P28" i="49"/>
  <c r="P27" i="49"/>
  <c r="P26" i="49"/>
  <c r="P25" i="49"/>
  <c r="P24" i="49"/>
  <c r="P23" i="49"/>
  <c r="P22" i="49"/>
  <c r="P21" i="49"/>
  <c r="P20" i="49"/>
  <c r="P19" i="49"/>
  <c r="J49" i="49"/>
  <c r="K49" i="49"/>
  <c r="H63" i="34"/>
  <c r="N19" i="49" l="1"/>
  <c r="K20" i="49"/>
  <c r="K19" i="49"/>
  <c r="D19" i="49"/>
  <c r="H49" i="49"/>
  <c r="F49" i="49"/>
  <c r="M19" i="49"/>
  <c r="M20" i="49" s="1"/>
  <c r="M21" i="49" s="1"/>
  <c r="M22" i="49" s="1"/>
  <c r="M23" i="49" s="1"/>
  <c r="M24" i="49" s="1"/>
  <c r="M25" i="49" s="1"/>
  <c r="M26" i="49" s="1"/>
  <c r="M27" i="49" s="1"/>
  <c r="M28" i="49" s="1"/>
  <c r="M29" i="49" s="1"/>
  <c r="M30" i="49" s="1"/>
  <c r="M31" i="49" s="1"/>
  <c r="M32" i="49" s="1"/>
  <c r="M33" i="49" s="1"/>
  <c r="M34" i="49" s="1"/>
  <c r="M35" i="49" s="1"/>
  <c r="M36" i="49" s="1"/>
  <c r="M37" i="49" s="1"/>
  <c r="M38" i="49" s="1"/>
  <c r="M39" i="49" s="1"/>
  <c r="J19" i="49"/>
  <c r="J20" i="49" s="1"/>
  <c r="J21" i="49" s="1"/>
  <c r="J22" i="49" s="1"/>
  <c r="J23" i="49" s="1"/>
  <c r="J24" i="49" s="1"/>
  <c r="J25" i="49" s="1"/>
  <c r="J26" i="49" s="1"/>
  <c r="J27" i="49" s="1"/>
  <c r="J28" i="49" s="1"/>
  <c r="J29" i="49" s="1"/>
  <c r="J30" i="49" s="1"/>
  <c r="J31" i="49" s="1"/>
  <c r="J32" i="49" s="1"/>
  <c r="J33" i="49" s="1"/>
  <c r="J34" i="49" s="1"/>
  <c r="J35" i="49" s="1"/>
  <c r="J36" i="49" s="1"/>
  <c r="J37" i="49" s="1"/>
  <c r="J38" i="49" s="1"/>
  <c r="J39" i="49" s="1"/>
  <c r="H20" i="49"/>
  <c r="F20" i="49"/>
  <c r="H19" i="49"/>
  <c r="F19" i="49"/>
  <c r="N20" i="49"/>
  <c r="L49" i="49" l="1"/>
  <c r="Q19" i="49"/>
  <c r="R19" i="49" s="1"/>
  <c r="D20" i="49"/>
  <c r="Q20" i="49" s="1"/>
  <c r="R20" i="49" s="1"/>
  <c r="N75" i="34" l="1"/>
  <c r="O58" i="49"/>
  <c r="P58" i="49" s="1"/>
  <c r="Q58" i="49" s="1"/>
  <c r="R58" i="49" s="1"/>
  <c r="S58" i="49" s="1"/>
  <c r="O19" i="34"/>
  <c r="O33" i="79"/>
  <c r="O28" i="79"/>
  <c r="O16" i="79"/>
  <c r="O21" i="79"/>
  <c r="S18" i="78"/>
  <c r="M16" i="49" l="1"/>
  <c r="J16" i="49"/>
  <c r="D38" i="49"/>
  <c r="H41" i="49"/>
  <c r="F41" i="49"/>
  <c r="H39" i="49"/>
  <c r="F39" i="49"/>
  <c r="H38" i="49"/>
  <c r="F38" i="49"/>
  <c r="H37" i="49"/>
  <c r="F37" i="49"/>
  <c r="H36" i="49"/>
  <c r="F36" i="49"/>
  <c r="H35" i="49"/>
  <c r="F35" i="49"/>
  <c r="H34" i="49"/>
  <c r="F34" i="49"/>
  <c r="H33" i="49"/>
  <c r="F33" i="49"/>
  <c r="H32" i="49"/>
  <c r="F32" i="49"/>
  <c r="H31" i="49"/>
  <c r="F31" i="49"/>
  <c r="H30" i="49"/>
  <c r="F30" i="49"/>
  <c r="H29" i="49"/>
  <c r="F29" i="49"/>
  <c r="H28" i="49"/>
  <c r="F28" i="49"/>
  <c r="H27" i="49"/>
  <c r="F27" i="49"/>
  <c r="H26" i="49"/>
  <c r="F26" i="49"/>
  <c r="H25" i="49"/>
  <c r="F25" i="49"/>
  <c r="H24" i="49"/>
  <c r="F24" i="49"/>
  <c r="H23" i="49"/>
  <c r="F23" i="49"/>
  <c r="H22" i="49"/>
  <c r="F22" i="49"/>
  <c r="H21" i="49"/>
  <c r="F21" i="49"/>
  <c r="H17" i="49"/>
  <c r="G17" i="49"/>
  <c r="F17" i="49"/>
  <c r="E17" i="49"/>
  <c r="N39" i="49"/>
  <c r="N38" i="49"/>
  <c r="N37" i="49"/>
  <c r="N36" i="49"/>
  <c r="N35" i="49"/>
  <c r="N34" i="49"/>
  <c r="N33" i="49"/>
  <c r="N32" i="49"/>
  <c r="N31" i="49"/>
  <c r="N30" i="49"/>
  <c r="N29" i="49"/>
  <c r="N28" i="49"/>
  <c r="N27" i="49"/>
  <c r="N26" i="49"/>
  <c r="N25" i="49"/>
  <c r="N24" i="49"/>
  <c r="N23" i="49"/>
  <c r="N22" i="49"/>
  <c r="N21" i="49"/>
  <c r="K39" i="49"/>
  <c r="K38" i="49"/>
  <c r="K37" i="49"/>
  <c r="K36" i="49"/>
  <c r="K35" i="49"/>
  <c r="K34" i="49"/>
  <c r="K33" i="49"/>
  <c r="K32" i="49"/>
  <c r="K31" i="49"/>
  <c r="K30" i="49"/>
  <c r="K29" i="49"/>
  <c r="K28" i="49"/>
  <c r="K27" i="49"/>
  <c r="K26" i="49"/>
  <c r="K25" i="49"/>
  <c r="K24" i="49"/>
  <c r="K23" i="49"/>
  <c r="K22" i="49"/>
  <c r="K21" i="49"/>
  <c r="D39" i="49"/>
  <c r="D37" i="49"/>
  <c r="D36" i="49"/>
  <c r="D35" i="49"/>
  <c r="D34" i="49"/>
  <c r="D33" i="49"/>
  <c r="D32" i="49"/>
  <c r="D31" i="49"/>
  <c r="D30" i="49"/>
  <c r="D29" i="49"/>
  <c r="D25" i="49"/>
  <c r="D24" i="49"/>
  <c r="H58" i="34"/>
  <c r="F58" i="34"/>
  <c r="H57" i="34"/>
  <c r="F57" i="34"/>
  <c r="H56" i="34"/>
  <c r="F56" i="34"/>
  <c r="H55" i="34"/>
  <c r="F55" i="34"/>
  <c r="H54" i="34"/>
  <c r="F54" i="34"/>
  <c r="H53" i="34"/>
  <c r="F53" i="34"/>
  <c r="H52" i="34"/>
  <c r="F52" i="34"/>
  <c r="H51" i="34"/>
  <c r="F51" i="34"/>
  <c r="H50" i="34"/>
  <c r="F50" i="34"/>
  <c r="H49" i="34"/>
  <c r="F49" i="34"/>
  <c r="H48" i="34"/>
  <c r="F48" i="34"/>
  <c r="K33" i="79"/>
  <c r="H27" i="25"/>
  <c r="J33" i="79"/>
  <c r="K21" i="79"/>
  <c r="K18" i="34" s="1"/>
  <c r="J21" i="79"/>
  <c r="I21" i="79"/>
  <c r="H47" i="49"/>
  <c r="G47" i="49"/>
  <c r="F47" i="49"/>
  <c r="E47" i="49"/>
  <c r="H28" i="79"/>
  <c r="G28" i="79"/>
  <c r="F28" i="79"/>
  <c r="E28" i="79"/>
  <c r="H16" i="79"/>
  <c r="G16" i="79"/>
  <c r="F16" i="79"/>
  <c r="E16" i="79"/>
  <c r="N33" i="79"/>
  <c r="M33" i="79"/>
  <c r="L33" i="79"/>
  <c r="I33" i="79"/>
  <c r="H33" i="79"/>
  <c r="G33" i="79"/>
  <c r="F33" i="79"/>
  <c r="D33" i="79"/>
  <c r="H31" i="79"/>
  <c r="G31" i="79"/>
  <c r="F31" i="79"/>
  <c r="H30" i="79"/>
  <c r="G30" i="79"/>
  <c r="F30" i="79"/>
  <c r="N21" i="79"/>
  <c r="M21" i="79"/>
  <c r="L21" i="79"/>
  <c r="L18" i="34" s="1"/>
  <c r="H21" i="79"/>
  <c r="G21" i="79"/>
  <c r="F21" i="79"/>
  <c r="D21" i="79"/>
  <c r="H19" i="79"/>
  <c r="G19" i="79"/>
  <c r="F19" i="79"/>
  <c r="H18" i="79"/>
  <c r="G18" i="79"/>
  <c r="F18" i="79"/>
  <c r="D18" i="25"/>
  <c r="D10" i="28"/>
  <c r="H10" i="79"/>
  <c r="G10" i="79"/>
  <c r="F10" i="79"/>
  <c r="E10" i="79"/>
  <c r="B10" i="79"/>
  <c r="X9" i="79"/>
  <c r="W9" i="79"/>
  <c r="V9" i="79"/>
  <c r="U9" i="79"/>
  <c r="T9" i="79"/>
  <c r="S9" i="79"/>
  <c r="R9" i="79"/>
  <c r="Q9" i="79"/>
  <c r="P9" i="79"/>
  <c r="O9" i="79"/>
  <c r="N9" i="79"/>
  <c r="M9" i="79"/>
  <c r="L9" i="79"/>
  <c r="K9" i="79"/>
  <c r="J9" i="79"/>
  <c r="B9" i="79"/>
  <c r="B8" i="79"/>
  <c r="B7" i="79"/>
  <c r="B6" i="79"/>
  <c r="B5" i="79"/>
  <c r="B4" i="79"/>
  <c r="B3" i="79"/>
  <c r="A1" i="79"/>
  <c r="H18" i="25"/>
  <c r="H26" i="78"/>
  <c r="G26" i="78"/>
  <c r="F26" i="78"/>
  <c r="J18" i="34"/>
  <c r="O33" i="78"/>
  <c r="O34" i="78"/>
  <c r="O35" i="78"/>
  <c r="O36" i="78"/>
  <c r="O37" i="78"/>
  <c r="H84" i="34"/>
  <c r="F84" i="34"/>
  <c r="K57" i="49"/>
  <c r="K59" i="49" s="1"/>
  <c r="S62" i="49"/>
  <c r="R62" i="49"/>
  <c r="Q62" i="49"/>
  <c r="P62" i="49"/>
  <c r="O62" i="49"/>
  <c r="N62" i="49"/>
  <c r="M62" i="49"/>
  <c r="L62" i="49"/>
  <c r="K62" i="49"/>
  <c r="H82" i="34"/>
  <c r="F82" i="34"/>
  <c r="H80" i="34"/>
  <c r="D58" i="49"/>
  <c r="D57" i="49"/>
  <c r="N57" i="49"/>
  <c r="M57" i="49"/>
  <c r="M59" i="49" s="1"/>
  <c r="L57" i="49"/>
  <c r="L59" i="49" s="1"/>
  <c r="K58" i="49"/>
  <c r="J58" i="49"/>
  <c r="J57" i="49"/>
  <c r="J59" i="49" s="1"/>
  <c r="J64" i="49" s="1"/>
  <c r="J17" i="4"/>
  <c r="J7" i="79"/>
  <c r="H75" i="34"/>
  <c r="F75" i="34"/>
  <c r="H64" i="49"/>
  <c r="F64" i="49"/>
  <c r="H62" i="49"/>
  <c r="G62" i="49"/>
  <c r="F62" i="49"/>
  <c r="H59" i="49"/>
  <c r="F59" i="49"/>
  <c r="H58" i="49"/>
  <c r="F58" i="49"/>
  <c r="H54" i="49"/>
  <c r="G54" i="49"/>
  <c r="F54" i="49"/>
  <c r="E54" i="49"/>
  <c r="H57" i="49"/>
  <c r="F57" i="49"/>
  <c r="H47" i="34"/>
  <c r="F47" i="34"/>
  <c r="G33" i="34"/>
  <c r="G32" i="34"/>
  <c r="H75" i="49"/>
  <c r="D19" i="25"/>
  <c r="D27" i="25"/>
  <c r="H73" i="49"/>
  <c r="F73" i="49"/>
  <c r="W9" i="34"/>
  <c r="X9" i="34"/>
  <c r="U9" i="34"/>
  <c r="V9" i="34"/>
  <c r="T9" i="34"/>
  <c r="H19" i="34"/>
  <c r="G19" i="34"/>
  <c r="F19" i="34"/>
  <c r="H74" i="49"/>
  <c r="F74" i="49"/>
  <c r="F75" i="49"/>
  <c r="H71" i="49"/>
  <c r="G71" i="49"/>
  <c r="F71" i="49"/>
  <c r="E71" i="49"/>
  <c r="S9" i="78"/>
  <c r="H24" i="78"/>
  <c r="G24" i="78"/>
  <c r="F24" i="78"/>
  <c r="O22" i="78"/>
  <c r="O21" i="78"/>
  <c r="H22" i="78"/>
  <c r="G22" i="78"/>
  <c r="F22" i="78"/>
  <c r="H21" i="78"/>
  <c r="G21" i="78"/>
  <c r="F21" i="78"/>
  <c r="H20" i="78"/>
  <c r="G20" i="78"/>
  <c r="F20" i="78"/>
  <c r="H18" i="78"/>
  <c r="G18" i="78"/>
  <c r="F18" i="78"/>
  <c r="H37" i="78"/>
  <c r="G37" i="78"/>
  <c r="F37" i="78"/>
  <c r="H36" i="78"/>
  <c r="G36" i="78"/>
  <c r="F36" i="78"/>
  <c r="H35" i="78"/>
  <c r="G35" i="78"/>
  <c r="F35" i="78"/>
  <c r="H34" i="78"/>
  <c r="G34" i="78"/>
  <c r="F34" i="78"/>
  <c r="H33" i="78"/>
  <c r="G33" i="78"/>
  <c r="F33" i="78"/>
  <c r="H31" i="78"/>
  <c r="G31" i="78"/>
  <c r="F31" i="78"/>
  <c r="E31" i="78"/>
  <c r="H16" i="78"/>
  <c r="G16" i="78"/>
  <c r="F16" i="78"/>
  <c r="E16" i="78"/>
  <c r="H72" i="34"/>
  <c r="H38" i="34"/>
  <c r="F38" i="34"/>
  <c r="H95" i="34"/>
  <c r="F95" i="34"/>
  <c r="H107" i="34"/>
  <c r="F107" i="34"/>
  <c r="H106" i="34"/>
  <c r="F106" i="34"/>
  <c r="H105" i="34"/>
  <c r="F105" i="34"/>
  <c r="H104" i="34"/>
  <c r="F104" i="34"/>
  <c r="H101" i="34"/>
  <c r="H103" i="34"/>
  <c r="F103" i="34"/>
  <c r="H96" i="34"/>
  <c r="F96" i="34"/>
  <c r="H94" i="34"/>
  <c r="F94" i="34"/>
  <c r="H93" i="34"/>
  <c r="F93" i="34"/>
  <c r="H91" i="34"/>
  <c r="H46" i="34"/>
  <c r="H45" i="34"/>
  <c r="H44" i="34"/>
  <c r="H43" i="34"/>
  <c r="H42" i="34"/>
  <c r="H41" i="34"/>
  <c r="H40" i="34"/>
  <c r="H39" i="34"/>
  <c r="H33" i="34"/>
  <c r="H32" i="34"/>
  <c r="H30" i="34"/>
  <c r="F46" i="34"/>
  <c r="F45" i="34"/>
  <c r="F44" i="34"/>
  <c r="F43" i="34"/>
  <c r="F42" i="34"/>
  <c r="F41" i="34"/>
  <c r="F40" i="34"/>
  <c r="F39" i="34"/>
  <c r="L9" i="49"/>
  <c r="K9" i="49"/>
  <c r="J9" i="49"/>
  <c r="D12" i="28"/>
  <c r="M9" i="49"/>
  <c r="N9" i="49"/>
  <c r="H10" i="78"/>
  <c r="G10" i="78"/>
  <c r="F10" i="78"/>
  <c r="E10" i="78"/>
  <c r="B10" i="78"/>
  <c r="R9" i="78"/>
  <c r="Q9" i="78"/>
  <c r="P9" i="78"/>
  <c r="O9" i="78"/>
  <c r="N9" i="78"/>
  <c r="M9" i="78"/>
  <c r="L9" i="78"/>
  <c r="K9" i="78"/>
  <c r="J9" i="78"/>
  <c r="B9" i="78"/>
  <c r="B8" i="78"/>
  <c r="B7" i="78"/>
  <c r="B6" i="78"/>
  <c r="B5" i="78"/>
  <c r="B4" i="78"/>
  <c r="B3" i="78"/>
  <c r="D13" i="28"/>
  <c r="H10" i="49"/>
  <c r="G10" i="49"/>
  <c r="F10" i="49"/>
  <c r="E10" i="49"/>
  <c r="B10" i="49"/>
  <c r="S9" i="49"/>
  <c r="R9" i="49"/>
  <c r="Q9" i="49"/>
  <c r="P9" i="49"/>
  <c r="O9" i="49"/>
  <c r="B9" i="49"/>
  <c r="B8" i="49"/>
  <c r="B7" i="49"/>
  <c r="B6" i="49"/>
  <c r="B5" i="49"/>
  <c r="B4" i="49"/>
  <c r="B3" i="49"/>
  <c r="A1" i="49"/>
  <c r="D11" i="28"/>
  <c r="H18" i="34"/>
  <c r="G18" i="34"/>
  <c r="F18" i="34"/>
  <c r="H16" i="34"/>
  <c r="G16" i="34"/>
  <c r="F16" i="34"/>
  <c r="E16" i="34"/>
  <c r="H10" i="34"/>
  <c r="G10" i="34"/>
  <c r="F10" i="34"/>
  <c r="E10" i="34"/>
  <c r="B10" i="34"/>
  <c r="S9" i="34"/>
  <c r="R9" i="34"/>
  <c r="Q9" i="34"/>
  <c r="P9" i="34"/>
  <c r="O9" i="34"/>
  <c r="N9" i="34"/>
  <c r="M9" i="34"/>
  <c r="L9" i="34"/>
  <c r="K9" i="34"/>
  <c r="J9" i="34"/>
  <c r="B9" i="34"/>
  <c r="B8" i="34"/>
  <c r="B7" i="34"/>
  <c r="B6" i="34"/>
  <c r="B5" i="34"/>
  <c r="B4" i="34"/>
  <c r="B3" i="34"/>
  <c r="D59" i="4"/>
  <c r="E67" i="4"/>
  <c r="D67" i="4"/>
  <c r="D53" i="4"/>
  <c r="B3" i="25"/>
  <c r="B3" i="4"/>
  <c r="D18" i="28"/>
  <c r="D17" i="28"/>
  <c r="B6" i="28"/>
  <c r="B4" i="28"/>
  <c r="B4" i="25"/>
  <c r="B4" i="4"/>
  <c r="A1" i="78"/>
  <c r="A1" i="34"/>
  <c r="H19" i="25" s="1"/>
  <c r="J7" i="49"/>
  <c r="J7" i="78"/>
  <c r="J7" i="34"/>
  <c r="J15" i="4"/>
  <c r="K17" i="4"/>
  <c r="L58" i="49"/>
  <c r="K7" i="79"/>
  <c r="L17" i="4"/>
  <c r="K7" i="49"/>
  <c r="K7" i="34"/>
  <c r="K7" i="78"/>
  <c r="J5" i="79"/>
  <c r="J5" i="78"/>
  <c r="J5" i="34"/>
  <c r="J16" i="4"/>
  <c r="J5" i="49"/>
  <c r="M58" i="49"/>
  <c r="J6" i="79"/>
  <c r="J6" i="78"/>
  <c r="J6" i="49"/>
  <c r="J18" i="4"/>
  <c r="J6" i="34"/>
  <c r="K15" i="4"/>
  <c r="L7" i="79"/>
  <c r="L7" i="78"/>
  <c r="M17" i="4"/>
  <c r="L7" i="34"/>
  <c r="L7" i="49"/>
  <c r="J8" i="34"/>
  <c r="J8" i="78"/>
  <c r="J8" i="79"/>
  <c r="J8" i="49"/>
  <c r="J20" i="4"/>
  <c r="I20" i="4"/>
  <c r="I10" i="79"/>
  <c r="M7" i="79"/>
  <c r="M7" i="34"/>
  <c r="M7" i="49"/>
  <c r="N17" i="4"/>
  <c r="M7" i="78"/>
  <c r="K5" i="79"/>
  <c r="K5" i="49"/>
  <c r="K16" i="4"/>
  <c r="K5" i="78"/>
  <c r="K5" i="34"/>
  <c r="I28" i="79"/>
  <c r="I16" i="79"/>
  <c r="J10" i="78"/>
  <c r="J10" i="34"/>
  <c r="J72" i="34" s="1"/>
  <c r="J10" i="79"/>
  <c r="J10" i="49"/>
  <c r="J54" i="49" s="1"/>
  <c r="N7" i="79"/>
  <c r="N7" i="78"/>
  <c r="N7" i="34"/>
  <c r="O17" i="4"/>
  <c r="N7" i="49"/>
  <c r="L15" i="4"/>
  <c r="K6" i="49"/>
  <c r="K18" i="4"/>
  <c r="K6" i="78"/>
  <c r="K6" i="79"/>
  <c r="K6" i="34"/>
  <c r="L5" i="79"/>
  <c r="L16" i="4"/>
  <c r="L5" i="78"/>
  <c r="L5" i="34"/>
  <c r="L5" i="49"/>
  <c r="O7" i="79"/>
  <c r="O7" i="49"/>
  <c r="O7" i="34"/>
  <c r="O7" i="78"/>
  <c r="P17" i="4"/>
  <c r="K20" i="4"/>
  <c r="K8" i="34"/>
  <c r="K8" i="79"/>
  <c r="K8" i="49"/>
  <c r="K8" i="78"/>
  <c r="J16" i="79"/>
  <c r="J28" i="79"/>
  <c r="K10" i="34"/>
  <c r="K72" i="34" s="1"/>
  <c r="K10" i="49"/>
  <c r="K54" i="49" s="1"/>
  <c r="K10" i="79"/>
  <c r="K10" i="78"/>
  <c r="P7" i="79"/>
  <c r="Q17" i="4"/>
  <c r="P7" i="78"/>
  <c r="P7" i="49"/>
  <c r="P7" i="34"/>
  <c r="L18" i="4"/>
  <c r="L6" i="49"/>
  <c r="L6" i="34"/>
  <c r="L6" i="79"/>
  <c r="L6" i="78"/>
  <c r="M15" i="4"/>
  <c r="M5" i="78"/>
  <c r="M16" i="4"/>
  <c r="M5" i="79"/>
  <c r="M5" i="34"/>
  <c r="M5" i="49"/>
  <c r="Q7" i="79"/>
  <c r="Q7" i="78"/>
  <c r="R17" i="4"/>
  <c r="Q7" i="49"/>
  <c r="Q7" i="34"/>
  <c r="K28" i="79"/>
  <c r="K16" i="79"/>
  <c r="L8" i="79"/>
  <c r="L8" i="49"/>
  <c r="L20" i="4"/>
  <c r="L8" i="78"/>
  <c r="L8" i="34"/>
  <c r="R7" i="79"/>
  <c r="R7" i="49"/>
  <c r="S17" i="4"/>
  <c r="R7" i="34"/>
  <c r="R7" i="78"/>
  <c r="L10" i="49"/>
  <c r="L54" i="49" s="1"/>
  <c r="L10" i="79"/>
  <c r="L10" i="78"/>
  <c r="L10" i="34"/>
  <c r="L16" i="34" s="1"/>
  <c r="M18" i="4"/>
  <c r="M6" i="49"/>
  <c r="M6" i="78"/>
  <c r="N15" i="4"/>
  <c r="M6" i="34"/>
  <c r="M6" i="79"/>
  <c r="N16" i="4"/>
  <c r="N5" i="79"/>
  <c r="N5" i="34"/>
  <c r="N5" i="49"/>
  <c r="N5" i="78"/>
  <c r="M8" i="79"/>
  <c r="M20" i="4"/>
  <c r="M8" i="78"/>
  <c r="M8" i="34"/>
  <c r="M8" i="49"/>
  <c r="S7" i="79"/>
  <c r="S7" i="49"/>
  <c r="S7" i="78"/>
  <c r="T17" i="4"/>
  <c r="S7" i="34"/>
  <c r="L28" i="79"/>
  <c r="L16" i="79"/>
  <c r="T7" i="79"/>
  <c r="U17" i="4"/>
  <c r="T7" i="34"/>
  <c r="M10" i="79"/>
  <c r="M10" i="78"/>
  <c r="M10" i="34"/>
  <c r="M16" i="34" s="1"/>
  <c r="M10" i="49"/>
  <c r="M54" i="49" s="1"/>
  <c r="N18" i="4"/>
  <c r="N6" i="34"/>
  <c r="N6" i="78"/>
  <c r="N6" i="79"/>
  <c r="O15" i="4"/>
  <c r="N6" i="49"/>
  <c r="N8" i="79"/>
  <c r="N8" i="34"/>
  <c r="N20" i="4"/>
  <c r="N8" i="49"/>
  <c r="N8" i="78"/>
  <c r="O5" i="34"/>
  <c r="O5" i="79"/>
  <c r="O5" i="78"/>
  <c r="O16" i="4"/>
  <c r="O5" i="49"/>
  <c r="M28" i="79"/>
  <c r="M16" i="79"/>
  <c r="U7" i="79"/>
  <c r="U7" i="34"/>
  <c r="V17" i="4"/>
  <c r="V7" i="79"/>
  <c r="W17" i="4"/>
  <c r="V7" i="34"/>
  <c r="O6" i="49"/>
  <c r="O18" i="4"/>
  <c r="O6" i="79"/>
  <c r="P15" i="4"/>
  <c r="O6" i="78"/>
  <c r="O6" i="34"/>
  <c r="N10" i="79"/>
  <c r="N10" i="49"/>
  <c r="N54" i="49" s="1"/>
  <c r="N10" i="78"/>
  <c r="N10" i="34"/>
  <c r="N72" i="34" s="1"/>
  <c r="P5" i="79"/>
  <c r="P16" i="4"/>
  <c r="P5" i="78"/>
  <c r="P5" i="49"/>
  <c r="P5" i="34"/>
  <c r="O8" i="34"/>
  <c r="O8" i="79"/>
  <c r="O8" i="49"/>
  <c r="O8" i="78"/>
  <c r="O20" i="4"/>
  <c r="W7" i="79"/>
  <c r="X17" i="4"/>
  <c r="W7" i="34"/>
  <c r="N28" i="79"/>
  <c r="N16" i="79"/>
  <c r="X7" i="79"/>
  <c r="X7" i="34"/>
  <c r="O10" i="79"/>
  <c r="O10" i="34"/>
  <c r="O16" i="34" s="1"/>
  <c r="O10" i="49"/>
  <c r="O71" i="49" s="1"/>
  <c r="O10" i="78"/>
  <c r="O16" i="78"/>
  <c r="P6" i="49"/>
  <c r="P18" i="4"/>
  <c r="P6" i="34"/>
  <c r="P6" i="78"/>
  <c r="P6" i="79"/>
  <c r="Q15" i="4"/>
  <c r="Q16" i="4"/>
  <c r="Q5" i="78"/>
  <c r="Q5" i="34"/>
  <c r="Q5" i="49"/>
  <c r="Q5" i="79"/>
  <c r="P20" i="4"/>
  <c r="P8" i="79"/>
  <c r="P8" i="78"/>
  <c r="P8" i="34"/>
  <c r="P8" i="49"/>
  <c r="P10" i="79"/>
  <c r="P10" i="49"/>
  <c r="P54" i="49" s="1"/>
  <c r="P10" i="34"/>
  <c r="P16" i="34" s="1"/>
  <c r="P10" i="78"/>
  <c r="P16" i="78"/>
  <c r="Q6" i="78"/>
  <c r="R15" i="4"/>
  <c r="Q6" i="79"/>
  <c r="Q6" i="49"/>
  <c r="Q18" i="4"/>
  <c r="Q6" i="34"/>
  <c r="R16" i="4"/>
  <c r="R5" i="79"/>
  <c r="R5" i="34"/>
  <c r="R5" i="78"/>
  <c r="R5" i="49"/>
  <c r="Q8" i="79"/>
  <c r="Q8" i="49"/>
  <c r="Q8" i="34"/>
  <c r="Q8" i="78"/>
  <c r="Q20" i="4"/>
  <c r="Q10" i="79"/>
  <c r="Q10" i="78"/>
  <c r="Q16" i="78"/>
  <c r="Q10" i="34"/>
  <c r="Q16" i="34" s="1"/>
  <c r="Q10" i="49"/>
  <c r="Q71" i="49" s="1"/>
  <c r="R6" i="78"/>
  <c r="S15" i="4"/>
  <c r="R6" i="79"/>
  <c r="R18" i="4"/>
  <c r="R6" i="49"/>
  <c r="R6" i="34"/>
  <c r="S5" i="34"/>
  <c r="S16" i="4"/>
  <c r="S5" i="79"/>
  <c r="S5" i="49"/>
  <c r="S5" i="78"/>
  <c r="R8" i="79"/>
  <c r="R8" i="78"/>
  <c r="R20" i="4"/>
  <c r="R8" i="34"/>
  <c r="R8" i="49"/>
  <c r="R10" i="79"/>
  <c r="R10" i="78"/>
  <c r="R10" i="34"/>
  <c r="R16" i="34" s="1"/>
  <c r="R10" i="49"/>
  <c r="R54" i="49" s="1"/>
  <c r="S6" i="34"/>
  <c r="S6" i="78"/>
  <c r="T15" i="4"/>
  <c r="S18" i="4"/>
  <c r="S6" i="79"/>
  <c r="S6" i="49"/>
  <c r="T5" i="34"/>
  <c r="T5" i="79"/>
  <c r="T16" i="4"/>
  <c r="S8" i="79"/>
  <c r="S8" i="34"/>
  <c r="S8" i="49"/>
  <c r="S20" i="4"/>
  <c r="S8" i="78"/>
  <c r="R16" i="78"/>
  <c r="O31" i="78"/>
  <c r="S10" i="78"/>
  <c r="S16" i="78"/>
  <c r="S10" i="79"/>
  <c r="S10" i="49"/>
  <c r="S54" i="49" s="1"/>
  <c r="S10" i="34"/>
  <c r="S16" i="34" s="1"/>
  <c r="T6" i="79"/>
  <c r="T6" i="34"/>
  <c r="U15" i="4"/>
  <c r="T18" i="4"/>
  <c r="U5" i="34"/>
  <c r="U5" i="79"/>
  <c r="U16" i="4"/>
  <c r="T20" i="4"/>
  <c r="T8" i="34"/>
  <c r="T8" i="79"/>
  <c r="U6" i="79"/>
  <c r="U18" i="4"/>
  <c r="U6" i="34"/>
  <c r="V15" i="4"/>
  <c r="V5" i="79"/>
  <c r="V5" i="34"/>
  <c r="V16" i="4"/>
  <c r="U8" i="79"/>
  <c r="U20" i="4"/>
  <c r="U8" i="34"/>
  <c r="V6" i="79"/>
  <c r="W15" i="4"/>
  <c r="V18" i="4"/>
  <c r="V6" i="34"/>
  <c r="V8" i="34"/>
  <c r="V8" i="79"/>
  <c r="V20" i="4"/>
  <c r="W5" i="79"/>
  <c r="W5" i="34"/>
  <c r="W16" i="4"/>
  <c r="W6" i="34"/>
  <c r="W6" i="79"/>
  <c r="W18" i="4"/>
  <c r="X15" i="4"/>
  <c r="X5" i="79"/>
  <c r="X5" i="34"/>
  <c r="X16" i="4"/>
  <c r="W20" i="4"/>
  <c r="W8" i="79"/>
  <c r="W8" i="34"/>
  <c r="X6" i="34"/>
  <c r="X18" i="4"/>
  <c r="X6" i="79"/>
  <c r="X8" i="34"/>
  <c r="X8" i="79"/>
  <c r="X20" i="4"/>
  <c r="H29" i="25" l="1"/>
  <c r="H8" i="25" s="1"/>
  <c r="H10" i="25" s="1"/>
  <c r="B2" i="49" s="1"/>
  <c r="N19" i="34"/>
  <c r="M18" i="34"/>
  <c r="R71" i="49"/>
  <c r="M72" i="34"/>
  <c r="D28" i="49"/>
  <c r="D21" i="49"/>
  <c r="Q21" i="49" s="1"/>
  <c r="R21" i="49" s="1"/>
  <c r="D23" i="49"/>
  <c r="D26" i="49"/>
  <c r="D22" i="49"/>
  <c r="D27" i="49"/>
  <c r="O18" i="78"/>
  <c r="P19" i="34"/>
  <c r="P71" i="49"/>
  <c r="Q54" i="49"/>
  <c r="O54" i="49"/>
  <c r="S71" i="49"/>
  <c r="K16" i="34"/>
  <c r="L72" i="34"/>
  <c r="J16" i="34"/>
  <c r="N16" i="34"/>
  <c r="K64" i="49"/>
  <c r="L64" i="49" s="1"/>
  <c r="M64" i="49" s="1"/>
  <c r="B2" i="78" l="1"/>
  <c r="B2" i="79"/>
  <c r="B2" i="4"/>
  <c r="B2" i="34"/>
  <c r="B2" i="25"/>
  <c r="B2" i="28"/>
  <c r="Q22" i="49"/>
  <c r="R22" i="49" s="1"/>
  <c r="P18" i="78"/>
  <c r="Q19" i="34"/>
  <c r="Q23" i="49"/>
  <c r="R19" i="34" l="1"/>
  <c r="R18" i="78" s="1"/>
  <c r="Q18" i="78"/>
  <c r="U18" i="78" s="1" a="1"/>
  <c r="U18" i="78" s="1"/>
  <c r="Q24" i="49"/>
  <c r="O73" i="49" l="1" a="1"/>
  <c r="O73" i="49" s="1"/>
  <c r="R23" i="49"/>
  <c r="R24" i="49"/>
  <c r="Q25" i="49"/>
  <c r="R25" i="49" l="1"/>
  <c r="Q26" i="49"/>
  <c r="R26" i="49" l="1"/>
  <c r="Q27" i="49"/>
  <c r="R27" i="49" l="1"/>
  <c r="Q28" i="49"/>
  <c r="R28" i="49" l="1"/>
  <c r="Q29" i="49"/>
  <c r="R29" i="49" l="1"/>
  <c r="Q30" i="49"/>
  <c r="R30" i="49" l="1"/>
  <c r="Q31" i="49"/>
  <c r="R31" i="49" l="1"/>
  <c r="Q32" i="49"/>
  <c r="R32" i="49" l="1"/>
  <c r="Q33" i="49"/>
  <c r="R33" i="49" l="1"/>
  <c r="Q34" i="49"/>
  <c r="R34" i="49" l="1"/>
  <c r="Q35" i="49"/>
  <c r="R35" i="49" l="1"/>
  <c r="Q36" i="49"/>
  <c r="R36" i="49" l="1"/>
  <c r="Q37" i="49"/>
  <c r="R37" i="49" l="1"/>
  <c r="Q38" i="49"/>
  <c r="R38" i="49" l="1"/>
  <c r="Q39" i="49"/>
  <c r="R39" i="49" l="1"/>
  <c r="R41" i="49" s="1"/>
  <c r="O74" i="49" l="1"/>
  <c r="O20" i="78" s="1"/>
  <c r="S59" i="49" l="1"/>
  <c r="R59" i="49"/>
  <c r="Q59" i="49"/>
  <c r="P59" i="49"/>
  <c r="O59" i="49"/>
  <c r="N58" i="49"/>
  <c r="N59" i="49" s="1"/>
  <c r="N64" i="49" s="1"/>
  <c r="O64" i="49" l="1"/>
  <c r="P64" i="49" l="1"/>
  <c r="O75" i="49"/>
  <c r="O24" i="78" s="1"/>
  <c r="O26" i="78" s="1"/>
  <c r="P75" i="49" l="1"/>
  <c r="P24" i="78" s="1"/>
  <c r="P26" i="78" s="1"/>
  <c r="Q64" i="49"/>
  <c r="Q75" i="49" l="1"/>
  <c r="Q24" i="78" s="1"/>
  <c r="Q26" i="78" s="1"/>
  <c r="R64" i="49"/>
  <c r="S64" i="49" l="1"/>
  <c r="S75" i="49" s="1"/>
  <c r="S24" i="78" s="1"/>
  <c r="S26" i="78" s="1"/>
  <c r="R75" i="49"/>
  <c r="R24" i="78" s="1"/>
  <c r="R26"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Grace-Webb</author>
  </authors>
  <commentList>
    <comment ref="Q17" authorId="0" shapeId="0" xr:uid="{D7975509-817E-4771-B8C1-1EC3C59FAF9D}">
      <text>
        <r>
          <rPr>
            <b/>
            <sz val="9"/>
            <color indexed="81"/>
            <rFont val="Tahoma"/>
            <family val="2"/>
          </rPr>
          <t>Note:</t>
        </r>
        <r>
          <rPr>
            <sz val="9"/>
            <color indexed="81"/>
            <rFont val="Tahoma"/>
            <family val="2"/>
          </rPr>
          <t xml:space="preserve">
Semi-annual yield calculated by interpolating the yield on the bonds that fall either side of the target date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<sst xmlns="http://schemas.openxmlformats.org/spreadsheetml/2006/main" count="454" uniqueCount="208">
  <si>
    <t>General Model Constant</t>
  </si>
  <si>
    <t>Name</t>
  </si>
  <si>
    <t>Mths_In_Mth</t>
  </si>
  <si>
    <t>Mths_In_Qtr</t>
  </si>
  <si>
    <t>Mths_In_Yr</t>
  </si>
  <si>
    <t>Heading 1</t>
  </si>
  <si>
    <t>Ok</t>
  </si>
  <si>
    <t>Error</t>
  </si>
  <si>
    <t>Half</t>
  </si>
  <si>
    <t>Yes</t>
  </si>
  <si>
    <t>No</t>
  </si>
  <si>
    <t>Yes_No</t>
  </si>
  <si>
    <t>Days_In_Wk</t>
  </si>
  <si>
    <t>Assumptions</t>
  </si>
  <si>
    <t>Checks</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</si>
  <si>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</si>
  <si>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</si>
  <si>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</si>
  <si>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</si>
  <si>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</si>
  <si>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</si>
  <si>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</si>
  <si>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</si>
  <si>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</si>
  <si>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</si>
  <si>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</si>
  <si>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</si>
  <si>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</si>
  <si>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</si>
  <si>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</si>
  <si>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</si>
  <si>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</si>
  <si>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</si>
  <si>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</si>
  <si>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</si>
  <si>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</si>
  <si>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</si>
  <si>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</si>
  <si>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Days_In_Yr</t>
  </si>
  <si>
    <t>Table of Contents</t>
  </si>
  <si>
    <t>Appendix</t>
  </si>
  <si>
    <t>Go to Cover Sheet</t>
  </si>
  <si>
    <t>Period Counter</t>
  </si>
  <si>
    <t>Period Start Date</t>
  </si>
  <si>
    <t>Period End Date</t>
  </si>
  <si>
    <t>Model Start Date</t>
  </si>
  <si>
    <t>Base Year</t>
  </si>
  <si>
    <t>Year</t>
  </si>
  <si>
    <t>Period Type</t>
  </si>
  <si>
    <t>Actual</t>
  </si>
  <si>
    <t>Forecast</t>
  </si>
  <si>
    <t>Regulatory Year</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</si>
  <si>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</si>
  <si>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</si>
  <si>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</si>
  <si>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</si>
  <si>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</si>
  <si>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</si>
  <si>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</si>
  <si>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</si>
  <si>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</si>
  <si>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</si>
  <si>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</si>
  <si>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</si>
  <si>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</si>
  <si>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</si>
  <si>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</si>
  <si>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</si>
  <si>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</si>
  <si>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</si>
  <si>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</si>
  <si>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</si>
  <si>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</si>
  <si>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</si>
  <si>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</si>
  <si>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</si>
  <si>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</si>
  <si>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Category Heading</t>
  </si>
  <si>
    <t>Calculated</t>
  </si>
  <si>
    <t>Not Applicable</t>
  </si>
  <si>
    <t>GWh</t>
  </si>
  <si>
    <t>MWh</t>
  </si>
  <si>
    <t>Number</t>
  </si>
  <si>
    <t>Insert</t>
  </si>
  <si>
    <t>Km</t>
  </si>
  <si>
    <t>Kilometres</t>
  </si>
  <si>
    <t>Disclaimer:</t>
  </si>
  <si>
    <t>CPI Assumptions</t>
  </si>
  <si>
    <t>RBA</t>
  </si>
  <si>
    <t>Real $2019</t>
  </si>
  <si>
    <t>Real$2019</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</si>
  <si>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</si>
  <si>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Debt Raising Costs</t>
  </si>
  <si>
    <t>Rate of Return Model - Power and Water Corporation (PWC)</t>
  </si>
  <si>
    <t>Inflation</t>
  </si>
  <si>
    <t>Bond details</t>
  </si>
  <si>
    <t>Bond 1</t>
  </si>
  <si>
    <t>Bond 2</t>
  </si>
  <si>
    <t>Issue ID</t>
  </si>
  <si>
    <t>Maturity</t>
  </si>
  <si>
    <t>Date</t>
  </si>
  <si>
    <t>Yields by date</t>
  </si>
  <si>
    <t>Yield</t>
  </si>
  <si>
    <t>Parameter assumptions</t>
  </si>
  <si>
    <t>Value</t>
  </si>
  <si>
    <t>Parameter</t>
  </si>
  <si>
    <t>Market risk premium</t>
  </si>
  <si>
    <t>AER</t>
  </si>
  <si>
    <t>Equity beta</t>
  </si>
  <si>
    <t>Leverage</t>
  </si>
  <si>
    <t>Return on equity</t>
  </si>
  <si>
    <t>Return on equity and debt</t>
  </si>
  <si>
    <t>Debt and equity raising costs</t>
  </si>
  <si>
    <t>Imputation Credit Payout Ratio</t>
  </si>
  <si>
    <t>Subsequent Equity Raising Costs</t>
  </si>
  <si>
    <t>Dividend Reinvestment Plan Costs</t>
  </si>
  <si>
    <t>Dividend Reinvestment Plan Take Up</t>
  </si>
  <si>
    <t>Value of imputation credits</t>
  </si>
  <si>
    <t>Prevailing market data</t>
  </si>
  <si>
    <t>Forecast inflation</t>
  </si>
  <si>
    <t>PTRM inputs</t>
  </si>
  <si>
    <t>Cost of Capital</t>
  </si>
  <si>
    <t>Debt and Equity Raising Costs – Transaction Costs (per cent)</t>
  </si>
  <si>
    <t>Inflation Rate</t>
  </si>
  <si>
    <t>Return on Equity</t>
  </si>
  <si>
    <t>Value of Imputation Credits (gamma)</t>
  </si>
  <si>
    <t>Proportion of Debt Funding</t>
  </si>
  <si>
    <t>Prevailing rate of return parameters</t>
  </si>
  <si>
    <t>Interpolated</t>
  </si>
  <si>
    <t>Bond yield</t>
  </si>
  <si>
    <t>Annualised</t>
  </si>
  <si>
    <t>Rate of return estimates</t>
  </si>
  <si>
    <t>Return on debt</t>
  </si>
  <si>
    <t>Trailing Average Portfolio Return on Debt</t>
  </si>
  <si>
    <t>Actual inflation</t>
  </si>
  <si>
    <t>ABS</t>
  </si>
  <si>
    <t>Actual and forecasts</t>
  </si>
  <si>
    <t>Rate of return inputs</t>
  </si>
  <si>
    <t>Rate of return calculations</t>
  </si>
  <si>
    <r>
      <rPr>
        <b/>
        <sz val="10"/>
        <color theme="1"/>
        <rFont val="Helvetica"/>
      </rPr>
      <t>Note</t>
    </r>
    <r>
      <rPr>
        <sz val="10"/>
        <color theme="1"/>
        <rFont val="Helvetica"/>
        <family val="2"/>
      </rPr>
      <t>: Actual inflation based on movement in CPI from June to June quarter</t>
    </r>
  </si>
  <si>
    <t>BBB</t>
  </si>
  <si>
    <t>A</t>
  </si>
  <si>
    <t>Weights</t>
  </si>
  <si>
    <t>BBB+</t>
  </si>
  <si>
    <t>Main Model</t>
  </si>
  <si>
    <t>The purpose of this model is to provide rate of return outputs which are required as part of the Power and Water Corporation - Determination 2024-29.</t>
  </si>
  <si>
    <t xml:space="preserve">▲ RBA forecast ▲ </t>
  </si>
  <si>
    <t xml:space="preserve">▲ Glide path ▲ </t>
  </si>
  <si>
    <t>▲ Mid-point of the RBA's inflation target range</t>
  </si>
  <si>
    <t>Annual observations</t>
  </si>
  <si>
    <t>Adopted</t>
  </si>
  <si>
    <t>New observation</t>
  </si>
  <si>
    <t>Trailing average</t>
  </si>
  <si>
    <t>Estimated</t>
  </si>
  <si>
    <t>Trailing average return on debt</t>
  </si>
  <si>
    <t>Gigawatt Hours</t>
  </si>
  <si>
    <t>Megawatt Hours</t>
  </si>
  <si>
    <t>LU_Source</t>
  </si>
  <si>
    <t>Current period observations</t>
  </si>
  <si>
    <t>Annual observation</t>
  </si>
  <si>
    <t>Weight applied to new observations</t>
  </si>
  <si>
    <t>Commonwealth Government Securities (Table F16)</t>
  </si>
  <si>
    <t>Weights applied to corporate bonds</t>
  </si>
  <si>
    <t>Average yields</t>
  </si>
  <si>
    <t>Nominal vanilla WACC</t>
  </si>
  <si>
    <t>CPI inputs</t>
  </si>
  <si>
    <t>Unlagged - June to June</t>
  </si>
  <si>
    <t>Lagged - Dec to Dec</t>
  </si>
  <si>
    <t>(Dec 2022)</t>
  </si>
  <si>
    <r>
      <rPr>
        <b/>
        <sz val="10"/>
        <color theme="1"/>
        <rFont val="Helvetica"/>
      </rPr>
      <t>Note</t>
    </r>
    <r>
      <rPr>
        <sz val="10"/>
        <color theme="1"/>
        <rFont val="Helvetica"/>
        <family val="2"/>
      </rPr>
      <t>: Actual inflation based on movement in CPI from December to December quarter</t>
    </r>
    <r>
      <rPr>
        <sz val="10"/>
        <color theme="1"/>
        <rFont val="Helvetica"/>
      </rPr>
      <t xml:space="preserve"> where the value in FY19 represents the movement between Dec 17 to Dec 18</t>
    </r>
  </si>
  <si>
    <t>(Jun 2023)</t>
  </si>
  <si>
    <t>(Dec 2023)</t>
  </si>
  <si>
    <t>(Jun 2024)</t>
  </si>
  <si>
    <t>Power and Water</t>
  </si>
  <si>
    <t>(Dec 2024)</t>
  </si>
  <si>
    <t>(Jun 2025)</t>
  </si>
  <si>
    <t>Exports to PTRM</t>
  </si>
  <si>
    <t>Forecast CPI</t>
  </si>
  <si>
    <t>◄ As a placeholder, the annual cost of debt observation for FY24 is set to match the estimate for FY25 calculated in the 'Calc_Returns' sheet</t>
  </si>
  <si>
    <r>
      <rPr>
        <b/>
        <sz val="10"/>
        <color theme="1"/>
        <rFont val="Helvetica"/>
      </rPr>
      <t>Source</t>
    </r>
    <r>
      <rPr>
        <sz val="10"/>
        <color theme="1"/>
        <rFont val="Helvetica"/>
        <family val="2"/>
      </rPr>
      <t>: ABS (TABLES 3 and 4. CPI: Groups, Weighted Average of Eight Capital Cities, Index Numbers and Percentage Changes, A2325846C); RBA statement on monetary policy, November 2022</t>
    </r>
    <r>
      <rPr>
        <sz val="10"/>
        <color theme="1"/>
        <rFont val="Helvetica"/>
      </rPr>
      <t>, Appendix A</t>
    </r>
  </si>
  <si>
    <t>◄ Does not include 30 September 2022 as outside of the 20 day averaging period</t>
  </si>
  <si>
    <t>◄ The AER calculated these values using Bloomberg, Thomson Reuters, and RBA data over the period 4 October to 31 October 2022</t>
  </si>
  <si>
    <t>Prevailing return on debt</t>
  </si>
  <si>
    <r>
      <rPr>
        <b/>
        <sz val="10"/>
        <color theme="1"/>
        <rFont val="Helvetica"/>
      </rPr>
      <t>Source</t>
    </r>
    <r>
      <rPr>
        <sz val="10"/>
        <color theme="1"/>
        <rFont val="Helvetica"/>
        <family val="2"/>
      </rPr>
      <t>: RBA statement on monetary policy, November 2022</t>
    </r>
  </si>
  <si>
    <t>10-year risk-free rate (used to estimate the cost of equity)</t>
  </si>
  <si>
    <t>10 year risk-free rate</t>
  </si>
  <si>
    <t>TB158</t>
  </si>
  <si>
    <t>TB165</t>
  </si>
  <si>
    <t>2018 RORI</t>
  </si>
  <si>
    <t>RBA, Bloomberg BVAL and Thomson Reuters data</t>
  </si>
  <si>
    <t>RBA, Bloomberg, and Thomson Reuters average</t>
  </si>
  <si>
    <t>CPI assumptions</t>
  </si>
  <si>
    <t>Model lookups</t>
  </si>
  <si>
    <t>Model settings</t>
  </si>
  <si>
    <t>Periodicity inputs</t>
  </si>
  <si>
    <t>Time series headings</t>
  </si>
  <si>
    <t>Client lookups</t>
  </si>
  <si>
    <t>Model title message</t>
  </si>
  <si>
    <t>Error message</t>
  </si>
  <si>
    <t>Alert message</t>
  </si>
  <si>
    <t>Model message</t>
  </si>
  <si>
    <t>Model checks</t>
  </si>
  <si>
    <t>Error checks</t>
  </si>
  <si>
    <t>Model inputs</t>
  </si>
  <si>
    <t>Model calculations</t>
  </si>
  <si>
    <t>Model outputs</t>
  </si>
  <si>
    <t>Total errors</t>
  </si>
  <si>
    <t>◄ Formula will need to change for subsequent regulatory period once transition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</si>
</sst>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_);\(#,##0.00%\);_(&quot;-&quot;_)"/>
    <numFmt numFmtId="176" formatCode="_-* #,##0_-;\-* #,##0_-;_-* &quot;-&quot;??_-;_-@_-"/>
    <numFmt numFmtId="177" formatCode="mmmm\ yyyy"/>
  </numFmts>
  <fonts count="45" x14ac:knownFonts="1">
    <font>
      <sz val="8"/>
      <color rgb="FFFF0066"/>
      <name val="Helvetica"/>
      <family val="2"/>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sz val="10"/>
      <name val="Helvetica"/>
      <family val="2"/>
    </font>
    <font>
      <b/>
      <sz val="10"/>
      <color theme="1"/>
      <name val="Helvetica"/>
    </font>
    <font>
      <b/>
      <sz val="10"/>
      <name val="Helvetica"/>
      <family val="2"/>
    </font>
    <font>
      <sz val="10"/>
      <color theme="1"/>
      <name val="Helvetica"/>
    </font>
    <font>
      <sz val="8"/>
      <color rgb="FFFF0066"/>
      <name val="Helvetica"/>
      <family val="2"/>
    </font>
    <font>
      <b/>
      <sz val="8"/>
      <color indexed="8"/>
      <name val="Arial"/>
      <family val="2"/>
    </font>
    <font>
      <i/>
      <sz val="8"/>
      <color indexed="8"/>
      <name val="Arial"/>
      <family val="2"/>
    </font>
    <font>
      <sz val="8"/>
      <color indexed="8"/>
      <name val="Arial"/>
      <family val="2"/>
    </font>
    <font>
      <b/>
      <sz val="9"/>
      <color indexed="81"/>
      <name val="Tahoma"/>
      <family val="2"/>
    </font>
    <font>
      <sz val="9"/>
      <color indexed="81"/>
      <name val="Tahoma"/>
      <family val="2"/>
    </font>
    <font>
      <sz val="10"/>
      <color rgb="FFFF0000"/>
      <name val="Helvetica"/>
      <family val="2"/>
    </font>
    <font>
      <i/>
      <sz val="8"/>
      <name val="Helvetica"/>
    </font>
  </fonts>
  <fills count="18">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auto="1"/>
      </right>
      <top/>
      <bottom/>
      <diagonal/>
    </border>
    <border>
      <left/>
      <right style="dotted">
        <color auto="1"/>
      </right>
      <top/>
      <bottom style="thin">
        <color auto="1"/>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right/>
      <top style="thin">
        <color theme="0"/>
      </top>
      <bottom/>
      <diagonal/>
    </border>
    <border>
      <left/>
      <right style="dotted">
        <color auto="1"/>
      </right>
      <top style="thin">
        <color auto="1"/>
      </top>
      <bottom/>
      <diagonal/>
    </border>
    <border>
      <left/>
      <right/>
      <top style="dotted">
        <color auto="1"/>
      </top>
      <bottom/>
      <diagonal/>
    </border>
    <border>
      <left style="dotted">
        <color auto="1"/>
      </left>
      <right/>
      <top/>
      <bottom style="dotted">
        <color auto="1"/>
      </bottom>
      <diagonal/>
    </border>
    <border>
      <left style="dotted">
        <color auto="1"/>
      </left>
      <right/>
      <top/>
      <bottom/>
      <diagonal/>
    </border>
  </borders>
  <cellStyleXfs count="57">
    <xf numFmtId="0" fontId="0" fillId="0" borderId="0"/>
    <xf numFmtId="168" fontId="2" fillId="0" borderId="0" applyFill="0" applyBorder="0" applyProtection="0">
      <alignment vertical="center"/>
    </xf>
    <xf numFmtId="0" fontId="6" fillId="0" borderId="0" applyNumberFormat="0" applyFill="0" applyBorder="0" applyAlignment="0" applyProtection="0"/>
    <xf numFmtId="0" fontId="32" fillId="11" borderId="0" applyBorder="0">
      <alignment horizontal="left" vertical="center"/>
    </xf>
    <xf numFmtId="0" fontId="1" fillId="3" borderId="0" applyProtection="0">
      <alignment vertical="center"/>
    </xf>
    <xf numFmtId="0" fontId="3" fillId="0" borderId="0" applyFill="0" applyProtection="0">
      <alignment vertical="center"/>
    </xf>
    <xf numFmtId="0" fontId="2" fillId="0" borderId="0" applyFill="0" applyBorder="0" applyProtection="0">
      <alignment vertical="center"/>
    </xf>
    <xf numFmtId="0" fontId="4" fillId="0" borderId="5" applyNumberFormat="0" applyFill="0" applyAlignment="0" applyProtection="0"/>
    <xf numFmtId="0" fontId="28" fillId="12" borderId="4">
      <alignment horizontal="left" vertical="center"/>
      <protection locked="0"/>
    </xf>
    <xf numFmtId="164" fontId="27" fillId="0" borderId="0" applyFill="0" applyBorder="0">
      <alignment horizontal="center" vertical="center"/>
    </xf>
    <xf numFmtId="164" fontId="28" fillId="2" borderId="4">
      <alignment horizontal="center" vertical="center"/>
      <protection locked="0"/>
    </xf>
    <xf numFmtId="170" fontId="27" fillId="0" borderId="0" applyFill="0" applyBorder="0">
      <alignment horizontal="center" vertical="center"/>
    </xf>
    <xf numFmtId="170" fontId="28" fillId="12" borderId="4">
      <alignment horizontal="center" vertical="center"/>
      <protection locked="0"/>
    </xf>
    <xf numFmtId="165" fontId="27" fillId="0" borderId="0" applyFill="0" applyBorder="0">
      <alignment horizontal="right" vertical="center"/>
    </xf>
    <xf numFmtId="165" fontId="28" fillId="12" borderId="4">
      <alignment horizontal="right" vertical="center"/>
      <protection locked="0"/>
    </xf>
    <xf numFmtId="167" fontId="27" fillId="0" borderId="0" applyFill="0" applyBorder="0">
      <alignment horizontal="right" vertical="center"/>
    </xf>
    <xf numFmtId="167" fontId="28" fillId="12" borderId="4">
      <alignment horizontal="right" vertical="center"/>
      <protection locked="0"/>
    </xf>
    <xf numFmtId="166" fontId="27" fillId="0" borderId="0" applyFill="0" applyBorder="0">
      <alignment horizontal="right" vertical="center"/>
    </xf>
    <xf numFmtId="166" fontId="28" fillId="12" borderId="4">
      <alignment horizontal="right" vertical="center"/>
      <protection locked="0"/>
    </xf>
    <xf numFmtId="168" fontId="28" fillId="12" borderId="4">
      <alignment horizontal="right" vertical="center"/>
      <protection locked="0"/>
    </xf>
    <xf numFmtId="0" fontId="24" fillId="0" borderId="0" applyFill="0" applyBorder="0">
      <alignment horizontal="left" vertical="center"/>
    </xf>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2" fillId="10" borderId="10" applyNumberFormat="0" applyFont="0" applyAlignment="0" applyProtection="0"/>
    <xf numFmtId="0" fontId="16" fillId="0" borderId="0" applyNumberFormat="0" applyFill="0" applyBorder="0" applyAlignment="0" applyProtection="0"/>
    <xf numFmtId="0" fontId="17" fillId="0" borderId="0" applyNumberFormat="0" applyFill="0" applyBorder="0">
      <alignment horizontal="left" vertical="center"/>
    </xf>
    <xf numFmtId="0" fontId="18" fillId="0" borderId="0" applyFill="0" applyBorder="0">
      <alignment vertical="center"/>
    </xf>
    <xf numFmtId="0" fontId="29" fillId="0" borderId="0" applyFill="0" applyBorder="0">
      <alignment horizontal="left" vertical="center"/>
    </xf>
    <xf numFmtId="0" fontId="35" fillId="0" borderId="0" applyFill="0" applyBorder="0">
      <alignment horizontal="left" vertical="center"/>
    </xf>
    <xf numFmtId="0" fontId="28" fillId="0" borderId="0" applyFill="0" applyBorder="0">
      <alignment horizontal="left" vertical="center"/>
    </xf>
    <xf numFmtId="0" fontId="27" fillId="0" borderId="0" applyFill="0" applyBorder="0">
      <alignment vertical="center"/>
    </xf>
    <xf numFmtId="0" fontId="31" fillId="15" borderId="0" applyBorder="0">
      <alignment horizontal="left" vertical="center"/>
    </xf>
    <xf numFmtId="0" fontId="30" fillId="15" borderId="0" applyBorder="0">
      <alignment horizontal="left" vertical="center"/>
    </xf>
    <xf numFmtId="171" fontId="27" fillId="0" borderId="0" applyFill="0" applyBorder="0">
      <alignment horizontal="right" vertical="center"/>
    </xf>
    <xf numFmtId="0" fontId="23" fillId="0" borderId="0">
      <alignment horizontal="right" vertical="center"/>
    </xf>
    <xf numFmtId="0" fontId="20" fillId="13" borderId="0">
      <alignment horizontal="left" indent="3"/>
    </xf>
    <xf numFmtId="0" fontId="20" fillId="14" borderId="0">
      <alignment horizontal="left" indent="3"/>
    </xf>
    <xf numFmtId="173" fontId="5" fillId="0" borderId="0">
      <alignment horizontal="center" vertical="center"/>
    </xf>
    <xf numFmtId="174" fontId="22" fillId="12" borderId="4">
      <alignment horizontal="center" vertical="center"/>
      <protection locked="0"/>
    </xf>
    <xf numFmtId="174" fontId="5" fillId="0" borderId="0"/>
    <xf numFmtId="165" fontId="28" fillId="0" borderId="0" applyFill="0" applyBorder="0">
      <alignment horizontal="right" vertical="center"/>
    </xf>
    <xf numFmtId="170" fontId="28" fillId="0" borderId="0" applyFill="0" applyBorder="0">
      <alignment horizontal="center" vertical="center"/>
    </xf>
    <xf numFmtId="171" fontId="28" fillId="0" borderId="0" applyFill="0" applyBorder="0">
      <alignment horizontal="right" vertical="center"/>
    </xf>
    <xf numFmtId="166" fontId="28" fillId="0" borderId="0" applyFill="0" applyBorder="0">
      <alignment horizontal="right" vertical="center"/>
    </xf>
    <xf numFmtId="167" fontId="28" fillId="0" borderId="0" applyFill="0" applyBorder="0">
      <alignment horizontal="right" vertical="center"/>
    </xf>
    <xf numFmtId="164" fontId="28" fillId="0" borderId="0" applyFill="0" applyBorder="0">
      <alignment horizontal="center" vertical="center"/>
    </xf>
    <xf numFmtId="0" fontId="28" fillId="16" borderId="4">
      <alignment horizontal="center" vertical="center"/>
      <protection locked="0"/>
    </xf>
    <xf numFmtId="0" fontId="5" fillId="17" borderId="0"/>
    <xf numFmtId="165" fontId="33" fillId="3" borderId="4">
      <alignment horizontal="right" vertical="center"/>
      <protection locked="0"/>
    </xf>
    <xf numFmtId="9" fontId="37" fillId="0" borderId="0" applyFont="0" applyFill="0" applyBorder="0" applyAlignment="0" applyProtection="0"/>
  </cellStyleXfs>
  <cellXfs count="116">
    <xf numFmtId="0" fontId="0" fillId="0" borderId="0" xfId="0"/>
    <xf numFmtId="0" fontId="0" fillId="0" borderId="0" xfId="0" applyAlignment="1">
      <alignment horizontal="left"/>
    </xf>
    <xf numFmtId="0" fontId="32" fillId="11" borderId="0" xfId="3">
      <alignment horizontal="left" vertical="center"/>
    </xf>
    <xf numFmtId="0" fontId="24" fillId="0" borderId="0" xfId="20">
      <alignment horizontal="left" vertical="center"/>
    </xf>
    <xf numFmtId="0" fontId="29" fillId="0" borderId="0" xfId="34">
      <alignment horizontal="left" vertical="center"/>
    </xf>
    <xf numFmtId="0" fontId="35" fillId="0" borderId="0" xfId="35" applyFill="1">
      <alignment horizontal="left" vertical="center"/>
    </xf>
    <xf numFmtId="0" fontId="28" fillId="0" borderId="0" xfId="36">
      <alignment horizontal="left" vertical="center"/>
    </xf>
    <xf numFmtId="0" fontId="27" fillId="0" borderId="0" xfId="37">
      <alignment vertical="center"/>
    </xf>
    <xf numFmtId="0" fontId="31" fillId="15" borderId="0" xfId="38">
      <alignment horizontal="left" vertical="center"/>
    </xf>
    <xf numFmtId="0" fontId="29" fillId="0" borderId="0" xfId="34" applyFill="1">
      <alignment horizontal="left" vertical="center"/>
    </xf>
    <xf numFmtId="0" fontId="27" fillId="0" borderId="0" xfId="37" applyFill="1">
      <alignment vertical="center"/>
    </xf>
    <xf numFmtId="0" fontId="28" fillId="0" borderId="0" xfId="36" applyFill="1">
      <alignment horizontal="left" vertical="center"/>
    </xf>
    <xf numFmtId="0" fontId="28" fillId="0" borderId="1" xfId="36" applyBorder="1" applyAlignment="1">
      <alignment horizontal="center" vertical="center"/>
    </xf>
    <xf numFmtId="0" fontId="19" fillId="0" borderId="0" xfId="37" applyFont="1" applyFill="1">
      <alignment vertical="center"/>
    </xf>
    <xf numFmtId="0" fontId="28" fillId="0" borderId="0" xfId="36" applyAlignment="1">
      <alignment horizontal="right" vertical="center"/>
    </xf>
    <xf numFmtId="0" fontId="29" fillId="0" borderId="0" xfId="34" applyAlignment="1">
      <alignment horizontal="center" vertical="center"/>
    </xf>
    <xf numFmtId="0" fontId="0" fillId="0" borderId="0" xfId="0" applyAlignment="1">
      <alignment horizontal="center"/>
    </xf>
    <xf numFmtId="0" fontId="28" fillId="0" borderId="0" xfId="36" applyAlignment="1">
      <alignment horizontal="center" vertical="center"/>
    </xf>
    <xf numFmtId="4" fontId="0" fillId="0" borderId="0" xfId="0" applyNumberFormat="1"/>
    <xf numFmtId="172" fontId="0" fillId="0" borderId="0" xfId="0" applyNumberFormat="1"/>
    <xf numFmtId="0" fontId="25" fillId="0" borderId="0" xfId="37" applyFont="1" applyFill="1">
      <alignment vertical="center"/>
    </xf>
    <xf numFmtId="169" fontId="27" fillId="0" borderId="0" xfId="13" applyNumberFormat="1">
      <alignment horizontal="right" vertical="center"/>
    </xf>
    <xf numFmtId="173" fontId="5" fillId="0" borderId="3" xfId="44" applyBorder="1" applyAlignment="1">
      <alignment horizontal="center"/>
    </xf>
    <xf numFmtId="0" fontId="27"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11" xfId="0" applyBorder="1"/>
    <xf numFmtId="0" fontId="28" fillId="0" borderId="0" xfId="36" applyBorder="1">
      <alignment horizontal="left" vertical="center"/>
    </xf>
    <xf numFmtId="0" fontId="29" fillId="0" borderId="0" xfId="34" applyBorder="1" applyAlignment="1">
      <alignment horizontal="center" vertical="center"/>
    </xf>
    <xf numFmtId="0" fontId="35" fillId="0" borderId="0" xfId="35" applyBorder="1" applyAlignment="1">
      <alignment horizontal="center" vertical="center"/>
    </xf>
    <xf numFmtId="0" fontId="20" fillId="11" borderId="0" xfId="3" applyFont="1" applyBorder="1" applyAlignment="1">
      <alignment horizontal="center" vertical="center"/>
    </xf>
    <xf numFmtId="0" fontId="21"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8" fillId="12" borderId="4" xfId="8" applyAlignment="1">
      <alignment horizontal="center" vertical="center"/>
      <protection locked="0"/>
    </xf>
    <xf numFmtId="0" fontId="29" fillId="0" borderId="0" xfId="34" applyFill="1" applyBorder="1" applyAlignment="1">
      <alignment vertical="center"/>
    </xf>
    <xf numFmtId="0" fontId="26" fillId="0" borderId="0" xfId="3" applyFont="1" applyFill="1">
      <alignment horizontal="left" vertical="center"/>
    </xf>
    <xf numFmtId="0" fontId="17" fillId="0" borderId="0" xfId="32" applyBorder="1">
      <alignment horizontal="left" vertical="center"/>
    </xf>
    <xf numFmtId="0" fontId="17" fillId="0" borderId="0" xfId="32">
      <alignment horizontal="left" vertical="center"/>
    </xf>
    <xf numFmtId="0" fontId="17" fillId="0" borderId="0" xfId="32" applyAlignment="1">
      <alignment horizontal="center" vertical="center"/>
    </xf>
    <xf numFmtId="0" fontId="5" fillId="17" borderId="0" xfId="54"/>
    <xf numFmtId="0" fontId="28" fillId="16" borderId="4" xfId="53">
      <alignment horizontal="center" vertical="center"/>
      <protection locked="0"/>
    </xf>
    <xf numFmtId="165" fontId="28" fillId="3" borderId="4" xfId="14" applyFill="1">
      <alignment horizontal="right" vertical="center"/>
      <protection locked="0"/>
    </xf>
    <xf numFmtId="0" fontId="17" fillId="0" borderId="0" xfId="32" applyFill="1">
      <alignment horizontal="left" vertical="center"/>
    </xf>
    <xf numFmtId="170" fontId="28" fillId="0" borderId="1" xfId="48" applyBorder="1">
      <alignment horizontal="center" vertical="center"/>
    </xf>
    <xf numFmtId="170" fontId="27" fillId="0" borderId="0" xfId="11" applyAlignment="1">
      <alignment horizontal="right" vertical="center"/>
    </xf>
    <xf numFmtId="0" fontId="35" fillId="0" borderId="0" xfId="35" applyAlignment="1">
      <alignment horizontal="right" vertical="center"/>
    </xf>
    <xf numFmtId="0" fontId="35" fillId="0" borderId="0" xfId="35" applyAlignment="1">
      <alignment horizontal="center" vertical="center"/>
    </xf>
    <xf numFmtId="170" fontId="27" fillId="0" borderId="0" xfId="11">
      <alignment horizontal="center" vertical="center"/>
    </xf>
    <xf numFmtId="169" fontId="27" fillId="0" borderId="0" xfId="13" applyNumberFormat="1" applyAlignment="1">
      <alignment horizontal="center" vertical="center"/>
    </xf>
    <xf numFmtId="0" fontId="27" fillId="0" borderId="0" xfId="37" applyAlignment="1">
      <alignment horizontal="center" vertical="center"/>
    </xf>
    <xf numFmtId="0" fontId="35" fillId="0" borderId="2" xfId="35" applyBorder="1" applyAlignment="1">
      <alignment horizontal="center" vertical="center"/>
    </xf>
    <xf numFmtId="165" fontId="27" fillId="0" borderId="0" xfId="13" applyFill="1" applyAlignment="1">
      <alignment horizontal="center" vertical="center"/>
    </xf>
    <xf numFmtId="0" fontId="35" fillId="0" borderId="3" xfId="35" applyFill="1" applyBorder="1" applyAlignment="1">
      <alignment horizontal="center" vertical="center"/>
    </xf>
    <xf numFmtId="0" fontId="28" fillId="0" borderId="0" xfId="36" applyFill="1" applyAlignment="1">
      <alignment horizontal="center" vertical="center"/>
    </xf>
    <xf numFmtId="173" fontId="5" fillId="0" borderId="0" xfId="44">
      <alignment horizontal="center" vertical="center"/>
    </xf>
    <xf numFmtId="0" fontId="35" fillId="0" borderId="0" xfId="35" applyAlignment="1">
      <alignment horizontal="center" vertical="center" wrapText="1"/>
    </xf>
    <xf numFmtId="0" fontId="35" fillId="0" borderId="2" xfId="35" applyBorder="1" applyAlignment="1">
      <alignment horizontal="center" vertical="center" wrapText="1"/>
    </xf>
    <xf numFmtId="0" fontId="35" fillId="0" borderId="2" xfId="35" applyBorder="1">
      <alignment horizontal="left" vertical="center"/>
    </xf>
    <xf numFmtId="0" fontId="35" fillId="0" borderId="3" xfId="35" applyFill="1" applyBorder="1">
      <alignment horizontal="left" vertical="center"/>
    </xf>
    <xf numFmtId="0" fontId="27" fillId="0" borderId="0" xfId="37" applyFill="1" applyAlignment="1">
      <alignment horizontal="center" vertical="center"/>
    </xf>
    <xf numFmtId="0" fontId="36" fillId="0" borderId="0" xfId="37" applyFont="1">
      <alignment vertical="center"/>
    </xf>
    <xf numFmtId="20" fontId="0" fillId="0" borderId="0" xfId="0" quotePrefix="1" applyNumberFormat="1"/>
    <xf numFmtId="0" fontId="0" fillId="0" borderId="17" xfId="0" applyBorder="1"/>
    <xf numFmtId="0" fontId="35" fillId="0" borderId="18" xfId="35" applyBorder="1" applyAlignment="1">
      <alignment horizontal="center" vertical="center" wrapText="1"/>
    </xf>
    <xf numFmtId="175" fontId="28" fillId="3" borderId="4" xfId="16" applyNumberFormat="1" applyFill="1" applyAlignment="1">
      <alignment horizontal="center" vertical="center"/>
      <protection locked="0"/>
    </xf>
    <xf numFmtId="165" fontId="27" fillId="0" borderId="0" xfId="13" applyFill="1" applyBorder="1" applyAlignment="1">
      <alignment horizontal="center" vertical="center"/>
    </xf>
    <xf numFmtId="176" fontId="38" fillId="0" borderId="0" xfId="0" applyNumberFormat="1" applyFont="1"/>
    <xf numFmtId="176" fontId="39" fillId="0" borderId="0" xfId="0" applyNumberFormat="1" applyFont="1" applyAlignment="1">
      <alignment horizontal="center"/>
    </xf>
    <xf numFmtId="176" fontId="40" fillId="0" borderId="0" xfId="0" applyNumberFormat="1" applyFont="1"/>
    <xf numFmtId="176" fontId="39" fillId="0" borderId="0" xfId="0" applyNumberFormat="1" applyFont="1" applyAlignment="1">
      <alignment horizontal="left"/>
    </xf>
    <xf numFmtId="14" fontId="27" fillId="0" borderId="0" xfId="37" applyNumberFormat="1" applyAlignment="1">
      <alignment horizontal="left" vertical="center"/>
    </xf>
    <xf numFmtId="0" fontId="27" fillId="0" borderId="0" xfId="37" applyAlignment="1">
      <alignment horizontal="left" vertical="center"/>
    </xf>
    <xf numFmtId="0" fontId="35" fillId="0" borderId="0" xfId="35" applyBorder="1">
      <alignment horizontal="left" vertical="center"/>
    </xf>
    <xf numFmtId="0" fontId="35" fillId="0" borderId="0" xfId="35" applyBorder="1" applyAlignment="1">
      <alignment horizontal="center" vertical="center" wrapText="1"/>
    </xf>
    <xf numFmtId="10" fontId="27" fillId="0" borderId="0" xfId="56" applyNumberFormat="1" applyFont="1" applyFill="1" applyAlignment="1">
      <alignment horizontal="center" vertical="center"/>
    </xf>
    <xf numFmtId="176" fontId="40" fillId="0" borderId="0" xfId="0" applyNumberFormat="1" applyFont="1" applyAlignment="1">
      <alignment horizontal="center"/>
    </xf>
    <xf numFmtId="10" fontId="27" fillId="0" borderId="0" xfId="56" applyNumberFormat="1" applyFont="1" applyFill="1" applyBorder="1" applyAlignment="1">
      <alignment horizontal="center" vertical="center"/>
    </xf>
    <xf numFmtId="14" fontId="27" fillId="0" borderId="0" xfId="13" applyNumberFormat="1" applyFill="1" applyBorder="1" applyAlignment="1">
      <alignment horizontal="center" vertical="center"/>
    </xf>
    <xf numFmtId="0" fontId="27" fillId="0" borderId="0" xfId="37" applyFill="1" applyAlignment="1">
      <alignment horizontal="left" vertical="center"/>
    </xf>
    <xf numFmtId="10" fontId="34" fillId="0" borderId="3" xfId="56" applyNumberFormat="1" applyFont="1" applyFill="1" applyBorder="1" applyAlignment="1">
      <alignment horizontal="center" vertical="center"/>
    </xf>
    <xf numFmtId="10" fontId="0" fillId="0" borderId="0" xfId="56" applyNumberFormat="1" applyFont="1"/>
    <xf numFmtId="10" fontId="0" fillId="0" borderId="0" xfId="56" applyNumberFormat="1" applyFont="1" applyFill="1"/>
    <xf numFmtId="0" fontId="43" fillId="0" borderId="0" xfId="36" applyFont="1" applyFill="1" applyBorder="1">
      <alignment horizontal="left" vertical="center"/>
    </xf>
    <xf numFmtId="10" fontId="27" fillId="0" borderId="19" xfId="56" applyNumberFormat="1" applyFont="1" applyFill="1" applyBorder="1" applyAlignment="1">
      <alignment horizontal="center" vertical="center"/>
    </xf>
    <xf numFmtId="10" fontId="27" fillId="0" borderId="20" xfId="56" applyNumberFormat="1" applyFont="1" applyFill="1" applyBorder="1" applyAlignment="1">
      <alignment horizontal="center" vertical="center"/>
    </xf>
    <xf numFmtId="10" fontId="27" fillId="0" borderId="21" xfId="56" applyNumberFormat="1" applyFont="1" applyFill="1" applyBorder="1" applyAlignment="1">
      <alignment horizontal="center" vertical="center"/>
    </xf>
    <xf numFmtId="0" fontId="27" fillId="0" borderId="0" xfId="37" applyAlignment="1">
      <alignment horizontal="left" vertical="center" indent="2"/>
    </xf>
    <xf numFmtId="0" fontId="27" fillId="0" borderId="0" xfId="37" applyFill="1" applyAlignment="1">
      <alignment horizontal="left" vertical="center" indent="1"/>
    </xf>
    <xf numFmtId="10" fontId="34" fillId="0" borderId="23" xfId="56" applyNumberFormat="1" applyFont="1" applyFill="1" applyBorder="1" applyAlignment="1">
      <alignment horizontal="center" vertical="center"/>
    </xf>
    <xf numFmtId="0" fontId="27" fillId="0" borderId="24" xfId="37" applyFill="1" applyBorder="1" applyAlignment="1">
      <alignment horizontal="left" vertical="center" indent="1"/>
    </xf>
    <xf numFmtId="0" fontId="27" fillId="0" borderId="24" xfId="37" applyFill="1" applyBorder="1" applyAlignment="1">
      <alignment horizontal="center" vertical="center"/>
    </xf>
    <xf numFmtId="0" fontId="27" fillId="0" borderId="24" xfId="37" applyBorder="1" applyAlignment="1">
      <alignment horizontal="center" vertical="center"/>
    </xf>
    <xf numFmtId="10" fontId="27" fillId="0" borderId="24" xfId="56" applyNumberFormat="1" applyFont="1" applyFill="1" applyBorder="1" applyAlignment="1">
      <alignment horizontal="center" vertical="center"/>
    </xf>
    <xf numFmtId="10" fontId="27" fillId="0" borderId="26" xfId="56" applyNumberFormat="1" applyFont="1" applyFill="1" applyBorder="1" applyAlignment="1">
      <alignment horizontal="center" vertical="center"/>
    </xf>
    <xf numFmtId="10" fontId="27" fillId="0" borderId="25" xfId="56" applyNumberFormat="1" applyFont="1" applyFill="1" applyBorder="1" applyAlignment="1">
      <alignment horizontal="center" vertical="center"/>
    </xf>
    <xf numFmtId="170" fontId="28" fillId="3" borderId="4" xfId="12" applyFill="1" applyAlignment="1">
      <alignment horizontal="left" vertical="center"/>
      <protection locked="0"/>
    </xf>
    <xf numFmtId="14" fontId="28" fillId="3" borderId="4" xfId="16" applyNumberFormat="1" applyFill="1" applyAlignment="1">
      <alignment horizontal="center" vertical="center"/>
      <protection locked="0"/>
    </xf>
    <xf numFmtId="0" fontId="5" fillId="0" borderId="0" xfId="0" applyFont="1"/>
    <xf numFmtId="177" fontId="27" fillId="0" borderId="0" xfId="37" applyNumberFormat="1" applyAlignment="1">
      <alignment horizontal="left" vertical="center"/>
    </xf>
    <xf numFmtId="0" fontId="0" fillId="17" borderId="0" xfId="0" applyFill="1"/>
    <xf numFmtId="0" fontId="43" fillId="17" borderId="22" xfId="37" applyFont="1" applyFill="1" applyBorder="1" applyAlignment="1">
      <alignment horizontal="center" vertical="center"/>
    </xf>
    <xf numFmtId="0" fontId="34" fillId="0" borderId="0" xfId="37" applyFont="1">
      <alignment vertical="center"/>
    </xf>
    <xf numFmtId="0" fontId="34" fillId="0" borderId="0" xfId="37" applyFont="1" applyFill="1" applyAlignment="1">
      <alignment horizontal="center" vertical="center"/>
    </xf>
    <xf numFmtId="0" fontId="34" fillId="0" borderId="0" xfId="37" applyFont="1" applyAlignment="1">
      <alignment horizontal="center" vertical="center"/>
    </xf>
    <xf numFmtId="175" fontId="34" fillId="0" borderId="0" xfId="15" applyNumberFormat="1" applyFont="1" applyAlignment="1">
      <alignment horizontal="center" vertical="center"/>
    </xf>
    <xf numFmtId="0" fontId="44" fillId="0" borderId="0" xfId="0" applyFont="1" applyAlignment="1">
      <alignment horizontal="center"/>
    </xf>
    <xf numFmtId="175" fontId="27" fillId="0" borderId="0" xfId="15" applyNumberFormat="1" applyAlignment="1">
      <alignment horizontal="center" vertical="center"/>
    </xf>
    <xf numFmtId="10" fontId="34" fillId="0" borderId="0" xfId="56" applyNumberFormat="1" applyFont="1" applyFill="1" applyAlignment="1">
      <alignment horizontal="center" vertical="center"/>
    </xf>
    <xf numFmtId="0" fontId="28" fillId="0" borderId="0" xfId="36" applyFill="1" applyAlignment="1">
      <alignment horizontal="left" vertical="center" wrapText="1"/>
    </xf>
    <xf numFmtId="0" fontId="27" fillId="0" borderId="22" xfId="37" applyBorder="1" applyAlignment="1">
      <alignment horizontal="center" vertical="center"/>
    </xf>
    <xf numFmtId="0" fontId="35" fillId="0" borderId="0" xfId="35" applyBorder="1" applyAlignment="1">
      <alignment horizontal="center" vertical="center"/>
    </xf>
    <xf numFmtId="0" fontId="35" fillId="0" borderId="2" xfId="35" applyBorder="1" applyAlignment="1">
      <alignment horizontal="center" vertical="center"/>
    </xf>
  </cellXfs>
  <cellStyles count="57">
    <cellStyle name="Bad" xfId="22" builtinId="27" hidden="1"/>
    <cellStyle name="Calculation" xfId="26" builtinId="22" hidden="1"/>
    <cellStyle name="Check Cell" xfId="28" builtinId="23" hidden="1"/>
    <cellStyle name="Check RedRedGreen" xfId="44" xr:uid="{00000000-0005-0000-0000-000003000000}"/>
    <cellStyle name="Currency" xfId="1" builtinId="4" hidden="1" customBuiltin="1"/>
    <cellStyle name="Currency" xfId="40" xr:uid="{00000000-0005-0000-0000-000005000000}"/>
    <cellStyle name="Currency Assumptions" xfId="19" xr:uid="{00000000-0005-0000-0000-000006000000}"/>
    <cellStyle name="Currency Input" xfId="49" xr:uid="{00000000-0005-0000-0000-000007000000}"/>
    <cellStyle name="Date" xfId="11" xr:uid="{00000000-0005-0000-0000-000008000000}"/>
    <cellStyle name="Date Assumptions" xfId="12" xr:uid="{00000000-0005-0000-0000-000009000000}"/>
    <cellStyle name="Date Input" xfId="48" xr:uid="{00000000-0005-0000-0000-00000A000000}"/>
    <cellStyle name="Dropdown" xfId="53" xr:uid="{00000000-0005-0000-0000-00000B000000}"/>
    <cellStyle name="Explanatory Text" xfId="31" builtinId="53" hidden="1"/>
    <cellStyle name="External Link" xfId="55" xr:uid="{00000000-0005-0000-0000-00000D000000}"/>
    <cellStyle name="Good" xfId="21" builtinId="26" hidden="1"/>
    <cellStyle name="Heading 1" xfId="3" builtinId="16" customBuiltin="1"/>
    <cellStyle name="Heading 2" xfId="4" builtinId="17" hidden="1" customBuiltin="1"/>
    <cellStyle name="Heading 2 Input" xfId="38" xr:uid="{00000000-0005-0000-0000-000011000000}"/>
    <cellStyle name="Heading 2 Output" xfId="39" xr:uid="{00000000-0005-0000-0000-000012000000}"/>
    <cellStyle name="Heading 3" xfId="5" builtinId="18" hidden="1" customBuiltin="1"/>
    <cellStyle name="Heading 3 Input" xfId="34" xr:uid="{00000000-0005-0000-0000-000014000000}"/>
    <cellStyle name="Heading 3 Output" xfId="35" xr:uid="{00000000-0005-0000-0000-000015000000}"/>
    <cellStyle name="Heading 4" xfId="6" builtinId="19" hidden="1" customBuiltin="1"/>
    <cellStyle name="Heading 4 Assumptions" xfId="8" xr:uid="{00000000-0005-0000-0000-000017000000}"/>
    <cellStyle name="Heading 4 Input" xfId="36" xr:uid="{00000000-0005-0000-0000-000018000000}"/>
    <cellStyle name="Heading 4 Output" xfId="37" xr:uid="{00000000-0005-0000-0000-000019000000}"/>
    <cellStyle name="Hyperlink" xfId="32" builtinId="8" customBuiltin="1"/>
    <cellStyle name="Input" xfId="24" builtinId="20" hidden="1"/>
    <cellStyle name="Line Item Modifier" xfId="41" xr:uid="{00000000-0005-0000-0000-00001C000000}"/>
    <cellStyle name="Linked Cell" xfId="27" builtinId="24" hidden="1"/>
    <cellStyle name="Multiple" xfId="17" xr:uid="{00000000-0005-0000-0000-00001E000000}"/>
    <cellStyle name="Multiple Assumptions" xfId="18" xr:uid="{00000000-0005-0000-0000-00001F000000}"/>
    <cellStyle name="Multiple Input" xfId="50" xr:uid="{00000000-0005-0000-0000-000020000000}"/>
    <cellStyle name="Neutral" xfId="23" builtinId="28" hidden="1"/>
    <cellStyle name="Normal" xfId="0" builtinId="0" customBuiltin="1"/>
    <cellStyle name="Not Applicable" xfId="54" xr:uid="{00000000-0005-0000-0000-000023000000}"/>
    <cellStyle name="Note" xfId="30" builtinId="10" hidden="1"/>
    <cellStyle name="Number" xfId="13" xr:uid="{00000000-0005-0000-0000-000025000000}"/>
    <cellStyle name="Number Assumptions" xfId="14" xr:uid="{00000000-0005-0000-0000-000026000000}"/>
    <cellStyle name="Number Input" xfId="47" xr:uid="{00000000-0005-0000-0000-000027000000}"/>
    <cellStyle name="Output" xfId="25" builtinId="21" hidden="1"/>
    <cellStyle name="Percent" xfId="56" builtinId="5"/>
    <cellStyle name="Percentage" xfId="15" xr:uid="{00000000-0005-0000-0000-00002A000000}"/>
    <cellStyle name="Percentage Assumptions" xfId="16" xr:uid="{00000000-0005-0000-0000-00002B000000}"/>
    <cellStyle name="Percentage Input" xfId="51" xr:uid="{00000000-0005-0000-0000-00002C000000}"/>
    <cellStyle name="Sheet Title Input" xfId="20" xr:uid="{00000000-0005-0000-0000-00002D000000}"/>
    <cellStyle name="Sheet Title Output" xfId="33" xr:uid="{00000000-0005-0000-0000-00002E000000}"/>
    <cellStyle name="Table Header 1" xfId="42" xr:uid="{00000000-0005-0000-0000-00002F000000}"/>
    <cellStyle name="Table Header 2" xfId="43" xr:uid="{00000000-0005-0000-0000-000030000000}"/>
    <cellStyle name="Title" xfId="2" builtinId="15" hidden="1"/>
    <cellStyle name="Total" xfId="7" builtinId="25" hidden="1"/>
    <cellStyle name="Trigger Assumption GreenRedGrey" xfId="45" xr:uid="{00000000-0005-0000-0000-000033000000}"/>
    <cellStyle name="Trigger GreenRedGrey" xfId="46" xr:uid="{00000000-0005-0000-0000-000034000000}"/>
    <cellStyle name="Warning Text" xfId="29" builtinId="11" hidden="1"/>
    <cellStyle name="Year" xfId="9" xr:uid="{00000000-0005-0000-0000-000036000000}"/>
    <cellStyle name="Year Assumptions" xfId="10" xr:uid="{00000000-0005-0000-0000-000037000000}"/>
    <cellStyle name="Year Input" xfId="52" xr:uid="{00000000-0005-0000-0000-000038000000}"/>
  </cellStyles>
  <dxfs count="1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0066"/>
      <color rgb="FF139C00"/>
      <color rgb="FF42628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371750</xdr:colOff>
      <xdr:row>8</xdr:row>
      <xdr:rowOff>104839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33"/>
  <sheetViews>
    <sheetView showGridLines="0" tabSelected="1" zoomScaleNormal="100" workbookViewId="0"/>
  </sheetViews>
  <sheetFormatPr defaultColWidth="9.33203125" defaultRowHeight="10.15" x14ac:dyDescent="0.3"/>
  <cols>
    <col min="2" max="3" width="5.83203125" customWidth="1"/>
    <col min="4" max="4" width="12.83203125" customWidth="1"/>
    <col min="6" max="13" width="10.83203125" customWidth="1"/>
  </cols>
  <sheetData>
    <row r="1" spans="2:15" ht="11.25" customHeight="1" x14ac:dyDescent="0.3"/>
    <row r="2" spans="2:15" ht="11.25" customHeight="1" x14ac:dyDescent="0.3"/>
    <row r="3" spans="2:15" ht="18.75" x14ac:dyDescent="0.3">
      <c r="B3" s="3" t="s">
        <v>93</v>
      </c>
    </row>
    <row r="4" spans="2:15" ht="11.25" customHeight="1" x14ac:dyDescent="0.3"/>
    <row r="5" spans="2:15" ht="11.25" customHeight="1" x14ac:dyDescent="0.3">
      <c r="N5" s="65"/>
      <c r="O5" s="65"/>
    </row>
    <row r="6" spans="2:15" ht="11.25" customHeight="1" x14ac:dyDescent="0.3">
      <c r="N6" s="65"/>
      <c r="O6" s="65"/>
    </row>
    <row r="7" spans="2:15" ht="11.25" customHeight="1" x14ac:dyDescent="0.3">
      <c r="N7" s="65"/>
      <c r="O7" s="65"/>
    </row>
    <row r="8" spans="2:15" ht="11.25" customHeight="1" x14ac:dyDescent="0.3"/>
    <row r="11" spans="2:15" ht="13.15" x14ac:dyDescent="0.3">
      <c r="C11" s="38" t="s">
        <v>23</v>
      </c>
      <c r="E11" s="86"/>
      <c r="F11" s="11" t="s">
        <v>173</v>
      </c>
    </row>
    <row r="13" spans="2:15" ht="13.15" x14ac:dyDescent="0.3">
      <c r="C13" s="9" t="s">
        <v>24</v>
      </c>
    </row>
    <row r="14" spans="2:15" ht="12.75" x14ac:dyDescent="0.3">
      <c r="C14" s="11" t="s">
        <v>145</v>
      </c>
    </row>
    <row r="16" spans="2:15" ht="13.15" x14ac:dyDescent="0.3">
      <c r="C16" s="9" t="s">
        <v>29</v>
      </c>
    </row>
    <row r="18" spans="3:13" x14ac:dyDescent="0.3">
      <c r="C18" s="24"/>
      <c r="D18" s="25"/>
      <c r="E18" s="25"/>
      <c r="F18" s="25"/>
      <c r="G18" s="25"/>
      <c r="H18" s="25"/>
      <c r="I18" s="25"/>
      <c r="J18" s="25"/>
      <c r="K18" s="25"/>
      <c r="L18" s="25"/>
      <c r="M18" s="26"/>
    </row>
    <row r="19" spans="3:13" ht="12.75" x14ac:dyDescent="0.3">
      <c r="C19" s="27"/>
      <c r="D19" s="37" t="s">
        <v>13</v>
      </c>
      <c r="F19" s="29" t="s">
        <v>20</v>
      </c>
      <c r="M19" s="28"/>
    </row>
    <row r="20" spans="3:13" ht="12.75" x14ac:dyDescent="0.3">
      <c r="C20" s="27"/>
      <c r="D20" s="44" t="s">
        <v>36</v>
      </c>
      <c r="F20" s="29" t="s">
        <v>31</v>
      </c>
      <c r="M20" s="28"/>
    </row>
    <row r="21" spans="3:13" ht="13.15" x14ac:dyDescent="0.3">
      <c r="C21" s="27"/>
      <c r="D21" s="30" t="s">
        <v>15</v>
      </c>
      <c r="F21" s="29" t="s">
        <v>17</v>
      </c>
      <c r="M21" s="28"/>
    </row>
    <row r="22" spans="3:13" ht="13.15" x14ac:dyDescent="0.3">
      <c r="C22" s="27"/>
      <c r="D22" s="31" t="s">
        <v>16</v>
      </c>
      <c r="F22" s="29" t="s">
        <v>18</v>
      </c>
      <c r="M22" s="28"/>
    </row>
    <row r="23" spans="3:13" ht="12.75" x14ac:dyDescent="0.3">
      <c r="C23" s="27"/>
      <c r="D23" s="32" t="s">
        <v>5</v>
      </c>
      <c r="F23" s="29" t="s">
        <v>21</v>
      </c>
      <c r="M23" s="28"/>
    </row>
    <row r="24" spans="3:13" ht="12.75" x14ac:dyDescent="0.3">
      <c r="C24" s="27"/>
      <c r="D24" s="33" t="s">
        <v>19</v>
      </c>
      <c r="F24" s="29" t="s">
        <v>22</v>
      </c>
      <c r="M24" s="28"/>
    </row>
    <row r="25" spans="3:13" ht="12.75" x14ac:dyDescent="0.3">
      <c r="C25" s="27"/>
      <c r="D25" s="43"/>
      <c r="F25" s="29" t="s">
        <v>30</v>
      </c>
      <c r="M25" s="28"/>
    </row>
    <row r="26" spans="3:13" ht="12.75" x14ac:dyDescent="0.3">
      <c r="C26" s="27"/>
      <c r="D26" s="42" t="s">
        <v>37</v>
      </c>
      <c r="F26" s="29" t="s">
        <v>32</v>
      </c>
      <c r="M26" s="28"/>
    </row>
    <row r="27" spans="3:13" ht="12.75" x14ac:dyDescent="0.3">
      <c r="C27" s="27"/>
      <c r="D27" s="58">
        <v>1</v>
      </c>
      <c r="F27" s="29" t="s">
        <v>33</v>
      </c>
      <c r="M27" s="28"/>
    </row>
    <row r="28" spans="3:13" ht="12.75" x14ac:dyDescent="0.3">
      <c r="C28" s="27"/>
      <c r="D28" s="58">
        <v>0</v>
      </c>
      <c r="F28" s="29" t="s">
        <v>34</v>
      </c>
      <c r="M28" s="28"/>
    </row>
    <row r="29" spans="3:13" ht="12.75" x14ac:dyDescent="0.3">
      <c r="C29" s="27"/>
      <c r="D29" s="45"/>
      <c r="F29" s="29" t="s">
        <v>35</v>
      </c>
      <c r="M29" s="28"/>
    </row>
    <row r="30" spans="3:13" x14ac:dyDescent="0.3">
      <c r="C30" s="34"/>
      <c r="D30" s="35"/>
      <c r="E30" s="35"/>
      <c r="F30" s="35"/>
      <c r="G30" s="35"/>
      <c r="H30" s="35"/>
      <c r="I30" s="35"/>
      <c r="J30" s="35"/>
      <c r="K30" s="35"/>
      <c r="L30" s="35"/>
      <c r="M30" s="36"/>
    </row>
    <row r="32" spans="3:13" ht="13.15" x14ac:dyDescent="0.3">
      <c r="C32" s="9" t="s">
        <v>86</v>
      </c>
      <c r="D32" s="40"/>
    </row>
    <row r="33" spans="3:24" ht="81" customHeight="1" x14ac:dyDescent="0.3">
      <c r="C33" s="112" t="s">
        <v>91</v>
      </c>
      <c r="D33" s="112"/>
      <c r="E33" s="112"/>
      <c r="F33" s="112"/>
      <c r="G33" s="112"/>
      <c r="H33" s="112"/>
      <c r="I33" s="112"/>
      <c r="J33" s="112"/>
      <c r="K33" s="112"/>
      <c r="L33" s="112"/>
      <c r="M33" s="112"/>
      <c r="N33" s="112"/>
      <c r="O33" s="112"/>
      <c r="P33" s="112"/>
      <c r="Q33" s="112"/>
      <c r="R33" s="112"/>
      <c r="S33" s="112"/>
      <c r="T33" s="112"/>
      <c r="U33" s="112"/>
      <c r="V33" s="112"/>
      <c r="W33" s="112"/>
      <c r="X33" s="112"/>
    </row>
  </sheetData>
  <mergeCells count="1">
    <mergeCell ref="C33:X33"/>
  </mergeCells>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20"/>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0.15" x14ac:dyDescent="0.3"/>
  <cols>
    <col min="1" max="3" width="2.83203125" customWidth="1"/>
    <col min="4" max="4" width="43.83203125" customWidth="1"/>
    <col min="5" max="9" width="10.83203125" customWidth="1"/>
    <col min="10" max="15" width="10.83203125" hidden="1" customWidth="1"/>
    <col min="16" max="16384" width="9.33203125" hidden="1"/>
  </cols>
  <sheetData>
    <row r="1" spans="2:5" ht="18.75" x14ac:dyDescent="0.3">
      <c r="B1" s="3" t="s">
        <v>39</v>
      </c>
    </row>
    <row r="2" spans="2:5" x14ac:dyDescent="0.3">
      <c r="B2" s="13" t="str">
        <f>Title_Msg</f>
        <v>No Errors Found</v>
      </c>
    </row>
    <row r="3" spans="2:5" ht="12.75" x14ac:dyDescent="0.3">
      <c r="B3" s="46" t="s">
        <v>41</v>
      </c>
      <c r="C3" s="46"/>
      <c r="D3" s="46"/>
      <c r="E3" s="11"/>
    </row>
    <row r="4" spans="2:5" ht="13.15" x14ac:dyDescent="0.3">
      <c r="B4" s="39" t="str">
        <f>Model_Name</f>
        <v>Rate of Return Model - Power and Water Corporation (PWC)</v>
      </c>
    </row>
    <row r="6" spans="2:5" s="2" customFormat="1" ht="15" x14ac:dyDescent="0.3">
      <c r="B6" s="2" t="str">
        <f>B1</f>
        <v>Table of Contents</v>
      </c>
    </row>
    <row r="7" spans="2:5" ht="4.5" customHeight="1" x14ac:dyDescent="0.3"/>
    <row r="8" spans="2:5" s="8" customFormat="1" ht="13.9" x14ac:dyDescent="0.3">
      <c r="C8" s="8" t="s">
        <v>144</v>
      </c>
    </row>
    <row r="9" spans="2:5" ht="4.5" customHeight="1" x14ac:dyDescent="0.3"/>
    <row r="10" spans="2:5" ht="11.25" customHeight="1" x14ac:dyDescent="0.3">
      <c r="D10" s="46" t="str">
        <f>Input_CPI!B1</f>
        <v>CPI inputs</v>
      </c>
    </row>
    <row r="11" spans="2:5" ht="11.25" customHeight="1" x14ac:dyDescent="0.3">
      <c r="D11" s="46" t="str">
        <f>Input_Data!B1</f>
        <v>Rate of return inputs</v>
      </c>
    </row>
    <row r="12" spans="2:5" ht="11.25" customHeight="1" x14ac:dyDescent="0.3">
      <c r="D12" s="46" t="str">
        <f>Calc_Returns!B1</f>
        <v>Rate of return calculations</v>
      </c>
    </row>
    <row r="13" spans="2:5" x14ac:dyDescent="0.3">
      <c r="D13" s="46" t="str">
        <f>Output_PTRM!$B$1</f>
        <v>Exports to PTRM</v>
      </c>
    </row>
    <row r="14" spans="2:5" ht="4.5" customHeight="1" x14ac:dyDescent="0.3"/>
    <row r="15" spans="2:5" s="8" customFormat="1" ht="13.9" x14ac:dyDescent="0.3">
      <c r="C15" s="8" t="s">
        <v>40</v>
      </c>
    </row>
    <row r="16" spans="2:5" ht="4.5" customHeight="1" x14ac:dyDescent="0.3"/>
    <row r="17" spans="2:4" x14ac:dyDescent="0.3">
      <c r="D17" s="46" t="str">
        <f>Lookup!B1</f>
        <v>Model lookups</v>
      </c>
    </row>
    <row r="18" spans="2:4" x14ac:dyDescent="0.3">
      <c r="D18" s="46" t="str">
        <f>Checks!B1</f>
        <v>Checks</v>
      </c>
    </row>
    <row r="19" spans="2:4" ht="4.5" customHeight="1" x14ac:dyDescent="0.3"/>
    <row r="20" spans="2:4" s="2" customFormat="1" ht="15" x14ac:dyDescent="0.3">
      <c r="B20" s="2" t="s">
        <v>25</v>
      </c>
    </row>
  </sheetData>
  <conditionalFormatting sqref="B2">
    <cfRule type="cellIs" dxfId="15" priority="1" operator="notEqual">
      <formula>"No Errors Found"</formula>
    </cfRule>
  </conditionalFormatting>
  <hyperlinks>
    <hyperlink ref="D17" location="Lookup!A1" display="Lookup!A1" xr:uid="{00000000-0004-0000-0100-000000000000}"/>
    <hyperlink ref="D18" location="Checks!A1" display="Checks!A1" xr:uid="{00000000-0004-0000-0100-000001000000}"/>
    <hyperlink ref="B3:D3" location="Cover!A1" display="Go to Cover Sheet" xr:uid="{00000000-0004-0000-0100-000002000000}"/>
    <hyperlink ref="D11" location="Input_Data!A1" display="Input_Data!A1" xr:uid="{00000000-0004-0000-0100-000003000000}"/>
    <hyperlink ref="D13" location="Output_PTRM!A1" display="Output_PTRM!A1" xr:uid="{00000000-0004-0000-0100-000004000000}"/>
    <hyperlink ref="C8" location="SC_General!A1" display="SC_General!A1" xr:uid="{00000000-0004-0000-0100-000007000000}"/>
    <hyperlink ref="D12" location="Calc_Returns!A1" display="Calc_Returns!A1" xr:uid="{00000000-0004-0000-0100-000008000000}"/>
    <hyperlink ref="D10" location="Input_CPI!A1" display="Input_CPI!A1" xr:uid="{C7F22B1A-CBC6-4F2A-B37F-C30A6F906F1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C486D-9599-411B-9E5C-5CF6BA98A957}">
  <sheetPr codeName="Sheet4">
    <tabColor theme="4" tint="0.59999389629810485"/>
  </sheetPr>
  <dimension ref="A1:X38"/>
  <sheetViews>
    <sheetView showGridLines="0" zoomScaleNormal="100" workbookViewId="0">
      <pane xSplit="1" ySplit="10" topLeftCell="B11" activePane="bottomRight" state="frozen"/>
      <selection pane="topRight"/>
      <selection pane="bottomLeft"/>
      <selection pane="bottomRight"/>
    </sheetView>
  </sheetViews>
  <sheetFormatPr defaultColWidth="9.33203125" defaultRowHeight="10.15" outlineLevelRow="1" x14ac:dyDescent="0.3"/>
  <cols>
    <col min="1" max="1" width="3.33203125" customWidth="1"/>
    <col min="2" max="2" width="2.83203125" customWidth="1"/>
    <col min="3" max="3" width="5" customWidth="1"/>
    <col min="4" max="4" width="37.1640625" customWidth="1"/>
    <col min="5" max="5" width="11.83203125" customWidth="1"/>
    <col min="6" max="6" width="9.1640625" customWidth="1"/>
    <col min="7" max="7" width="12" customWidth="1"/>
    <col min="8" max="8" width="10" customWidth="1"/>
    <col min="9" max="9" width="10.83203125" customWidth="1"/>
    <col min="10" max="20" width="12.83203125" customWidth="1"/>
    <col min="21" max="24" width="12.5" bestFit="1" customWidth="1"/>
  </cols>
  <sheetData>
    <row r="1" spans="1:24" ht="18.75" x14ac:dyDescent="0.3">
      <c r="A1" s="58">
        <f>IF(SUM($A11:$A38)&gt;0,1,0)</f>
        <v>0</v>
      </c>
      <c r="B1" s="3" t="s">
        <v>165</v>
      </c>
    </row>
    <row r="2" spans="1:24" x14ac:dyDescent="0.3">
      <c r="B2" s="13" t="str">
        <f>Title_Msg</f>
        <v>No Errors Found</v>
      </c>
    </row>
    <row r="3" spans="1:24" x14ac:dyDescent="0.3">
      <c r="B3" s="46" t="str">
        <f>TOC!B1</f>
        <v>Table of Contents</v>
      </c>
      <c r="C3" s="41"/>
      <c r="D3" s="41"/>
      <c r="E3" s="41"/>
    </row>
    <row r="4" spans="1:24" ht="13.15" x14ac:dyDescent="0.3">
      <c r="B4" s="39" t="str">
        <f>Model_Name</f>
        <v>Rate of Return Model - Power and Water Corporation (PWC)</v>
      </c>
    </row>
    <row r="5" spans="1:24" ht="12.75" hidden="1" outlineLevel="1" x14ac:dyDescent="0.3">
      <c r="B5" s="10" t="str">
        <f>Lookup!B15</f>
        <v>Period Start Date</v>
      </c>
      <c r="J5" s="51">
        <f>Lookup!J15</f>
        <v>43647</v>
      </c>
      <c r="K5" s="51">
        <f>Lookup!K15</f>
        <v>44013</v>
      </c>
      <c r="L5" s="51">
        <f>Lookup!L15</f>
        <v>44378</v>
      </c>
      <c r="M5" s="51">
        <f>Lookup!M15</f>
        <v>44743</v>
      </c>
      <c r="N5" s="51">
        <f>Lookup!N15</f>
        <v>45108</v>
      </c>
      <c r="O5" s="51">
        <f>Lookup!O15</f>
        <v>45474</v>
      </c>
      <c r="P5" s="51">
        <f>Lookup!P15</f>
        <v>45839</v>
      </c>
      <c r="Q5" s="51">
        <f>Lookup!Q15</f>
        <v>46204</v>
      </c>
      <c r="R5" s="51">
        <f>Lookup!R15</f>
        <v>46569</v>
      </c>
      <c r="S5" s="51">
        <f>Lookup!S15</f>
        <v>46935</v>
      </c>
      <c r="T5" s="51">
        <f>Lookup!T15</f>
        <v>47300</v>
      </c>
      <c r="U5" s="51">
        <f>Lookup!U15</f>
        <v>47665</v>
      </c>
      <c r="V5" s="51">
        <f>Lookup!V15</f>
        <v>48030</v>
      </c>
      <c r="W5" s="51">
        <f>Lookup!W15</f>
        <v>48396</v>
      </c>
      <c r="X5" s="51">
        <f>Lookup!X15</f>
        <v>48761</v>
      </c>
    </row>
    <row r="6" spans="1:24" ht="12.75" hidden="1" outlineLevel="1" x14ac:dyDescent="0.3">
      <c r="B6" s="10" t="str">
        <f>Lookup!B16</f>
        <v>Period End Date</v>
      </c>
      <c r="J6" s="51">
        <f>Lookup!J16</f>
        <v>44012</v>
      </c>
      <c r="K6" s="51">
        <f>Lookup!K16</f>
        <v>44377</v>
      </c>
      <c r="L6" s="51">
        <f>Lookup!L16</f>
        <v>44742</v>
      </c>
      <c r="M6" s="51">
        <f>Lookup!M16</f>
        <v>45107</v>
      </c>
      <c r="N6" s="51">
        <f>Lookup!N16</f>
        <v>45473</v>
      </c>
      <c r="O6" s="51">
        <f>Lookup!O16</f>
        <v>45838</v>
      </c>
      <c r="P6" s="51">
        <f>Lookup!P16</f>
        <v>46203</v>
      </c>
      <c r="Q6" s="51">
        <f>Lookup!Q16</f>
        <v>46568</v>
      </c>
      <c r="R6" s="51">
        <f>Lookup!R16</f>
        <v>46934</v>
      </c>
      <c r="S6" s="51">
        <f>Lookup!S16</f>
        <v>47299</v>
      </c>
      <c r="T6" s="51">
        <f>Lookup!T16</f>
        <v>47664</v>
      </c>
      <c r="U6" s="51">
        <f>Lookup!U16</f>
        <v>48029</v>
      </c>
      <c r="V6" s="51">
        <f>Lookup!V16</f>
        <v>48395</v>
      </c>
      <c r="W6" s="51">
        <f>Lookup!W16</f>
        <v>48760</v>
      </c>
      <c r="X6" s="51">
        <f>Lookup!X16</f>
        <v>49125</v>
      </c>
    </row>
    <row r="7" spans="1:24" ht="12.75" hidden="1" outlineLevel="1" x14ac:dyDescent="0.3">
      <c r="B7" s="10" t="str">
        <f>Lookup!B17</f>
        <v>Period Counter</v>
      </c>
      <c r="J7" s="52">
        <f>Lookup!J17</f>
        <v>1</v>
      </c>
      <c r="K7" s="52">
        <f>Lookup!K17</f>
        <v>2</v>
      </c>
      <c r="L7" s="52">
        <f>Lookup!L17</f>
        <v>3</v>
      </c>
      <c r="M7" s="52">
        <f>Lookup!M17</f>
        <v>4</v>
      </c>
      <c r="N7" s="52">
        <f>Lookup!N17</f>
        <v>5</v>
      </c>
      <c r="O7" s="52">
        <f>Lookup!O17</f>
        <v>6</v>
      </c>
      <c r="P7" s="52">
        <f>Lookup!P17</f>
        <v>7</v>
      </c>
      <c r="Q7" s="52">
        <f>Lookup!Q17</f>
        <v>8</v>
      </c>
      <c r="R7" s="52">
        <f>Lookup!R17</f>
        <v>9</v>
      </c>
      <c r="S7" s="52">
        <f>Lookup!S17</f>
        <v>10</v>
      </c>
      <c r="T7" s="52">
        <f>Lookup!T17</f>
        <v>11</v>
      </c>
      <c r="U7" s="52">
        <f>Lookup!U17</f>
        <v>12</v>
      </c>
      <c r="V7" s="52">
        <f>Lookup!V17</f>
        <v>13</v>
      </c>
      <c r="W7" s="52">
        <f>Lookup!W17</f>
        <v>14</v>
      </c>
      <c r="X7" s="52">
        <f>Lookup!X17</f>
        <v>15</v>
      </c>
    </row>
    <row r="8" spans="1:24" ht="12.75" hidden="1" outlineLevel="1" x14ac:dyDescent="0.3">
      <c r="B8" s="10" t="str">
        <f>Lookup!B18</f>
        <v>Year</v>
      </c>
      <c r="J8" s="53">
        <f>Lookup!J18</f>
        <v>2020</v>
      </c>
      <c r="K8" s="53">
        <f>Lookup!K18</f>
        <v>2021</v>
      </c>
      <c r="L8" s="53">
        <f>Lookup!L18</f>
        <v>2022</v>
      </c>
      <c r="M8" s="53">
        <f>Lookup!M18</f>
        <v>2023</v>
      </c>
      <c r="N8" s="53">
        <f>Lookup!N18</f>
        <v>2024</v>
      </c>
      <c r="O8" s="53">
        <f>Lookup!O18</f>
        <v>2025</v>
      </c>
      <c r="P8" s="53">
        <f>Lookup!P18</f>
        <v>2026</v>
      </c>
      <c r="Q8" s="53">
        <f>Lookup!Q18</f>
        <v>2027</v>
      </c>
      <c r="R8" s="53">
        <f>Lookup!R18</f>
        <v>2028</v>
      </c>
      <c r="S8" s="53">
        <f>Lookup!S18</f>
        <v>2029</v>
      </c>
      <c r="T8" s="53">
        <f>Lookup!T18</f>
        <v>2030</v>
      </c>
      <c r="U8" s="53">
        <f>Lookup!U18</f>
        <v>2031</v>
      </c>
      <c r="V8" s="53">
        <f>Lookup!V18</f>
        <v>2032</v>
      </c>
      <c r="W8" s="53">
        <f>Lookup!W18</f>
        <v>2033</v>
      </c>
      <c r="X8" s="53">
        <f>Lookup!X18</f>
        <v>2034</v>
      </c>
    </row>
    <row r="9" spans="1:24" ht="12.75" hidden="1" outlineLevel="1" x14ac:dyDescent="0.3">
      <c r="B9" s="10" t="str">
        <f>Lookup!B19</f>
        <v>Period Type</v>
      </c>
      <c r="J9" s="53" t="str">
        <f>Lookup!J19</f>
        <v>Actual</v>
      </c>
      <c r="K9" s="53" t="str">
        <f>Lookup!K19</f>
        <v>Actual</v>
      </c>
      <c r="L9" s="53" t="str">
        <f>Lookup!L19</f>
        <v>Actual</v>
      </c>
      <c r="M9" s="53" t="str">
        <f>Lookup!M19</f>
        <v>Base Year</v>
      </c>
      <c r="N9" s="53" t="str">
        <f>Lookup!N19</f>
        <v>Forecast</v>
      </c>
      <c r="O9" s="53" t="str">
        <f>Lookup!O19</f>
        <v>Forecast</v>
      </c>
      <c r="P9" s="53" t="str">
        <f>Lookup!P19</f>
        <v>Forecast</v>
      </c>
      <c r="Q9" s="53" t="str">
        <f>Lookup!Q19</f>
        <v>Forecast</v>
      </c>
      <c r="R9" s="53" t="str">
        <f>Lookup!R19</f>
        <v>Forecast</v>
      </c>
      <c r="S9" s="53" t="str">
        <f>Lookup!S19</f>
        <v>Forecast</v>
      </c>
      <c r="T9" s="53" t="str">
        <f>Lookup!T19</f>
        <v>Forecast</v>
      </c>
      <c r="U9" s="53" t="str">
        <f>Lookup!U19</f>
        <v>Forecast</v>
      </c>
      <c r="V9" s="53" t="str">
        <f>Lookup!V19</f>
        <v>Forecast</v>
      </c>
      <c r="W9" s="53" t="str">
        <f>Lookup!W19</f>
        <v>Forecast</v>
      </c>
      <c r="X9" s="53" t="str">
        <f>Lookup!X19</f>
        <v>Forecast</v>
      </c>
    </row>
    <row r="10" spans="1:24" ht="13.15" collapsed="1" x14ac:dyDescent="0.3">
      <c r="B10" s="5" t="str">
        <f>Lookup!B20</f>
        <v>Regulatory Year</v>
      </c>
      <c r="E10" s="50" t="str">
        <f>Lookup!E20</f>
        <v>Source</v>
      </c>
      <c r="F10" s="50" t="str">
        <f>Lookup!F20</f>
        <v>Unit</v>
      </c>
      <c r="G10" s="50" t="str">
        <f>Lookup!G20</f>
        <v>Basis</v>
      </c>
      <c r="H10" s="50" t="str">
        <f>Lookup!H20</f>
        <v>Timing</v>
      </c>
      <c r="I10" s="50" t="str">
        <f>Lookup!I20</f>
        <v>FY19</v>
      </c>
      <c r="J10" s="50" t="str">
        <f>Lookup!J20</f>
        <v>FY20</v>
      </c>
      <c r="K10" s="50" t="str">
        <f>Lookup!K20</f>
        <v>FY21</v>
      </c>
      <c r="L10" s="50" t="str">
        <f>Lookup!L20</f>
        <v>FY22</v>
      </c>
      <c r="M10" s="50" t="str">
        <f>Lookup!M20</f>
        <v>FY23</v>
      </c>
      <c r="N10" s="50" t="str">
        <f>Lookup!N20</f>
        <v>FY24</v>
      </c>
      <c r="O10" s="50" t="str">
        <f>Lookup!O20</f>
        <v>FY25</v>
      </c>
      <c r="P10" s="50" t="str">
        <f>Lookup!P20</f>
        <v>FY26</v>
      </c>
      <c r="Q10" s="50" t="str">
        <f>Lookup!Q20</f>
        <v>FY27</v>
      </c>
      <c r="R10" s="50" t="str">
        <f>Lookup!R20</f>
        <v>FY28</v>
      </c>
      <c r="S10" s="50" t="str">
        <f>Lookup!S20</f>
        <v>FY29</v>
      </c>
    </row>
    <row r="12" spans="1:24" s="2" customFormat="1" ht="15" x14ac:dyDescent="0.3">
      <c r="B12" s="2" t="s">
        <v>87</v>
      </c>
    </row>
    <row r="13" spans="1:24" ht="4.5" customHeight="1" x14ac:dyDescent="0.3"/>
    <row r="14" spans="1:24" s="8" customFormat="1" ht="13.9" x14ac:dyDescent="0.3">
      <c r="C14" s="8" t="s">
        <v>166</v>
      </c>
    </row>
    <row r="16" spans="1:24" ht="13.15" x14ac:dyDescent="0.3">
      <c r="D16" s="61" t="s">
        <v>94</v>
      </c>
      <c r="E16" s="60" t="str">
        <f>Lookup!E$20</f>
        <v>Source</v>
      </c>
      <c r="F16" s="60" t="str">
        <f>Lookup!F$20</f>
        <v>Unit</v>
      </c>
      <c r="G16" s="60" t="str">
        <f>Lookup!G$20</f>
        <v>Basis</v>
      </c>
      <c r="H16" s="60" t="str">
        <f>Lookup!H$20</f>
        <v>Timing</v>
      </c>
      <c r="I16" s="67" t="str">
        <f>I$10</f>
        <v>FY19</v>
      </c>
      <c r="J16" s="60" t="str">
        <f>J$10</f>
        <v>FY20</v>
      </c>
      <c r="K16" s="60" t="str">
        <f t="shared" ref="K16:N16" si="0">K$10</f>
        <v>FY21</v>
      </c>
      <c r="L16" s="60" t="str">
        <f t="shared" si="0"/>
        <v>FY22</v>
      </c>
      <c r="M16" s="60" t="str">
        <f t="shared" si="0"/>
        <v>FY23</v>
      </c>
      <c r="N16" s="67" t="str">
        <f t="shared" si="0"/>
        <v>FY24</v>
      </c>
      <c r="O16" s="60" t="str">
        <f>O$10</f>
        <v>FY25</v>
      </c>
    </row>
    <row r="17" spans="3:15" x14ac:dyDescent="0.3">
      <c r="I17" s="66"/>
      <c r="N17" s="66"/>
    </row>
    <row r="18" spans="3:15" ht="12.75" x14ac:dyDescent="0.3">
      <c r="D18" s="7" t="s">
        <v>49</v>
      </c>
      <c r="E18" s="63" t="s">
        <v>135</v>
      </c>
      <c r="F18" s="53" t="str">
        <f t="shared" ref="F18:F21" si="1">Percent</f>
        <v>Percent</v>
      </c>
      <c r="G18" s="53" t="str">
        <f t="shared" ref="G18:H21" si="2">NA</f>
        <v>N/A</v>
      </c>
      <c r="H18" s="53" t="str">
        <f t="shared" si="2"/>
        <v>N/A</v>
      </c>
      <c r="I18" s="68">
        <v>1.5929203539823078E-2</v>
      </c>
      <c r="J18" s="68">
        <v>-3.4843205574912606E-3</v>
      </c>
      <c r="K18" s="68">
        <v>3.8461538461538325E-2</v>
      </c>
      <c r="L18" s="68">
        <v>6.1447811447811418E-2</v>
      </c>
      <c r="M18" s="68"/>
      <c r="N18" s="68"/>
      <c r="O18" s="68"/>
    </row>
    <row r="19" spans="3:15" ht="12.75" x14ac:dyDescent="0.3">
      <c r="D19" s="7" t="s">
        <v>50</v>
      </c>
      <c r="E19" s="63" t="s">
        <v>88</v>
      </c>
      <c r="F19" s="53" t="str">
        <f t="shared" si="1"/>
        <v>Percent</v>
      </c>
      <c r="G19" s="53" t="str">
        <f t="shared" si="2"/>
        <v>N/A</v>
      </c>
      <c r="H19" s="53" t="str">
        <f t="shared" si="2"/>
        <v>N/A</v>
      </c>
      <c r="I19" s="103"/>
      <c r="J19" s="103"/>
      <c r="K19" s="104"/>
      <c r="L19" s="68"/>
      <c r="M19" s="68">
        <v>6.3E-2</v>
      </c>
      <c r="N19" s="68">
        <v>4.2000000000000003E-2</v>
      </c>
      <c r="O19" s="68"/>
    </row>
    <row r="20" spans="3:15" x14ac:dyDescent="0.3">
      <c r="L20" s="109"/>
      <c r="M20" s="109" t="s">
        <v>170</v>
      </c>
      <c r="N20" s="109" t="s">
        <v>172</v>
      </c>
      <c r="O20" s="109" t="s">
        <v>175</v>
      </c>
    </row>
    <row r="21" spans="3:15" ht="13.15" x14ac:dyDescent="0.3">
      <c r="D21" s="105" t="str">
        <f>"Applied - "&amp;C14</f>
        <v>Applied - Unlagged - June to June</v>
      </c>
      <c r="E21" s="106" t="s">
        <v>78</v>
      </c>
      <c r="F21" s="107" t="str">
        <f t="shared" si="1"/>
        <v>Percent</v>
      </c>
      <c r="G21" s="107" t="str">
        <f t="shared" si="2"/>
        <v>N/A</v>
      </c>
      <c r="H21" s="107" t="str">
        <f t="shared" si="2"/>
        <v>N/A</v>
      </c>
      <c r="I21" s="108">
        <f>IF(ISBLANK(I18),I19,I18)</f>
        <v>1.5929203539823078E-2</v>
      </c>
      <c r="J21" s="108">
        <f t="shared" ref="J21:N21" si="3">IF(ISBLANK(J18),J19,J18)</f>
        <v>-3.4843205574912606E-3</v>
      </c>
      <c r="K21" s="108">
        <f t="shared" si="3"/>
        <v>3.8461538461538325E-2</v>
      </c>
      <c r="L21" s="108">
        <f t="shared" si="3"/>
        <v>6.1447811447811418E-2</v>
      </c>
      <c r="M21" s="108">
        <f t="shared" si="3"/>
        <v>6.3E-2</v>
      </c>
      <c r="N21" s="108">
        <f t="shared" si="3"/>
        <v>4.2000000000000003E-2</v>
      </c>
      <c r="O21" s="108">
        <f t="shared" ref="O21" si="4">IF(ISBLANK(O18),O19,O18)</f>
        <v>0</v>
      </c>
    </row>
    <row r="22" spans="3:15" ht="12.75" x14ac:dyDescent="0.3">
      <c r="D22" s="7"/>
      <c r="E22" s="63"/>
      <c r="F22" s="53"/>
      <c r="G22" s="53"/>
      <c r="H22" s="53"/>
    </row>
    <row r="23" spans="3:15" ht="13.15" x14ac:dyDescent="0.3">
      <c r="C23" s="64" t="s">
        <v>139</v>
      </c>
    </row>
    <row r="24" spans="3:15" ht="13.15" x14ac:dyDescent="0.3">
      <c r="C24" s="64" t="s">
        <v>179</v>
      </c>
    </row>
    <row r="26" spans="3:15" s="8" customFormat="1" ht="13.9" x14ac:dyDescent="0.3">
      <c r="C26" s="8" t="s">
        <v>167</v>
      </c>
    </row>
    <row r="28" spans="3:15" ht="13.15" x14ac:dyDescent="0.3">
      <c r="D28" s="61" t="s">
        <v>94</v>
      </c>
      <c r="E28" s="60" t="str">
        <f>Lookup!E$20</f>
        <v>Source</v>
      </c>
      <c r="F28" s="60" t="str">
        <f>Lookup!F$20</f>
        <v>Unit</v>
      </c>
      <c r="G28" s="60" t="str">
        <f>Lookup!G$20</f>
        <v>Basis</v>
      </c>
      <c r="H28" s="60" t="str">
        <f>Lookup!H$20</f>
        <v>Timing</v>
      </c>
      <c r="I28" s="67" t="str">
        <f>I$10</f>
        <v>FY19</v>
      </c>
      <c r="J28" s="60" t="str">
        <f>J$10</f>
        <v>FY20</v>
      </c>
      <c r="K28" s="60" t="str">
        <f t="shared" ref="K28:N28" si="5">K$10</f>
        <v>FY21</v>
      </c>
      <c r="L28" s="60" t="str">
        <f t="shared" si="5"/>
        <v>FY22</v>
      </c>
      <c r="M28" s="60" t="str">
        <f t="shared" si="5"/>
        <v>FY23</v>
      </c>
      <c r="N28" s="67" t="str">
        <f t="shared" si="5"/>
        <v>FY24</v>
      </c>
      <c r="O28" s="60" t="str">
        <f>O$10</f>
        <v>FY25</v>
      </c>
    </row>
    <row r="29" spans="3:15" x14ac:dyDescent="0.3">
      <c r="I29" s="66"/>
      <c r="N29" s="66"/>
    </row>
    <row r="30" spans="3:15" ht="12.75" x14ac:dyDescent="0.3">
      <c r="D30" s="7" t="s">
        <v>49</v>
      </c>
      <c r="E30" s="63" t="s">
        <v>135</v>
      </c>
      <c r="F30" s="53" t="str">
        <f t="shared" ref="F30:F33" si="6">Percent</f>
        <v>Percent</v>
      </c>
      <c r="G30" s="53" t="str">
        <f t="shared" ref="G30:H33" si="7">NA</f>
        <v>N/A</v>
      </c>
      <c r="H30" s="53" t="str">
        <f t="shared" si="7"/>
        <v>N/A</v>
      </c>
      <c r="I30" s="68">
        <v>1.7841213202497874E-2</v>
      </c>
      <c r="J30" s="68">
        <v>1.8404907975460238E-2</v>
      </c>
      <c r="K30" s="68">
        <v>8.6058519793459354E-3</v>
      </c>
      <c r="L30" s="68">
        <v>3.4982935153583528E-2</v>
      </c>
      <c r="M30" s="68"/>
      <c r="N30" s="68"/>
      <c r="O30" s="68"/>
    </row>
    <row r="31" spans="3:15" ht="12.75" x14ac:dyDescent="0.3">
      <c r="D31" s="7" t="s">
        <v>50</v>
      </c>
      <c r="E31" s="63" t="s">
        <v>88</v>
      </c>
      <c r="F31" s="53" t="str">
        <f t="shared" si="6"/>
        <v>Percent</v>
      </c>
      <c r="G31" s="53" t="str">
        <f t="shared" si="7"/>
        <v>N/A</v>
      </c>
      <c r="H31" s="53" t="str">
        <f t="shared" si="7"/>
        <v>N/A</v>
      </c>
      <c r="I31" s="103"/>
      <c r="J31" s="103"/>
      <c r="K31" s="104"/>
      <c r="L31" s="104"/>
      <c r="M31" s="68">
        <v>0.08</v>
      </c>
      <c r="N31" s="68">
        <v>4.7E-2</v>
      </c>
      <c r="O31" s="68">
        <v>3.2000000000000001E-2</v>
      </c>
    </row>
    <row r="32" spans="3:15" x14ac:dyDescent="0.3">
      <c r="L32" s="109"/>
      <c r="M32" s="109" t="s">
        <v>168</v>
      </c>
      <c r="N32" s="109" t="s">
        <v>171</v>
      </c>
      <c r="O32" s="109" t="s">
        <v>174</v>
      </c>
    </row>
    <row r="33" spans="2:15" ht="13.15" x14ac:dyDescent="0.3">
      <c r="D33" s="105" t="str">
        <f>"Applied - "&amp;C26</f>
        <v>Applied - Lagged - Dec to Dec</v>
      </c>
      <c r="E33" s="106" t="s">
        <v>78</v>
      </c>
      <c r="F33" s="107" t="str">
        <f t="shared" si="6"/>
        <v>Percent</v>
      </c>
      <c r="G33" s="107" t="str">
        <f t="shared" si="7"/>
        <v>N/A</v>
      </c>
      <c r="H33" s="107" t="str">
        <f t="shared" si="7"/>
        <v>N/A</v>
      </c>
      <c r="I33" s="108">
        <f>IF(ISBLANK(I30),I31,I30)</f>
        <v>1.7841213202497874E-2</v>
      </c>
      <c r="J33" s="108">
        <f t="shared" ref="J33:N33" si="8">IF(ISBLANK(J30),J31,J30)</f>
        <v>1.8404907975460238E-2</v>
      </c>
      <c r="K33" s="108">
        <f t="shared" si="8"/>
        <v>8.6058519793459354E-3</v>
      </c>
      <c r="L33" s="108">
        <f t="shared" si="8"/>
        <v>3.4982935153583528E-2</v>
      </c>
      <c r="M33" s="108">
        <f t="shared" si="8"/>
        <v>0.08</v>
      </c>
      <c r="N33" s="108">
        <f t="shared" si="8"/>
        <v>4.7E-2</v>
      </c>
      <c r="O33" s="108">
        <f t="shared" ref="O33" si="9">IF(ISBLANK(O30),O31,O30)</f>
        <v>3.2000000000000001E-2</v>
      </c>
    </row>
    <row r="34" spans="2:15" ht="12.75" x14ac:dyDescent="0.3">
      <c r="D34" s="7"/>
      <c r="E34" s="63"/>
      <c r="F34" s="53"/>
      <c r="G34" s="53"/>
      <c r="H34" s="53"/>
      <c r="I34" s="53"/>
      <c r="J34" s="53"/>
      <c r="K34" s="53"/>
    </row>
    <row r="35" spans="2:15" ht="13.15" x14ac:dyDescent="0.3">
      <c r="C35" s="64" t="s">
        <v>169</v>
      </c>
    </row>
    <row r="36" spans="2:15" ht="13.15" x14ac:dyDescent="0.3">
      <c r="C36" s="64" t="s">
        <v>179</v>
      </c>
    </row>
    <row r="37" spans="2:15" ht="11.25" customHeight="1" x14ac:dyDescent="0.3"/>
    <row r="38" spans="2:15" s="2" customFormat="1" ht="15" x14ac:dyDescent="0.3">
      <c r="B38" s="2" t="s">
        <v>25</v>
      </c>
    </row>
  </sheetData>
  <conditionalFormatting sqref="B2">
    <cfRule type="cellIs" dxfId="14" priority="1" operator="notEqual">
      <formula>"No Errors Found"</formula>
    </cfRule>
  </conditionalFormatting>
  <hyperlinks>
    <hyperlink ref="B3:E3" location="TOC!A1" display="TOC!A1" xr:uid="{BA7FD087-7051-4259-A466-619105F10DB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sheetPr>
  <dimension ref="A1:X110"/>
  <sheetViews>
    <sheetView showGridLines="0" zoomScaleNormal="100" workbookViewId="0">
      <pane xSplit="1" ySplit="10" topLeftCell="B57" activePane="bottomRight" state="frozen"/>
      <selection pane="topRight"/>
      <selection pane="bottomLeft"/>
      <selection pane="bottomRight"/>
    </sheetView>
  </sheetViews>
  <sheetFormatPr defaultColWidth="9.33203125" defaultRowHeight="10.15" outlineLevelRow="1" x14ac:dyDescent="0.3"/>
  <cols>
    <col min="1" max="1" width="3.33203125" customWidth="1"/>
    <col min="2" max="2" width="2.83203125" customWidth="1"/>
    <col min="3" max="3" width="5" customWidth="1"/>
    <col min="4" max="4" width="37.1640625" customWidth="1"/>
    <col min="5" max="5" width="27.6640625" customWidth="1"/>
    <col min="6" max="6" width="9.1640625" customWidth="1"/>
    <col min="7" max="7" width="12" customWidth="1"/>
    <col min="8" max="8" width="10" customWidth="1"/>
    <col min="9" max="9" width="10.83203125" customWidth="1"/>
    <col min="10" max="20" width="12.83203125" customWidth="1"/>
    <col min="21" max="24" width="12.5" bestFit="1" customWidth="1"/>
  </cols>
  <sheetData>
    <row r="1" spans="1:24" ht="18.75" x14ac:dyDescent="0.3">
      <c r="A1" s="58">
        <f>IF(SUM($A11:$A110)&gt;0,1,0)</f>
        <v>0</v>
      </c>
      <c r="B1" s="3" t="s">
        <v>137</v>
      </c>
    </row>
    <row r="2" spans="1:24" x14ac:dyDescent="0.3">
      <c r="B2" s="13" t="str">
        <f>Title_Msg</f>
        <v>No Errors Found</v>
      </c>
    </row>
    <row r="3" spans="1:24" x14ac:dyDescent="0.3">
      <c r="B3" s="46" t="str">
        <f>TOC!B1</f>
        <v>Table of Contents</v>
      </c>
      <c r="C3" s="41"/>
      <c r="D3" s="41"/>
      <c r="E3" s="41"/>
    </row>
    <row r="4" spans="1:24" ht="13.15" x14ac:dyDescent="0.3">
      <c r="B4" s="39" t="str">
        <f>Model_Name</f>
        <v>Rate of Return Model - Power and Water Corporation (PWC)</v>
      </c>
    </row>
    <row r="5" spans="1:24" ht="12.75" hidden="1" outlineLevel="1" x14ac:dyDescent="0.3">
      <c r="B5" s="10" t="str">
        <f>Lookup!B15</f>
        <v>Period Start Date</v>
      </c>
      <c r="J5" s="51">
        <f>Lookup!J15</f>
        <v>43647</v>
      </c>
      <c r="K5" s="51">
        <f>Lookup!K15</f>
        <v>44013</v>
      </c>
      <c r="L5" s="51">
        <f>Lookup!L15</f>
        <v>44378</v>
      </c>
      <c r="M5" s="51">
        <f>Lookup!M15</f>
        <v>44743</v>
      </c>
      <c r="N5" s="51">
        <f>Lookup!N15</f>
        <v>45108</v>
      </c>
      <c r="O5" s="51">
        <f>Lookup!O15</f>
        <v>45474</v>
      </c>
      <c r="P5" s="51">
        <f>Lookup!P15</f>
        <v>45839</v>
      </c>
      <c r="Q5" s="51">
        <f>Lookup!Q15</f>
        <v>46204</v>
      </c>
      <c r="R5" s="51">
        <f>Lookup!R15</f>
        <v>46569</v>
      </c>
      <c r="S5" s="51">
        <f>Lookup!S15</f>
        <v>46935</v>
      </c>
      <c r="T5" s="51">
        <f>Lookup!T15</f>
        <v>47300</v>
      </c>
      <c r="U5" s="51">
        <f>Lookup!U15</f>
        <v>47665</v>
      </c>
      <c r="V5" s="51">
        <f>Lookup!V15</f>
        <v>48030</v>
      </c>
      <c r="W5" s="51">
        <f>Lookup!W15</f>
        <v>48396</v>
      </c>
      <c r="X5" s="51">
        <f>Lookup!X15</f>
        <v>48761</v>
      </c>
    </row>
    <row r="6" spans="1:24" ht="12.75" hidden="1" outlineLevel="1" x14ac:dyDescent="0.3">
      <c r="B6" s="10" t="str">
        <f>Lookup!B16</f>
        <v>Period End Date</v>
      </c>
      <c r="J6" s="51">
        <f>Lookup!J16</f>
        <v>44012</v>
      </c>
      <c r="K6" s="51">
        <f>Lookup!K16</f>
        <v>44377</v>
      </c>
      <c r="L6" s="51">
        <f>Lookup!L16</f>
        <v>44742</v>
      </c>
      <c r="M6" s="51">
        <f>Lookup!M16</f>
        <v>45107</v>
      </c>
      <c r="N6" s="51">
        <f>Lookup!N16</f>
        <v>45473</v>
      </c>
      <c r="O6" s="51">
        <f>Lookup!O16</f>
        <v>45838</v>
      </c>
      <c r="P6" s="51">
        <f>Lookup!P16</f>
        <v>46203</v>
      </c>
      <c r="Q6" s="51">
        <f>Lookup!Q16</f>
        <v>46568</v>
      </c>
      <c r="R6" s="51">
        <f>Lookup!R16</f>
        <v>46934</v>
      </c>
      <c r="S6" s="51">
        <f>Lookup!S16</f>
        <v>47299</v>
      </c>
      <c r="T6" s="51">
        <f>Lookup!T16</f>
        <v>47664</v>
      </c>
      <c r="U6" s="51">
        <f>Lookup!U16</f>
        <v>48029</v>
      </c>
      <c r="V6" s="51">
        <f>Lookup!V16</f>
        <v>48395</v>
      </c>
      <c r="W6" s="51">
        <f>Lookup!W16</f>
        <v>48760</v>
      </c>
      <c r="X6" s="51">
        <f>Lookup!X16</f>
        <v>49125</v>
      </c>
    </row>
    <row r="7" spans="1:24" ht="12.75" hidden="1" outlineLevel="1" x14ac:dyDescent="0.3">
      <c r="B7" s="10" t="str">
        <f>Lookup!B17</f>
        <v>Period Counter</v>
      </c>
      <c r="J7" s="52">
        <f>Lookup!J17</f>
        <v>1</v>
      </c>
      <c r="K7" s="52">
        <f>Lookup!K17</f>
        <v>2</v>
      </c>
      <c r="L7" s="52">
        <f>Lookup!L17</f>
        <v>3</v>
      </c>
      <c r="M7" s="52">
        <f>Lookup!M17</f>
        <v>4</v>
      </c>
      <c r="N7" s="52">
        <f>Lookup!N17</f>
        <v>5</v>
      </c>
      <c r="O7" s="52">
        <f>Lookup!O17</f>
        <v>6</v>
      </c>
      <c r="P7" s="52">
        <f>Lookup!P17</f>
        <v>7</v>
      </c>
      <c r="Q7" s="52">
        <f>Lookup!Q17</f>
        <v>8</v>
      </c>
      <c r="R7" s="52">
        <f>Lookup!R17</f>
        <v>9</v>
      </c>
      <c r="S7" s="52">
        <f>Lookup!S17</f>
        <v>10</v>
      </c>
      <c r="T7" s="52">
        <f>Lookup!T17</f>
        <v>11</v>
      </c>
      <c r="U7" s="52">
        <f>Lookup!U17</f>
        <v>12</v>
      </c>
      <c r="V7" s="52">
        <f>Lookup!V17</f>
        <v>13</v>
      </c>
      <c r="W7" s="52">
        <f>Lookup!W17</f>
        <v>14</v>
      </c>
      <c r="X7" s="52">
        <f>Lookup!X17</f>
        <v>15</v>
      </c>
    </row>
    <row r="8" spans="1:24" ht="12.75" hidden="1" outlineLevel="1" x14ac:dyDescent="0.3">
      <c r="B8" s="10" t="str">
        <f>Lookup!B18</f>
        <v>Year</v>
      </c>
      <c r="J8" s="53">
        <f>Lookup!J18</f>
        <v>2020</v>
      </c>
      <c r="K8" s="53">
        <f>Lookup!K18</f>
        <v>2021</v>
      </c>
      <c r="L8" s="53">
        <f>Lookup!L18</f>
        <v>2022</v>
      </c>
      <c r="M8" s="53">
        <f>Lookup!M18</f>
        <v>2023</v>
      </c>
      <c r="N8" s="53">
        <f>Lookup!N18</f>
        <v>2024</v>
      </c>
      <c r="O8" s="53">
        <f>Lookup!O18</f>
        <v>2025</v>
      </c>
      <c r="P8" s="53">
        <f>Lookup!P18</f>
        <v>2026</v>
      </c>
      <c r="Q8" s="53">
        <f>Lookup!Q18</f>
        <v>2027</v>
      </c>
      <c r="R8" s="53">
        <f>Lookup!R18</f>
        <v>2028</v>
      </c>
      <c r="S8" s="53">
        <f>Lookup!S18</f>
        <v>2029</v>
      </c>
      <c r="T8" s="53">
        <f>Lookup!T18</f>
        <v>2030</v>
      </c>
      <c r="U8" s="53">
        <f>Lookup!U18</f>
        <v>2031</v>
      </c>
      <c r="V8" s="53">
        <f>Lookup!V18</f>
        <v>2032</v>
      </c>
      <c r="W8" s="53">
        <f>Lookup!W18</f>
        <v>2033</v>
      </c>
      <c r="X8" s="53">
        <f>Lookup!X18</f>
        <v>2034</v>
      </c>
    </row>
    <row r="9" spans="1:24" ht="12.75" hidden="1" outlineLevel="1" x14ac:dyDescent="0.3">
      <c r="B9" s="10" t="str">
        <f>Lookup!B19</f>
        <v>Period Type</v>
      </c>
      <c r="J9" s="53" t="str">
        <f>Lookup!J19</f>
        <v>Actual</v>
      </c>
      <c r="K9" s="53" t="str">
        <f>Lookup!K19</f>
        <v>Actual</v>
      </c>
      <c r="L9" s="53" t="str">
        <f>Lookup!L19</f>
        <v>Actual</v>
      </c>
      <c r="M9" s="53" t="str">
        <f>Lookup!M19</f>
        <v>Base Year</v>
      </c>
      <c r="N9" s="53" t="str">
        <f>Lookup!N19</f>
        <v>Forecast</v>
      </c>
      <c r="O9" s="53" t="str">
        <f>Lookup!O19</f>
        <v>Forecast</v>
      </c>
      <c r="P9" s="53" t="str">
        <f>Lookup!P19</f>
        <v>Forecast</v>
      </c>
      <c r="Q9" s="53" t="str">
        <f>Lookup!Q19</f>
        <v>Forecast</v>
      </c>
      <c r="R9" s="53" t="str">
        <f>Lookup!R19</f>
        <v>Forecast</v>
      </c>
      <c r="S9" s="53" t="str">
        <f>Lookup!S19</f>
        <v>Forecast</v>
      </c>
      <c r="T9" s="53" t="str">
        <f>Lookup!T19</f>
        <v>Forecast</v>
      </c>
      <c r="U9" s="53" t="str">
        <f>Lookup!U19</f>
        <v>Forecast</v>
      </c>
      <c r="V9" s="53" t="str">
        <f>Lookup!V19</f>
        <v>Forecast</v>
      </c>
      <c r="W9" s="53" t="str">
        <f>Lookup!W19</f>
        <v>Forecast</v>
      </c>
      <c r="X9" s="53" t="str">
        <f>Lookup!X19</f>
        <v>Forecast</v>
      </c>
    </row>
    <row r="10" spans="1:24" ht="13.15" collapsed="1" x14ac:dyDescent="0.3">
      <c r="B10" s="5" t="str">
        <f>Lookup!B20</f>
        <v>Regulatory Year</v>
      </c>
      <c r="E10" s="50" t="str">
        <f>Lookup!E20</f>
        <v>Source</v>
      </c>
      <c r="F10" s="50" t="str">
        <f>Lookup!F20</f>
        <v>Unit</v>
      </c>
      <c r="G10" s="50" t="str">
        <f>Lookup!G20</f>
        <v>Basis</v>
      </c>
      <c r="H10" s="50" t="str">
        <f>Lookup!H20</f>
        <v>Timing</v>
      </c>
      <c r="I10" s="59"/>
      <c r="J10" s="50" t="str">
        <f>Lookup!J20</f>
        <v>FY20</v>
      </c>
      <c r="K10" s="50" t="str">
        <f>Lookup!K20</f>
        <v>FY21</v>
      </c>
      <c r="L10" s="50" t="str">
        <f>Lookup!L20</f>
        <v>FY22</v>
      </c>
      <c r="M10" s="50" t="str">
        <f>Lookup!M20</f>
        <v>FY23</v>
      </c>
      <c r="N10" s="50" t="str">
        <f>Lookup!N20</f>
        <v>FY24</v>
      </c>
      <c r="O10" s="50" t="str">
        <f>Lookup!O20</f>
        <v>FY25</v>
      </c>
      <c r="P10" s="50" t="str">
        <f>Lookup!P20</f>
        <v>FY26</v>
      </c>
      <c r="Q10" s="50" t="str">
        <f>Lookup!Q20</f>
        <v>FY27</v>
      </c>
      <c r="R10" s="50" t="str">
        <f>Lookup!R20</f>
        <v>FY28</v>
      </c>
      <c r="S10" s="50" t="str">
        <f>Lookup!S20</f>
        <v>FY29</v>
      </c>
    </row>
    <row r="12" spans="1:24" s="2" customFormat="1" ht="15" x14ac:dyDescent="0.3">
      <c r="B12" s="2" t="s">
        <v>191</v>
      </c>
    </row>
    <row r="13" spans="1:24" ht="4.5" customHeight="1" x14ac:dyDescent="0.3"/>
    <row r="14" spans="1:24" s="8" customFormat="1" ht="13.9" x14ac:dyDescent="0.3">
      <c r="C14" s="8" t="s">
        <v>136</v>
      </c>
    </row>
    <row r="16" spans="1:24" ht="13.15" x14ac:dyDescent="0.3">
      <c r="D16" s="61" t="s">
        <v>94</v>
      </c>
      <c r="E16" s="60" t="str">
        <f>Lookup!E$20</f>
        <v>Source</v>
      </c>
      <c r="F16" s="60" t="str">
        <f>Lookup!F$20</f>
        <v>Unit</v>
      </c>
      <c r="G16" s="60" t="str">
        <f>Lookup!G$20</f>
        <v>Basis</v>
      </c>
      <c r="H16" s="60" t="str">
        <f>Lookup!H$20</f>
        <v>Timing</v>
      </c>
      <c r="I16" s="60"/>
      <c r="J16" s="60" t="str">
        <f>J$10</f>
        <v>FY20</v>
      </c>
      <c r="K16" s="60" t="str">
        <f t="shared" ref="K16:S16" si="0">K$10</f>
        <v>FY21</v>
      </c>
      <c r="L16" s="60" t="str">
        <f t="shared" si="0"/>
        <v>FY22</v>
      </c>
      <c r="M16" s="60" t="str">
        <f t="shared" si="0"/>
        <v>FY23</v>
      </c>
      <c r="N16" s="67" t="str">
        <f t="shared" si="0"/>
        <v>FY24</v>
      </c>
      <c r="O16" s="60" t="str">
        <f t="shared" si="0"/>
        <v>FY25</v>
      </c>
      <c r="P16" s="60" t="str">
        <f t="shared" si="0"/>
        <v>FY26</v>
      </c>
      <c r="Q16" s="60" t="str">
        <f t="shared" si="0"/>
        <v>FY27</v>
      </c>
      <c r="R16" s="60" t="str">
        <f t="shared" si="0"/>
        <v>FY28</v>
      </c>
      <c r="S16" s="60" t="str">
        <f t="shared" si="0"/>
        <v>FY29</v>
      </c>
    </row>
    <row r="17" spans="2:19" x14ac:dyDescent="0.3">
      <c r="N17" s="66"/>
    </row>
    <row r="18" spans="2:19" ht="12.75" x14ac:dyDescent="0.3">
      <c r="D18" s="7" t="s">
        <v>134</v>
      </c>
      <c r="E18" s="63" t="s">
        <v>135</v>
      </c>
      <c r="F18" s="53" t="str">
        <f t="shared" ref="F18:F19" si="1">Percent</f>
        <v>Percent</v>
      </c>
      <c r="G18" s="53" t="str">
        <f t="shared" ref="G18:H19" si="2">NA</f>
        <v>N/A</v>
      </c>
      <c r="H18" s="53" t="str">
        <f t="shared" si="2"/>
        <v>N/A</v>
      </c>
      <c r="J18" s="110">
        <f>Input_CPI!J$21</f>
        <v>-3.4843205574912606E-3</v>
      </c>
      <c r="K18" s="110">
        <f>Input_CPI!K$21</f>
        <v>3.8461538461538325E-2</v>
      </c>
      <c r="L18" s="110">
        <f>Input_CPI!L$21</f>
        <v>6.1447811447811418E-2</v>
      </c>
      <c r="M18" s="110">
        <f>Input_CPI!M$21</f>
        <v>6.3E-2</v>
      </c>
    </row>
    <row r="19" spans="2:19" ht="12.75" x14ac:dyDescent="0.3">
      <c r="D19" s="7" t="s">
        <v>119</v>
      </c>
      <c r="E19" s="63" t="s">
        <v>88</v>
      </c>
      <c r="F19" s="53" t="str">
        <f t="shared" si="1"/>
        <v>Percent</v>
      </c>
      <c r="G19" s="53" t="str">
        <f t="shared" si="2"/>
        <v>N/A</v>
      </c>
      <c r="H19" s="53" t="str">
        <f t="shared" si="2"/>
        <v>N/A</v>
      </c>
      <c r="N19" s="68">
        <f>Input_CPI!N$21</f>
        <v>4.2000000000000003E-2</v>
      </c>
      <c r="O19" s="68">
        <f>Input_CPI!O31</f>
        <v>3.2000000000000001E-2</v>
      </c>
      <c r="P19" s="68">
        <f>O19</f>
        <v>3.2000000000000001E-2</v>
      </c>
      <c r="Q19" s="68">
        <f>P19+($S$19-$P$19)/3</f>
        <v>2.9666666666666668E-2</v>
      </c>
      <c r="R19" s="68">
        <f>Q19+($S$19-$P$19)/3</f>
        <v>2.7333333333333334E-2</v>
      </c>
      <c r="S19" s="68">
        <v>2.5000000000000001E-2</v>
      </c>
    </row>
    <row r="20" spans="2:19" ht="12.75" x14ac:dyDescent="0.3">
      <c r="N20" s="113" t="s">
        <v>146</v>
      </c>
      <c r="O20" s="113"/>
      <c r="Q20" s="113" t="s">
        <v>147</v>
      </c>
      <c r="R20" s="113"/>
      <c r="S20" s="90" t="s">
        <v>148</v>
      </c>
    </row>
    <row r="22" spans="2:19" ht="13.15" x14ac:dyDescent="0.3">
      <c r="C22" s="64" t="s">
        <v>139</v>
      </c>
    </row>
    <row r="23" spans="2:19" ht="13.15" x14ac:dyDescent="0.3">
      <c r="C23" s="64" t="s">
        <v>183</v>
      </c>
    </row>
    <row r="26" spans="2:19" s="2" customFormat="1" ht="15" x14ac:dyDescent="0.3">
      <c r="B26" s="2" t="s">
        <v>118</v>
      </c>
    </row>
    <row r="27" spans="2:19" ht="4.5" customHeight="1" x14ac:dyDescent="0.3"/>
    <row r="28" spans="2:19" s="8" customFormat="1" ht="13.9" x14ac:dyDescent="0.3">
      <c r="C28" s="8" t="s">
        <v>161</v>
      </c>
    </row>
    <row r="30" spans="2:19" ht="26.65" customHeight="1" x14ac:dyDescent="0.3">
      <c r="D30" s="61" t="s">
        <v>95</v>
      </c>
      <c r="E30" s="60" t="s">
        <v>52</v>
      </c>
      <c r="F30" s="60" t="s">
        <v>53</v>
      </c>
      <c r="G30" s="60" t="s">
        <v>54</v>
      </c>
      <c r="H30" s="60" t="str">
        <f>Lookup!H$20</f>
        <v>Timing</v>
      </c>
      <c r="I30" s="71"/>
      <c r="J30" s="60" t="s">
        <v>96</v>
      </c>
      <c r="K30" s="72"/>
      <c r="L30" s="60" t="s">
        <v>97</v>
      </c>
    </row>
    <row r="31" spans="2:19" ht="11.25" customHeight="1" x14ac:dyDescent="0.3">
      <c r="D31" s="73"/>
      <c r="E31" s="71"/>
      <c r="F31" s="71"/>
      <c r="G31" s="71"/>
      <c r="I31" s="71"/>
      <c r="J31" s="72"/>
      <c r="K31" s="72"/>
      <c r="L31" s="72"/>
    </row>
    <row r="32" spans="2:19" ht="12.75" x14ac:dyDescent="0.3">
      <c r="D32" s="7" t="s">
        <v>98</v>
      </c>
      <c r="E32" s="63" t="s">
        <v>88</v>
      </c>
      <c r="F32" s="53" t="s">
        <v>1</v>
      </c>
      <c r="G32" s="53" t="str">
        <f t="shared" ref="G32:H33" si="3">NA</f>
        <v>N/A</v>
      </c>
      <c r="H32" s="53" t="str">
        <f t="shared" si="3"/>
        <v>N/A</v>
      </c>
      <c r="I32" s="71"/>
      <c r="J32" s="68" t="s">
        <v>186</v>
      </c>
      <c r="L32" s="68" t="s">
        <v>187</v>
      </c>
    </row>
    <row r="33" spans="4:12" ht="12.75" x14ac:dyDescent="0.3">
      <c r="D33" s="7" t="s">
        <v>99</v>
      </c>
      <c r="E33" s="63" t="s">
        <v>88</v>
      </c>
      <c r="F33" s="53" t="s">
        <v>100</v>
      </c>
      <c r="G33" s="53" t="str">
        <f t="shared" si="3"/>
        <v>N/A</v>
      </c>
      <c r="H33" s="53" t="str">
        <f t="shared" si="3"/>
        <v>N/A</v>
      </c>
      <c r="I33" s="71"/>
      <c r="J33" s="100">
        <v>48355</v>
      </c>
      <c r="L33" s="100">
        <v>48539</v>
      </c>
    </row>
    <row r="36" spans="4:12" ht="26.65" customHeight="1" x14ac:dyDescent="0.3">
      <c r="D36" s="61" t="s">
        <v>101</v>
      </c>
      <c r="E36" s="60"/>
      <c r="F36" s="60"/>
      <c r="G36" s="60"/>
      <c r="H36" s="60"/>
      <c r="I36" s="71"/>
    </row>
    <row r="38" spans="4:12" ht="12.75" x14ac:dyDescent="0.3">
      <c r="D38" s="99">
        <v>44834</v>
      </c>
      <c r="E38" s="63" t="s">
        <v>88</v>
      </c>
      <c r="F38" s="53" t="str">
        <f t="shared" ref="F38:F58" si="4">Percent</f>
        <v>Percent</v>
      </c>
      <c r="G38" s="53" t="s">
        <v>57</v>
      </c>
      <c r="H38" s="53" t="str">
        <f t="shared" ref="H38:H58" si="5">NA</f>
        <v>N/A</v>
      </c>
      <c r="I38" s="71"/>
      <c r="J38" s="68">
        <v>3.8849999999999996E-2</v>
      </c>
      <c r="L38" s="68">
        <v>3.8949999999999999E-2</v>
      </c>
    </row>
    <row r="39" spans="4:12" ht="12.75" x14ac:dyDescent="0.3">
      <c r="D39" s="99">
        <v>44838</v>
      </c>
      <c r="E39" s="63" t="s">
        <v>88</v>
      </c>
      <c r="F39" s="53" t="str">
        <f t="shared" si="4"/>
        <v>Percent</v>
      </c>
      <c r="G39" s="53" t="s">
        <v>57</v>
      </c>
      <c r="H39" s="53" t="str">
        <f t="shared" si="5"/>
        <v>N/A</v>
      </c>
      <c r="I39" s="71"/>
      <c r="J39" s="68">
        <v>3.7149999999999996E-2</v>
      </c>
      <c r="L39" s="68">
        <v>3.73E-2</v>
      </c>
    </row>
    <row r="40" spans="4:12" ht="12.75" x14ac:dyDescent="0.3">
      <c r="D40" s="99">
        <v>44839</v>
      </c>
      <c r="E40" s="63" t="s">
        <v>88</v>
      </c>
      <c r="F40" s="53" t="str">
        <f t="shared" si="4"/>
        <v>Percent</v>
      </c>
      <c r="G40" s="53" t="s">
        <v>57</v>
      </c>
      <c r="H40" s="53" t="str">
        <f t="shared" si="5"/>
        <v>N/A</v>
      </c>
      <c r="I40" s="71"/>
      <c r="J40" s="68">
        <v>3.6200000000000003E-2</v>
      </c>
      <c r="L40" s="68">
        <v>3.635E-2</v>
      </c>
    </row>
    <row r="41" spans="4:12" ht="12.75" x14ac:dyDescent="0.3">
      <c r="D41" s="99">
        <v>44840</v>
      </c>
      <c r="E41" s="63" t="s">
        <v>88</v>
      </c>
      <c r="F41" s="53" t="str">
        <f t="shared" si="4"/>
        <v>Percent</v>
      </c>
      <c r="G41" s="53" t="s">
        <v>57</v>
      </c>
      <c r="H41" s="53" t="str">
        <f t="shared" si="5"/>
        <v>N/A</v>
      </c>
      <c r="I41" s="71"/>
      <c r="J41" s="68">
        <v>3.7599999999999995E-2</v>
      </c>
      <c r="L41" s="68">
        <v>3.7749999999999999E-2</v>
      </c>
    </row>
    <row r="42" spans="4:12" ht="12.75" x14ac:dyDescent="0.3">
      <c r="D42" s="99">
        <v>44841</v>
      </c>
      <c r="E42" s="63" t="s">
        <v>88</v>
      </c>
      <c r="F42" s="53" t="str">
        <f t="shared" si="4"/>
        <v>Percent</v>
      </c>
      <c r="G42" s="53" t="s">
        <v>57</v>
      </c>
      <c r="H42" s="53" t="str">
        <f t="shared" si="5"/>
        <v>N/A</v>
      </c>
      <c r="I42" s="71"/>
      <c r="J42" s="68">
        <v>3.8350000000000002E-2</v>
      </c>
      <c r="L42" s="68">
        <v>3.85E-2</v>
      </c>
    </row>
    <row r="43" spans="4:12" ht="12.75" x14ac:dyDescent="0.3">
      <c r="D43" s="99">
        <v>44844</v>
      </c>
      <c r="E43" s="63" t="s">
        <v>88</v>
      </c>
      <c r="F43" s="53" t="str">
        <f t="shared" si="4"/>
        <v>Percent</v>
      </c>
      <c r="G43" s="53" t="s">
        <v>57</v>
      </c>
      <c r="H43" s="53" t="str">
        <f t="shared" si="5"/>
        <v>N/A</v>
      </c>
      <c r="I43" s="71"/>
      <c r="J43" s="68">
        <v>3.8550000000000001E-2</v>
      </c>
      <c r="L43" s="68">
        <v>3.8650000000000004E-2</v>
      </c>
    </row>
    <row r="44" spans="4:12" ht="12.75" x14ac:dyDescent="0.3">
      <c r="D44" s="99">
        <v>44845</v>
      </c>
      <c r="E44" s="63" t="s">
        <v>88</v>
      </c>
      <c r="F44" s="53" t="str">
        <f t="shared" si="4"/>
        <v>Percent</v>
      </c>
      <c r="G44" s="53" t="s">
        <v>57</v>
      </c>
      <c r="H44" s="53" t="str">
        <f t="shared" si="5"/>
        <v>N/A</v>
      </c>
      <c r="I44" s="71"/>
      <c r="J44" s="68">
        <v>4.0199999999999993E-2</v>
      </c>
      <c r="L44" s="68">
        <v>4.0350000000000004E-2</v>
      </c>
    </row>
    <row r="45" spans="4:12" ht="12.75" x14ac:dyDescent="0.3">
      <c r="D45" s="99">
        <v>44846</v>
      </c>
      <c r="E45" s="63" t="s">
        <v>88</v>
      </c>
      <c r="F45" s="53" t="str">
        <f t="shared" si="4"/>
        <v>Percent</v>
      </c>
      <c r="G45" s="53" t="s">
        <v>57</v>
      </c>
      <c r="H45" s="53" t="str">
        <f t="shared" si="5"/>
        <v>N/A</v>
      </c>
      <c r="I45" s="71"/>
      <c r="J45" s="68">
        <v>3.9300000000000002E-2</v>
      </c>
      <c r="L45" s="68">
        <v>3.9449999999999999E-2</v>
      </c>
    </row>
    <row r="46" spans="4:12" ht="12.75" x14ac:dyDescent="0.3">
      <c r="D46" s="99">
        <v>44847</v>
      </c>
      <c r="E46" s="63" t="s">
        <v>88</v>
      </c>
      <c r="F46" s="53" t="str">
        <f t="shared" si="4"/>
        <v>Percent</v>
      </c>
      <c r="G46" s="53" t="s">
        <v>57</v>
      </c>
      <c r="H46" s="53" t="str">
        <f t="shared" si="5"/>
        <v>N/A</v>
      </c>
      <c r="I46" s="71"/>
      <c r="J46" s="68">
        <v>3.9849999999999997E-2</v>
      </c>
      <c r="L46" s="68">
        <v>0.04</v>
      </c>
    </row>
    <row r="47" spans="4:12" ht="12.75" x14ac:dyDescent="0.3">
      <c r="D47" s="99">
        <v>44848</v>
      </c>
      <c r="E47" s="63" t="s">
        <v>88</v>
      </c>
      <c r="F47" s="53" t="str">
        <f t="shared" si="4"/>
        <v>Percent</v>
      </c>
      <c r="G47" s="53" t="s">
        <v>57</v>
      </c>
      <c r="H47" s="53" t="str">
        <f t="shared" si="5"/>
        <v>N/A</v>
      </c>
      <c r="I47" s="71"/>
      <c r="J47" s="68">
        <v>3.9949999999999999E-2</v>
      </c>
      <c r="L47" s="68">
        <v>4.0050000000000002E-2</v>
      </c>
    </row>
    <row r="48" spans="4:12" ht="12.75" x14ac:dyDescent="0.3">
      <c r="D48" s="99">
        <v>44851</v>
      </c>
      <c r="E48" s="63" t="s">
        <v>88</v>
      </c>
      <c r="F48" s="53" t="str">
        <f t="shared" si="4"/>
        <v>Percent</v>
      </c>
      <c r="G48" s="53" t="s">
        <v>57</v>
      </c>
      <c r="H48" s="53" t="str">
        <f t="shared" si="5"/>
        <v>N/A</v>
      </c>
      <c r="I48" s="71"/>
      <c r="J48" s="68">
        <v>4.0099999999999997E-2</v>
      </c>
      <c r="L48" s="68">
        <v>4.0199999999999993E-2</v>
      </c>
    </row>
    <row r="49" spans="3:12" ht="12.75" x14ac:dyDescent="0.3">
      <c r="D49" s="99">
        <v>44852</v>
      </c>
      <c r="E49" s="63" t="s">
        <v>88</v>
      </c>
      <c r="F49" s="53" t="str">
        <f t="shared" si="4"/>
        <v>Percent</v>
      </c>
      <c r="G49" s="53" t="s">
        <v>57</v>
      </c>
      <c r="H49" s="53" t="str">
        <f t="shared" si="5"/>
        <v>N/A</v>
      </c>
      <c r="I49" s="71"/>
      <c r="J49" s="68">
        <v>3.9050000000000001E-2</v>
      </c>
      <c r="L49" s="68">
        <v>3.9149999999999997E-2</v>
      </c>
    </row>
    <row r="50" spans="3:12" ht="12.75" x14ac:dyDescent="0.3">
      <c r="D50" s="99">
        <v>44853</v>
      </c>
      <c r="E50" s="63" t="s">
        <v>88</v>
      </c>
      <c r="F50" s="53" t="str">
        <f t="shared" si="4"/>
        <v>Percent</v>
      </c>
      <c r="G50" s="53" t="s">
        <v>57</v>
      </c>
      <c r="H50" s="53" t="str">
        <f t="shared" si="5"/>
        <v>N/A</v>
      </c>
      <c r="I50" s="71"/>
      <c r="J50" s="68">
        <v>3.9300000000000002E-2</v>
      </c>
      <c r="L50" s="68">
        <v>3.9449999999999999E-2</v>
      </c>
    </row>
    <row r="51" spans="3:12" ht="12.75" x14ac:dyDescent="0.3">
      <c r="D51" s="99">
        <v>44854</v>
      </c>
      <c r="E51" s="63" t="s">
        <v>88</v>
      </c>
      <c r="F51" s="53" t="str">
        <f t="shared" si="4"/>
        <v>Percent</v>
      </c>
      <c r="G51" s="53" t="s">
        <v>57</v>
      </c>
      <c r="H51" s="53" t="str">
        <f t="shared" si="5"/>
        <v>N/A</v>
      </c>
      <c r="I51" s="71"/>
      <c r="J51" s="68">
        <v>4.045E-2</v>
      </c>
      <c r="L51" s="68">
        <v>4.0599999999999997E-2</v>
      </c>
    </row>
    <row r="52" spans="3:12" ht="12.75" x14ac:dyDescent="0.3">
      <c r="D52" s="99">
        <v>44855</v>
      </c>
      <c r="E52" s="63" t="s">
        <v>88</v>
      </c>
      <c r="F52" s="53" t="str">
        <f t="shared" si="4"/>
        <v>Percent</v>
      </c>
      <c r="G52" s="53" t="s">
        <v>57</v>
      </c>
      <c r="H52" s="53" t="str">
        <f t="shared" si="5"/>
        <v>N/A</v>
      </c>
      <c r="I52" s="71"/>
      <c r="J52" s="68">
        <v>4.1849999999999998E-2</v>
      </c>
      <c r="L52" s="68">
        <v>4.1950000000000001E-2</v>
      </c>
    </row>
    <row r="53" spans="3:12" ht="12.75" x14ac:dyDescent="0.3">
      <c r="D53" s="99">
        <v>44858</v>
      </c>
      <c r="E53" s="63" t="s">
        <v>88</v>
      </c>
      <c r="F53" s="53" t="str">
        <f t="shared" si="4"/>
        <v>Percent</v>
      </c>
      <c r="G53" s="53" t="s">
        <v>57</v>
      </c>
      <c r="H53" s="53" t="str">
        <f t="shared" si="5"/>
        <v>N/A</v>
      </c>
      <c r="I53" s="71"/>
      <c r="J53" s="68">
        <v>4.1349999999999998E-2</v>
      </c>
      <c r="L53" s="68">
        <v>4.1500000000000002E-2</v>
      </c>
    </row>
    <row r="54" spans="3:12" ht="12.75" x14ac:dyDescent="0.3">
      <c r="D54" s="99">
        <v>44859</v>
      </c>
      <c r="E54" s="63" t="s">
        <v>88</v>
      </c>
      <c r="F54" s="53" t="str">
        <f t="shared" si="4"/>
        <v>Percent</v>
      </c>
      <c r="G54" s="53" t="s">
        <v>57</v>
      </c>
      <c r="H54" s="53" t="str">
        <f t="shared" si="5"/>
        <v>N/A</v>
      </c>
      <c r="I54" s="71"/>
      <c r="J54" s="68">
        <v>4.0599999999999997E-2</v>
      </c>
      <c r="L54" s="68">
        <v>4.0750000000000001E-2</v>
      </c>
    </row>
    <row r="55" spans="3:12" ht="12.75" x14ac:dyDescent="0.3">
      <c r="D55" s="99">
        <v>44860</v>
      </c>
      <c r="E55" s="63" t="s">
        <v>88</v>
      </c>
      <c r="F55" s="53" t="str">
        <f t="shared" si="4"/>
        <v>Percent</v>
      </c>
      <c r="G55" s="53" t="s">
        <v>57</v>
      </c>
      <c r="H55" s="53" t="str">
        <f t="shared" si="5"/>
        <v>N/A</v>
      </c>
      <c r="I55" s="71"/>
      <c r="J55" s="68">
        <v>3.9050000000000001E-2</v>
      </c>
      <c r="L55" s="68">
        <v>3.9199999999999999E-2</v>
      </c>
    </row>
    <row r="56" spans="3:12" ht="12.75" x14ac:dyDescent="0.3">
      <c r="D56" s="99">
        <v>44861</v>
      </c>
      <c r="E56" s="63" t="s">
        <v>88</v>
      </c>
      <c r="F56" s="53" t="str">
        <f t="shared" si="4"/>
        <v>Percent</v>
      </c>
      <c r="G56" s="53" t="s">
        <v>57</v>
      </c>
      <c r="H56" s="53" t="str">
        <f t="shared" si="5"/>
        <v>N/A</v>
      </c>
      <c r="I56" s="71"/>
      <c r="J56" s="68">
        <v>3.8149999999999996E-2</v>
      </c>
      <c r="L56" s="68">
        <v>3.8300000000000001E-2</v>
      </c>
    </row>
    <row r="57" spans="3:12" ht="12.75" x14ac:dyDescent="0.3">
      <c r="D57" s="99">
        <v>44862</v>
      </c>
      <c r="E57" s="63" t="s">
        <v>88</v>
      </c>
      <c r="F57" s="53" t="str">
        <f t="shared" si="4"/>
        <v>Percent</v>
      </c>
      <c r="G57" s="53" t="s">
        <v>57</v>
      </c>
      <c r="H57" s="53" t="str">
        <f t="shared" si="5"/>
        <v>N/A</v>
      </c>
      <c r="I57" s="71"/>
      <c r="J57" s="68">
        <v>3.7200000000000004E-2</v>
      </c>
      <c r="L57" s="68">
        <v>3.7350000000000001E-2</v>
      </c>
    </row>
    <row r="58" spans="3:12" ht="12.75" x14ac:dyDescent="0.3">
      <c r="D58" s="99">
        <v>44865</v>
      </c>
      <c r="E58" s="63" t="s">
        <v>88</v>
      </c>
      <c r="F58" s="53" t="str">
        <f t="shared" si="4"/>
        <v>Percent</v>
      </c>
      <c r="G58" s="53" t="s">
        <v>57</v>
      </c>
      <c r="H58" s="53" t="str">
        <f t="shared" si="5"/>
        <v>N/A</v>
      </c>
      <c r="I58" s="71"/>
      <c r="J58" s="68">
        <v>3.7400000000000003E-2</v>
      </c>
      <c r="L58" s="68">
        <v>3.755E-2</v>
      </c>
    </row>
    <row r="59" spans="3:12" ht="11.25" customHeight="1" x14ac:dyDescent="0.3">
      <c r="J59" s="71"/>
      <c r="L59" s="72"/>
    </row>
    <row r="60" spans="3:12" ht="11.25" customHeight="1" x14ac:dyDescent="0.3"/>
    <row r="61" spans="3:12" s="8" customFormat="1" ht="13.9" x14ac:dyDescent="0.3">
      <c r="C61" s="8" t="s">
        <v>189</v>
      </c>
    </row>
    <row r="63" spans="3:12" ht="13.15" x14ac:dyDescent="0.3">
      <c r="D63" s="61" t="s">
        <v>163</v>
      </c>
      <c r="E63" s="60" t="s">
        <v>52</v>
      </c>
      <c r="F63" s="60" t="s">
        <v>53</v>
      </c>
      <c r="G63" s="60" t="s">
        <v>54</v>
      </c>
      <c r="H63" s="60" t="str">
        <f>Lookup!H$20</f>
        <v>Timing</v>
      </c>
      <c r="I63" s="71"/>
      <c r="J63" s="60" t="s">
        <v>140</v>
      </c>
      <c r="K63" s="60" t="s">
        <v>141</v>
      </c>
    </row>
    <row r="64" spans="3:12" ht="13.15" x14ac:dyDescent="0.3">
      <c r="D64" s="76"/>
      <c r="E64" s="77"/>
      <c r="F64" s="77"/>
      <c r="G64" s="77"/>
      <c r="H64" s="77"/>
      <c r="I64" s="71"/>
      <c r="J64" s="77"/>
      <c r="K64" s="77"/>
    </row>
    <row r="65" spans="2:15" ht="12.75" x14ac:dyDescent="0.3">
      <c r="D65" s="102" t="s">
        <v>190</v>
      </c>
      <c r="E65" s="63" t="s">
        <v>107</v>
      </c>
      <c r="F65" s="53" t="s">
        <v>61</v>
      </c>
      <c r="G65" s="53" t="s">
        <v>57</v>
      </c>
      <c r="H65" s="53" t="s">
        <v>27</v>
      </c>
      <c r="I65" s="71"/>
      <c r="J65" s="68">
        <v>7.1499999999999994E-2</v>
      </c>
      <c r="K65" s="68">
        <v>6.4600000000000005E-2</v>
      </c>
      <c r="L65" s="101" t="s">
        <v>181</v>
      </c>
    </row>
    <row r="68" spans="2:15" s="2" customFormat="1" ht="15" x14ac:dyDescent="0.3">
      <c r="B68" s="2" t="s">
        <v>132</v>
      </c>
    </row>
    <row r="69" spans="2:15" ht="4.5" customHeight="1" x14ac:dyDescent="0.3"/>
    <row r="70" spans="2:15" s="8" customFormat="1" ht="13.9" x14ac:dyDescent="0.3">
      <c r="C70" s="8" t="s">
        <v>158</v>
      </c>
    </row>
    <row r="72" spans="2:15" ht="26.65" customHeight="1" x14ac:dyDescent="0.3">
      <c r="D72" s="61" t="s">
        <v>132</v>
      </c>
      <c r="E72" s="60" t="s">
        <v>52</v>
      </c>
      <c r="F72" s="60" t="s">
        <v>53</v>
      </c>
      <c r="G72" s="60" t="s">
        <v>54</v>
      </c>
      <c r="H72" s="60" t="str">
        <f>Lookup!H$20</f>
        <v>Timing</v>
      </c>
      <c r="I72" s="71"/>
      <c r="J72" s="60" t="str">
        <f>J$10</f>
        <v>FY20</v>
      </c>
      <c r="K72" s="60" t="str">
        <f t="shared" ref="K72:N72" si="6">K$10</f>
        <v>FY21</v>
      </c>
      <c r="L72" s="60" t="str">
        <f t="shared" si="6"/>
        <v>FY22</v>
      </c>
      <c r="M72" s="60" t="str">
        <f t="shared" si="6"/>
        <v>FY23</v>
      </c>
      <c r="N72" s="60" t="str">
        <f t="shared" si="6"/>
        <v>FY24</v>
      </c>
    </row>
    <row r="73" spans="2:15" ht="11.25" customHeight="1" x14ac:dyDescent="0.3"/>
    <row r="74" spans="2:15" ht="11.25" customHeight="1" x14ac:dyDescent="0.3">
      <c r="J74" s="44" t="s">
        <v>49</v>
      </c>
      <c r="K74" s="44" t="s">
        <v>49</v>
      </c>
      <c r="L74" s="44" t="s">
        <v>49</v>
      </c>
      <c r="M74" s="44" t="s">
        <v>49</v>
      </c>
      <c r="N74" s="44" t="s">
        <v>153</v>
      </c>
    </row>
    <row r="75" spans="2:15" ht="11.25" customHeight="1" x14ac:dyDescent="0.3">
      <c r="D75" s="75" t="s">
        <v>159</v>
      </c>
      <c r="E75" s="63" t="s">
        <v>107</v>
      </c>
      <c r="F75" s="53" t="str">
        <f t="shared" ref="F75" si="7">Percent</f>
        <v>Percent</v>
      </c>
      <c r="G75" s="53" t="s">
        <v>57</v>
      </c>
      <c r="H75" s="53" t="str">
        <f t="shared" ref="H75" si="8">NA</f>
        <v>N/A</v>
      </c>
      <c r="J75" s="68">
        <v>4.2124996625194699E-2</v>
      </c>
      <c r="K75" s="68">
        <v>3.0951839411772694E-2</v>
      </c>
      <c r="L75" s="68">
        <v>2.5512052618935008E-2</v>
      </c>
      <c r="M75" s="68">
        <v>3.0848502991430701E-2</v>
      </c>
      <c r="N75" s="68">
        <f>Calc_Returns!L49</f>
        <v>6.9199999999999998E-2</v>
      </c>
      <c r="O75" s="101" t="s">
        <v>178</v>
      </c>
    </row>
    <row r="78" spans="2:15" s="8" customFormat="1" ht="13.9" x14ac:dyDescent="0.3">
      <c r="C78" s="8" t="s">
        <v>142</v>
      </c>
    </row>
    <row r="80" spans="2:15" ht="26.65" customHeight="1" x14ac:dyDescent="0.3">
      <c r="D80" s="61" t="s">
        <v>105</v>
      </c>
      <c r="E80" s="60" t="s">
        <v>52</v>
      </c>
      <c r="F80" s="60" t="s">
        <v>53</v>
      </c>
      <c r="G80" s="60" t="s">
        <v>54</v>
      </c>
      <c r="H80" s="60" t="str">
        <f>Lookup!H$20</f>
        <v>Timing</v>
      </c>
      <c r="I80" s="71"/>
      <c r="J80" s="60" t="s">
        <v>104</v>
      </c>
      <c r="K80" s="72"/>
      <c r="L80" s="60" t="s">
        <v>140</v>
      </c>
      <c r="M80" s="60" t="s">
        <v>141</v>
      </c>
    </row>
    <row r="81" spans="2:13" ht="11.25" customHeight="1" x14ac:dyDescent="0.3"/>
    <row r="82" spans="2:13" ht="11.25" customHeight="1" x14ac:dyDescent="0.3">
      <c r="D82" s="75" t="s">
        <v>160</v>
      </c>
      <c r="E82" s="63" t="s">
        <v>188</v>
      </c>
      <c r="F82" s="53" t="str">
        <f t="shared" ref="F82" si="9">Percent</f>
        <v>Percent</v>
      </c>
      <c r="G82" s="53" t="s">
        <v>57</v>
      </c>
      <c r="H82" s="53" t="str">
        <f t="shared" ref="H82" si="10">NA</f>
        <v>N/A</v>
      </c>
      <c r="I82" s="71"/>
      <c r="J82" s="68">
        <v>0.1</v>
      </c>
    </row>
    <row r="84" spans="2:13" ht="12.75" x14ac:dyDescent="0.3">
      <c r="D84" s="75" t="s">
        <v>162</v>
      </c>
      <c r="E84" s="63" t="s">
        <v>188</v>
      </c>
      <c r="F84" s="53" t="str">
        <f t="shared" ref="F84" si="11">Percent</f>
        <v>Percent</v>
      </c>
      <c r="G84" s="53" t="s">
        <v>57</v>
      </c>
      <c r="H84" s="53" t="str">
        <f t="shared" ref="H84" si="12">NA</f>
        <v>N/A</v>
      </c>
      <c r="L84" s="68">
        <v>0.66666666666666663</v>
      </c>
      <c r="M84" s="68">
        <v>0.33333333333333331</v>
      </c>
    </row>
    <row r="87" spans="2:13" s="2" customFormat="1" ht="15" x14ac:dyDescent="0.3">
      <c r="B87" s="2" t="s">
        <v>103</v>
      </c>
    </row>
    <row r="88" spans="2:13" ht="4.5" customHeight="1" x14ac:dyDescent="0.3"/>
    <row r="89" spans="2:13" s="8" customFormat="1" ht="13.9" x14ac:dyDescent="0.3">
      <c r="C89" s="8" t="s">
        <v>111</v>
      </c>
    </row>
    <row r="90" spans="2:13" ht="11.25" customHeight="1" x14ac:dyDescent="0.3"/>
    <row r="91" spans="2:13" ht="26.65" customHeight="1" x14ac:dyDescent="0.3">
      <c r="D91" s="61" t="s">
        <v>105</v>
      </c>
      <c r="E91" s="60" t="s">
        <v>52</v>
      </c>
      <c r="F91" s="60" t="s">
        <v>53</v>
      </c>
      <c r="G91" s="60" t="s">
        <v>54</v>
      </c>
      <c r="H91" s="60" t="str">
        <f>Lookup!H$20</f>
        <v>Timing</v>
      </c>
      <c r="I91" s="71"/>
      <c r="J91" s="60" t="s">
        <v>104</v>
      </c>
      <c r="K91" s="72"/>
    </row>
    <row r="92" spans="2:13" ht="11.25" customHeight="1" x14ac:dyDescent="0.3"/>
    <row r="93" spans="2:13" ht="12.75" x14ac:dyDescent="0.3">
      <c r="D93" s="75" t="s">
        <v>106</v>
      </c>
      <c r="E93" s="63" t="s">
        <v>188</v>
      </c>
      <c r="F93" s="53" t="str">
        <f t="shared" ref="F93:F107" si="13">Percent</f>
        <v>Percent</v>
      </c>
      <c r="G93" s="53" t="s">
        <v>57</v>
      </c>
      <c r="H93" s="53" t="str">
        <f t="shared" ref="H93:H107" si="14">NA</f>
        <v>N/A</v>
      </c>
      <c r="I93" s="71"/>
      <c r="J93" s="68">
        <v>6.0999999999999999E-2</v>
      </c>
    </row>
    <row r="94" spans="2:13" ht="12.75" x14ac:dyDescent="0.3">
      <c r="D94" s="75" t="s">
        <v>108</v>
      </c>
      <c r="E94" s="63" t="s">
        <v>188</v>
      </c>
      <c r="F94" s="53" t="str">
        <f t="shared" si="13"/>
        <v>Percent</v>
      </c>
      <c r="G94" s="53" t="s">
        <v>57</v>
      </c>
      <c r="H94" s="53" t="str">
        <f t="shared" si="14"/>
        <v>N/A</v>
      </c>
      <c r="I94" s="71"/>
      <c r="J94" s="68">
        <v>0.6</v>
      </c>
    </row>
    <row r="95" spans="2:13" ht="12.75" x14ac:dyDescent="0.3">
      <c r="D95" s="7" t="s">
        <v>117</v>
      </c>
      <c r="E95" s="63" t="s">
        <v>188</v>
      </c>
      <c r="F95" s="53" t="str">
        <f t="shared" si="13"/>
        <v>Percent</v>
      </c>
      <c r="G95" s="53" t="s">
        <v>57</v>
      </c>
      <c r="H95" s="53" t="str">
        <f t="shared" si="14"/>
        <v>N/A</v>
      </c>
      <c r="I95" s="71"/>
      <c r="J95" s="68">
        <v>0.58499999999999996</v>
      </c>
    </row>
    <row r="96" spans="2:13" ht="12.75" x14ac:dyDescent="0.3">
      <c r="D96" s="7" t="s">
        <v>109</v>
      </c>
      <c r="E96" s="63" t="s">
        <v>188</v>
      </c>
      <c r="F96" s="53" t="str">
        <f t="shared" si="13"/>
        <v>Percent</v>
      </c>
      <c r="G96" s="53" t="s">
        <v>57</v>
      </c>
      <c r="H96" s="53" t="str">
        <f t="shared" si="14"/>
        <v>N/A</v>
      </c>
      <c r="I96" s="71"/>
      <c r="J96" s="68">
        <v>0.6</v>
      </c>
    </row>
    <row r="97" spans="2:11" ht="11.25" customHeight="1" x14ac:dyDescent="0.3"/>
    <row r="98" spans="2:11" ht="11.25" customHeight="1" x14ac:dyDescent="0.3"/>
    <row r="99" spans="2:11" s="8" customFormat="1" ht="13.9" x14ac:dyDescent="0.3">
      <c r="C99" s="8" t="s">
        <v>112</v>
      </c>
    </row>
    <row r="100" spans="2:11" ht="11.25" customHeight="1" x14ac:dyDescent="0.3"/>
    <row r="101" spans="2:11" ht="26.65" customHeight="1" x14ac:dyDescent="0.3">
      <c r="D101" s="61" t="s">
        <v>105</v>
      </c>
      <c r="E101" s="60" t="s">
        <v>52</v>
      </c>
      <c r="F101" s="60" t="s">
        <v>53</v>
      </c>
      <c r="G101" s="60" t="s">
        <v>54</v>
      </c>
      <c r="H101" s="60" t="str">
        <f>Lookup!H$20</f>
        <v>Timing</v>
      </c>
      <c r="I101" s="71"/>
      <c r="J101" s="60" t="s">
        <v>104</v>
      </c>
      <c r="K101" s="72"/>
    </row>
    <row r="102" spans="2:11" ht="11.25" customHeight="1" x14ac:dyDescent="0.3"/>
    <row r="103" spans="2:11" ht="12.75" x14ac:dyDescent="0.3">
      <c r="D103" s="7" t="s">
        <v>113</v>
      </c>
      <c r="E103" s="63" t="s">
        <v>107</v>
      </c>
      <c r="F103" s="53" t="str">
        <f t="shared" si="13"/>
        <v>Percent</v>
      </c>
      <c r="G103" s="53" t="s">
        <v>57</v>
      </c>
      <c r="H103" s="53" t="str">
        <f t="shared" si="14"/>
        <v>N/A</v>
      </c>
      <c r="I103" s="71"/>
      <c r="J103" s="68">
        <v>0.9</v>
      </c>
    </row>
    <row r="104" spans="2:11" ht="12.75" x14ac:dyDescent="0.3">
      <c r="D104" s="7" t="s">
        <v>114</v>
      </c>
      <c r="E104" s="63" t="s">
        <v>107</v>
      </c>
      <c r="F104" s="53" t="str">
        <f t="shared" si="13"/>
        <v>Percent</v>
      </c>
      <c r="G104" s="53" t="s">
        <v>57</v>
      </c>
      <c r="H104" s="53" t="str">
        <f t="shared" si="14"/>
        <v>N/A</v>
      </c>
      <c r="I104" s="71"/>
      <c r="J104" s="68">
        <v>0.03</v>
      </c>
    </row>
    <row r="105" spans="2:11" ht="12.75" x14ac:dyDescent="0.3">
      <c r="D105" s="7" t="s">
        <v>115</v>
      </c>
      <c r="E105" s="63" t="s">
        <v>107</v>
      </c>
      <c r="F105" s="53" t="str">
        <f t="shared" si="13"/>
        <v>Percent</v>
      </c>
      <c r="G105" s="53" t="s">
        <v>57</v>
      </c>
      <c r="H105" s="53" t="str">
        <f t="shared" si="14"/>
        <v>N/A</v>
      </c>
      <c r="I105" s="71"/>
      <c r="J105" s="68">
        <v>0.01</v>
      </c>
    </row>
    <row r="106" spans="2:11" ht="12.75" x14ac:dyDescent="0.3">
      <c r="D106" s="7" t="s">
        <v>116</v>
      </c>
      <c r="E106" s="63" t="s">
        <v>107</v>
      </c>
      <c r="F106" s="53" t="str">
        <f t="shared" si="13"/>
        <v>Percent</v>
      </c>
      <c r="G106" s="53" t="s">
        <v>57</v>
      </c>
      <c r="H106" s="53" t="str">
        <f t="shared" si="14"/>
        <v>N/A</v>
      </c>
      <c r="I106" s="71"/>
      <c r="J106" s="68">
        <v>0.3</v>
      </c>
    </row>
    <row r="107" spans="2:11" ht="12.75" x14ac:dyDescent="0.3">
      <c r="D107" s="7" t="s">
        <v>92</v>
      </c>
      <c r="E107" s="63" t="s">
        <v>107</v>
      </c>
      <c r="F107" s="53" t="str">
        <f t="shared" si="13"/>
        <v>Percent</v>
      </c>
      <c r="G107" s="53" t="s">
        <v>57</v>
      </c>
      <c r="H107" s="53" t="str">
        <f t="shared" si="14"/>
        <v>N/A</v>
      </c>
      <c r="I107" s="71"/>
      <c r="J107" s="68">
        <v>8.2789046088618183E-4</v>
      </c>
    </row>
    <row r="108" spans="2:11" ht="11.25" customHeight="1" x14ac:dyDescent="0.3"/>
    <row r="109" spans="2:11" ht="11.25" customHeight="1" x14ac:dyDescent="0.3"/>
    <row r="110" spans="2:11" s="2" customFormat="1" ht="15" x14ac:dyDescent="0.3">
      <c r="B110" s="2" t="s">
        <v>25</v>
      </c>
    </row>
  </sheetData>
  <mergeCells count="2">
    <mergeCell ref="N20:O20"/>
    <mergeCell ref="Q20:R20"/>
  </mergeCells>
  <conditionalFormatting sqref="B2">
    <cfRule type="cellIs" dxfId="13" priority="1" operator="notEqual">
      <formula>"No Errors Found"</formula>
    </cfRule>
  </conditionalFormatting>
  <dataValidations disablePrompts="1" count="1">
    <dataValidation type="list" allowBlank="1" showInputMessage="1" showErrorMessage="1" sqref="J74:N74" xr:uid="{B9D7A887-79F4-4F15-906F-03DE7EE1E9FC}">
      <formula1>LU_Source</formula1>
    </dataValidation>
  </dataValidations>
  <hyperlinks>
    <hyperlink ref="B3:E3" location="TOC!A1" display="TOC!A1" xr:uid="{00000000-0004-0000-04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T78"/>
  <sheetViews>
    <sheetView showGridLines="0" zoomScaleNormal="100" workbookViewId="0">
      <pane xSplit="1" ySplit="10" topLeftCell="B48" activePane="bottomRight" state="frozen"/>
      <selection pane="topRight"/>
      <selection pane="bottomLeft"/>
      <selection pane="bottomRight"/>
    </sheetView>
  </sheetViews>
  <sheetFormatPr defaultColWidth="9.33203125" defaultRowHeight="10.15" outlineLevelRow="1" x14ac:dyDescent="0.3"/>
  <cols>
    <col min="1" max="1" width="3.33203125" customWidth="1"/>
    <col min="2" max="3" width="2.83203125" customWidth="1"/>
    <col min="4" max="4" width="25.83203125" customWidth="1"/>
    <col min="5" max="5" width="11.83203125" customWidth="1"/>
    <col min="6" max="6" width="9.1640625" customWidth="1"/>
    <col min="7" max="7" width="12" customWidth="1"/>
    <col min="8" max="8" width="10" customWidth="1"/>
    <col min="9" max="9" width="21.5" customWidth="1"/>
    <col min="10" max="30" width="12.83203125" customWidth="1"/>
  </cols>
  <sheetData>
    <row r="1" spans="1:19" ht="18.75" x14ac:dyDescent="0.3">
      <c r="A1" s="58">
        <f>IF(SUM($A11:$A11)&gt;0,1,0)</f>
        <v>0</v>
      </c>
      <c r="B1" s="3" t="s">
        <v>138</v>
      </c>
    </row>
    <row r="2" spans="1:19" x14ac:dyDescent="0.3">
      <c r="B2" s="13" t="str">
        <f>Title_Msg</f>
        <v>No Errors Found</v>
      </c>
    </row>
    <row r="3" spans="1:19" x14ac:dyDescent="0.3">
      <c r="B3" s="46" t="str">
        <f>TOC!B1</f>
        <v>Table of Contents</v>
      </c>
      <c r="C3" s="41"/>
      <c r="D3" s="41"/>
      <c r="E3" s="41"/>
    </row>
    <row r="4" spans="1:19" ht="13.15" x14ac:dyDescent="0.3">
      <c r="B4" s="39" t="str">
        <f>Model_Name</f>
        <v>Rate of Return Model - Power and Water Corporation (PWC)</v>
      </c>
    </row>
    <row r="5" spans="1:19" ht="12.75" hidden="1" outlineLevel="1" x14ac:dyDescent="0.3">
      <c r="B5" s="10" t="str">
        <f>Lookup!B15</f>
        <v>Period Start Date</v>
      </c>
      <c r="J5" s="51">
        <f>Lookup!J15</f>
        <v>43647</v>
      </c>
      <c r="K5" s="51">
        <f>Lookup!K15</f>
        <v>44013</v>
      </c>
      <c r="L5" s="51">
        <f>Lookup!L15</f>
        <v>44378</v>
      </c>
      <c r="M5" s="51">
        <f>Lookup!M15</f>
        <v>44743</v>
      </c>
      <c r="N5" s="51">
        <f>Lookup!N15</f>
        <v>45108</v>
      </c>
      <c r="O5" s="51">
        <f>Lookup!O15</f>
        <v>45474</v>
      </c>
      <c r="P5" s="51">
        <f>Lookup!P15</f>
        <v>45839</v>
      </c>
      <c r="Q5" s="51">
        <f>Lookup!Q15</f>
        <v>46204</v>
      </c>
      <c r="R5" s="51">
        <f>Lookup!R15</f>
        <v>46569</v>
      </c>
      <c r="S5" s="51">
        <f>Lookup!S15</f>
        <v>46935</v>
      </c>
    </row>
    <row r="6" spans="1:19" ht="12.75" hidden="1" outlineLevel="1" x14ac:dyDescent="0.3">
      <c r="B6" s="10" t="str">
        <f>Lookup!B16</f>
        <v>Period End Date</v>
      </c>
      <c r="J6" s="51">
        <f>Lookup!J16</f>
        <v>44012</v>
      </c>
      <c r="K6" s="51">
        <f>Lookup!K16</f>
        <v>44377</v>
      </c>
      <c r="L6" s="51">
        <f>Lookup!L16</f>
        <v>44742</v>
      </c>
      <c r="M6" s="51">
        <f>Lookup!M16</f>
        <v>45107</v>
      </c>
      <c r="N6" s="51">
        <f>Lookup!N16</f>
        <v>45473</v>
      </c>
      <c r="O6" s="51">
        <f>Lookup!O16</f>
        <v>45838</v>
      </c>
      <c r="P6" s="51">
        <f>Lookup!P16</f>
        <v>46203</v>
      </c>
      <c r="Q6" s="51">
        <f>Lookup!Q16</f>
        <v>46568</v>
      </c>
      <c r="R6" s="51">
        <f>Lookup!R16</f>
        <v>46934</v>
      </c>
      <c r="S6" s="51">
        <f>Lookup!S16</f>
        <v>47299</v>
      </c>
    </row>
    <row r="7" spans="1:19" ht="12.75" hidden="1" outlineLevel="1" x14ac:dyDescent="0.3">
      <c r="B7" s="10" t="str">
        <f>Lookup!B17</f>
        <v>Period Counter</v>
      </c>
      <c r="J7" s="52">
        <f>Lookup!J17</f>
        <v>1</v>
      </c>
      <c r="K7" s="52">
        <f>Lookup!K17</f>
        <v>2</v>
      </c>
      <c r="L7" s="52">
        <f>Lookup!L17</f>
        <v>3</v>
      </c>
      <c r="M7" s="52">
        <f>Lookup!M17</f>
        <v>4</v>
      </c>
      <c r="N7" s="52">
        <f>Lookup!N17</f>
        <v>5</v>
      </c>
      <c r="O7" s="52">
        <f>Lookup!O17</f>
        <v>6</v>
      </c>
      <c r="P7" s="52">
        <f>Lookup!P17</f>
        <v>7</v>
      </c>
      <c r="Q7" s="52">
        <f>Lookup!Q17</f>
        <v>8</v>
      </c>
      <c r="R7" s="52">
        <f>Lookup!R17</f>
        <v>9</v>
      </c>
      <c r="S7" s="52">
        <f>Lookup!S17</f>
        <v>10</v>
      </c>
    </row>
    <row r="8" spans="1:19" ht="12.75" hidden="1" outlineLevel="1" x14ac:dyDescent="0.3">
      <c r="B8" s="10" t="str">
        <f>Lookup!B18</f>
        <v>Year</v>
      </c>
      <c r="J8" s="53">
        <f>Lookup!J18</f>
        <v>2020</v>
      </c>
      <c r="K8" s="53">
        <f>Lookup!K18</f>
        <v>2021</v>
      </c>
      <c r="L8" s="53">
        <f>Lookup!L18</f>
        <v>2022</v>
      </c>
      <c r="M8" s="53">
        <f>Lookup!M18</f>
        <v>2023</v>
      </c>
      <c r="N8" s="53">
        <f>Lookup!N18</f>
        <v>2024</v>
      </c>
      <c r="O8" s="53">
        <f>Lookup!O18</f>
        <v>2025</v>
      </c>
      <c r="P8" s="53">
        <f>Lookup!P18</f>
        <v>2026</v>
      </c>
      <c r="Q8" s="53">
        <f>Lookup!Q18</f>
        <v>2027</v>
      </c>
      <c r="R8" s="53">
        <f>Lookup!R18</f>
        <v>2028</v>
      </c>
      <c r="S8" s="53">
        <f>Lookup!S18</f>
        <v>2029</v>
      </c>
    </row>
    <row r="9" spans="1:19" ht="12.75" collapsed="1" x14ac:dyDescent="0.3">
      <c r="B9" s="10" t="str">
        <f>Lookup!B19</f>
        <v>Period Type</v>
      </c>
      <c r="J9" s="53" t="str">
        <f>Lookup!J19</f>
        <v>Actual</v>
      </c>
      <c r="K9" s="53" t="str">
        <f>Lookup!K19</f>
        <v>Actual</v>
      </c>
      <c r="L9" s="53" t="str">
        <f>Lookup!L19</f>
        <v>Actual</v>
      </c>
      <c r="M9" s="53" t="str">
        <f>Lookup!M19</f>
        <v>Base Year</v>
      </c>
      <c r="N9" s="53" t="str">
        <f>Lookup!N19</f>
        <v>Forecast</v>
      </c>
      <c r="O9" s="53" t="str">
        <f>Lookup!O19</f>
        <v>Forecast</v>
      </c>
      <c r="P9" s="53" t="str">
        <f>Lookup!P19</f>
        <v>Forecast</v>
      </c>
      <c r="Q9" s="53" t="str">
        <f>Lookup!Q19</f>
        <v>Forecast</v>
      </c>
      <c r="R9" s="53" t="str">
        <f>Lookup!R19</f>
        <v>Forecast</v>
      </c>
      <c r="S9" s="53" t="str">
        <f>Lookup!S19</f>
        <v>Forecast</v>
      </c>
    </row>
    <row r="10" spans="1:19" ht="13.15" x14ac:dyDescent="0.3">
      <c r="B10" s="5" t="str">
        <f>Lookup!B20</f>
        <v>Regulatory Year</v>
      </c>
      <c r="E10" s="50" t="str">
        <f>Lookup!E20</f>
        <v>Source</v>
      </c>
      <c r="F10" s="50" t="str">
        <f>Lookup!F20</f>
        <v>Unit</v>
      </c>
      <c r="G10" s="50" t="str">
        <f>Lookup!G20</f>
        <v>Basis</v>
      </c>
      <c r="H10" s="50" t="str">
        <f>Lookup!H20</f>
        <v>Timing</v>
      </c>
      <c r="I10" s="50"/>
      <c r="J10" s="50" t="str">
        <f>Lookup!J20</f>
        <v>FY20</v>
      </c>
      <c r="K10" s="50" t="str">
        <f>Lookup!K20</f>
        <v>FY21</v>
      </c>
      <c r="L10" s="50" t="str">
        <f>Lookup!L20</f>
        <v>FY22</v>
      </c>
      <c r="M10" s="50" t="str">
        <f>Lookup!M20</f>
        <v>FY23</v>
      </c>
      <c r="N10" s="50" t="str">
        <f>Lookup!N20</f>
        <v>FY24</v>
      </c>
      <c r="O10" s="50" t="str">
        <f>Lookup!O20</f>
        <v>FY25</v>
      </c>
      <c r="P10" s="50" t="str">
        <f>Lookup!P20</f>
        <v>FY26</v>
      </c>
      <c r="Q10" s="50" t="str">
        <f>Lookup!Q20</f>
        <v>FY27</v>
      </c>
      <c r="R10" s="50" t="str">
        <f>Lookup!R20</f>
        <v>FY28</v>
      </c>
      <c r="S10" s="50" t="str">
        <f>Lookup!S20</f>
        <v>FY29</v>
      </c>
    </row>
    <row r="12" spans="1:19" s="2" customFormat="1" ht="15" x14ac:dyDescent="0.3">
      <c r="B12" s="2" t="s">
        <v>127</v>
      </c>
    </row>
    <row r="13" spans="1:19" ht="4.5" customHeight="1" x14ac:dyDescent="0.3"/>
    <row r="14" spans="1:19" s="8" customFormat="1" ht="13.9" x14ac:dyDescent="0.3">
      <c r="C14" s="8" t="s">
        <v>184</v>
      </c>
    </row>
    <row r="15" spans="1:19" ht="11.25" customHeight="1" x14ac:dyDescent="0.3"/>
    <row r="16" spans="1:19" s="72" customFormat="1" ht="13.15" x14ac:dyDescent="0.3">
      <c r="C16"/>
      <c r="D16" s="71"/>
      <c r="E16" s="71"/>
      <c r="F16" s="71"/>
      <c r="G16" s="71"/>
      <c r="H16" s="71"/>
      <c r="I16"/>
      <c r="J16" s="115" t="str">
        <f>Input_Data!J32</f>
        <v>TB158</v>
      </c>
      <c r="K16" s="115"/>
      <c r="M16" s="115" t="str">
        <f>Input_Data!L32</f>
        <v>TB165</v>
      </c>
      <c r="N16" s="115"/>
      <c r="P16" s="115" t="s">
        <v>128</v>
      </c>
      <c r="Q16" s="115"/>
      <c r="R16" s="115"/>
    </row>
    <row r="17" spans="2:18" s="72" customFormat="1" ht="13.15" x14ac:dyDescent="0.3">
      <c r="C17"/>
      <c r="D17" s="61" t="s">
        <v>101</v>
      </c>
      <c r="E17" s="54" t="str">
        <f>Lookup!E$20</f>
        <v>Source</v>
      </c>
      <c r="F17" s="54" t="str">
        <f>Lookup!F$20</f>
        <v>Unit</v>
      </c>
      <c r="G17" s="54" t="str">
        <f>Lookup!G$20</f>
        <v>Basis</v>
      </c>
      <c r="H17" s="54" t="str">
        <f>Lookup!H$20</f>
        <v>Timing</v>
      </c>
      <c r="I17"/>
      <c r="J17" s="54" t="s">
        <v>100</v>
      </c>
      <c r="K17" s="54" t="s">
        <v>102</v>
      </c>
      <c r="M17" s="54" t="s">
        <v>100</v>
      </c>
      <c r="N17" s="54" t="s">
        <v>102</v>
      </c>
      <c r="P17" s="54" t="s">
        <v>100</v>
      </c>
      <c r="Q17" s="54" t="s">
        <v>129</v>
      </c>
      <c r="R17" s="54" t="s">
        <v>130</v>
      </c>
    </row>
    <row r="18" spans="2:18" s="72" customFormat="1" x14ac:dyDescent="0.3">
      <c r="C18"/>
      <c r="D18" s="71"/>
      <c r="E18" s="71"/>
      <c r="F18" s="71"/>
      <c r="G18" s="71"/>
      <c r="H18" s="71"/>
      <c r="I18"/>
      <c r="J18" s="79"/>
      <c r="K18" s="79"/>
      <c r="M18" s="79"/>
      <c r="N18" s="79"/>
      <c r="Q18" s="79"/>
      <c r="R18" s="79"/>
    </row>
    <row r="19" spans="2:18" s="72" customFormat="1" ht="13.15" thickBot="1" x14ac:dyDescent="0.35">
      <c r="C19"/>
      <c r="D19" s="74">
        <f>Input_Data!D38</f>
        <v>44834</v>
      </c>
      <c r="E19" s="63" t="s">
        <v>78</v>
      </c>
      <c r="F19" s="53" t="str">
        <f t="shared" ref="F19:F20" si="0">Percent</f>
        <v>Percent</v>
      </c>
      <c r="G19" s="53" t="s">
        <v>57</v>
      </c>
      <c r="H19" s="53" t="str">
        <f t="shared" ref="H19:H20" si="1">NA</f>
        <v>N/A</v>
      </c>
      <c r="I19"/>
      <c r="J19" s="81">
        <f>Input_Data!J33</f>
        <v>48355</v>
      </c>
      <c r="K19" s="80">
        <f>Input_Data!J38</f>
        <v>3.8849999999999996E-2</v>
      </c>
      <c r="M19" s="81">
        <f>Input_Data!L33</f>
        <v>48539</v>
      </c>
      <c r="N19" s="80">
        <f>Input_Data!L38</f>
        <v>3.8949999999999999E-2</v>
      </c>
      <c r="P19" s="81">
        <f>(DATE(YEAR(D19)+10,MONTH(D19),DAY(D19)))</f>
        <v>48487</v>
      </c>
      <c r="Q19" s="80">
        <f t="shared" ref="Q19:Q39" si="2">(P19-J19)/(M19-J19)*N19+(1-(P19-J19)/(M19-J19))*K19</f>
        <v>3.8921739130434785E-2</v>
      </c>
      <c r="R19" s="80">
        <f t="shared" ref="R19:R20" si="3">(1+Q19/2)^2-1</f>
        <v>3.9300464574669292E-2</v>
      </c>
    </row>
    <row r="20" spans="2:18" s="72" customFormat="1" ht="12.75" x14ac:dyDescent="0.3">
      <c r="B20" s="70"/>
      <c r="C20"/>
      <c r="D20" s="74">
        <f>Input_Data!D39</f>
        <v>44838</v>
      </c>
      <c r="E20" s="63" t="s">
        <v>78</v>
      </c>
      <c r="F20" s="53" t="str">
        <f t="shared" si="0"/>
        <v>Percent</v>
      </c>
      <c r="G20" s="53" t="s">
        <v>57</v>
      </c>
      <c r="H20" s="53" t="str">
        <f t="shared" si="1"/>
        <v>N/A</v>
      </c>
      <c r="I20" s="71"/>
      <c r="J20" s="81">
        <f t="shared" ref="J20:J39" si="4">J19</f>
        <v>48355</v>
      </c>
      <c r="K20" s="80">
        <f>Input_Data!J39</f>
        <v>3.7149999999999996E-2</v>
      </c>
      <c r="M20" s="81">
        <f t="shared" ref="M20:M39" si="5">M19</f>
        <v>48539</v>
      </c>
      <c r="N20" s="80">
        <f>Input_Data!L39</f>
        <v>3.73E-2</v>
      </c>
      <c r="P20" s="81">
        <f t="shared" ref="P20:P39" si="6">(DATE(YEAR(D20)+10,MONTH(D20),DAY(D20)))</f>
        <v>48491</v>
      </c>
      <c r="Q20" s="80">
        <f t="shared" si="2"/>
        <v>3.7260869565217389E-2</v>
      </c>
      <c r="R20" s="87">
        <f t="shared" si="3"/>
        <v>3.7607962665406447E-2</v>
      </c>
    </row>
    <row r="21" spans="2:18" s="72" customFormat="1" ht="12.75" x14ac:dyDescent="0.3">
      <c r="B21" s="70"/>
      <c r="C21"/>
      <c r="D21" s="74">
        <f>Input_Data!D40</f>
        <v>44839</v>
      </c>
      <c r="E21" s="63" t="s">
        <v>78</v>
      </c>
      <c r="F21" s="53" t="str">
        <f t="shared" ref="F21:F39" si="7">Percent</f>
        <v>Percent</v>
      </c>
      <c r="G21" s="53" t="s">
        <v>57</v>
      </c>
      <c r="H21" s="53" t="str">
        <f t="shared" ref="H21:H41" si="8">NA</f>
        <v>N/A</v>
      </c>
      <c r="I21" s="71"/>
      <c r="J21" s="81">
        <f t="shared" si="4"/>
        <v>48355</v>
      </c>
      <c r="K21" s="80">
        <f>Input_Data!J40</f>
        <v>3.6200000000000003E-2</v>
      </c>
      <c r="M21" s="81">
        <f t="shared" si="5"/>
        <v>48539</v>
      </c>
      <c r="N21" s="80">
        <f>Input_Data!L40</f>
        <v>3.635E-2</v>
      </c>
      <c r="P21" s="81">
        <f t="shared" si="6"/>
        <v>48492</v>
      </c>
      <c r="Q21" s="80">
        <f t="shared" si="2"/>
        <v>3.6311684782608697E-2</v>
      </c>
      <c r="R21" s="88">
        <f t="shared" ref="R21:R39" si="9">(1+Q21/2)^2-1</f>
        <v>3.6641319395546601E-2</v>
      </c>
    </row>
    <row r="22" spans="2:18" s="72" customFormat="1" ht="12.75" x14ac:dyDescent="0.3">
      <c r="B22" s="70"/>
      <c r="C22"/>
      <c r="D22" s="74">
        <f>Input_Data!D41</f>
        <v>44840</v>
      </c>
      <c r="E22" s="63" t="s">
        <v>78</v>
      </c>
      <c r="F22" s="53" t="str">
        <f t="shared" si="7"/>
        <v>Percent</v>
      </c>
      <c r="G22" s="53" t="s">
        <v>57</v>
      </c>
      <c r="H22" s="53" t="str">
        <f t="shared" si="8"/>
        <v>N/A</v>
      </c>
      <c r="I22" s="71"/>
      <c r="J22" s="81">
        <f t="shared" si="4"/>
        <v>48355</v>
      </c>
      <c r="K22" s="80">
        <f>Input_Data!J41</f>
        <v>3.7599999999999995E-2</v>
      </c>
      <c r="M22" s="81">
        <f t="shared" si="5"/>
        <v>48539</v>
      </c>
      <c r="N22" s="80">
        <f>Input_Data!L41</f>
        <v>3.7749999999999999E-2</v>
      </c>
      <c r="P22" s="81">
        <f t="shared" si="6"/>
        <v>48493</v>
      </c>
      <c r="Q22" s="80">
        <f t="shared" si="2"/>
        <v>3.7712499999999996E-2</v>
      </c>
      <c r="R22" s="88">
        <f t="shared" si="9"/>
        <v>3.8068058164062446E-2</v>
      </c>
    </row>
    <row r="23" spans="2:18" s="72" customFormat="1" ht="12.75" x14ac:dyDescent="0.3">
      <c r="B23" s="70"/>
      <c r="C23"/>
      <c r="D23" s="74">
        <f>Input_Data!D42</f>
        <v>44841</v>
      </c>
      <c r="E23" s="63" t="s">
        <v>78</v>
      </c>
      <c r="F23" s="53" t="str">
        <f t="shared" si="7"/>
        <v>Percent</v>
      </c>
      <c r="G23" s="53" t="s">
        <v>57</v>
      </c>
      <c r="H23" s="53" t="str">
        <f t="shared" si="8"/>
        <v>N/A</v>
      </c>
      <c r="I23" s="71"/>
      <c r="J23" s="81">
        <f t="shared" si="4"/>
        <v>48355</v>
      </c>
      <c r="K23" s="80">
        <f>Input_Data!J42</f>
        <v>3.8350000000000002E-2</v>
      </c>
      <c r="M23" s="81">
        <f t="shared" si="5"/>
        <v>48539</v>
      </c>
      <c r="N23" s="80">
        <f>Input_Data!L42</f>
        <v>3.85E-2</v>
      </c>
      <c r="P23" s="81">
        <f t="shared" si="6"/>
        <v>48494</v>
      </c>
      <c r="Q23" s="80">
        <f t="shared" si="2"/>
        <v>3.8463315217391304E-2</v>
      </c>
      <c r="R23" s="88">
        <f t="shared" si="9"/>
        <v>3.8833171871769601E-2</v>
      </c>
    </row>
    <row r="24" spans="2:18" s="72" customFormat="1" ht="12.75" x14ac:dyDescent="0.3">
      <c r="B24" s="70"/>
      <c r="C24"/>
      <c r="D24" s="74">
        <f>Input_Data!D43</f>
        <v>44844</v>
      </c>
      <c r="E24" s="63" t="s">
        <v>78</v>
      </c>
      <c r="F24" s="53" t="str">
        <f t="shared" si="7"/>
        <v>Percent</v>
      </c>
      <c r="G24" s="53" t="s">
        <v>57</v>
      </c>
      <c r="H24" s="53" t="str">
        <f t="shared" si="8"/>
        <v>N/A</v>
      </c>
      <c r="I24" s="71"/>
      <c r="J24" s="81">
        <f t="shared" si="4"/>
        <v>48355</v>
      </c>
      <c r="K24" s="80">
        <f>Input_Data!J43</f>
        <v>3.8550000000000001E-2</v>
      </c>
      <c r="M24" s="81">
        <f t="shared" si="5"/>
        <v>48539</v>
      </c>
      <c r="N24" s="80">
        <f>Input_Data!L43</f>
        <v>3.8650000000000004E-2</v>
      </c>
      <c r="P24" s="81">
        <f t="shared" si="6"/>
        <v>48497</v>
      </c>
      <c r="Q24" s="80">
        <f t="shared" si="2"/>
        <v>3.8627173913043482E-2</v>
      </c>
      <c r="R24" s="88">
        <f t="shared" si="9"/>
        <v>3.9000188554170645E-2</v>
      </c>
    </row>
    <row r="25" spans="2:18" s="72" customFormat="1" ht="12.75" x14ac:dyDescent="0.3">
      <c r="B25" s="70"/>
      <c r="C25"/>
      <c r="D25" s="74">
        <f>Input_Data!D44</f>
        <v>44845</v>
      </c>
      <c r="E25" s="63" t="s">
        <v>78</v>
      </c>
      <c r="F25" s="53" t="str">
        <f t="shared" si="7"/>
        <v>Percent</v>
      </c>
      <c r="G25" s="53" t="s">
        <v>57</v>
      </c>
      <c r="H25" s="53" t="str">
        <f t="shared" si="8"/>
        <v>N/A</v>
      </c>
      <c r="I25" s="71"/>
      <c r="J25" s="81">
        <f t="shared" si="4"/>
        <v>48355</v>
      </c>
      <c r="K25" s="80">
        <f>Input_Data!J44</f>
        <v>4.0199999999999993E-2</v>
      </c>
      <c r="M25" s="81">
        <f t="shared" si="5"/>
        <v>48539</v>
      </c>
      <c r="N25" s="80">
        <f>Input_Data!L44</f>
        <v>4.0350000000000004E-2</v>
      </c>
      <c r="P25" s="81">
        <f t="shared" si="6"/>
        <v>48498</v>
      </c>
      <c r="Q25" s="80">
        <f t="shared" si="2"/>
        <v>4.0316576086956525E-2</v>
      </c>
      <c r="R25" s="88">
        <f t="shared" si="9"/>
        <v>4.0722932663800337E-2</v>
      </c>
    </row>
    <row r="26" spans="2:18" s="72" customFormat="1" ht="12.75" x14ac:dyDescent="0.3">
      <c r="B26" s="70"/>
      <c r="C26"/>
      <c r="D26" s="74">
        <f>Input_Data!D45</f>
        <v>44846</v>
      </c>
      <c r="E26" s="63" t="s">
        <v>78</v>
      </c>
      <c r="F26" s="53" t="str">
        <f t="shared" si="7"/>
        <v>Percent</v>
      </c>
      <c r="G26" s="53" t="s">
        <v>57</v>
      </c>
      <c r="H26" s="53" t="str">
        <f t="shared" si="8"/>
        <v>N/A</v>
      </c>
      <c r="I26" s="71"/>
      <c r="J26" s="81">
        <f t="shared" si="4"/>
        <v>48355</v>
      </c>
      <c r="K26" s="80">
        <f>Input_Data!J45</f>
        <v>3.9300000000000002E-2</v>
      </c>
      <c r="M26" s="81">
        <f t="shared" si="5"/>
        <v>48539</v>
      </c>
      <c r="N26" s="80">
        <f>Input_Data!L45</f>
        <v>3.9449999999999999E-2</v>
      </c>
      <c r="P26" s="81">
        <f t="shared" si="6"/>
        <v>48499</v>
      </c>
      <c r="Q26" s="80">
        <f t="shared" si="2"/>
        <v>3.9417391304347828E-2</v>
      </c>
      <c r="R26" s="88">
        <f t="shared" si="9"/>
        <v>3.980582398865784E-2</v>
      </c>
    </row>
    <row r="27" spans="2:18" s="72" customFormat="1" ht="12.75" x14ac:dyDescent="0.3">
      <c r="B27" s="70"/>
      <c r="C27"/>
      <c r="D27" s="74">
        <f>Input_Data!D46</f>
        <v>44847</v>
      </c>
      <c r="E27" s="63" t="s">
        <v>78</v>
      </c>
      <c r="F27" s="53" t="str">
        <f t="shared" si="7"/>
        <v>Percent</v>
      </c>
      <c r="G27" s="53" t="s">
        <v>57</v>
      </c>
      <c r="H27" s="53" t="str">
        <f t="shared" si="8"/>
        <v>N/A</v>
      </c>
      <c r="I27" s="71"/>
      <c r="J27" s="81">
        <f t="shared" si="4"/>
        <v>48355</v>
      </c>
      <c r="K27" s="80">
        <f>Input_Data!J46</f>
        <v>3.9849999999999997E-2</v>
      </c>
      <c r="M27" s="81">
        <f t="shared" si="5"/>
        <v>48539</v>
      </c>
      <c r="N27" s="80">
        <f>Input_Data!L46</f>
        <v>0.04</v>
      </c>
      <c r="P27" s="81">
        <f t="shared" si="6"/>
        <v>48500</v>
      </c>
      <c r="Q27" s="80">
        <f t="shared" si="2"/>
        <v>3.996820652173913E-2</v>
      </c>
      <c r="R27" s="88">
        <f t="shared" si="9"/>
        <v>4.0367570904880301E-2</v>
      </c>
    </row>
    <row r="28" spans="2:18" s="72" customFormat="1" ht="12.75" x14ac:dyDescent="0.3">
      <c r="B28" s="70"/>
      <c r="C28"/>
      <c r="D28" s="74">
        <f>Input_Data!D47</f>
        <v>44848</v>
      </c>
      <c r="E28" s="63" t="s">
        <v>78</v>
      </c>
      <c r="F28" s="53" t="str">
        <f t="shared" si="7"/>
        <v>Percent</v>
      </c>
      <c r="G28" s="53" t="s">
        <v>57</v>
      </c>
      <c r="H28" s="53" t="str">
        <f t="shared" si="8"/>
        <v>N/A</v>
      </c>
      <c r="I28" s="71"/>
      <c r="J28" s="81">
        <f t="shared" si="4"/>
        <v>48355</v>
      </c>
      <c r="K28" s="80">
        <f>Input_Data!J47</f>
        <v>3.9949999999999999E-2</v>
      </c>
      <c r="M28" s="81">
        <f t="shared" si="5"/>
        <v>48539</v>
      </c>
      <c r="N28" s="80">
        <f>Input_Data!L47</f>
        <v>4.0050000000000002E-2</v>
      </c>
      <c r="P28" s="81">
        <f t="shared" si="6"/>
        <v>48501</v>
      </c>
      <c r="Q28" s="80">
        <f t="shared" si="2"/>
        <v>4.0029347826086956E-2</v>
      </c>
      <c r="R28" s="88">
        <f t="shared" si="9"/>
        <v>4.0429934997932682E-2</v>
      </c>
    </row>
    <row r="29" spans="2:18" s="72" customFormat="1" ht="12.75" x14ac:dyDescent="0.3">
      <c r="B29" s="70"/>
      <c r="C29"/>
      <c r="D29" s="74">
        <f>Input_Data!D48</f>
        <v>44851</v>
      </c>
      <c r="E29" s="63" t="s">
        <v>78</v>
      </c>
      <c r="F29" s="53" t="str">
        <f t="shared" si="7"/>
        <v>Percent</v>
      </c>
      <c r="G29" s="53" t="s">
        <v>57</v>
      </c>
      <c r="H29" s="53" t="str">
        <f t="shared" si="8"/>
        <v>N/A</v>
      </c>
      <c r="I29" s="71"/>
      <c r="J29" s="81">
        <f t="shared" si="4"/>
        <v>48355</v>
      </c>
      <c r="K29" s="80">
        <f>Input_Data!J48</f>
        <v>4.0099999999999997E-2</v>
      </c>
      <c r="M29" s="81">
        <f t="shared" si="5"/>
        <v>48539</v>
      </c>
      <c r="N29" s="80">
        <f>Input_Data!L48</f>
        <v>4.0199999999999993E-2</v>
      </c>
      <c r="P29" s="81">
        <f t="shared" si="6"/>
        <v>48504</v>
      </c>
      <c r="Q29" s="80">
        <f t="shared" si="2"/>
        <v>4.0180978260869554E-2</v>
      </c>
      <c r="R29" s="88">
        <f t="shared" si="9"/>
        <v>4.0584606014369751E-2</v>
      </c>
    </row>
    <row r="30" spans="2:18" s="72" customFormat="1" ht="12.75" x14ac:dyDescent="0.3">
      <c r="B30" s="70"/>
      <c r="C30"/>
      <c r="D30" s="74">
        <f>Input_Data!D49</f>
        <v>44852</v>
      </c>
      <c r="E30" s="63" t="s">
        <v>78</v>
      </c>
      <c r="F30" s="53" t="str">
        <f t="shared" si="7"/>
        <v>Percent</v>
      </c>
      <c r="G30" s="53" t="s">
        <v>57</v>
      </c>
      <c r="H30" s="53" t="str">
        <f t="shared" si="8"/>
        <v>N/A</v>
      </c>
      <c r="I30" s="71"/>
      <c r="J30" s="81">
        <f t="shared" si="4"/>
        <v>48355</v>
      </c>
      <c r="K30" s="80">
        <f>Input_Data!J49</f>
        <v>3.9050000000000001E-2</v>
      </c>
      <c r="M30" s="81">
        <f t="shared" si="5"/>
        <v>48539</v>
      </c>
      <c r="N30" s="80">
        <f>Input_Data!L49</f>
        <v>3.9149999999999997E-2</v>
      </c>
      <c r="P30" s="81">
        <f t="shared" si="6"/>
        <v>48505</v>
      </c>
      <c r="Q30" s="80">
        <f t="shared" si="2"/>
        <v>3.9131521739130433E-2</v>
      </c>
      <c r="R30" s="88">
        <f t="shared" si="9"/>
        <v>3.9514340737535347E-2</v>
      </c>
    </row>
    <row r="31" spans="2:18" s="72" customFormat="1" ht="12.75" x14ac:dyDescent="0.3">
      <c r="B31" s="70"/>
      <c r="C31"/>
      <c r="D31" s="74">
        <f>Input_Data!D50</f>
        <v>44853</v>
      </c>
      <c r="E31" s="63" t="s">
        <v>78</v>
      </c>
      <c r="F31" s="53" t="str">
        <f t="shared" si="7"/>
        <v>Percent</v>
      </c>
      <c r="G31" s="53" t="s">
        <v>57</v>
      </c>
      <c r="H31" s="53" t="str">
        <f t="shared" si="8"/>
        <v>N/A</v>
      </c>
      <c r="I31" s="71"/>
      <c r="J31" s="81">
        <f t="shared" si="4"/>
        <v>48355</v>
      </c>
      <c r="K31" s="80">
        <f>Input_Data!J50</f>
        <v>3.9300000000000002E-2</v>
      </c>
      <c r="M31" s="81">
        <f t="shared" si="5"/>
        <v>48539</v>
      </c>
      <c r="N31" s="80">
        <f>Input_Data!L50</f>
        <v>3.9449999999999999E-2</v>
      </c>
      <c r="P31" s="81">
        <f t="shared" si="6"/>
        <v>48506</v>
      </c>
      <c r="Q31" s="80">
        <f t="shared" si="2"/>
        <v>3.9423097826086953E-2</v>
      </c>
      <c r="R31" s="88">
        <f t="shared" si="9"/>
        <v>3.9811642986638196E-2</v>
      </c>
    </row>
    <row r="32" spans="2:18" s="72" customFormat="1" ht="12.75" x14ac:dyDescent="0.3">
      <c r="B32" s="70"/>
      <c r="C32"/>
      <c r="D32" s="74">
        <f>Input_Data!D51</f>
        <v>44854</v>
      </c>
      <c r="E32" s="63" t="s">
        <v>78</v>
      </c>
      <c r="F32" s="53" t="str">
        <f t="shared" si="7"/>
        <v>Percent</v>
      </c>
      <c r="G32" s="53" t="s">
        <v>57</v>
      </c>
      <c r="H32" s="53" t="str">
        <f t="shared" si="8"/>
        <v>N/A</v>
      </c>
      <c r="I32" s="71"/>
      <c r="J32" s="81">
        <f t="shared" si="4"/>
        <v>48355</v>
      </c>
      <c r="K32" s="80">
        <f>Input_Data!J51</f>
        <v>4.045E-2</v>
      </c>
      <c r="M32" s="81">
        <f t="shared" si="5"/>
        <v>48539</v>
      </c>
      <c r="N32" s="80">
        <f>Input_Data!L51</f>
        <v>4.0599999999999997E-2</v>
      </c>
      <c r="P32" s="81">
        <f t="shared" si="6"/>
        <v>48507</v>
      </c>
      <c r="Q32" s="80">
        <f t="shared" si="2"/>
        <v>4.0573913043478259E-2</v>
      </c>
      <c r="R32" s="88">
        <f t="shared" si="9"/>
        <v>4.0985473648393222E-2</v>
      </c>
    </row>
    <row r="33" spans="2:19" s="72" customFormat="1" ht="12.75" x14ac:dyDescent="0.3">
      <c r="B33" s="70"/>
      <c r="C33"/>
      <c r="D33" s="74">
        <f>Input_Data!D52</f>
        <v>44855</v>
      </c>
      <c r="E33" s="63" t="s">
        <v>78</v>
      </c>
      <c r="F33" s="53" t="str">
        <f t="shared" si="7"/>
        <v>Percent</v>
      </c>
      <c r="G33" s="53" t="s">
        <v>57</v>
      </c>
      <c r="H33" s="53" t="str">
        <f t="shared" si="8"/>
        <v>N/A</v>
      </c>
      <c r="I33" s="71"/>
      <c r="J33" s="81">
        <f t="shared" si="4"/>
        <v>48355</v>
      </c>
      <c r="K33" s="80">
        <f>Input_Data!J52</f>
        <v>4.1849999999999998E-2</v>
      </c>
      <c r="M33" s="81">
        <f t="shared" si="5"/>
        <v>48539</v>
      </c>
      <c r="N33" s="80">
        <f>Input_Data!L52</f>
        <v>4.1950000000000001E-2</v>
      </c>
      <c r="P33" s="81">
        <f t="shared" si="6"/>
        <v>48508</v>
      </c>
      <c r="Q33" s="80">
        <f t="shared" si="2"/>
        <v>4.1933152173913045E-2</v>
      </c>
      <c r="R33" s="88">
        <f t="shared" si="9"/>
        <v>4.2372749486723427E-2</v>
      </c>
    </row>
    <row r="34" spans="2:19" s="72" customFormat="1" ht="12.75" x14ac:dyDescent="0.3">
      <c r="B34" s="70"/>
      <c r="C34"/>
      <c r="D34" s="74">
        <f>Input_Data!D53</f>
        <v>44858</v>
      </c>
      <c r="E34" s="63" t="s">
        <v>78</v>
      </c>
      <c r="F34" s="53" t="str">
        <f t="shared" si="7"/>
        <v>Percent</v>
      </c>
      <c r="G34" s="53" t="s">
        <v>57</v>
      </c>
      <c r="H34" s="53" t="str">
        <f t="shared" si="8"/>
        <v>N/A</v>
      </c>
      <c r="I34" s="71"/>
      <c r="J34" s="81">
        <f t="shared" si="4"/>
        <v>48355</v>
      </c>
      <c r="K34" s="80">
        <f>Input_Data!J53</f>
        <v>4.1349999999999998E-2</v>
      </c>
      <c r="M34" s="81">
        <f t="shared" si="5"/>
        <v>48539</v>
      </c>
      <c r="N34" s="80">
        <f>Input_Data!L53</f>
        <v>4.1500000000000002E-2</v>
      </c>
      <c r="P34" s="81">
        <f t="shared" si="6"/>
        <v>48511</v>
      </c>
      <c r="Q34" s="80">
        <f t="shared" si="2"/>
        <v>4.147717391304348E-2</v>
      </c>
      <c r="R34" s="88">
        <f t="shared" si="9"/>
        <v>4.1907262901996756E-2</v>
      </c>
    </row>
    <row r="35" spans="2:19" s="72" customFormat="1" ht="12.75" x14ac:dyDescent="0.3">
      <c r="B35" s="70"/>
      <c r="C35"/>
      <c r="D35" s="74">
        <f>Input_Data!D54</f>
        <v>44859</v>
      </c>
      <c r="E35" s="63" t="s">
        <v>78</v>
      </c>
      <c r="F35" s="53" t="str">
        <f t="shared" si="7"/>
        <v>Percent</v>
      </c>
      <c r="G35" s="53" t="s">
        <v>57</v>
      </c>
      <c r="H35" s="53" t="str">
        <f t="shared" si="8"/>
        <v>N/A</v>
      </c>
      <c r="I35" s="71"/>
      <c r="J35" s="81">
        <f t="shared" si="4"/>
        <v>48355</v>
      </c>
      <c r="K35" s="80">
        <f>Input_Data!J54</f>
        <v>4.0599999999999997E-2</v>
      </c>
      <c r="M35" s="81">
        <f t="shared" si="5"/>
        <v>48539</v>
      </c>
      <c r="N35" s="80">
        <f>Input_Data!L54</f>
        <v>4.0750000000000001E-2</v>
      </c>
      <c r="P35" s="81">
        <f t="shared" si="6"/>
        <v>48512</v>
      </c>
      <c r="Q35" s="80">
        <f t="shared" si="2"/>
        <v>4.072798913043478E-2</v>
      </c>
      <c r="R35" s="88">
        <f t="shared" si="9"/>
        <v>4.1142681405087034E-2</v>
      </c>
    </row>
    <row r="36" spans="2:19" s="72" customFormat="1" ht="12.75" x14ac:dyDescent="0.3">
      <c r="B36" s="70"/>
      <c r="C36"/>
      <c r="D36" s="74">
        <f>Input_Data!D55</f>
        <v>44860</v>
      </c>
      <c r="E36" s="63" t="s">
        <v>78</v>
      </c>
      <c r="F36" s="53" t="str">
        <f t="shared" si="7"/>
        <v>Percent</v>
      </c>
      <c r="G36" s="53" t="s">
        <v>57</v>
      </c>
      <c r="H36" s="53" t="str">
        <f t="shared" si="8"/>
        <v>N/A</v>
      </c>
      <c r="I36" s="71"/>
      <c r="J36" s="81">
        <f t="shared" si="4"/>
        <v>48355</v>
      </c>
      <c r="K36" s="80">
        <f>Input_Data!J55</f>
        <v>3.9050000000000001E-2</v>
      </c>
      <c r="M36" s="81">
        <f t="shared" si="5"/>
        <v>48539</v>
      </c>
      <c r="N36" s="80">
        <f>Input_Data!L55</f>
        <v>3.9199999999999999E-2</v>
      </c>
      <c r="P36" s="81">
        <f t="shared" si="6"/>
        <v>48513</v>
      </c>
      <c r="Q36" s="80">
        <f t="shared" si="2"/>
        <v>3.9178804347826085E-2</v>
      </c>
      <c r="R36" s="88">
        <f t="shared" si="9"/>
        <v>3.9562549025357496E-2</v>
      </c>
    </row>
    <row r="37" spans="2:19" s="72" customFormat="1" ht="12.75" x14ac:dyDescent="0.3">
      <c r="B37" s="70"/>
      <c r="C37"/>
      <c r="D37" s="74">
        <f>Input_Data!D56</f>
        <v>44861</v>
      </c>
      <c r="E37" s="63" t="s">
        <v>78</v>
      </c>
      <c r="F37" s="53" t="str">
        <f t="shared" si="7"/>
        <v>Percent</v>
      </c>
      <c r="G37" s="53" t="s">
        <v>57</v>
      </c>
      <c r="H37" s="53" t="str">
        <f t="shared" si="8"/>
        <v>N/A</v>
      </c>
      <c r="I37" s="71"/>
      <c r="J37" s="81">
        <f t="shared" si="4"/>
        <v>48355</v>
      </c>
      <c r="K37" s="80">
        <f>Input_Data!J56</f>
        <v>3.8149999999999996E-2</v>
      </c>
      <c r="M37" s="81">
        <f t="shared" si="5"/>
        <v>48539</v>
      </c>
      <c r="N37" s="80">
        <f>Input_Data!L56</f>
        <v>3.8300000000000001E-2</v>
      </c>
      <c r="P37" s="81">
        <f t="shared" si="6"/>
        <v>48514</v>
      </c>
      <c r="Q37" s="80">
        <f t="shared" si="2"/>
        <v>3.8279619565217395E-2</v>
      </c>
      <c r="R37" s="88">
        <f t="shared" si="9"/>
        <v>3.8645951883731877E-2</v>
      </c>
    </row>
    <row r="38" spans="2:19" s="72" customFormat="1" ht="12.75" x14ac:dyDescent="0.3">
      <c r="B38" s="70"/>
      <c r="C38"/>
      <c r="D38" s="74">
        <f>Input_Data!D57</f>
        <v>44862</v>
      </c>
      <c r="E38" s="63" t="s">
        <v>78</v>
      </c>
      <c r="F38" s="53" t="str">
        <f t="shared" si="7"/>
        <v>Percent</v>
      </c>
      <c r="G38" s="53" t="s">
        <v>57</v>
      </c>
      <c r="H38" s="53" t="str">
        <f t="shared" si="8"/>
        <v>N/A</v>
      </c>
      <c r="I38" s="71"/>
      <c r="J38" s="81">
        <f t="shared" si="4"/>
        <v>48355</v>
      </c>
      <c r="K38" s="80">
        <f>Input_Data!J57</f>
        <v>3.7200000000000004E-2</v>
      </c>
      <c r="M38" s="81">
        <f t="shared" si="5"/>
        <v>48539</v>
      </c>
      <c r="N38" s="80">
        <f>Input_Data!L57</f>
        <v>3.7350000000000001E-2</v>
      </c>
      <c r="P38" s="81">
        <f t="shared" si="6"/>
        <v>48515</v>
      </c>
      <c r="Q38" s="80">
        <f t="shared" si="2"/>
        <v>3.7330434782608703E-2</v>
      </c>
      <c r="R38" s="88">
        <f t="shared" si="9"/>
        <v>3.7678825122873461E-2</v>
      </c>
    </row>
    <row r="39" spans="2:19" s="72" customFormat="1" ht="13.15" thickBot="1" x14ac:dyDescent="0.35">
      <c r="B39" s="70"/>
      <c r="C39"/>
      <c r="D39" s="74">
        <f>Input_Data!D58</f>
        <v>44865</v>
      </c>
      <c r="E39" s="63" t="s">
        <v>78</v>
      </c>
      <c r="F39" s="53" t="str">
        <f t="shared" si="7"/>
        <v>Percent</v>
      </c>
      <c r="G39" s="53" t="s">
        <v>57</v>
      </c>
      <c r="H39" s="53" t="str">
        <f t="shared" si="8"/>
        <v>N/A</v>
      </c>
      <c r="I39" s="71"/>
      <c r="J39" s="81">
        <f t="shared" si="4"/>
        <v>48355</v>
      </c>
      <c r="K39" s="80">
        <f>Input_Data!J58</f>
        <v>3.7400000000000003E-2</v>
      </c>
      <c r="M39" s="81">
        <f t="shared" si="5"/>
        <v>48539</v>
      </c>
      <c r="N39" s="80">
        <f>Input_Data!L58</f>
        <v>3.755E-2</v>
      </c>
      <c r="P39" s="81">
        <f t="shared" si="6"/>
        <v>48518</v>
      </c>
      <c r="Q39" s="80">
        <f t="shared" si="2"/>
        <v>3.7532880434782603E-2</v>
      </c>
      <c r="R39" s="89">
        <f t="shared" si="9"/>
        <v>3.788505971321543E-2</v>
      </c>
    </row>
    <row r="40" spans="2:19" ht="12.75" x14ac:dyDescent="0.3">
      <c r="D40" s="10"/>
      <c r="E40" s="63"/>
      <c r="F40" s="63"/>
      <c r="G40" s="63"/>
      <c r="H40" s="63"/>
      <c r="I40" s="63"/>
      <c r="L40" s="69"/>
      <c r="M40" s="69"/>
      <c r="N40" s="69"/>
      <c r="O40" s="69"/>
      <c r="P40" s="69"/>
      <c r="Q40" s="55"/>
      <c r="R40" s="55"/>
    </row>
    <row r="41" spans="2:19" ht="13.15" x14ac:dyDescent="0.3">
      <c r="D41" s="62" t="s">
        <v>185</v>
      </c>
      <c r="E41" s="56" t="s">
        <v>78</v>
      </c>
      <c r="F41" s="56" t="str">
        <f>Percent</f>
        <v>Percent</v>
      </c>
      <c r="G41" s="56" t="s">
        <v>57</v>
      </c>
      <c r="H41" s="56" t="str">
        <f t="shared" si="8"/>
        <v>N/A</v>
      </c>
      <c r="J41" s="69"/>
      <c r="K41" s="69"/>
      <c r="L41" s="69"/>
      <c r="M41" s="69"/>
      <c r="N41" s="69"/>
      <c r="O41" s="69"/>
      <c r="P41" s="69"/>
      <c r="Q41" s="55"/>
      <c r="R41" s="83">
        <f>AVERAGE(R20:R39)</f>
        <v>3.9578405306607445E-2</v>
      </c>
      <c r="S41" s="82" t="s">
        <v>180</v>
      </c>
    </row>
    <row r="42" spans="2:19" ht="12.75" x14ac:dyDescent="0.3">
      <c r="D42" s="10"/>
      <c r="E42" s="63"/>
      <c r="F42" s="63"/>
      <c r="G42" s="63"/>
      <c r="H42" s="63"/>
      <c r="I42" s="63"/>
      <c r="J42" s="69"/>
      <c r="K42" s="69"/>
      <c r="L42" s="69"/>
      <c r="M42" s="69"/>
      <c r="N42" s="69"/>
      <c r="O42" s="69"/>
      <c r="P42" s="69"/>
      <c r="Q42" s="55"/>
      <c r="R42" s="55"/>
      <c r="S42" s="55"/>
    </row>
    <row r="43" spans="2:19" ht="12.75" x14ac:dyDescent="0.3">
      <c r="D43" s="10"/>
      <c r="E43" s="63"/>
      <c r="F43" s="63"/>
      <c r="G43" s="63"/>
      <c r="H43" s="63"/>
      <c r="I43" s="63"/>
      <c r="J43" s="69"/>
      <c r="K43" s="69"/>
      <c r="L43" s="69"/>
      <c r="M43" s="69"/>
      <c r="N43" s="69"/>
      <c r="O43" s="69"/>
      <c r="P43" s="69"/>
      <c r="Q43" s="55"/>
      <c r="R43" s="55"/>
      <c r="S43" s="55"/>
    </row>
    <row r="44" spans="2:19" s="8" customFormat="1" ht="13.9" x14ac:dyDescent="0.3">
      <c r="C44" s="8" t="s">
        <v>132</v>
      </c>
    </row>
    <row r="45" spans="2:19" ht="11.25" customHeight="1" x14ac:dyDescent="0.3"/>
    <row r="46" spans="2:19" ht="11.25" customHeight="1" x14ac:dyDescent="0.3">
      <c r="J46" s="114" t="s">
        <v>130</v>
      </c>
      <c r="K46" s="114"/>
      <c r="L46" s="114"/>
    </row>
    <row r="47" spans="2:19" s="72" customFormat="1" ht="13.15" x14ac:dyDescent="0.3">
      <c r="C47"/>
      <c r="D47" s="61" t="s">
        <v>163</v>
      </c>
      <c r="E47" s="54" t="str">
        <f>Lookup!E$20</f>
        <v>Source</v>
      </c>
      <c r="F47" s="54" t="str">
        <f>Lookup!F$20</f>
        <v>Unit</v>
      </c>
      <c r="G47" s="54" t="str">
        <f>Lookup!G$20</f>
        <v>Basis</v>
      </c>
      <c r="H47" s="54" t="str">
        <f>Lookup!H$20</f>
        <v>Timing</v>
      </c>
      <c r="I47"/>
      <c r="J47" s="54" t="s">
        <v>140</v>
      </c>
      <c r="K47" s="54" t="s">
        <v>141</v>
      </c>
      <c r="L47" s="54" t="s">
        <v>143</v>
      </c>
      <c r="M47"/>
      <c r="N47"/>
      <c r="O47"/>
      <c r="P47"/>
      <c r="Q47"/>
      <c r="R47"/>
    </row>
    <row r="48" spans="2:19" s="72" customFormat="1" x14ac:dyDescent="0.3">
      <c r="C48"/>
      <c r="D48" s="71"/>
      <c r="E48" s="71"/>
      <c r="F48" s="71"/>
      <c r="G48" s="71"/>
      <c r="H48" s="71"/>
      <c r="I48"/>
      <c r="L48" s="79"/>
      <c r="M48"/>
      <c r="N48"/>
      <c r="O48"/>
      <c r="P48"/>
      <c r="Q48"/>
      <c r="R48"/>
    </row>
    <row r="49" spans="2:20" s="72" customFormat="1" ht="12.75" x14ac:dyDescent="0.3">
      <c r="C49"/>
      <c r="D49" s="102" t="s">
        <v>182</v>
      </c>
      <c r="E49" s="63" t="s">
        <v>78</v>
      </c>
      <c r="F49" s="53" t="str">
        <f t="shared" ref="F49" si="10">Percent</f>
        <v>Percent</v>
      </c>
      <c r="G49" s="53" t="s">
        <v>57</v>
      </c>
      <c r="H49" s="53" t="str">
        <f t="shared" ref="H49" si="11">NA</f>
        <v>N/A</v>
      </c>
      <c r="I49" s="71"/>
      <c r="J49" s="80">
        <f>Input_Data!J65</f>
        <v>7.1499999999999994E-2</v>
      </c>
      <c r="K49" s="80">
        <f>Input_Data!K65</f>
        <v>6.4600000000000005E-2</v>
      </c>
      <c r="L49" s="80">
        <f>IFERROR(J49*BBB_Weight+K49*A_Weight,"TBC")</f>
        <v>6.9199999999999998E-2</v>
      </c>
      <c r="M49"/>
      <c r="N49"/>
      <c r="O49"/>
      <c r="P49"/>
      <c r="Q49"/>
      <c r="R49"/>
    </row>
    <row r="52" spans="2:20" s="2" customFormat="1" ht="15" x14ac:dyDescent="0.3">
      <c r="B52" s="2" t="s">
        <v>154</v>
      </c>
    </row>
    <row r="54" spans="2:20" ht="13.15" x14ac:dyDescent="0.3">
      <c r="D54" s="61" t="s">
        <v>132</v>
      </c>
      <c r="E54" s="54" t="str">
        <f>Lookup!E$20</f>
        <v>Source</v>
      </c>
      <c r="F54" s="54" t="str">
        <f>Lookup!F$20</f>
        <v>Unit</v>
      </c>
      <c r="G54" s="54" t="str">
        <f>Lookup!G$20</f>
        <v>Basis</v>
      </c>
      <c r="H54" s="54" t="str">
        <f>Lookup!H$20</f>
        <v>Timing</v>
      </c>
      <c r="J54" s="54" t="str">
        <f>J$10</f>
        <v>FY20</v>
      </c>
      <c r="K54" s="54" t="str">
        <f t="shared" ref="K54:S54" si="12">K$10</f>
        <v>FY21</v>
      </c>
      <c r="L54" s="54" t="str">
        <f t="shared" si="12"/>
        <v>FY22</v>
      </c>
      <c r="M54" s="54" t="str">
        <f t="shared" si="12"/>
        <v>FY23</v>
      </c>
      <c r="N54" s="54" t="str">
        <f t="shared" si="12"/>
        <v>FY24</v>
      </c>
      <c r="O54" s="54" t="str">
        <f t="shared" si="12"/>
        <v>FY25</v>
      </c>
      <c r="P54" s="54" t="str">
        <f t="shared" si="12"/>
        <v>FY26</v>
      </c>
      <c r="Q54" s="54" t="str">
        <f t="shared" si="12"/>
        <v>FY27</v>
      </c>
      <c r="R54" s="54" t="str">
        <f t="shared" si="12"/>
        <v>FY28</v>
      </c>
      <c r="S54" s="54" t="str">
        <f t="shared" si="12"/>
        <v>FY29</v>
      </c>
    </row>
    <row r="56" spans="2:20" ht="12.75" x14ac:dyDescent="0.3">
      <c r="D56" s="10" t="s">
        <v>149</v>
      </c>
    </row>
    <row r="57" spans="2:20" ht="12.75" x14ac:dyDescent="0.3">
      <c r="D57" s="91" t="str">
        <f>Lookup!D73</f>
        <v>Actual</v>
      </c>
      <c r="E57" s="63" t="s">
        <v>78</v>
      </c>
      <c r="F57" s="53" t="str">
        <f t="shared" ref="F57:F59" si="13">Percent</f>
        <v>Percent</v>
      </c>
      <c r="G57" s="53" t="s">
        <v>57</v>
      </c>
      <c r="H57" s="53" t="str">
        <f t="shared" ref="H57:H59" si="14">NA</f>
        <v>N/A</v>
      </c>
      <c r="J57" s="80">
        <f>IF(Input_Data!J$74=Lookup!$D73,Input_Data!J$75,"")</f>
        <v>4.2124996625194699E-2</v>
      </c>
      <c r="K57" s="80">
        <f>IF(Input_Data!K$74=Lookup!$D73,Input_Data!K$75,"")</f>
        <v>3.0951839411772694E-2</v>
      </c>
      <c r="L57" s="80">
        <f>IF(Input_Data!L$74=Lookup!$D73,Input_Data!L$75,"")</f>
        <v>2.5512052618935008E-2</v>
      </c>
      <c r="M57" s="80">
        <f>IF(Input_Data!M$74=Lookup!$D73,Input_Data!M$75,"")</f>
        <v>3.0848502991430701E-2</v>
      </c>
      <c r="N57" s="80" t="str">
        <f>IF(Input_Data!N$74=Lookup!$D73,Input_Data!N$75,"")</f>
        <v/>
      </c>
      <c r="O57" s="97"/>
      <c r="P57" s="80"/>
      <c r="Q57" s="80"/>
      <c r="R57" s="80"/>
      <c r="S57" s="80"/>
    </row>
    <row r="58" spans="2:20" ht="12.75" x14ac:dyDescent="0.3">
      <c r="D58" s="91" t="str">
        <f>Lookup!D74</f>
        <v>Estimated</v>
      </c>
      <c r="E58" s="63" t="s">
        <v>78</v>
      </c>
      <c r="F58" s="53" t="str">
        <f t="shared" si="13"/>
        <v>Percent</v>
      </c>
      <c r="G58" s="53" t="s">
        <v>57</v>
      </c>
      <c r="H58" s="53" t="str">
        <f t="shared" si="14"/>
        <v>N/A</v>
      </c>
      <c r="J58" s="80" t="str">
        <f>IF(Input_Data!J$74=Lookup!$D74,Input_Data!J$75,"")</f>
        <v/>
      </c>
      <c r="K58" s="80" t="str">
        <f>IF(Input_Data!K$74=Lookup!$D74,Input_Data!K$75,"")</f>
        <v/>
      </c>
      <c r="L58" s="80" t="str">
        <f>IF(Input_Data!L$74=Lookup!$D74,Input_Data!L$75,"")</f>
        <v/>
      </c>
      <c r="M58" s="80" t="str">
        <f>IF(Input_Data!M$74=Lookup!$D74,Input_Data!M$75,"")</f>
        <v/>
      </c>
      <c r="N58" s="80">
        <f>IF(Input_Data!N$74=Lookup!$D74,Input_Data!N$75,"")</f>
        <v>6.9199999999999998E-2</v>
      </c>
      <c r="O58" s="98">
        <f>L49</f>
        <v>6.9199999999999998E-2</v>
      </c>
      <c r="P58" s="80">
        <f>O58</f>
        <v>6.9199999999999998E-2</v>
      </c>
      <c r="Q58" s="80">
        <f t="shared" ref="Q58:S58" si="15">P58</f>
        <v>6.9199999999999998E-2</v>
      </c>
      <c r="R58" s="80">
        <f t="shared" si="15"/>
        <v>6.9199999999999998E-2</v>
      </c>
      <c r="S58" s="80">
        <f t="shared" si="15"/>
        <v>6.9199999999999998E-2</v>
      </c>
    </row>
    <row r="59" spans="2:20" ht="12.75" x14ac:dyDescent="0.3">
      <c r="D59" s="93" t="s">
        <v>150</v>
      </c>
      <c r="E59" s="94" t="s">
        <v>78</v>
      </c>
      <c r="F59" s="95" t="str">
        <f t="shared" si="13"/>
        <v>Percent</v>
      </c>
      <c r="G59" s="95" t="s">
        <v>57</v>
      </c>
      <c r="H59" s="95" t="str">
        <f t="shared" si="14"/>
        <v>N/A</v>
      </c>
      <c r="J59" s="96">
        <f>IF(ISNUMBER(J57),J57,IF(ISNUMBER(J58),J58,""))</f>
        <v>4.2124996625194699E-2</v>
      </c>
      <c r="K59" s="96">
        <f t="shared" ref="K59:S59" si="16">IF(ISNUMBER(K57),K57,IF(ISNUMBER(K58),K58,""))</f>
        <v>3.0951839411772694E-2</v>
      </c>
      <c r="L59" s="96">
        <f t="shared" si="16"/>
        <v>2.5512052618935008E-2</v>
      </c>
      <c r="M59" s="96">
        <f t="shared" si="16"/>
        <v>3.0848502991430701E-2</v>
      </c>
      <c r="N59" s="96">
        <f t="shared" si="16"/>
        <v>6.9199999999999998E-2</v>
      </c>
      <c r="O59" s="96">
        <f t="shared" si="16"/>
        <v>6.9199999999999998E-2</v>
      </c>
      <c r="P59" s="96">
        <f t="shared" si="16"/>
        <v>6.9199999999999998E-2</v>
      </c>
      <c r="Q59" s="96">
        <f t="shared" si="16"/>
        <v>6.9199999999999998E-2</v>
      </c>
      <c r="R59" s="96">
        <f t="shared" si="16"/>
        <v>6.9199999999999998E-2</v>
      </c>
      <c r="S59" s="96">
        <f t="shared" si="16"/>
        <v>6.9199999999999998E-2</v>
      </c>
    </row>
    <row r="61" spans="2:20" ht="12.75" x14ac:dyDescent="0.3">
      <c r="D61" s="10" t="s">
        <v>142</v>
      </c>
    </row>
    <row r="62" spans="2:20" ht="12.75" x14ac:dyDescent="0.3">
      <c r="D62" s="91" t="s">
        <v>151</v>
      </c>
      <c r="E62" s="63" t="s">
        <v>78</v>
      </c>
      <c r="F62" s="53" t="str">
        <f t="shared" ref="F62" si="17">Percent</f>
        <v>Percent</v>
      </c>
      <c r="G62" s="53" t="str">
        <f t="shared" ref="G62:H62" si="18">NA</f>
        <v>N/A</v>
      </c>
      <c r="H62" s="53" t="str">
        <f t="shared" si="18"/>
        <v>N/A</v>
      </c>
      <c r="J62" s="43"/>
      <c r="K62" s="80">
        <f t="shared" ref="K62:S62" si="19">Weight_New_Debt</f>
        <v>0.1</v>
      </c>
      <c r="L62" s="80">
        <f t="shared" si="19"/>
        <v>0.1</v>
      </c>
      <c r="M62" s="80">
        <f t="shared" si="19"/>
        <v>0.1</v>
      </c>
      <c r="N62" s="80">
        <f t="shared" si="19"/>
        <v>0.1</v>
      </c>
      <c r="O62" s="80">
        <f t="shared" si="19"/>
        <v>0.1</v>
      </c>
      <c r="P62" s="80">
        <f t="shared" si="19"/>
        <v>0.1</v>
      </c>
      <c r="Q62" s="80">
        <f t="shared" si="19"/>
        <v>0.1</v>
      </c>
      <c r="R62" s="80">
        <f t="shared" si="19"/>
        <v>0.1</v>
      </c>
      <c r="S62" s="80">
        <f t="shared" si="19"/>
        <v>0.1</v>
      </c>
    </row>
    <row r="64" spans="2:20" ht="13.15" x14ac:dyDescent="0.3">
      <c r="D64" s="62" t="s">
        <v>152</v>
      </c>
      <c r="E64" s="56" t="s">
        <v>78</v>
      </c>
      <c r="F64" s="56" t="str">
        <f t="shared" ref="F64" si="20">Percent</f>
        <v>Percent</v>
      </c>
      <c r="G64" s="56" t="s">
        <v>57</v>
      </c>
      <c r="H64" s="56" t="str">
        <f t="shared" ref="H64" si="21">NA</f>
        <v>N/A</v>
      </c>
      <c r="J64" s="92">
        <f>IFERROR($J$59,"")</f>
        <v>4.2124996625194699E-2</v>
      </c>
      <c r="K64" s="83">
        <f>IFERROR(J64+(K$59-$J$59)*K62,J64)</f>
        <v>4.1007680903852498E-2</v>
      </c>
      <c r="L64" s="83">
        <f t="shared" ref="L64:S64" si="22">IFERROR(K64+(L$59-$J$59)*L62,K64)</f>
        <v>3.9346386503226527E-2</v>
      </c>
      <c r="M64" s="83">
        <f t="shared" si="22"/>
        <v>3.8218737139850127E-2</v>
      </c>
      <c r="N64" s="83">
        <f t="shared" si="22"/>
        <v>4.0926237477330658E-2</v>
      </c>
      <c r="O64" s="83">
        <f t="shared" si="22"/>
        <v>4.363373781481119E-2</v>
      </c>
      <c r="P64" s="83">
        <f t="shared" si="22"/>
        <v>4.6341238152291721E-2</v>
      </c>
      <c r="Q64" s="83">
        <f t="shared" si="22"/>
        <v>4.9048738489772252E-2</v>
      </c>
      <c r="R64" s="83">
        <f t="shared" si="22"/>
        <v>5.1756238827252783E-2</v>
      </c>
      <c r="S64" s="92">
        <f t="shared" si="22"/>
        <v>5.4463739164733314E-2</v>
      </c>
      <c r="T64" s="75" t="s">
        <v>207</v>
      </c>
    </row>
    <row r="69" spans="2:19" s="2" customFormat="1" ht="15" x14ac:dyDescent="0.3">
      <c r="B69" s="2" t="s">
        <v>131</v>
      </c>
    </row>
    <row r="70" spans="2:19" ht="11.25" customHeight="1" x14ac:dyDescent="0.3"/>
    <row r="71" spans="2:19" ht="13.15" x14ac:dyDescent="0.3">
      <c r="D71" s="61" t="s">
        <v>77</v>
      </c>
      <c r="E71" s="54" t="str">
        <f>Lookup!E$20</f>
        <v>Source</v>
      </c>
      <c r="F71" s="54" t="str">
        <f>Lookup!F$20</f>
        <v>Unit</v>
      </c>
      <c r="G71" s="54" t="str">
        <f>Lookup!G$20</f>
        <v>Basis</v>
      </c>
      <c r="H71" s="54" t="str">
        <f>Lookup!H$20</f>
        <v>Timing</v>
      </c>
      <c r="O71" s="54" t="str">
        <f>O10</f>
        <v>FY25</v>
      </c>
      <c r="P71" s="54" t="str">
        <f>P10</f>
        <v>FY26</v>
      </c>
      <c r="Q71" s="54" t="str">
        <f>Q10</f>
        <v>FY27</v>
      </c>
      <c r="R71" s="54" t="str">
        <f>R10</f>
        <v>FY28</v>
      </c>
      <c r="S71" s="54" t="str">
        <f>S10</f>
        <v>FY29</v>
      </c>
    </row>
    <row r="72" spans="2:19" x14ac:dyDescent="0.3">
      <c r="Q72" s="85"/>
    </row>
    <row r="73" spans="2:19" ht="12.75" x14ac:dyDescent="0.3">
      <c r="D73" s="10" t="s">
        <v>119</v>
      </c>
      <c r="E73" s="63" t="s">
        <v>78</v>
      </c>
      <c r="F73" s="53" t="str">
        <f t="shared" ref="F73:F74" si="23">Percent</f>
        <v>Percent</v>
      </c>
      <c r="G73" s="53" t="s">
        <v>57</v>
      </c>
      <c r="H73" s="53" t="str">
        <f t="shared" ref="H73:H75" si="24">NA</f>
        <v>N/A</v>
      </c>
      <c r="O73" s="78">
        <f t="array" ref="O73">GEOMEAN(1+Input_Data!O19:S19)-1</f>
        <v>2.9196400498682218E-2</v>
      </c>
      <c r="P73" s="43"/>
      <c r="Q73" s="43"/>
      <c r="R73" s="43"/>
      <c r="S73" s="43"/>
    </row>
    <row r="74" spans="2:19" ht="12.75" x14ac:dyDescent="0.3">
      <c r="D74" s="10" t="s">
        <v>110</v>
      </c>
      <c r="E74" s="63" t="s">
        <v>78</v>
      </c>
      <c r="F74" s="53" t="str">
        <f t="shared" si="23"/>
        <v>Percent</v>
      </c>
      <c r="G74" s="53" t="s">
        <v>57</v>
      </c>
      <c r="H74" s="53" t="str">
        <f t="shared" si="24"/>
        <v>N/A</v>
      </c>
      <c r="O74" s="78">
        <f>RFR+MRP*Beta</f>
        <v>7.6178405306607438E-2</v>
      </c>
      <c r="P74" s="43"/>
      <c r="Q74" s="43"/>
      <c r="R74" s="43"/>
      <c r="S74" s="43"/>
    </row>
    <row r="75" spans="2:19" ht="12.75" x14ac:dyDescent="0.3">
      <c r="D75" s="10" t="s">
        <v>132</v>
      </c>
      <c r="E75" s="63" t="s">
        <v>78</v>
      </c>
      <c r="F75" s="63" t="str">
        <f>Dollars</f>
        <v>Dollars</v>
      </c>
      <c r="G75" s="53" t="s">
        <v>57</v>
      </c>
      <c r="H75" s="53" t="str">
        <f t="shared" si="24"/>
        <v>N/A</v>
      </c>
      <c r="O75" s="78">
        <f>O64</f>
        <v>4.363373781481119E-2</v>
      </c>
      <c r="P75" s="78">
        <f t="shared" ref="P75:S75" si="25">P64</f>
        <v>4.6341238152291721E-2</v>
      </c>
      <c r="Q75" s="78">
        <f t="shared" si="25"/>
        <v>4.9048738489772252E-2</v>
      </c>
      <c r="R75" s="78">
        <f t="shared" si="25"/>
        <v>5.1756238827252783E-2</v>
      </c>
      <c r="S75" s="78">
        <f t="shared" si="25"/>
        <v>5.4463739164733314E-2</v>
      </c>
    </row>
    <row r="76" spans="2:19" ht="11.25" customHeight="1" x14ac:dyDescent="0.3"/>
    <row r="77" spans="2:19" x14ac:dyDescent="0.3">
      <c r="O77" s="84"/>
    </row>
    <row r="78" spans="2:19" s="2" customFormat="1" ht="15" x14ac:dyDescent="0.3">
      <c r="B78" s="2" t="s">
        <v>25</v>
      </c>
    </row>
  </sheetData>
  <mergeCells count="4">
    <mergeCell ref="J46:L46"/>
    <mergeCell ref="J16:K16"/>
    <mergeCell ref="M16:N16"/>
    <mergeCell ref="P16:R16"/>
  </mergeCells>
  <conditionalFormatting sqref="B2">
    <cfRule type="cellIs" dxfId="12" priority="1" operator="notEqual">
      <formula>"No Errors Found"</formula>
    </cfRule>
  </conditionalFormatting>
  <hyperlinks>
    <hyperlink ref="B3:E3" location="TOC!A1" display="TOC!A1" xr:uid="{00000000-0004-0000-0500-000000000000}"/>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34998626667073579"/>
  </sheetPr>
  <dimension ref="A1:U40"/>
  <sheetViews>
    <sheetView showGridLines="0" zoomScaleNormal="100" workbookViewId="0">
      <pane xSplit="1" ySplit="10" topLeftCell="B11" activePane="bottomRight" state="frozen"/>
      <selection pane="topRight"/>
      <selection pane="bottomLeft"/>
      <selection pane="bottomRight"/>
    </sheetView>
  </sheetViews>
  <sheetFormatPr defaultColWidth="9.33203125" defaultRowHeight="10.15" outlineLevelRow="1" x14ac:dyDescent="0.3"/>
  <cols>
    <col min="1" max="1" width="3.33203125" customWidth="1"/>
    <col min="2" max="3" width="2.83203125" customWidth="1"/>
    <col min="4" max="4" width="45.1640625" customWidth="1"/>
    <col min="5" max="5" width="11.83203125" customWidth="1"/>
    <col min="6" max="6" width="9.1640625" customWidth="1"/>
    <col min="7" max="7" width="12" customWidth="1"/>
    <col min="8" max="8" width="10" customWidth="1"/>
    <col min="9" max="9" width="5.5" customWidth="1"/>
    <col min="10" max="19" width="12.83203125" customWidth="1"/>
    <col min="20" max="20" width="10.83203125" customWidth="1"/>
    <col min="21" max="21" width="10.33203125" customWidth="1"/>
  </cols>
  <sheetData>
    <row r="1" spans="1:21" ht="18.75" x14ac:dyDescent="0.3">
      <c r="A1" s="58">
        <f>IF(SUM($A11:$A40)&gt;0,1,0)</f>
        <v>0</v>
      </c>
      <c r="B1" s="3" t="s">
        <v>176</v>
      </c>
    </row>
    <row r="2" spans="1:21" x14ac:dyDescent="0.3">
      <c r="B2" s="13" t="str">
        <f>Title_Msg</f>
        <v>No Errors Found</v>
      </c>
    </row>
    <row r="3" spans="1:21" x14ac:dyDescent="0.3">
      <c r="B3" s="46" t="str">
        <f>TOC!B1</f>
        <v>Table of Contents</v>
      </c>
      <c r="C3" s="41"/>
      <c r="D3" s="41"/>
      <c r="E3" s="41"/>
    </row>
    <row r="4" spans="1:21" ht="13.15" x14ac:dyDescent="0.3">
      <c r="B4" s="39" t="str">
        <f>Model_Name</f>
        <v>Rate of Return Model - Power and Water Corporation (PWC)</v>
      </c>
    </row>
    <row r="5" spans="1:21" ht="12.75" hidden="1" outlineLevel="1" x14ac:dyDescent="0.3">
      <c r="B5" s="10" t="str">
        <f>Lookup!B15</f>
        <v>Period Start Date</v>
      </c>
      <c r="J5" s="51">
        <f>Lookup!J15</f>
        <v>43647</v>
      </c>
      <c r="K5" s="51">
        <f>Lookup!K15</f>
        <v>44013</v>
      </c>
      <c r="L5" s="51">
        <f>Lookup!L15</f>
        <v>44378</v>
      </c>
      <c r="M5" s="51">
        <f>Lookup!M15</f>
        <v>44743</v>
      </c>
      <c r="N5" s="51">
        <f>Lookup!N15</f>
        <v>45108</v>
      </c>
      <c r="O5" s="51">
        <f>Lookup!O15</f>
        <v>45474</v>
      </c>
      <c r="P5" s="51">
        <f>Lookup!P15</f>
        <v>45839</v>
      </c>
      <c r="Q5" s="51">
        <f>Lookup!Q15</f>
        <v>46204</v>
      </c>
      <c r="R5" s="51">
        <f>Lookup!R15</f>
        <v>46569</v>
      </c>
      <c r="S5" s="51">
        <f>Lookup!S15</f>
        <v>46935</v>
      </c>
    </row>
    <row r="6" spans="1:21" ht="12.75" hidden="1" outlineLevel="1" x14ac:dyDescent="0.3">
      <c r="B6" s="10" t="str">
        <f>Lookup!B16</f>
        <v>Period End Date</v>
      </c>
      <c r="J6" s="51">
        <f>Lookup!J16</f>
        <v>44012</v>
      </c>
      <c r="K6" s="51">
        <f>Lookup!K16</f>
        <v>44377</v>
      </c>
      <c r="L6" s="51">
        <f>Lookup!L16</f>
        <v>44742</v>
      </c>
      <c r="M6" s="51">
        <f>Lookup!M16</f>
        <v>45107</v>
      </c>
      <c r="N6" s="51">
        <f>Lookup!N16</f>
        <v>45473</v>
      </c>
      <c r="O6" s="51">
        <f>Lookup!O16</f>
        <v>45838</v>
      </c>
      <c r="P6" s="51">
        <f>Lookup!P16</f>
        <v>46203</v>
      </c>
      <c r="Q6" s="51">
        <f>Lookup!Q16</f>
        <v>46568</v>
      </c>
      <c r="R6" s="51">
        <f>Lookup!R16</f>
        <v>46934</v>
      </c>
      <c r="S6" s="51">
        <f>Lookup!S16</f>
        <v>47299</v>
      </c>
    </row>
    <row r="7" spans="1:21" ht="12.75" hidden="1" outlineLevel="1" x14ac:dyDescent="0.3">
      <c r="B7" s="10" t="str">
        <f>Lookup!B17</f>
        <v>Period Counter</v>
      </c>
      <c r="J7" s="52">
        <f>Lookup!J17</f>
        <v>1</v>
      </c>
      <c r="K7" s="52">
        <f>Lookup!K17</f>
        <v>2</v>
      </c>
      <c r="L7" s="52">
        <f>Lookup!L17</f>
        <v>3</v>
      </c>
      <c r="M7" s="52">
        <f>Lookup!M17</f>
        <v>4</v>
      </c>
      <c r="N7" s="52">
        <f>Lookup!N17</f>
        <v>5</v>
      </c>
      <c r="O7" s="52">
        <f>Lookup!O17</f>
        <v>6</v>
      </c>
      <c r="P7" s="52">
        <f>Lookup!P17</f>
        <v>7</v>
      </c>
      <c r="Q7" s="52">
        <f>Lookup!Q17</f>
        <v>8</v>
      </c>
      <c r="R7" s="52">
        <f>Lookup!R17</f>
        <v>9</v>
      </c>
      <c r="S7" s="52">
        <f>Lookup!S17</f>
        <v>10</v>
      </c>
    </row>
    <row r="8" spans="1:21" ht="12.75" hidden="1" outlineLevel="1" x14ac:dyDescent="0.3">
      <c r="B8" s="10" t="str">
        <f>Lookup!B18</f>
        <v>Year</v>
      </c>
      <c r="J8" s="53">
        <f>Lookup!J18</f>
        <v>2020</v>
      </c>
      <c r="K8" s="53">
        <f>Lookup!K18</f>
        <v>2021</v>
      </c>
      <c r="L8" s="53">
        <f>Lookup!L18</f>
        <v>2022</v>
      </c>
      <c r="M8" s="53">
        <f>Lookup!M18</f>
        <v>2023</v>
      </c>
      <c r="N8" s="53">
        <f>Lookup!N18</f>
        <v>2024</v>
      </c>
      <c r="O8" s="53">
        <f>Lookup!O18</f>
        <v>2025</v>
      </c>
      <c r="P8" s="53">
        <f>Lookup!P18</f>
        <v>2026</v>
      </c>
      <c r="Q8" s="53">
        <f>Lookup!Q18</f>
        <v>2027</v>
      </c>
      <c r="R8" s="53">
        <f>Lookup!R18</f>
        <v>2028</v>
      </c>
      <c r="S8" s="53">
        <f>Lookup!S18</f>
        <v>2029</v>
      </c>
    </row>
    <row r="9" spans="1:21" ht="12.75" hidden="1" outlineLevel="1" x14ac:dyDescent="0.3">
      <c r="B9" s="10" t="str">
        <f>Lookup!B19</f>
        <v>Period Type</v>
      </c>
      <c r="J9" s="53" t="str">
        <f>Lookup!J19</f>
        <v>Actual</v>
      </c>
      <c r="K9" s="53" t="str">
        <f>Lookup!K19</f>
        <v>Actual</v>
      </c>
      <c r="L9" s="53" t="str">
        <f>Lookup!L19</f>
        <v>Actual</v>
      </c>
      <c r="M9" s="53" t="str">
        <f>Lookup!M19</f>
        <v>Base Year</v>
      </c>
      <c r="N9" s="53" t="str">
        <f>Lookup!N19</f>
        <v>Forecast</v>
      </c>
      <c r="O9" s="53" t="str">
        <f>Lookup!O19</f>
        <v>Forecast</v>
      </c>
      <c r="P9" s="53" t="str">
        <f>Lookup!P19</f>
        <v>Forecast</v>
      </c>
      <c r="Q9" s="53" t="str">
        <f>Lookup!Q19</f>
        <v>Forecast</v>
      </c>
      <c r="R9" s="53" t="str">
        <f>Lookup!R19</f>
        <v>Forecast</v>
      </c>
      <c r="S9" s="53" t="str">
        <f>Lookup!S19</f>
        <v>Forecast</v>
      </c>
    </row>
    <row r="10" spans="1:21" ht="13.15" collapsed="1" x14ac:dyDescent="0.3">
      <c r="B10" s="5" t="str">
        <f>Lookup!B20</f>
        <v>Regulatory Year</v>
      </c>
      <c r="E10" s="50" t="str">
        <f>Lookup!E20</f>
        <v>Source</v>
      </c>
      <c r="F10" s="50" t="str">
        <f>Lookup!F20</f>
        <v>Unit</v>
      </c>
      <c r="G10" s="50" t="str">
        <f>Lookup!G20</f>
        <v>Basis</v>
      </c>
      <c r="H10" s="50" t="str">
        <f>Lookup!H20</f>
        <v>Timing</v>
      </c>
      <c r="I10" s="50"/>
      <c r="J10" s="50" t="str">
        <f>Lookup!J20</f>
        <v>FY20</v>
      </c>
      <c r="K10" s="50" t="str">
        <f>Lookup!K20</f>
        <v>FY21</v>
      </c>
      <c r="L10" s="50" t="str">
        <f>Lookup!L20</f>
        <v>FY22</v>
      </c>
      <c r="M10" s="50" t="str">
        <f>Lookup!M20</f>
        <v>FY23</v>
      </c>
      <c r="N10" s="50" t="str">
        <f>Lookup!N20</f>
        <v>FY24</v>
      </c>
      <c r="O10" s="50" t="str">
        <f>Lookup!O20</f>
        <v>FY25</v>
      </c>
      <c r="P10" s="50" t="str">
        <f>Lookup!P20</f>
        <v>FY26</v>
      </c>
      <c r="Q10" s="50" t="str">
        <f>Lookup!Q20</f>
        <v>FY27</v>
      </c>
      <c r="R10" s="50" t="str">
        <f>Lookup!R20</f>
        <v>FY28</v>
      </c>
      <c r="S10" s="50" t="str">
        <f>Lookup!S20</f>
        <v>FY29</v>
      </c>
    </row>
    <row r="12" spans="1:21" s="2" customFormat="1" ht="15" x14ac:dyDescent="0.3">
      <c r="B12" s="2" t="s">
        <v>120</v>
      </c>
    </row>
    <row r="13" spans="1:21" ht="4.5" customHeight="1" x14ac:dyDescent="0.3"/>
    <row r="14" spans="1:21" s="8" customFormat="1" ht="13.9" x14ac:dyDescent="0.3">
      <c r="C14" s="8" t="s">
        <v>121</v>
      </c>
    </row>
    <row r="15" spans="1:21" ht="11.25" customHeight="1" x14ac:dyDescent="0.3"/>
    <row r="16" spans="1:21" ht="13.15" x14ac:dyDescent="0.3">
      <c r="D16" s="61" t="s">
        <v>77</v>
      </c>
      <c r="E16" s="54" t="str">
        <f>Lookup!E$20</f>
        <v>Source</v>
      </c>
      <c r="F16" s="54" t="str">
        <f>Lookup!F$20</f>
        <v>Unit</v>
      </c>
      <c r="G16" s="54" t="str">
        <f>Lookup!G$20</f>
        <v>Basis</v>
      </c>
      <c r="H16" s="54" t="str">
        <f>Lookup!H$20</f>
        <v>Timing</v>
      </c>
      <c r="O16" s="54" t="str">
        <f>O$10</f>
        <v>FY25</v>
      </c>
      <c r="P16" s="54" t="str">
        <f t="shared" ref="P16:S16" si="0">P$10</f>
        <v>FY26</v>
      </c>
      <c r="Q16" s="54" t="str">
        <f t="shared" si="0"/>
        <v>FY27</v>
      </c>
      <c r="R16" s="54" t="str">
        <f t="shared" si="0"/>
        <v>FY28</v>
      </c>
      <c r="S16" s="54" t="str">
        <f t="shared" si="0"/>
        <v>FY29</v>
      </c>
      <c r="U16" s="54" t="s">
        <v>177</v>
      </c>
    </row>
    <row r="18" spans="3:21" ht="13.15" x14ac:dyDescent="0.3">
      <c r="D18" s="10" t="s">
        <v>123</v>
      </c>
      <c r="E18" s="63" t="s">
        <v>78</v>
      </c>
      <c r="F18" s="63" t="str">
        <f>Percent</f>
        <v>Percent</v>
      </c>
      <c r="G18" s="63" t="str">
        <f>Nominal</f>
        <v>Nominal</v>
      </c>
      <c r="H18" s="63" t="str">
        <f>NA</f>
        <v>N/A</v>
      </c>
      <c r="O18" s="78">
        <f>Input_Data!O19</f>
        <v>3.2000000000000001E-2</v>
      </c>
      <c r="P18" s="78">
        <f>Input_Data!P19</f>
        <v>3.2000000000000001E-2</v>
      </c>
      <c r="Q18" s="78">
        <f>Input_Data!Q19</f>
        <v>2.9666666666666668E-2</v>
      </c>
      <c r="R18" s="78">
        <f>Input_Data!R19</f>
        <v>2.7333333333333334E-2</v>
      </c>
      <c r="S18" s="78">
        <f>Input_Data!S19</f>
        <v>2.5000000000000001E-2</v>
      </c>
      <c r="U18" s="111" cm="1">
        <f t="array" ref="U18">PRODUCT(--1+O18:S18)^(1/5)-1</f>
        <v>2.9196400498682218E-2</v>
      </c>
    </row>
    <row r="19" spans="3:21" ht="12.75" x14ac:dyDescent="0.3">
      <c r="D19" s="10"/>
      <c r="E19" s="63"/>
      <c r="F19" s="63"/>
      <c r="G19" s="63"/>
      <c r="H19" s="63"/>
      <c r="O19" s="78"/>
    </row>
    <row r="20" spans="3:21" ht="12.75" x14ac:dyDescent="0.3">
      <c r="D20" s="10" t="s">
        <v>124</v>
      </c>
      <c r="E20" s="63" t="s">
        <v>78</v>
      </c>
      <c r="F20" s="63" t="str">
        <f>Percent</f>
        <v>Percent</v>
      </c>
      <c r="G20" s="63" t="str">
        <f>Nominal</f>
        <v>Nominal</v>
      </c>
      <c r="H20" s="63" t="str">
        <f>NA</f>
        <v>N/A</v>
      </c>
      <c r="O20" s="78">
        <f>ROE</f>
        <v>7.6178405306607438E-2</v>
      </c>
      <c r="P20" s="43"/>
      <c r="Q20" s="43"/>
      <c r="R20" s="43"/>
      <c r="S20" s="43"/>
    </row>
    <row r="21" spans="3:21" ht="12.75" x14ac:dyDescent="0.3">
      <c r="D21" s="10" t="s">
        <v>125</v>
      </c>
      <c r="E21" s="63" t="s">
        <v>78</v>
      </c>
      <c r="F21" s="63" t="str">
        <f>Percent</f>
        <v>Percent</v>
      </c>
      <c r="G21" s="63" t="str">
        <f>Nominal</f>
        <v>Nominal</v>
      </c>
      <c r="H21" s="63" t="str">
        <f>NA</f>
        <v>N/A</v>
      </c>
      <c r="O21" s="78">
        <f>Input_Data!J95</f>
        <v>0.58499999999999996</v>
      </c>
      <c r="P21" s="43"/>
      <c r="Q21" s="43"/>
      <c r="R21" s="43"/>
      <c r="S21" s="43"/>
    </row>
    <row r="22" spans="3:21" ht="12.75" x14ac:dyDescent="0.3">
      <c r="D22" s="10" t="s">
        <v>126</v>
      </c>
      <c r="E22" s="63" t="s">
        <v>78</v>
      </c>
      <c r="F22" s="63" t="str">
        <f>Percent</f>
        <v>Percent</v>
      </c>
      <c r="G22" s="63" t="str">
        <f>Nominal</f>
        <v>Nominal</v>
      </c>
      <c r="H22" s="63" t="str">
        <f>NA</f>
        <v>N/A</v>
      </c>
      <c r="O22" s="78">
        <f>Input_Data!J96</f>
        <v>0.6</v>
      </c>
      <c r="P22" s="43"/>
      <c r="Q22" s="43"/>
      <c r="R22" s="43"/>
      <c r="S22" s="43"/>
    </row>
    <row r="23" spans="3:21" ht="11.25" customHeight="1" x14ac:dyDescent="0.3">
      <c r="D23" s="10"/>
      <c r="E23" s="63"/>
      <c r="F23" s="63"/>
      <c r="G23" s="63"/>
      <c r="H23" s="63"/>
      <c r="O23" s="78"/>
    </row>
    <row r="24" spans="3:21" ht="12.75" x14ac:dyDescent="0.3">
      <c r="D24" s="10" t="s">
        <v>133</v>
      </c>
      <c r="E24" s="63" t="s">
        <v>78</v>
      </c>
      <c r="F24" s="63" t="str">
        <f>Percent</f>
        <v>Percent</v>
      </c>
      <c r="G24" s="63" t="str">
        <f>Nominal</f>
        <v>Nominal</v>
      </c>
      <c r="H24" s="63" t="str">
        <f>NA</f>
        <v>N/A</v>
      </c>
      <c r="O24" s="78">
        <f>Calc_Returns!O75</f>
        <v>4.363373781481119E-2</v>
      </c>
      <c r="P24" s="78">
        <f>Calc_Returns!P75</f>
        <v>4.6341238152291721E-2</v>
      </c>
      <c r="Q24" s="78">
        <f>Calc_Returns!Q75</f>
        <v>4.9048738489772252E-2</v>
      </c>
      <c r="R24" s="78">
        <f>Calc_Returns!R75</f>
        <v>5.1756238827252783E-2</v>
      </c>
      <c r="S24" s="78">
        <f>Calc_Returns!S75</f>
        <v>5.4463739164733314E-2</v>
      </c>
    </row>
    <row r="25" spans="3:21" ht="11.25" customHeight="1" x14ac:dyDescent="0.3">
      <c r="D25" s="10"/>
      <c r="E25" s="63"/>
      <c r="F25" s="63"/>
      <c r="G25" s="63"/>
      <c r="H25" s="63"/>
      <c r="O25" s="78"/>
    </row>
    <row r="26" spans="3:21" ht="13.15" x14ac:dyDescent="0.3">
      <c r="D26" s="10" t="s">
        <v>164</v>
      </c>
      <c r="E26" s="63" t="s">
        <v>78</v>
      </c>
      <c r="F26" s="63" t="str">
        <f>Percent</f>
        <v>Percent</v>
      </c>
      <c r="G26" s="63" t="str">
        <f>Nominal</f>
        <v>Nominal</v>
      </c>
      <c r="H26" s="63" t="str">
        <f>NA</f>
        <v>N/A</v>
      </c>
      <c r="L26" s="5"/>
      <c r="O26" s="78">
        <f>$O$20*(1-$O$22)+O24*$O$22</f>
        <v>5.6651604811529692E-2</v>
      </c>
      <c r="P26" s="78">
        <f t="shared" ref="P26:S26" si="1">$O$20*(1-$O$22)+P24*$O$22</f>
        <v>5.8276105014018011E-2</v>
      </c>
      <c r="Q26" s="78">
        <f t="shared" si="1"/>
        <v>5.9900605216506322E-2</v>
      </c>
      <c r="R26" s="78">
        <f t="shared" si="1"/>
        <v>6.1525105418994641E-2</v>
      </c>
      <c r="S26" s="78">
        <f t="shared" si="1"/>
        <v>6.314960562148296E-2</v>
      </c>
    </row>
    <row r="27" spans="3:21" ht="11.25" customHeight="1" x14ac:dyDescent="0.3">
      <c r="D27" s="10"/>
      <c r="E27" s="63"/>
      <c r="F27" s="63"/>
      <c r="G27" s="63"/>
      <c r="H27" s="63"/>
      <c r="L27" s="5"/>
    </row>
    <row r="28" spans="3:21" ht="11.25" customHeight="1" x14ac:dyDescent="0.3">
      <c r="L28" s="5"/>
    </row>
    <row r="29" spans="3:21" s="8" customFormat="1" ht="13.9" x14ac:dyDescent="0.3">
      <c r="C29" s="8" t="s">
        <v>122</v>
      </c>
    </row>
    <row r="30" spans="3:21" ht="11.25" customHeight="1" x14ac:dyDescent="0.3"/>
    <row r="31" spans="3:21" ht="13.15" x14ac:dyDescent="0.3">
      <c r="D31" s="61" t="s">
        <v>77</v>
      </c>
      <c r="E31" s="54" t="str">
        <f>Lookup!E$20</f>
        <v>Source</v>
      </c>
      <c r="F31" s="54" t="str">
        <f>Lookup!F$20</f>
        <v>Unit</v>
      </c>
      <c r="G31" s="54" t="str">
        <f>Lookup!G$20</f>
        <v>Basis</v>
      </c>
      <c r="H31" s="54" t="str">
        <f>Lookup!H$20</f>
        <v>Timing</v>
      </c>
      <c r="O31" s="54" t="str">
        <f>N$10&amp;" - "&amp;R$10</f>
        <v>FY24 - FY28</v>
      </c>
    </row>
    <row r="32" spans="3:21" ht="11.25" customHeight="1" x14ac:dyDescent="0.3"/>
    <row r="33" spans="2:15" ht="12.75" x14ac:dyDescent="0.3">
      <c r="D33" s="10" t="s">
        <v>113</v>
      </c>
      <c r="E33" s="63" t="s">
        <v>78</v>
      </c>
      <c r="F33" s="63" t="str">
        <f>Percent</f>
        <v>Percent</v>
      </c>
      <c r="G33" s="63" t="str">
        <f>Nominal</f>
        <v>Nominal</v>
      </c>
      <c r="H33" s="63" t="str">
        <f>NA</f>
        <v>N/A</v>
      </c>
      <c r="O33" s="78">
        <f>Input_Data!J103</f>
        <v>0.9</v>
      </c>
    </row>
    <row r="34" spans="2:15" ht="12.75" x14ac:dyDescent="0.3">
      <c r="D34" s="10" t="s">
        <v>114</v>
      </c>
      <c r="E34" s="63" t="s">
        <v>78</v>
      </c>
      <c r="F34" s="63" t="str">
        <f>Percent</f>
        <v>Percent</v>
      </c>
      <c r="G34" s="63" t="str">
        <f>Nominal</f>
        <v>Nominal</v>
      </c>
      <c r="H34" s="63" t="str">
        <f>NA</f>
        <v>N/A</v>
      </c>
      <c r="O34" s="78">
        <f>Input_Data!J104</f>
        <v>0.03</v>
      </c>
    </row>
    <row r="35" spans="2:15" ht="12.75" x14ac:dyDescent="0.3">
      <c r="D35" s="10" t="s">
        <v>115</v>
      </c>
      <c r="E35" s="63" t="s">
        <v>78</v>
      </c>
      <c r="F35" s="63" t="str">
        <f>Percent</f>
        <v>Percent</v>
      </c>
      <c r="G35" s="63" t="str">
        <f>Nominal</f>
        <v>Nominal</v>
      </c>
      <c r="H35" s="63" t="str">
        <f>NA</f>
        <v>N/A</v>
      </c>
      <c r="O35" s="78">
        <f>Input_Data!J105</f>
        <v>0.01</v>
      </c>
    </row>
    <row r="36" spans="2:15" ht="12.75" x14ac:dyDescent="0.3">
      <c r="D36" s="10" t="s">
        <v>116</v>
      </c>
      <c r="E36" s="63" t="s">
        <v>78</v>
      </c>
      <c r="F36" s="63" t="str">
        <f>Percent</f>
        <v>Percent</v>
      </c>
      <c r="G36" s="63" t="str">
        <f>Nominal</f>
        <v>Nominal</v>
      </c>
      <c r="H36" s="63" t="str">
        <f>NA</f>
        <v>N/A</v>
      </c>
      <c r="O36" s="78">
        <f>Input_Data!J106</f>
        <v>0.3</v>
      </c>
    </row>
    <row r="37" spans="2:15" ht="12.75" x14ac:dyDescent="0.3">
      <c r="D37" s="10" t="s">
        <v>92</v>
      </c>
      <c r="E37" s="63" t="s">
        <v>78</v>
      </c>
      <c r="F37" s="63" t="str">
        <f>Percent</f>
        <v>Percent</v>
      </c>
      <c r="G37" s="63" t="str">
        <f>Nominal</f>
        <v>Nominal</v>
      </c>
      <c r="H37" s="63" t="str">
        <f>NA</f>
        <v>N/A</v>
      </c>
      <c r="O37" s="78">
        <f>Input_Data!J107</f>
        <v>8.2789046088618183E-4</v>
      </c>
    </row>
    <row r="40" spans="2:15" s="2" customFormat="1" ht="15" x14ac:dyDescent="0.3">
      <c r="B40" s="2" t="s">
        <v>25</v>
      </c>
    </row>
  </sheetData>
  <conditionalFormatting sqref="B2">
    <cfRule type="cellIs" dxfId="11" priority="1" operator="notEqual">
      <formula>"No Errors Found"</formula>
    </cfRule>
  </conditionalFormatting>
  <hyperlinks>
    <hyperlink ref="B3:E3" location="TOC!A1" display="TOC!A1" xr:uid="{00000000-0004-0000-06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B1:X78"/>
  <sheetViews>
    <sheetView showGridLines="0" zoomScaleNormal="100" workbookViewId="0">
      <pane xSplit="1" ySplit="4" topLeftCell="B52" activePane="bottomRight" state="frozen"/>
      <selection pane="topRight"/>
      <selection pane="bottomLeft"/>
      <selection pane="bottomRight"/>
    </sheetView>
  </sheetViews>
  <sheetFormatPr defaultColWidth="9.33203125" defaultRowHeight="10.15" outlineLevelRow="1" x14ac:dyDescent="0.3"/>
  <cols>
    <col min="1" max="3" width="2.83203125" customWidth="1"/>
    <col min="4" max="4" width="34" customWidth="1"/>
    <col min="5" max="6" width="30.83203125" customWidth="1"/>
    <col min="7" max="9" width="10.83203125" customWidth="1"/>
    <col min="10" max="19" width="12.83203125" customWidth="1"/>
    <col min="20" max="23" width="10.83203125" customWidth="1"/>
  </cols>
  <sheetData>
    <row r="1" spans="2:24" ht="18.75" x14ac:dyDescent="0.3">
      <c r="B1" s="3" t="s">
        <v>192</v>
      </c>
    </row>
    <row r="2" spans="2:24" x14ac:dyDescent="0.3">
      <c r="B2" s="13" t="str">
        <f>Title_Msg</f>
        <v>No Errors Found</v>
      </c>
    </row>
    <row r="3" spans="2:24" x14ac:dyDescent="0.3">
      <c r="B3" s="46" t="str">
        <f>TOC!B1</f>
        <v>Table of Contents</v>
      </c>
      <c r="C3" s="41"/>
      <c r="D3" s="41"/>
      <c r="E3" s="41"/>
    </row>
    <row r="4" spans="2:24" ht="13.15" x14ac:dyDescent="0.3">
      <c r="B4" s="39" t="str">
        <f>Model_Name</f>
        <v>Rate of Return Model - Power and Water Corporation (PWC)</v>
      </c>
    </row>
    <row r="6" spans="2:24" s="2" customFormat="1" ht="15" x14ac:dyDescent="0.3">
      <c r="B6" s="2" t="s">
        <v>193</v>
      </c>
    </row>
    <row r="7" spans="2:24" ht="6.75" customHeight="1" x14ac:dyDescent="0.3"/>
    <row r="8" spans="2:24" s="8" customFormat="1" ht="13.9" x14ac:dyDescent="0.3">
      <c r="C8" s="8" t="s">
        <v>194</v>
      </c>
    </row>
    <row r="9" spans="2:24" x14ac:dyDescent="0.3">
      <c r="D9" s="1"/>
    </row>
    <row r="10" spans="2:24" ht="12.75" x14ac:dyDescent="0.3">
      <c r="D10" s="11" t="s">
        <v>45</v>
      </c>
      <c r="E10" s="47">
        <v>43647</v>
      </c>
    </row>
    <row r="11" spans="2:24" ht="12.75" x14ac:dyDescent="0.3">
      <c r="D11" s="11" t="s">
        <v>46</v>
      </c>
      <c r="E11" s="12">
        <v>2023</v>
      </c>
      <c r="L11" s="18"/>
      <c r="M11" s="19"/>
      <c r="N11" s="19"/>
      <c r="O11" s="19"/>
    </row>
    <row r="12" spans="2:24" x14ac:dyDescent="0.3">
      <c r="L12" s="18"/>
      <c r="M12" s="19"/>
      <c r="N12" s="19"/>
      <c r="O12" s="19"/>
    </row>
    <row r="13" spans="2:24" s="8" customFormat="1" ht="13.9" x14ac:dyDescent="0.3">
      <c r="C13" s="8" t="s">
        <v>195</v>
      </c>
    </row>
    <row r="14" spans="2:24" x14ac:dyDescent="0.3">
      <c r="L14" s="18"/>
      <c r="M14" s="19"/>
      <c r="N14" s="19"/>
      <c r="O14" s="19"/>
    </row>
    <row r="15" spans="2:24" ht="12.75" hidden="1" outlineLevel="1" x14ac:dyDescent="0.3">
      <c r="B15" s="11" t="s">
        <v>43</v>
      </c>
      <c r="J15" s="48">
        <f>IF(J17=1,Model_Start_Date,I16+1)</f>
        <v>43647</v>
      </c>
      <c r="K15" s="48">
        <f t="shared" ref="K15:S15" si="0">IF(K17=1,Model_Start_Date,J16+1)</f>
        <v>44013</v>
      </c>
      <c r="L15" s="48">
        <f t="shared" si="0"/>
        <v>44378</v>
      </c>
      <c r="M15" s="48">
        <f t="shared" si="0"/>
        <v>44743</v>
      </c>
      <c r="N15" s="48">
        <f t="shared" si="0"/>
        <v>45108</v>
      </c>
      <c r="O15" s="48">
        <f t="shared" si="0"/>
        <v>45474</v>
      </c>
      <c r="P15" s="48">
        <f t="shared" si="0"/>
        <v>45839</v>
      </c>
      <c r="Q15" s="48">
        <f t="shared" si="0"/>
        <v>46204</v>
      </c>
      <c r="R15" s="48">
        <f t="shared" si="0"/>
        <v>46569</v>
      </c>
      <c r="S15" s="48">
        <f t="shared" si="0"/>
        <v>46935</v>
      </c>
      <c r="T15" s="48">
        <f t="shared" ref="T15" si="1">IF(T17=1,Model_Start_Date,S16+1)</f>
        <v>47300</v>
      </c>
      <c r="U15" s="48">
        <f t="shared" ref="U15" si="2">IF(U17=1,Model_Start_Date,T16+1)</f>
        <v>47665</v>
      </c>
      <c r="V15" s="48">
        <f t="shared" ref="V15" si="3">IF(V17=1,Model_Start_Date,U16+1)</f>
        <v>48030</v>
      </c>
      <c r="W15" s="48">
        <f t="shared" ref="W15" si="4">IF(W17=1,Model_Start_Date,V16+1)</f>
        <v>48396</v>
      </c>
      <c r="X15" s="48">
        <f t="shared" ref="X15" si="5">IF(X17=1,Model_Start_Date,W16+1)</f>
        <v>48761</v>
      </c>
    </row>
    <row r="16" spans="2:24" ht="12.75" hidden="1" outlineLevel="1" x14ac:dyDescent="0.3">
      <c r="B16" s="11" t="s">
        <v>44</v>
      </c>
      <c r="J16" s="48">
        <f t="shared" ref="J16:S16" si="6">EOMONTH(J15,Mths_In_Yr-1)</f>
        <v>44012</v>
      </c>
      <c r="K16" s="48">
        <f t="shared" si="6"/>
        <v>44377</v>
      </c>
      <c r="L16" s="48">
        <f t="shared" si="6"/>
        <v>44742</v>
      </c>
      <c r="M16" s="48">
        <f t="shared" si="6"/>
        <v>45107</v>
      </c>
      <c r="N16" s="48">
        <f t="shared" si="6"/>
        <v>45473</v>
      </c>
      <c r="O16" s="48">
        <f t="shared" si="6"/>
        <v>45838</v>
      </c>
      <c r="P16" s="48">
        <f t="shared" si="6"/>
        <v>46203</v>
      </c>
      <c r="Q16" s="48">
        <f t="shared" si="6"/>
        <v>46568</v>
      </c>
      <c r="R16" s="48">
        <f t="shared" si="6"/>
        <v>46934</v>
      </c>
      <c r="S16" s="48">
        <f t="shared" si="6"/>
        <v>47299</v>
      </c>
      <c r="T16" s="48">
        <f t="shared" ref="T16:X16" si="7">EOMONTH(T15,Mths_In_Yr-1)</f>
        <v>47664</v>
      </c>
      <c r="U16" s="48">
        <f t="shared" si="7"/>
        <v>48029</v>
      </c>
      <c r="V16" s="48">
        <f t="shared" si="7"/>
        <v>48395</v>
      </c>
      <c r="W16" s="48">
        <f t="shared" si="7"/>
        <v>48760</v>
      </c>
      <c r="X16" s="48">
        <f t="shared" si="7"/>
        <v>49125</v>
      </c>
    </row>
    <row r="17" spans="2:24" ht="12.75" hidden="1" outlineLevel="1" x14ac:dyDescent="0.3">
      <c r="B17" s="11" t="s">
        <v>42</v>
      </c>
      <c r="J17" s="21">
        <f>N(I17)+1</f>
        <v>1</v>
      </c>
      <c r="K17" s="21">
        <f t="shared" ref="K17:S17" si="8">N(J17)+1</f>
        <v>2</v>
      </c>
      <c r="L17" s="21">
        <f t="shared" si="8"/>
        <v>3</v>
      </c>
      <c r="M17" s="21">
        <f t="shared" si="8"/>
        <v>4</v>
      </c>
      <c r="N17" s="21">
        <f t="shared" si="8"/>
        <v>5</v>
      </c>
      <c r="O17" s="21">
        <f t="shared" si="8"/>
        <v>6</v>
      </c>
      <c r="P17" s="21">
        <f t="shared" si="8"/>
        <v>7</v>
      </c>
      <c r="Q17" s="21">
        <f t="shared" si="8"/>
        <v>8</v>
      </c>
      <c r="R17" s="21">
        <f t="shared" si="8"/>
        <v>9</v>
      </c>
      <c r="S17" s="21">
        <f t="shared" si="8"/>
        <v>10</v>
      </c>
      <c r="T17" s="21">
        <f t="shared" ref="T17" si="9">N(S17)+1</f>
        <v>11</v>
      </c>
      <c r="U17" s="21">
        <f t="shared" ref="U17" si="10">N(T17)+1</f>
        <v>12</v>
      </c>
      <c r="V17" s="21">
        <f t="shared" ref="V17" si="11">N(U17)+1</f>
        <v>13</v>
      </c>
      <c r="W17" s="21">
        <f t="shared" ref="W17" si="12">N(V17)+1</f>
        <v>14</v>
      </c>
      <c r="X17" s="21">
        <f t="shared" ref="X17" si="13">N(W17)+1</f>
        <v>15</v>
      </c>
    </row>
    <row r="18" spans="2:24" ht="12.75" hidden="1" outlineLevel="1" x14ac:dyDescent="0.3">
      <c r="B18" s="11" t="s">
        <v>47</v>
      </c>
      <c r="J18" s="7">
        <f>YEAR(J16)</f>
        <v>2020</v>
      </c>
      <c r="K18" s="7">
        <f t="shared" ref="K18:S18" si="14">YEAR(K16)</f>
        <v>2021</v>
      </c>
      <c r="L18" s="7">
        <f t="shared" si="14"/>
        <v>2022</v>
      </c>
      <c r="M18" s="7">
        <f t="shared" si="14"/>
        <v>2023</v>
      </c>
      <c r="N18" s="7">
        <f t="shared" si="14"/>
        <v>2024</v>
      </c>
      <c r="O18" s="7">
        <f t="shared" si="14"/>
        <v>2025</v>
      </c>
      <c r="P18" s="7">
        <f t="shared" si="14"/>
        <v>2026</v>
      </c>
      <c r="Q18" s="7">
        <f t="shared" si="14"/>
        <v>2027</v>
      </c>
      <c r="R18" s="7">
        <f t="shared" si="14"/>
        <v>2028</v>
      </c>
      <c r="S18" s="7">
        <f t="shared" si="14"/>
        <v>2029</v>
      </c>
      <c r="T18" s="7">
        <f t="shared" ref="T18:X18" si="15">YEAR(T16)</f>
        <v>2030</v>
      </c>
      <c r="U18" s="7">
        <f t="shared" si="15"/>
        <v>2031</v>
      </c>
      <c r="V18" s="7">
        <f t="shared" si="15"/>
        <v>2032</v>
      </c>
      <c r="W18" s="7">
        <f t="shared" si="15"/>
        <v>2033</v>
      </c>
      <c r="X18" s="7">
        <f t="shared" si="15"/>
        <v>2034</v>
      </c>
    </row>
    <row r="19" spans="2:24" ht="12.75" hidden="1" outlineLevel="1" x14ac:dyDescent="0.3">
      <c r="B19" s="11" t="s">
        <v>48</v>
      </c>
      <c r="J19" s="14" t="s">
        <v>49</v>
      </c>
      <c r="K19" s="14" t="s">
        <v>49</v>
      </c>
      <c r="L19" s="14" t="s">
        <v>49</v>
      </c>
      <c r="M19" s="14" t="s">
        <v>46</v>
      </c>
      <c r="N19" s="14" t="s">
        <v>50</v>
      </c>
      <c r="O19" s="14" t="s">
        <v>50</v>
      </c>
      <c r="P19" s="14" t="s">
        <v>50</v>
      </c>
      <c r="Q19" s="14" t="s">
        <v>50</v>
      </c>
      <c r="R19" s="14" t="s">
        <v>50</v>
      </c>
      <c r="S19" s="14" t="s">
        <v>50</v>
      </c>
      <c r="T19" s="14" t="s">
        <v>50</v>
      </c>
      <c r="U19" s="14" t="s">
        <v>50</v>
      </c>
      <c r="V19" s="14" t="s">
        <v>50</v>
      </c>
      <c r="W19" s="14" t="s">
        <v>50</v>
      </c>
      <c r="X19" s="14" t="s">
        <v>50</v>
      </c>
    </row>
    <row r="20" spans="2:24" ht="13.15" collapsed="1" x14ac:dyDescent="0.3">
      <c r="B20" s="9" t="s">
        <v>51</v>
      </c>
      <c r="E20" s="15" t="s">
        <v>52</v>
      </c>
      <c r="F20" s="15" t="s">
        <v>53</v>
      </c>
      <c r="G20" s="15" t="s">
        <v>54</v>
      </c>
      <c r="H20" s="15" t="s">
        <v>55</v>
      </c>
      <c r="I20" s="49" t="str">
        <f>"FY"&amp;RIGHT(J20,2)-1</f>
        <v>FY19</v>
      </c>
      <c r="J20" s="49" t="str">
        <f>"FY"&amp;RIGHT(J18,2)</f>
        <v>FY20</v>
      </c>
      <c r="K20" s="49" t="str">
        <f t="shared" ref="K20:X20" si="16">"FY"&amp;RIGHT(K18,2)</f>
        <v>FY21</v>
      </c>
      <c r="L20" s="49" t="str">
        <f t="shared" si="16"/>
        <v>FY22</v>
      </c>
      <c r="M20" s="49" t="str">
        <f t="shared" si="16"/>
        <v>FY23</v>
      </c>
      <c r="N20" s="49" t="str">
        <f t="shared" si="16"/>
        <v>FY24</v>
      </c>
      <c r="O20" s="49" t="str">
        <f t="shared" si="16"/>
        <v>FY25</v>
      </c>
      <c r="P20" s="49" t="str">
        <f t="shared" si="16"/>
        <v>FY26</v>
      </c>
      <c r="Q20" s="49" t="str">
        <f t="shared" si="16"/>
        <v>FY27</v>
      </c>
      <c r="R20" s="49" t="str">
        <f t="shared" si="16"/>
        <v>FY28</v>
      </c>
      <c r="S20" s="49" t="str">
        <f t="shared" si="16"/>
        <v>FY29</v>
      </c>
      <c r="T20" s="49" t="str">
        <f t="shared" si="16"/>
        <v>FY30</v>
      </c>
      <c r="U20" s="49" t="str">
        <f t="shared" si="16"/>
        <v>FY31</v>
      </c>
      <c r="V20" s="49" t="str">
        <f t="shared" si="16"/>
        <v>FY32</v>
      </c>
      <c r="W20" s="49" t="str">
        <f t="shared" si="16"/>
        <v>FY33</v>
      </c>
      <c r="X20" s="49" t="str">
        <f t="shared" si="16"/>
        <v>FY34</v>
      </c>
    </row>
    <row r="21" spans="2:24" x14ac:dyDescent="0.3">
      <c r="L21" s="18"/>
      <c r="M21" s="19"/>
      <c r="N21" s="19"/>
      <c r="O21" s="19"/>
    </row>
    <row r="22" spans="2:24" s="2" customFormat="1" ht="15" x14ac:dyDescent="0.3">
      <c r="B22" s="2" t="s">
        <v>192</v>
      </c>
    </row>
    <row r="23" spans="2:24" x14ac:dyDescent="0.3">
      <c r="L23" s="18"/>
      <c r="M23" s="19"/>
      <c r="N23" s="19"/>
      <c r="O23" s="19"/>
    </row>
    <row r="24" spans="2:24" ht="13.15" x14ac:dyDescent="0.3">
      <c r="C24" s="4" t="s">
        <v>0</v>
      </c>
      <c r="E24" s="15" t="s">
        <v>1</v>
      </c>
    </row>
    <row r="25" spans="2:24" x14ac:dyDescent="0.3">
      <c r="E25" s="16"/>
    </row>
    <row r="26" spans="2:24" ht="12.75" x14ac:dyDescent="0.3">
      <c r="D26" s="12">
        <v>1</v>
      </c>
      <c r="E26" s="17" t="s">
        <v>2</v>
      </c>
    </row>
    <row r="27" spans="2:24" ht="12.75" x14ac:dyDescent="0.3">
      <c r="D27" s="12">
        <v>3</v>
      </c>
      <c r="E27" s="17" t="s">
        <v>3</v>
      </c>
    </row>
    <row r="28" spans="2:24" ht="12.75" x14ac:dyDescent="0.3">
      <c r="D28" s="12">
        <v>4</v>
      </c>
      <c r="E28" s="17" t="s">
        <v>26</v>
      </c>
    </row>
    <row r="29" spans="2:24" ht="12.75" x14ac:dyDescent="0.3">
      <c r="D29" s="12">
        <v>12</v>
      </c>
      <c r="E29" s="17" t="s">
        <v>4</v>
      </c>
    </row>
    <row r="30" spans="2:24" ht="12.75" x14ac:dyDescent="0.3">
      <c r="D30" s="12">
        <v>7</v>
      </c>
      <c r="E30" s="17" t="s">
        <v>12</v>
      </c>
    </row>
    <row r="31" spans="2:24" ht="12.75" x14ac:dyDescent="0.3">
      <c r="D31" s="12">
        <v>365</v>
      </c>
      <c r="E31" s="17" t="s">
        <v>38</v>
      </c>
    </row>
    <row r="32" spans="2:24" ht="12.75" x14ac:dyDescent="0.3">
      <c r="D32" s="12">
        <v>0.5</v>
      </c>
      <c r="E32" s="17" t="s">
        <v>8</v>
      </c>
    </row>
    <row r="33" spans="3:5" ht="12.75" x14ac:dyDescent="0.3">
      <c r="D33" s="12" t="s">
        <v>6</v>
      </c>
      <c r="E33" s="17" t="s">
        <v>6</v>
      </c>
    </row>
    <row r="34" spans="3:5" ht="12.75" x14ac:dyDescent="0.3">
      <c r="D34" s="12" t="s">
        <v>27</v>
      </c>
      <c r="E34" s="17" t="s">
        <v>28</v>
      </c>
    </row>
    <row r="35" spans="3:5" ht="12.75" x14ac:dyDescent="0.3">
      <c r="D35" s="12" t="s">
        <v>7</v>
      </c>
      <c r="E35" s="17" t="s">
        <v>7</v>
      </c>
    </row>
    <row r="36" spans="3:5" x14ac:dyDescent="0.3">
      <c r="E36" s="16"/>
    </row>
    <row r="37" spans="3:5" ht="13.15" x14ac:dyDescent="0.3">
      <c r="C37" s="4" t="s">
        <v>0</v>
      </c>
      <c r="E37" s="15" t="s">
        <v>1</v>
      </c>
    </row>
    <row r="38" spans="3:5" ht="12.75" x14ac:dyDescent="0.3">
      <c r="E38" s="17" t="s">
        <v>11</v>
      </c>
    </row>
    <row r="39" spans="3:5" ht="12.75" x14ac:dyDescent="0.3">
      <c r="D39" s="12" t="s">
        <v>9</v>
      </c>
      <c r="E39" s="17" t="s">
        <v>9</v>
      </c>
    </row>
    <row r="40" spans="3:5" ht="12.75" x14ac:dyDescent="0.3">
      <c r="D40" s="12" t="s">
        <v>10</v>
      </c>
      <c r="E40" s="17" t="s">
        <v>10</v>
      </c>
    </row>
    <row r="41" spans="3:5" x14ac:dyDescent="0.3">
      <c r="E41" s="16"/>
    </row>
    <row r="42" spans="3:5" ht="13.15" x14ac:dyDescent="0.3">
      <c r="C42" s="4" t="s">
        <v>60</v>
      </c>
      <c r="E42" s="15" t="s">
        <v>1</v>
      </c>
    </row>
    <row r="43" spans="3:5" ht="12.75" x14ac:dyDescent="0.3">
      <c r="E43" s="17" t="s">
        <v>68</v>
      </c>
    </row>
    <row r="44" spans="3:5" ht="12.75" x14ac:dyDescent="0.3">
      <c r="D44" s="12" t="s">
        <v>61</v>
      </c>
      <c r="E44" s="17" t="s">
        <v>61</v>
      </c>
    </row>
    <row r="45" spans="3:5" ht="12.75" x14ac:dyDescent="0.3">
      <c r="D45" s="12" t="s">
        <v>62</v>
      </c>
      <c r="E45" s="17" t="s">
        <v>62</v>
      </c>
    </row>
    <row r="46" spans="3:5" ht="12.75" x14ac:dyDescent="0.3">
      <c r="D46" s="12" t="s">
        <v>64</v>
      </c>
      <c r="E46" s="17" t="s">
        <v>66</v>
      </c>
    </row>
    <row r="47" spans="3:5" ht="12.75" x14ac:dyDescent="0.3">
      <c r="D47" s="12" t="s">
        <v>65</v>
      </c>
      <c r="E47" s="17" t="s">
        <v>67</v>
      </c>
    </row>
    <row r="48" spans="3:5" ht="12.75" x14ac:dyDescent="0.3">
      <c r="D48" s="12" t="s">
        <v>63</v>
      </c>
      <c r="E48" s="17" t="s">
        <v>63</v>
      </c>
    </row>
    <row r="49" spans="3:6" ht="12.75" x14ac:dyDescent="0.3">
      <c r="D49" s="12" t="s">
        <v>82</v>
      </c>
      <c r="E49" s="17" t="s">
        <v>82</v>
      </c>
    </row>
    <row r="50" spans="3:6" ht="12.75" x14ac:dyDescent="0.3">
      <c r="D50" s="12" t="s">
        <v>80</v>
      </c>
      <c r="E50" s="17" t="s">
        <v>155</v>
      </c>
    </row>
    <row r="51" spans="3:6" ht="12.75" x14ac:dyDescent="0.3">
      <c r="D51" s="12" t="s">
        <v>81</v>
      </c>
      <c r="E51" s="17" t="s">
        <v>156</v>
      </c>
    </row>
    <row r="52" spans="3:6" ht="12.75" x14ac:dyDescent="0.3">
      <c r="D52" s="12" t="s">
        <v>84</v>
      </c>
      <c r="E52" s="57" t="s">
        <v>85</v>
      </c>
    </row>
    <row r="53" spans="3:6" ht="12.75" x14ac:dyDescent="0.3">
      <c r="D53" s="12" t="str">
        <f>NA</f>
        <v>N/A</v>
      </c>
      <c r="E53" s="17" t="s">
        <v>79</v>
      </c>
    </row>
    <row r="54" spans="3:6" x14ac:dyDescent="0.3">
      <c r="E54" s="16"/>
    </row>
    <row r="55" spans="3:6" ht="13.15" x14ac:dyDescent="0.3">
      <c r="C55" s="4" t="s">
        <v>54</v>
      </c>
      <c r="E55" s="15" t="s">
        <v>1</v>
      </c>
    </row>
    <row r="56" spans="3:6" ht="12.75" x14ac:dyDescent="0.3">
      <c r="E56" s="17" t="s">
        <v>59</v>
      </c>
    </row>
    <row r="57" spans="3:6" ht="12.75" x14ac:dyDescent="0.3">
      <c r="D57" s="12" t="s">
        <v>56</v>
      </c>
      <c r="E57" s="17" t="s">
        <v>58</v>
      </c>
    </row>
    <row r="58" spans="3:6" ht="12.75" x14ac:dyDescent="0.3">
      <c r="D58" s="12" t="s">
        <v>89</v>
      </c>
      <c r="E58" s="17" t="s">
        <v>90</v>
      </c>
    </row>
    <row r="59" spans="3:6" ht="12.75" x14ac:dyDescent="0.3">
      <c r="D59" s="12" t="str">
        <f>NA</f>
        <v>N/A</v>
      </c>
      <c r="E59" s="17" t="s">
        <v>79</v>
      </c>
    </row>
    <row r="60" spans="3:6" ht="12.75" x14ac:dyDescent="0.3">
      <c r="D60" s="12" t="s">
        <v>57</v>
      </c>
      <c r="E60" s="17" t="s">
        <v>57</v>
      </c>
    </row>
    <row r="61" spans="3:6" x14ac:dyDescent="0.3">
      <c r="E61" s="16"/>
    </row>
    <row r="62" spans="3:6" ht="13.15" x14ac:dyDescent="0.3">
      <c r="C62" s="4" t="s">
        <v>55</v>
      </c>
      <c r="E62" s="15"/>
      <c r="F62" s="15" t="s">
        <v>1</v>
      </c>
    </row>
    <row r="63" spans="3:6" ht="12.75" x14ac:dyDescent="0.3">
      <c r="D63" s="17" t="s">
        <v>72</v>
      </c>
      <c r="E63" s="17" t="s">
        <v>73</v>
      </c>
    </row>
    <row r="64" spans="3:6" ht="12.75" x14ac:dyDescent="0.3">
      <c r="D64" s="12" t="s">
        <v>69</v>
      </c>
      <c r="E64" s="12">
        <v>0</v>
      </c>
      <c r="F64" s="17" t="s">
        <v>76</v>
      </c>
    </row>
    <row r="65" spans="2:6" ht="12.75" x14ac:dyDescent="0.3">
      <c r="D65" s="12" t="s">
        <v>70</v>
      </c>
      <c r="E65" s="12">
        <v>0.5</v>
      </c>
      <c r="F65" s="17" t="s">
        <v>75</v>
      </c>
    </row>
    <row r="66" spans="2:6" ht="12.75" x14ac:dyDescent="0.3">
      <c r="D66" s="12" t="s">
        <v>71</v>
      </c>
      <c r="E66" s="12">
        <v>1</v>
      </c>
      <c r="F66" s="17" t="s">
        <v>74</v>
      </c>
    </row>
    <row r="67" spans="2:6" ht="12.75" x14ac:dyDescent="0.3">
      <c r="D67" s="12" t="str">
        <f>NA</f>
        <v>N/A</v>
      </c>
      <c r="E67" s="12" t="str">
        <f>NA</f>
        <v>N/A</v>
      </c>
      <c r="F67" s="17"/>
    </row>
    <row r="68" spans="2:6" x14ac:dyDescent="0.3">
      <c r="E68" s="16"/>
    </row>
    <row r="69" spans="2:6" s="8" customFormat="1" ht="13.9" x14ac:dyDescent="0.3">
      <c r="C69" s="8" t="s">
        <v>196</v>
      </c>
    </row>
    <row r="71" spans="2:6" ht="13.15" x14ac:dyDescent="0.3">
      <c r="C71" s="4" t="s">
        <v>83</v>
      </c>
      <c r="E71" s="15" t="s">
        <v>1</v>
      </c>
    </row>
    <row r="72" spans="2:6" ht="12.75" x14ac:dyDescent="0.3">
      <c r="E72" s="17" t="s">
        <v>157</v>
      </c>
    </row>
    <row r="73" spans="2:6" ht="12.75" x14ac:dyDescent="0.3">
      <c r="D73" s="12" t="s">
        <v>49</v>
      </c>
    </row>
    <row r="74" spans="2:6" ht="12.75" x14ac:dyDescent="0.3">
      <c r="D74" s="12" t="s">
        <v>153</v>
      </c>
    </row>
    <row r="78" spans="2:6" s="2" customFormat="1" ht="15" x14ac:dyDescent="0.3">
      <c r="B78" s="2" t="s">
        <v>25</v>
      </c>
    </row>
  </sheetData>
  <conditionalFormatting sqref="B2">
    <cfRule type="cellIs" dxfId="10" priority="1" operator="notEqual">
      <formula>"No Errors Found"</formula>
    </cfRule>
  </conditionalFormatting>
  <hyperlinks>
    <hyperlink ref="B3:E3" location="TOC!A1" display="TOC!A1" xr:uid="{00000000-0004-0000-08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H31"/>
  <sheetViews>
    <sheetView showGridLines="0" zoomScaleNormal="100" workbookViewId="0">
      <pane xSplit="1" ySplit="4" topLeftCell="B5" activePane="bottomRight" state="frozen"/>
      <selection pane="topRight"/>
      <selection pane="bottomLeft"/>
      <selection pane="bottomRight"/>
    </sheetView>
  </sheetViews>
  <sheetFormatPr defaultRowHeight="10.15" x14ac:dyDescent="0.3"/>
  <cols>
    <col min="1" max="3" width="2.83203125" customWidth="1"/>
    <col min="4" max="4" width="65" customWidth="1"/>
    <col min="5" max="7" width="3.83203125" customWidth="1"/>
  </cols>
  <sheetData>
    <row r="1" spans="2:8" ht="18.75" x14ac:dyDescent="0.3">
      <c r="B1" s="3" t="s">
        <v>14</v>
      </c>
    </row>
    <row r="2" spans="2:8" x14ac:dyDescent="0.3">
      <c r="B2" s="13" t="str">
        <f>Title_Msg</f>
        <v>No Errors Found</v>
      </c>
    </row>
    <row r="3" spans="2:8" x14ac:dyDescent="0.3">
      <c r="B3" s="46" t="str">
        <f>TOC!B1</f>
        <v>Table of Contents</v>
      </c>
      <c r="C3" s="41"/>
      <c r="D3" s="41"/>
      <c r="E3" s="41"/>
    </row>
    <row r="4" spans="2:8" ht="13.15" x14ac:dyDescent="0.3">
      <c r="B4" s="39" t="str">
        <f>Model_Name</f>
        <v>Rate of Return Model - Power and Water Corporation (PWC)</v>
      </c>
    </row>
    <row r="5" spans="2:8" x14ac:dyDescent="0.3">
      <c r="B5" s="13"/>
    </row>
    <row r="6" spans="2:8" s="2" customFormat="1" ht="15" x14ac:dyDescent="0.3">
      <c r="B6" s="2" t="s">
        <v>197</v>
      </c>
    </row>
    <row r="7" spans="2:8" ht="4.1500000000000004" customHeight="1" x14ac:dyDescent="0.3">
      <c r="B7" s="20"/>
    </row>
    <row r="8" spans="2:8" ht="12.75" x14ac:dyDescent="0.3">
      <c r="D8" s="6" t="s">
        <v>198</v>
      </c>
      <c r="H8" s="7" t="str">
        <f>IF(H29=0,"No Errors Found","Errors Found")</f>
        <v>No Errors Found</v>
      </c>
    </row>
    <row r="9" spans="2:8" ht="12.75" x14ac:dyDescent="0.3">
      <c r="D9" s="6" t="s">
        <v>199</v>
      </c>
      <c r="H9" s="6"/>
    </row>
    <row r="10" spans="2:8" ht="12.75" x14ac:dyDescent="0.3">
      <c r="D10" s="6" t="s">
        <v>200</v>
      </c>
      <c r="H10" s="23" t="str">
        <f>H8&amp;IF(H9="","",", " &amp;H9)</f>
        <v>No Errors Found</v>
      </c>
    </row>
    <row r="11" spans="2:8" ht="4.1500000000000004" customHeight="1" x14ac:dyDescent="0.3">
      <c r="B11" s="20"/>
    </row>
    <row r="12" spans="2:8" s="2" customFormat="1" ht="15" x14ac:dyDescent="0.3">
      <c r="B12" s="2" t="s">
        <v>201</v>
      </c>
    </row>
    <row r="13" spans="2:8" ht="4.1500000000000004" customHeight="1" x14ac:dyDescent="0.3">
      <c r="B13" s="20"/>
    </row>
    <row r="14" spans="2:8" s="8" customFormat="1" ht="13.9" x14ac:dyDescent="0.3">
      <c r="C14" s="8" t="s">
        <v>202</v>
      </c>
    </row>
    <row r="15" spans="2:8" ht="4.1500000000000004" customHeight="1" x14ac:dyDescent="0.3">
      <c r="B15" s="20"/>
    </row>
    <row r="16" spans="2:8" ht="13.15" x14ac:dyDescent="0.3">
      <c r="C16" s="9" t="s">
        <v>203</v>
      </c>
    </row>
    <row r="17" spans="2:8" ht="4.1500000000000004" customHeight="1" x14ac:dyDescent="0.3">
      <c r="B17" s="20"/>
    </row>
    <row r="18" spans="2:8" ht="12.75" x14ac:dyDescent="0.3">
      <c r="D18" s="6" t="str">
        <f>Input_CPI!$B$1</f>
        <v>CPI inputs</v>
      </c>
      <c r="H18" s="58">
        <f>Input_CPI!$A$1</f>
        <v>0</v>
      </c>
    </row>
    <row r="19" spans="2:8" ht="12.75" x14ac:dyDescent="0.3">
      <c r="D19" s="6" t="str">
        <f>Input_Data!$B$1</f>
        <v>Rate of return inputs</v>
      </c>
      <c r="H19" s="58">
        <f>Input_Data!A1</f>
        <v>0</v>
      </c>
    </row>
    <row r="20" spans="2:8" ht="4.1500000000000004" customHeight="1" x14ac:dyDescent="0.3">
      <c r="B20" s="20"/>
    </row>
    <row r="21" spans="2:8" ht="13.15" x14ac:dyDescent="0.3">
      <c r="C21" s="9" t="s">
        <v>204</v>
      </c>
      <c r="D21" s="6"/>
      <c r="H21" s="58"/>
    </row>
    <row r="22" spans="2:8" ht="4.1500000000000004" customHeight="1" x14ac:dyDescent="0.3">
      <c r="B22" s="20"/>
    </row>
    <row r="23" spans="2:8" ht="12.75" x14ac:dyDescent="0.3">
      <c r="D23" s="6" t="str">
        <f>Calc_Returns!$B$1</f>
        <v>Rate of return calculations</v>
      </c>
      <c r="H23" s="58">
        <f>Calc_Returns!$A$1</f>
        <v>0</v>
      </c>
    </row>
    <row r="24" spans="2:8" ht="4.1500000000000004" customHeight="1" x14ac:dyDescent="0.3">
      <c r="B24" s="20"/>
    </row>
    <row r="25" spans="2:8" ht="13.15" x14ac:dyDescent="0.3">
      <c r="C25" s="9" t="s">
        <v>205</v>
      </c>
      <c r="D25" s="6"/>
      <c r="H25" s="58"/>
    </row>
    <row r="26" spans="2:8" ht="4.1500000000000004" customHeight="1" x14ac:dyDescent="0.3">
      <c r="B26" s="20"/>
    </row>
    <row r="27" spans="2:8" ht="12.75" x14ac:dyDescent="0.3">
      <c r="D27" s="6" t="str">
        <f>Output_PTRM!$B$1</f>
        <v>Exports to PTRM</v>
      </c>
      <c r="H27" s="58">
        <f>Output_PTRM!$A$1</f>
        <v>0</v>
      </c>
    </row>
    <row r="28" spans="2:8" ht="4.1500000000000004" customHeight="1" x14ac:dyDescent="0.3">
      <c r="B28" s="20"/>
    </row>
    <row r="29" spans="2:8" ht="13.15" x14ac:dyDescent="0.3">
      <c r="C29" s="9" t="s">
        <v>206</v>
      </c>
      <c r="H29" s="22">
        <f>IF(SUM(H19:H27)=0,0,1)</f>
        <v>0</v>
      </c>
    </row>
    <row r="30" spans="2:8" ht="4.1500000000000004" customHeight="1" x14ac:dyDescent="0.3">
      <c r="B30" s="20"/>
    </row>
    <row r="31" spans="2:8" s="2" customFormat="1" ht="15" x14ac:dyDescent="0.3">
      <c r="B31" s="2" t="s">
        <v>25</v>
      </c>
    </row>
  </sheetData>
  <conditionalFormatting sqref="B7 B2 B5">
    <cfRule type="cellIs" dxfId="9" priority="22" operator="notEqual">
      <formula>"No Errors Found"</formula>
    </cfRule>
  </conditionalFormatting>
  <conditionalFormatting sqref="B11">
    <cfRule type="cellIs" dxfId="8" priority="19" operator="notEqual">
      <formula>"No Errors Found"</formula>
    </cfRule>
  </conditionalFormatting>
  <conditionalFormatting sqref="B13">
    <cfRule type="cellIs" dxfId="7" priority="18" operator="notEqual">
      <formula>"No Errors Found"</formula>
    </cfRule>
  </conditionalFormatting>
  <conditionalFormatting sqref="B15 B17">
    <cfRule type="cellIs" dxfId="6" priority="17" operator="notEqual">
      <formula>"No Errors Found"</formula>
    </cfRule>
  </conditionalFormatting>
  <conditionalFormatting sqref="B28">
    <cfRule type="cellIs" dxfId="5" priority="16" operator="notEqual">
      <formula>"No Errors Found"</formula>
    </cfRule>
  </conditionalFormatting>
  <conditionalFormatting sqref="B30">
    <cfRule type="cellIs" dxfId="4" priority="15" operator="notEqual">
      <formula>"No Errors Found"</formula>
    </cfRule>
  </conditionalFormatting>
  <conditionalFormatting sqref="B22">
    <cfRule type="cellIs" dxfId="3" priority="13" operator="notEqual">
      <formula>"No Errors Found"</formula>
    </cfRule>
  </conditionalFormatting>
  <conditionalFormatting sqref="B24">
    <cfRule type="cellIs" dxfId="2" priority="7" operator="notEqual">
      <formula>"No Errors Found"</formula>
    </cfRule>
  </conditionalFormatting>
  <conditionalFormatting sqref="B26">
    <cfRule type="cellIs" dxfId="1" priority="2" operator="notEqual">
      <formula>"No Errors Found"</formula>
    </cfRule>
  </conditionalFormatting>
  <conditionalFormatting sqref="B20">
    <cfRule type="cellIs" dxfId="0" priority="1" operator="notEqual">
      <formula>"No Errors Found"</formula>
    </cfRule>
  </conditionalFormatting>
  <hyperlinks>
    <hyperlink ref="B3:E3" location="TOC!A1" display="TOC!A1" xr:uid="{00000000-0004-0000-09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09a3f0-ff30-4896-8eff-2a4081e1b29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13386B98CA9D47B153354AC72DA840" ma:contentTypeVersion="10" ma:contentTypeDescription="Create a new document." ma:contentTypeScope="" ma:versionID="1d33a58b88525057e34c226c47740757">
  <xsd:schema xmlns:xsd="http://www.w3.org/2001/XMLSchema" xmlns:xs="http://www.w3.org/2001/XMLSchema" xmlns:p="http://schemas.microsoft.com/office/2006/metadata/properties" xmlns:ns2="2a09a3f0-ff30-4896-8eff-2a4081e1b291" targetNamespace="http://schemas.microsoft.com/office/2006/metadata/properties" ma:root="true" ma:fieldsID="d55c57b4e9d4cf2d55d57f36226ddeaf" ns2:_="">
    <xsd:import namespace="2a09a3f0-ff30-4896-8eff-2a4081e1b2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09a3f0-ff30-4896-8eff-2a4081e1b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4d5ad4c-798f-4112-b232-d6cf578bb7cd"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A4CC24A-A301-4156-98D3-737AA101ADA0}">
  <ds:schemaRefs>
    <ds:schemaRef ds:uri="http://schemas.microsoft.com/sharepoint/v3/contenttype/forms"/>
  </ds:schemaRefs>
</ds:datastoreItem>
</file>

<file path=customXml/itemProps2.xml><?xml version="1.0" encoding="utf-8"?>
<ds:datastoreItem xmlns:ds="http://schemas.openxmlformats.org/officeDocument/2006/customXml" ds:itemID="{1997CDD1-FCE8-40FA-A22B-39998E6D97A8}">
  <ds:schemaRefs>
    <ds:schemaRef ds:uri="http://schemas.microsoft.com/office/infopath/2007/PartnerControls"/>
    <ds:schemaRef ds:uri="http://purl.org/dc/elements/1.1/"/>
    <ds:schemaRef ds:uri="http://schemas.microsoft.com/office/2006/metadata/properties"/>
    <ds:schemaRef ds:uri="4eb6023d-658b-4527-be73-24b0518f0bf9"/>
    <ds:schemaRef ds:uri="http://purl.org/dc/terms/"/>
    <ds:schemaRef ds:uri="http://schemas.openxmlformats.org/package/2006/metadata/core-properties"/>
    <ds:schemaRef ds:uri="e9ddd33f-6e0c-4ea4-b974-ce1f965c2a6f"/>
    <ds:schemaRef ds:uri="http://schemas.microsoft.com/office/2006/documentManagement/types"/>
    <ds:schemaRef ds:uri="219a03a1-7fe7-42f3-bdad-55ca8d66a738"/>
    <ds:schemaRef ds:uri="http://www.w3.org/XML/1998/namespace"/>
    <ds:schemaRef ds:uri="http://purl.org/dc/dcmitype/"/>
  </ds:schemaRefs>
</ds:datastoreItem>
</file>

<file path=customXml/itemProps3.xml><?xml version="1.0" encoding="utf-8"?>
<ds:datastoreItem xmlns:ds="http://schemas.openxmlformats.org/officeDocument/2006/customXml" ds:itemID="{85CC3A96-3C4C-441B-B956-9556ADD1D23D}"/>
</file>

<file path=customXml/itemProps4.xml><?xml version="1.0" encoding="utf-8"?>
<ds:datastoreItem xmlns:ds="http://schemas.openxmlformats.org/officeDocument/2006/customXml" ds:itemID="{44735EC9-7DDE-41BB-9706-B74BC2E3EF3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46</vt:i4>
      </vt:variant>
    </vt:vector>
  </HeadingPairs>
  <TitlesOfParts>
    <vt:vector size="54" baseType="lpstr">
      <vt:lpstr>Cover</vt:lpstr>
      <vt:lpstr>TOC</vt:lpstr>
      <vt:lpstr>Input_CPI</vt:lpstr>
      <vt:lpstr>Input_Data</vt:lpstr>
      <vt:lpstr>Calc_Returns</vt:lpstr>
      <vt:lpstr>Output_PTRM</vt:lpstr>
      <vt:lpstr>Lookup</vt:lpstr>
      <vt:lpstr>Checks</vt:lpstr>
      <vt:lpstr>A_Weight</vt:lpstr>
      <vt:lpstr>Base_Year</vt:lpstr>
      <vt:lpstr>BBB_Weight</vt:lpstr>
      <vt:lpstr>Beta</vt:lpstr>
      <vt:lpstr>Days_In_Wk</vt:lpstr>
      <vt:lpstr>Days_In_Yr</vt:lpstr>
      <vt:lpstr>Dollars</vt:lpstr>
      <vt:lpstr>End_year</vt:lpstr>
      <vt:lpstr>Error</vt:lpstr>
      <vt:lpstr>Factor</vt:lpstr>
      <vt:lpstr>Gamma</vt:lpstr>
      <vt:lpstr>Half</vt:lpstr>
      <vt:lpstr>Inflation</vt:lpstr>
      <vt:lpstr>Kilometres</vt:lpstr>
      <vt:lpstr>Leverage</vt:lpstr>
      <vt:lpstr>LU_Basis</vt:lpstr>
      <vt:lpstr>LU_Source</vt:lpstr>
      <vt:lpstr>LU_Timing</vt:lpstr>
      <vt:lpstr>LU_Timing_Value</vt:lpstr>
      <vt:lpstr>LU_Units</vt:lpstr>
      <vt:lpstr>Mid_year</vt:lpstr>
      <vt:lpstr>Millions</vt:lpstr>
      <vt:lpstr>Model_Name</vt:lpstr>
      <vt:lpstr>Model_Start_Date</vt:lpstr>
      <vt:lpstr>MRP</vt:lpstr>
      <vt:lpstr>Mths_In_Mth</vt:lpstr>
      <vt:lpstr>Mths_In_Qtr</vt:lpstr>
      <vt:lpstr>Mths_In_Yr</vt:lpstr>
      <vt:lpstr>NA</vt:lpstr>
      <vt:lpstr>No</vt:lpstr>
      <vt:lpstr>Nominal</vt:lpstr>
      <vt:lpstr>Number</vt:lpstr>
      <vt:lpstr>Ok</vt:lpstr>
      <vt:lpstr>Percent</vt:lpstr>
      <vt:lpstr>Qtrs_In_Yr</vt:lpstr>
      <vt:lpstr>Real2018</vt:lpstr>
      <vt:lpstr>Real2019</vt:lpstr>
      <vt:lpstr>RFR</vt:lpstr>
      <vt:lpstr>ROD</vt:lpstr>
      <vt:lpstr>ROE</vt:lpstr>
      <vt:lpstr>Start_year</vt:lpstr>
      <vt:lpstr>Thousands</vt:lpstr>
      <vt:lpstr>Title_Msg</vt:lpstr>
      <vt:lpstr>Weight_New_Debt</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Power and Water Corporation</dc:creator>
  <cp:lastModifiedBy>Eli Grace-Webb</cp:lastModifiedBy>
  <cp:lastPrinted>2013-05-06T05:05:19Z</cp:lastPrinted>
  <dcterms:created xsi:type="dcterms:W3CDTF">2012-02-19T06:14:59Z</dcterms:created>
  <dcterms:modified xsi:type="dcterms:W3CDTF">2023-01-28T23:39:42Z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0x010100A213386B98CA9D47B153354AC72DA840</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ies>
</file>