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projects/607_PWC_AER2429_Modelling/Working/Scenarios/IP10/Submission/"/>
    </mc:Choice>
  </mc:AlternateContent>
  <xr:revisionPtr revIDLastSave="34" documentId="13_ncr:800001_{E1B82B95-4307-43E7-9593-1F12A490454A}" xr6:coauthVersionLast="47" xr6:coauthVersionMax="47" xr10:uidLastSave="{75B4F61C-326B-4BB3-9EB0-B66F46484404}"/>
  <bookViews>
    <workbookView xWindow="-98" yWindow="-98" windowWidth="22695" windowHeight="14476" tabRatio="840" xr2:uid="{00000000-000D-0000-FFFF-FFFF00000000}"/>
  </bookViews>
  <sheets>
    <sheet name="Cover" sheetId="27" r:id="rId1"/>
    <sheet name="TOC" sheetId="28" r:id="rId2"/>
    <sheet name="Inputs_Prices" sheetId="31" r:id="rId3"/>
    <sheet name="Inputs_Volumes" sheetId="32" r:id="rId4"/>
    <sheet name="Inputs_LRMC" sheetId="44" r:id="rId5"/>
    <sheet name="Inputs_FY23_FY24" sheetId="48" r:id="rId6"/>
    <sheet name="Inputs_Other" sheetId="33" r:id="rId7"/>
    <sheet name="Calc_Revenue" sheetId="34" r:id="rId8"/>
    <sheet name="Calc_A_SA_Cost" sheetId="37" r:id="rId9"/>
    <sheet name="Calc_LRMC" sheetId="45" r:id="rId10"/>
    <sheet name="Calc_LRMC_Tariff" sheetId="38" r:id="rId11"/>
    <sheet name="Calc_Residual_Tariff" sheetId="39" r:id="rId12"/>
    <sheet name="Output_Revenue" sheetId="35" r:id="rId13"/>
    <sheet name="Output_AER_Compliance" sheetId="40" r:id="rId14"/>
    <sheet name="Output_Charts" sheetId="41" r:id="rId15"/>
    <sheet name="Output_Pricing_Proposal" sheetId="43" r:id="rId16"/>
    <sheet name="Output_RIN" sheetId="47" r:id="rId17"/>
    <sheet name="Lookup" sheetId="4" r:id="rId18"/>
    <sheet name="Checks" sheetId="25" r:id="rId19"/>
  </sheets>
  <externalReferences>
    <externalReference r:id="rId20"/>
  </externalReferences>
  <definedNames>
    <definedName name="_xlnm._FilterDatabase" localSheetId="15" hidden="1">Output_Pricing_Proposal!$D$570:$AE$570</definedName>
    <definedName name="anscount" hidden="1">1</definedName>
    <definedName name="Cents_to_Dollars">Lookup!$D$26</definedName>
    <definedName name="CRCP_span" localSheetId="9">CONCATENATE(CRCP_y1, " to ",CRCP_y5)</definedName>
    <definedName name="CRCP_span" localSheetId="5">CONCATENATE(CRCP_y1, " to ",CRCP_y5)</definedName>
    <definedName name="CRCP_span" localSheetId="4">CONCATENATE(CRCP_y1, " to ",CRCP_y5)</definedName>
    <definedName name="CRCP_span" localSheetId="16">CONCATENATE(CRCP_y1, " to ",CRCP_y5)</definedName>
    <definedName name="CRCP_span">CONCATENATE(CRCP_y1, " to ",CRCP_y5)</definedName>
    <definedName name="Dollars">Lookup!$D$42</definedName>
    <definedName name="Dollars_to_Thousands">Lookup!$D$27</definedName>
    <definedName name="Factor">Lookup!$D$45</definedName>
    <definedName name="FRCP_1to5">"2015-16 to 2019-20"</definedName>
    <definedName name="FRCP_span" localSheetId="9">CONCATENATE(FRCP_y1, " to ", FRCP_y5)</definedName>
    <definedName name="FRCP_span" localSheetId="5">CONCATENATE(FRCP_y1, " to ", FRCP_y5)</definedName>
    <definedName name="FRCP_span" localSheetId="4">CONCATENATE(FRCP_y1, " to ", FRCP_y5)</definedName>
    <definedName name="FRCP_span" localSheetId="16">CONCATENATE(FRCP_y1, " to ", FRCP_y5)</definedName>
    <definedName name="FRCP_span">CONCATENATE(FRCP_y1, " to ", FRCP_y5)</definedName>
    <definedName name="GWh_to_MWh">Lookup!$D$30</definedName>
    <definedName name="HTML_CodePage" hidden="1">1252</definedName>
    <definedName name="HTML_Control" hidden="1">{"'petroleum sales data'!$A$1:$L$49"}</definedName>
    <definedName name="HTML_Description" hidden="1">"This is a chart of Petroleum Sales figures up to and including June 1998"</definedName>
    <definedName name="HTML_Email" hidden="1">"tony.waite@dme.nt.gov.au"</definedName>
    <definedName name="HTML_Header" hidden="1">"Petroleum Sales Figures 1998"</definedName>
    <definedName name="HTML_LastUpdate" hidden="1">"24/08/98"</definedName>
    <definedName name="HTML_LineAfter" hidden="1">FALSE</definedName>
    <definedName name="HTML_LineBefore" hidden="1">FALSE</definedName>
    <definedName name="HTML_Name" hidden="1">"Tony Waite"</definedName>
    <definedName name="HTML_OBDlg2" hidden="1">TRUE</definedName>
    <definedName name="HTML_OBDlg4" hidden="1">TRUE</definedName>
    <definedName name="HTML_OS" hidden="1">0</definedName>
    <definedName name="HTML_PathFile" hidden="1">"G:\Energy\Safety &amp; Environment\WEBPAGES\statistics\Production\MyHTML.htm"</definedName>
    <definedName name="HTML_Title" hidden="1">"petsale_1998"</definedName>
    <definedName name="Kilometres">Lookup!$D$64</definedName>
    <definedName name="LU_Basis">Lookup!$D$69:$D$74</definedName>
    <definedName name="LU_Fee_Based_Services">[1]Lookup!$D$102:$D$128</definedName>
    <definedName name="LU_Quoted_Services">[1]Lookup!$D$133:$D$148</definedName>
    <definedName name="LU_Revenue_Input">Lookup!$D$78:$D$80</definedName>
    <definedName name="LU_Tariff_Classes">Lookup!$D$84:$D$86</definedName>
    <definedName name="LU_Tariffs">Lookup!$D$90:$D$98</definedName>
    <definedName name="LU_Units">Lookup!$D$41:$D$65</definedName>
    <definedName name="LU_Voltage_Level">Lookup!$D$102:$D$104</definedName>
    <definedName name="Millions">Lookup!$D$43</definedName>
    <definedName name="Model_Name">Cover!$B$3</definedName>
    <definedName name="Model_Start_Date">Lookup!$E$10</definedName>
    <definedName name="Mths_In_Yr">Lookup!$D$25</definedName>
    <definedName name="MW_to_kW">Lookup!$D$31</definedName>
    <definedName name="MWh_to_kWh">Lookup!$D$29</definedName>
    <definedName name="NA">Lookup!$D$32</definedName>
    <definedName name="No">Lookup!$D$37</definedName>
    <definedName name="No_Input">Lookup!$D$80</definedName>
    <definedName name="Nominal">Lookup!$D$74</definedName>
    <definedName name="Number">Lookup!$D$46</definedName>
    <definedName name="Percent">Lookup!$D$41</definedName>
    <definedName name="Power_Factor">Inputs_Other!$O$101:$O$109</definedName>
    <definedName name="RCP_1to5">"2015-16 to 2019-20"</definedName>
    <definedName name="Real2022">Lookup!$D$69</definedName>
    <definedName name="Real2023">Lookup!$D$70</definedName>
    <definedName name="Real2024">Lookup!$D$71</definedName>
    <definedName name="solver_cvg" hidden="1">0.0000001</definedName>
    <definedName name="solver_drv" hidden="1">1</definedName>
    <definedName name="solver_est" hidden="1">1</definedName>
    <definedName name="solver_itr" hidden="1">10000</definedName>
    <definedName name="solver_lin" hidden="1">2</definedName>
    <definedName name="solver_neg" hidden="1">2</definedName>
    <definedName name="solver_num" hidden="1">0</definedName>
    <definedName name="solver_nwt" hidden="1">1</definedName>
    <definedName name="solver_pre" hidden="1">0.000000001</definedName>
    <definedName name="solver_scl" hidden="1">2</definedName>
    <definedName name="solver_sho" hidden="1">2</definedName>
    <definedName name="solver_tim" hidden="1">1000</definedName>
    <definedName name="solver_tol" hidden="1">0.000000001</definedName>
    <definedName name="solver_typ" hidden="1">3</definedName>
    <definedName name="solver_val" hidden="1">0</definedName>
    <definedName name="Thousands">Lookup!$D$44</definedName>
    <definedName name="Thousands_to_Millions">Lookup!$D$28</definedName>
    <definedName name="Title_Msg">Checks!$H$10</definedName>
    <definedName name="TiTree" hidden="1">{"'petroleum sales data'!$A$1:$L$49"}</definedName>
    <definedName name="Typical_Consumption_Residential">Output_Pricing_Proposal!$L$300</definedName>
    <definedName name="Typical_Consumption_Small_Business">Output_Pricing_Proposal!$L$301</definedName>
    <definedName name="Voltage_Level_Mapping">Inputs_Other!$M$101:$M$109</definedName>
    <definedName name="Yes">Lookup!$D$36</definedName>
    <definedName name="Yes_No">Lookup!$D$36:$D$37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73" i="43" l="1"/>
  <c r="AC574" i="43" s="1"/>
  <c r="AC575" i="43" s="1"/>
  <c r="AC572" i="43"/>
  <c r="AE776" i="43"/>
  <c r="F776" i="43"/>
  <c r="E776" i="43"/>
  <c r="AE775" i="43"/>
  <c r="F775" i="43"/>
  <c r="E775" i="43"/>
  <c r="AE774" i="43"/>
  <c r="F774" i="43"/>
  <c r="E774" i="43"/>
  <c r="AE773" i="43"/>
  <c r="F773" i="43"/>
  <c r="E773" i="43"/>
  <c r="AE772" i="43"/>
  <c r="F772" i="43"/>
  <c r="E772" i="43"/>
  <c r="AE771" i="43"/>
  <c r="F771" i="43"/>
  <c r="E771" i="43"/>
  <c r="D776" i="43"/>
  <c r="D775" i="43"/>
  <c r="D774" i="43"/>
  <c r="D773" i="43"/>
  <c r="D772" i="43"/>
  <c r="D771" i="43"/>
  <c r="P153" i="40"/>
  <c r="P154" i="40"/>
  <c r="P155" i="40"/>
  <c r="Q153" i="40"/>
  <c r="R153" i="40"/>
  <c r="S153" i="40"/>
  <c r="Q154" i="40"/>
  <c r="R154" i="40"/>
  <c r="S154" i="40"/>
  <c r="Q155" i="40"/>
  <c r="R155" i="40"/>
  <c r="S155" i="40"/>
  <c r="F790" i="43"/>
  <c r="E790" i="43"/>
  <c r="F789" i="43"/>
  <c r="E789" i="43"/>
  <c r="F788" i="43"/>
  <c r="E788" i="43"/>
  <c r="F787" i="43"/>
  <c r="E787" i="43"/>
  <c r="F786" i="43"/>
  <c r="E786" i="43"/>
  <c r="F785" i="43"/>
  <c r="E785" i="43"/>
  <c r="F784" i="43"/>
  <c r="E784" i="43"/>
  <c r="F783" i="43"/>
  <c r="E783" i="43"/>
  <c r="F782" i="43"/>
  <c r="E782" i="43"/>
  <c r="F781" i="43"/>
  <c r="E781" i="43"/>
  <c r="F780" i="43"/>
  <c r="E780" i="43"/>
  <c r="F779" i="43"/>
  <c r="E779" i="43"/>
  <c r="F778" i="43"/>
  <c r="E778" i="43"/>
  <c r="F777" i="43"/>
  <c r="E777" i="43"/>
  <c r="F770" i="43"/>
  <c r="E770" i="43"/>
  <c r="F769" i="43"/>
  <c r="E769" i="43"/>
  <c r="F768" i="43"/>
  <c r="E768" i="43"/>
  <c r="F767" i="43"/>
  <c r="E767" i="43"/>
  <c r="F766" i="43"/>
  <c r="E766" i="43"/>
  <c r="F765" i="43"/>
  <c r="E765" i="43"/>
  <c r="F764" i="43"/>
  <c r="E764" i="43"/>
  <c r="F763" i="43"/>
  <c r="E763" i="43"/>
  <c r="F762" i="43"/>
  <c r="E762" i="43"/>
  <c r="F761" i="43"/>
  <c r="E761" i="43"/>
  <c r="F760" i="43"/>
  <c r="E760" i="43"/>
  <c r="F759" i="43"/>
  <c r="E759" i="43"/>
  <c r="F758" i="43"/>
  <c r="E758" i="43"/>
  <c r="F757" i="43"/>
  <c r="E757" i="43"/>
  <c r="F756" i="43"/>
  <c r="E756" i="43"/>
  <c r="F755" i="43"/>
  <c r="E755" i="43"/>
  <c r="F754" i="43"/>
  <c r="E754" i="43"/>
  <c r="F753" i="43"/>
  <c r="E753" i="43"/>
  <c r="F752" i="43"/>
  <c r="E752" i="43"/>
  <c r="F751" i="43"/>
  <c r="E751" i="43"/>
  <c r="F750" i="43"/>
  <c r="E750" i="43"/>
  <c r="F749" i="43"/>
  <c r="E749" i="43"/>
  <c r="F748" i="43"/>
  <c r="E748" i="43"/>
  <c r="F747" i="43"/>
  <c r="E747" i="43"/>
  <c r="F746" i="43"/>
  <c r="E746" i="43"/>
  <c r="F745" i="43"/>
  <c r="E745" i="43"/>
  <c r="F744" i="43"/>
  <c r="E744" i="43"/>
  <c r="F743" i="43"/>
  <c r="E743" i="43"/>
  <c r="F742" i="43"/>
  <c r="E742" i="43"/>
  <c r="F741" i="43"/>
  <c r="E741" i="43"/>
  <c r="F740" i="43"/>
  <c r="E740" i="43"/>
  <c r="F739" i="43"/>
  <c r="E739" i="43"/>
  <c r="F738" i="43"/>
  <c r="E738" i="43"/>
  <c r="F737" i="43"/>
  <c r="E737" i="43"/>
  <c r="F736" i="43"/>
  <c r="E736" i="43"/>
  <c r="F735" i="43"/>
  <c r="E735" i="43"/>
  <c r="F734" i="43"/>
  <c r="E734" i="43"/>
  <c r="F733" i="43"/>
  <c r="E733" i="43"/>
  <c r="F732" i="43"/>
  <c r="E732" i="43"/>
  <c r="F731" i="43"/>
  <c r="E731" i="43"/>
  <c r="F730" i="43"/>
  <c r="E730" i="43"/>
  <c r="F729" i="43"/>
  <c r="E729" i="43"/>
  <c r="F728" i="43"/>
  <c r="E728" i="43"/>
  <c r="F727" i="43"/>
  <c r="E727" i="43"/>
  <c r="F726" i="43"/>
  <c r="E726" i="43"/>
  <c r="F725" i="43"/>
  <c r="E725" i="43"/>
  <c r="F724" i="43"/>
  <c r="E724" i="43"/>
  <c r="F723" i="43"/>
  <c r="E723" i="43"/>
  <c r="F722" i="43"/>
  <c r="E722" i="43"/>
  <c r="F721" i="43"/>
  <c r="E721" i="43"/>
  <c r="F720" i="43"/>
  <c r="E720" i="43"/>
  <c r="F719" i="43"/>
  <c r="E719" i="43"/>
  <c r="F718" i="43"/>
  <c r="E718" i="43"/>
  <c r="F717" i="43"/>
  <c r="E717" i="43"/>
  <c r="F716" i="43"/>
  <c r="E716" i="43"/>
  <c r="F715" i="43"/>
  <c r="E715" i="43"/>
  <c r="F714" i="43"/>
  <c r="E714" i="43"/>
  <c r="F713" i="43"/>
  <c r="E713" i="43"/>
  <c r="F712" i="43"/>
  <c r="E712" i="43"/>
  <c r="F711" i="43"/>
  <c r="E711" i="43"/>
  <c r="F710" i="43"/>
  <c r="E710" i="43"/>
  <c r="F709" i="43"/>
  <c r="E709" i="43"/>
  <c r="F708" i="43"/>
  <c r="E708" i="43"/>
  <c r="F707" i="43"/>
  <c r="E707" i="43"/>
  <c r="F706" i="43"/>
  <c r="E706" i="43"/>
  <c r="F705" i="43"/>
  <c r="E705" i="43"/>
  <c r="F704" i="43"/>
  <c r="E704" i="43"/>
  <c r="F703" i="43"/>
  <c r="E703" i="43"/>
  <c r="F702" i="43"/>
  <c r="E702" i="43"/>
  <c r="F701" i="43"/>
  <c r="E701" i="43"/>
  <c r="F700" i="43"/>
  <c r="E700" i="43"/>
  <c r="F699" i="43"/>
  <c r="E699" i="43"/>
  <c r="F698" i="43"/>
  <c r="E698" i="43"/>
  <c r="F697" i="43"/>
  <c r="E697" i="43"/>
  <c r="F696" i="43"/>
  <c r="E696" i="43"/>
  <c r="F695" i="43"/>
  <c r="E695" i="43"/>
  <c r="F694" i="43"/>
  <c r="E694" i="43"/>
  <c r="F693" i="43"/>
  <c r="E693" i="43"/>
  <c r="F692" i="43"/>
  <c r="E692" i="43"/>
  <c r="F691" i="43"/>
  <c r="E691" i="43"/>
  <c r="F690" i="43"/>
  <c r="E690" i="43"/>
  <c r="F689" i="43"/>
  <c r="E689" i="43"/>
  <c r="F688" i="43"/>
  <c r="E688" i="43"/>
  <c r="F687" i="43"/>
  <c r="E687" i="43"/>
  <c r="F686" i="43"/>
  <c r="E686" i="43"/>
  <c r="F685" i="43"/>
  <c r="E685" i="43"/>
  <c r="F684" i="43"/>
  <c r="E684" i="43"/>
  <c r="F683" i="43"/>
  <c r="E683" i="43"/>
  <c r="F682" i="43"/>
  <c r="E682" i="43"/>
  <c r="F681" i="43"/>
  <c r="E681" i="43"/>
  <c r="F680" i="43"/>
  <c r="E680" i="43"/>
  <c r="F679" i="43"/>
  <c r="E679" i="43"/>
  <c r="F678" i="43"/>
  <c r="E678" i="43"/>
  <c r="F677" i="43"/>
  <c r="E677" i="43"/>
  <c r="F676" i="43"/>
  <c r="E676" i="43"/>
  <c r="F675" i="43"/>
  <c r="E675" i="43"/>
  <c r="F674" i="43"/>
  <c r="E674" i="43"/>
  <c r="F673" i="43"/>
  <c r="E673" i="43"/>
  <c r="F672" i="43"/>
  <c r="E672" i="43"/>
  <c r="F671" i="43"/>
  <c r="E671" i="43"/>
  <c r="F670" i="43"/>
  <c r="E670" i="43"/>
  <c r="F669" i="43"/>
  <c r="E669" i="43"/>
  <c r="F668" i="43"/>
  <c r="E668" i="43"/>
  <c r="F667" i="43"/>
  <c r="E667" i="43"/>
  <c r="F666" i="43"/>
  <c r="E666" i="43"/>
  <c r="F665" i="43"/>
  <c r="E665" i="43"/>
  <c r="F664" i="43"/>
  <c r="E664" i="43"/>
  <c r="F663" i="43"/>
  <c r="E663" i="43"/>
  <c r="F662" i="43"/>
  <c r="E662" i="43"/>
  <c r="F661" i="43"/>
  <c r="E661" i="43"/>
  <c r="F660" i="43"/>
  <c r="E660" i="43"/>
  <c r="F659" i="43"/>
  <c r="E659" i="43"/>
  <c r="F658" i="43"/>
  <c r="E658" i="43"/>
  <c r="F657" i="43"/>
  <c r="E657" i="43"/>
  <c r="F656" i="43"/>
  <c r="E656" i="43"/>
  <c r="F655" i="43"/>
  <c r="E655" i="43"/>
  <c r="F654" i="43"/>
  <c r="E654" i="43"/>
  <c r="F653" i="43"/>
  <c r="E653" i="43"/>
  <c r="F652" i="43"/>
  <c r="E652" i="43"/>
  <c r="F651" i="43"/>
  <c r="E651" i="43"/>
  <c r="F650" i="43"/>
  <c r="E650" i="43"/>
  <c r="F649" i="43"/>
  <c r="E649" i="43"/>
  <c r="F648" i="43"/>
  <c r="E648" i="43"/>
  <c r="F647" i="43"/>
  <c r="E647" i="43"/>
  <c r="F646" i="43"/>
  <c r="E646" i="43"/>
  <c r="F645" i="43"/>
  <c r="E645" i="43"/>
  <c r="F644" i="43"/>
  <c r="E644" i="43"/>
  <c r="F643" i="43"/>
  <c r="E643" i="43"/>
  <c r="F642" i="43"/>
  <c r="E642" i="43"/>
  <c r="F641" i="43"/>
  <c r="E641" i="43"/>
  <c r="F640" i="43"/>
  <c r="E640" i="43"/>
  <c r="F639" i="43"/>
  <c r="E639" i="43"/>
  <c r="F638" i="43"/>
  <c r="E638" i="43"/>
  <c r="F637" i="43"/>
  <c r="E637" i="43"/>
  <c r="F636" i="43"/>
  <c r="E636" i="43"/>
  <c r="F635" i="43"/>
  <c r="E635" i="43"/>
  <c r="F634" i="43"/>
  <c r="E634" i="43"/>
  <c r="F633" i="43"/>
  <c r="E633" i="43"/>
  <c r="F632" i="43"/>
  <c r="E632" i="43"/>
  <c r="F631" i="43"/>
  <c r="E631" i="43"/>
  <c r="F630" i="43"/>
  <c r="E630" i="43"/>
  <c r="F629" i="43"/>
  <c r="E629" i="43"/>
  <c r="F628" i="43"/>
  <c r="E628" i="43"/>
  <c r="F627" i="43"/>
  <c r="E627" i="43"/>
  <c r="F626" i="43"/>
  <c r="E626" i="43"/>
  <c r="F625" i="43"/>
  <c r="E625" i="43"/>
  <c r="F624" i="43"/>
  <c r="E624" i="43"/>
  <c r="F623" i="43"/>
  <c r="E623" i="43"/>
  <c r="F622" i="43"/>
  <c r="E622" i="43"/>
  <c r="F621" i="43"/>
  <c r="E621" i="43"/>
  <c r="F620" i="43"/>
  <c r="E620" i="43"/>
  <c r="F619" i="43"/>
  <c r="E619" i="43"/>
  <c r="F618" i="43"/>
  <c r="E618" i="43"/>
  <c r="F617" i="43"/>
  <c r="E617" i="43"/>
  <c r="F616" i="43"/>
  <c r="E616" i="43"/>
  <c r="F615" i="43"/>
  <c r="E615" i="43"/>
  <c r="F614" i="43"/>
  <c r="E614" i="43"/>
  <c r="F613" i="43"/>
  <c r="E613" i="43"/>
  <c r="F612" i="43"/>
  <c r="E612" i="43"/>
  <c r="F611" i="43"/>
  <c r="E611" i="43"/>
  <c r="F610" i="43"/>
  <c r="E610" i="43"/>
  <c r="F609" i="43"/>
  <c r="E609" i="43"/>
  <c r="F608" i="43"/>
  <c r="E608" i="43"/>
  <c r="F607" i="43"/>
  <c r="E607" i="43"/>
  <c r="F606" i="43"/>
  <c r="E606" i="43"/>
  <c r="F605" i="43"/>
  <c r="E605" i="43"/>
  <c r="F604" i="43"/>
  <c r="E604" i="43"/>
  <c r="F603" i="43"/>
  <c r="E603" i="43"/>
  <c r="F602" i="43"/>
  <c r="E602" i="43"/>
  <c r="F601" i="43"/>
  <c r="E601" i="43"/>
  <c r="F600" i="43"/>
  <c r="E600" i="43"/>
  <c r="F599" i="43"/>
  <c r="E599" i="43"/>
  <c r="F598" i="43"/>
  <c r="E598" i="43"/>
  <c r="F597" i="43"/>
  <c r="E597" i="43"/>
  <c r="F596" i="43"/>
  <c r="E596" i="43"/>
  <c r="F595" i="43"/>
  <c r="E595" i="43"/>
  <c r="F594" i="43"/>
  <c r="E594" i="43"/>
  <c r="F593" i="43"/>
  <c r="E593" i="43"/>
  <c r="F592" i="43"/>
  <c r="E592" i="43"/>
  <c r="F591" i="43"/>
  <c r="E591" i="43"/>
  <c r="F590" i="43"/>
  <c r="E590" i="43"/>
  <c r="F589" i="43"/>
  <c r="E589" i="43"/>
  <c r="F588" i="43"/>
  <c r="E588" i="43"/>
  <c r="F587" i="43"/>
  <c r="E587" i="43"/>
  <c r="F586" i="43"/>
  <c r="E586" i="43"/>
  <c r="F585" i="43"/>
  <c r="E585" i="43"/>
  <c r="F584" i="43"/>
  <c r="E584" i="43"/>
  <c r="F583" i="43"/>
  <c r="E583" i="43"/>
  <c r="F582" i="43"/>
  <c r="E582" i="43"/>
  <c r="F581" i="43"/>
  <c r="E581" i="43"/>
  <c r="F580" i="43"/>
  <c r="E580" i="43"/>
  <c r="F579" i="43"/>
  <c r="E579" i="43"/>
  <c r="F578" i="43"/>
  <c r="E578" i="43"/>
  <c r="F577" i="43"/>
  <c r="E577" i="43"/>
  <c r="F576" i="43"/>
  <c r="E576" i="43"/>
  <c r="F575" i="43"/>
  <c r="E575" i="43"/>
  <c r="F574" i="43"/>
  <c r="E574" i="43"/>
  <c r="F573" i="43"/>
  <c r="E573" i="43"/>
  <c r="F572" i="43"/>
  <c r="E572" i="43"/>
  <c r="F571" i="43"/>
  <c r="E571" i="43"/>
  <c r="AC571" i="43"/>
  <c r="AC576" i="43" l="1"/>
  <c r="AC551" i="43"/>
  <c r="AC552" i="43" s="1"/>
  <c r="AC553" i="43" s="1"/>
  <c r="AC554" i="43" s="1"/>
  <c r="AC555" i="43" s="1"/>
  <c r="AC556" i="43" s="1"/>
  <c r="AC557" i="43" s="1"/>
  <c r="AC558" i="43" s="1"/>
  <c r="AC559" i="43" s="1"/>
  <c r="AC560" i="43" s="1"/>
  <c r="AC561" i="43" s="1"/>
  <c r="AC562" i="43" s="1"/>
  <c r="AC563" i="43" s="1"/>
  <c r="D730" i="43"/>
  <c r="D731" i="43"/>
  <c r="D732" i="43"/>
  <c r="D733" i="43"/>
  <c r="D734" i="43"/>
  <c r="D735" i="43"/>
  <c r="D736" i="43"/>
  <c r="D737" i="43"/>
  <c r="D738" i="43"/>
  <c r="D739" i="43"/>
  <c r="D740" i="43"/>
  <c r="D741" i="43"/>
  <c r="D742" i="43"/>
  <c r="D743" i="43"/>
  <c r="D744" i="43"/>
  <c r="D745" i="43"/>
  <c r="D746" i="43"/>
  <c r="D747" i="43"/>
  <c r="D748" i="43"/>
  <c r="D749" i="43"/>
  <c r="D750" i="43"/>
  <c r="D751" i="43"/>
  <c r="D752" i="43"/>
  <c r="D753" i="43"/>
  <c r="D754" i="43"/>
  <c r="D755" i="43"/>
  <c r="D756" i="43"/>
  <c r="D757" i="43"/>
  <c r="D758" i="43"/>
  <c r="D759" i="43"/>
  <c r="D760" i="43"/>
  <c r="D761" i="43"/>
  <c r="D762" i="43"/>
  <c r="D763" i="43"/>
  <c r="D764" i="43"/>
  <c r="D765" i="43"/>
  <c r="D766" i="43"/>
  <c r="D767" i="43"/>
  <c r="D768" i="43"/>
  <c r="D769" i="43"/>
  <c r="D770" i="43"/>
  <c r="D777" i="43"/>
  <c r="AC495" i="43"/>
  <c r="AC496" i="43" s="1"/>
  <c r="AC497" i="43" s="1"/>
  <c r="AC498" i="43" s="1"/>
  <c r="AC499" i="43" s="1"/>
  <c r="AC500" i="43" s="1"/>
  <c r="AC501" i="43" s="1"/>
  <c r="AC502" i="43" s="1"/>
  <c r="AC503" i="43" s="1"/>
  <c r="AC504" i="43" s="1"/>
  <c r="AC505" i="43" s="1"/>
  <c r="AC506" i="43" s="1"/>
  <c r="AC507" i="43" s="1"/>
  <c r="AC508" i="43" s="1"/>
  <c r="AC509" i="43" s="1"/>
  <c r="AC510" i="43" s="1"/>
  <c r="AC511" i="43" s="1"/>
  <c r="AC512" i="43" s="1"/>
  <c r="AC513" i="43" s="1"/>
  <c r="AC514" i="43" s="1"/>
  <c r="AC515" i="43" s="1"/>
  <c r="AC516" i="43" s="1"/>
  <c r="AC517" i="43" s="1"/>
  <c r="AC518" i="43" s="1"/>
  <c r="AC519" i="43" s="1"/>
  <c r="AC520" i="43" s="1"/>
  <c r="AC521" i="43" s="1"/>
  <c r="AC522" i="43" s="1"/>
  <c r="AC523" i="43" s="1"/>
  <c r="AC524" i="43" s="1"/>
  <c r="AC525" i="43" s="1"/>
  <c r="AC526" i="43" s="1"/>
  <c r="AC527" i="43" s="1"/>
  <c r="AC528" i="43" s="1"/>
  <c r="AC529" i="43" s="1"/>
  <c r="AC530" i="43" s="1"/>
  <c r="AC531" i="43" s="1"/>
  <c r="AC532" i="43" s="1"/>
  <c r="AC533" i="43" s="1"/>
  <c r="AC534" i="43" s="1"/>
  <c r="AC535" i="43" s="1"/>
  <c r="AC536" i="43" s="1"/>
  <c r="AC537" i="43" s="1"/>
  <c r="AC538" i="43" s="1"/>
  <c r="AC539" i="43" s="1"/>
  <c r="D572" i="43"/>
  <c r="D573" i="43"/>
  <c r="D574" i="43"/>
  <c r="D575" i="43"/>
  <c r="D576" i="43"/>
  <c r="D577" i="43"/>
  <c r="D578" i="43"/>
  <c r="D579" i="43"/>
  <c r="D580" i="43"/>
  <c r="D581" i="43"/>
  <c r="D582" i="43"/>
  <c r="D583" i="43"/>
  <c r="D584" i="43"/>
  <c r="D585" i="43"/>
  <c r="D586" i="43"/>
  <c r="D587" i="43"/>
  <c r="D588" i="43"/>
  <c r="D589" i="43"/>
  <c r="D590" i="43"/>
  <c r="D591" i="43"/>
  <c r="D592" i="43"/>
  <c r="D593" i="43"/>
  <c r="D594" i="43"/>
  <c r="D595" i="43"/>
  <c r="D596" i="43"/>
  <c r="D597" i="43"/>
  <c r="D598" i="43"/>
  <c r="D599" i="43"/>
  <c r="D600" i="43"/>
  <c r="D601" i="43"/>
  <c r="D602" i="43"/>
  <c r="D603" i="43"/>
  <c r="D604" i="43"/>
  <c r="D605" i="43"/>
  <c r="D606" i="43"/>
  <c r="D607" i="43"/>
  <c r="D608" i="43"/>
  <c r="D609" i="43"/>
  <c r="D610" i="43"/>
  <c r="D611" i="43"/>
  <c r="D612" i="43"/>
  <c r="D613" i="43"/>
  <c r="D614" i="43"/>
  <c r="D615" i="43"/>
  <c r="D616" i="43"/>
  <c r="D617" i="43"/>
  <c r="D618" i="43"/>
  <c r="D619" i="43"/>
  <c r="D620" i="43"/>
  <c r="D621" i="43"/>
  <c r="D622" i="43"/>
  <c r="D623" i="43"/>
  <c r="D624" i="43"/>
  <c r="D625" i="43"/>
  <c r="D626" i="43"/>
  <c r="D627" i="43"/>
  <c r="D628" i="43"/>
  <c r="D629" i="43"/>
  <c r="D630" i="43"/>
  <c r="D631" i="43"/>
  <c r="D632" i="43"/>
  <c r="D633" i="43"/>
  <c r="D634" i="43"/>
  <c r="D635" i="43"/>
  <c r="D636" i="43"/>
  <c r="D637" i="43"/>
  <c r="D638" i="43"/>
  <c r="D639" i="43"/>
  <c r="D640" i="43"/>
  <c r="D641" i="43"/>
  <c r="D642" i="43"/>
  <c r="D643" i="43"/>
  <c r="D644" i="43"/>
  <c r="D645" i="43"/>
  <c r="D646" i="43"/>
  <c r="D647" i="43"/>
  <c r="D648" i="43"/>
  <c r="D649" i="43"/>
  <c r="D650" i="43"/>
  <c r="D651" i="43"/>
  <c r="D652" i="43"/>
  <c r="D653" i="43"/>
  <c r="D654" i="43"/>
  <c r="D655" i="43"/>
  <c r="D656" i="43"/>
  <c r="D657" i="43"/>
  <c r="D658" i="43"/>
  <c r="D659" i="43"/>
  <c r="D660" i="43"/>
  <c r="D661" i="43"/>
  <c r="D662" i="43"/>
  <c r="D663" i="43"/>
  <c r="D664" i="43"/>
  <c r="D665" i="43"/>
  <c r="D666" i="43"/>
  <c r="D667" i="43"/>
  <c r="D668" i="43"/>
  <c r="D669" i="43"/>
  <c r="D670" i="43"/>
  <c r="D671" i="43"/>
  <c r="D672" i="43"/>
  <c r="D673" i="43"/>
  <c r="D674" i="43"/>
  <c r="D675" i="43"/>
  <c r="D676" i="43"/>
  <c r="D677" i="43"/>
  <c r="D678" i="43"/>
  <c r="D679" i="43"/>
  <c r="D680" i="43"/>
  <c r="D681" i="43"/>
  <c r="D682" i="43"/>
  <c r="D683" i="43"/>
  <c r="D684" i="43"/>
  <c r="D685" i="43"/>
  <c r="D686" i="43"/>
  <c r="D687" i="43"/>
  <c r="D688" i="43"/>
  <c r="D689" i="43"/>
  <c r="D690" i="43"/>
  <c r="D691" i="43"/>
  <c r="D692" i="43"/>
  <c r="D693" i="43"/>
  <c r="D694" i="43"/>
  <c r="D695" i="43"/>
  <c r="D696" i="43"/>
  <c r="D697" i="43"/>
  <c r="D698" i="43"/>
  <c r="D699" i="43"/>
  <c r="D700" i="43"/>
  <c r="D701" i="43"/>
  <c r="D702" i="43"/>
  <c r="D703" i="43"/>
  <c r="D704" i="43"/>
  <c r="D705" i="43"/>
  <c r="D706" i="43"/>
  <c r="D707" i="43"/>
  <c r="D708" i="43"/>
  <c r="D709" i="43"/>
  <c r="D710" i="43"/>
  <c r="D711" i="43"/>
  <c r="D712" i="43"/>
  <c r="D713" i="43"/>
  <c r="D714" i="43"/>
  <c r="D715" i="43"/>
  <c r="D716" i="43"/>
  <c r="D717" i="43"/>
  <c r="D718" i="43"/>
  <c r="D719" i="43"/>
  <c r="D720" i="43"/>
  <c r="D721" i="43"/>
  <c r="D722" i="43"/>
  <c r="D723" i="43"/>
  <c r="D724" i="43"/>
  <c r="D725" i="43"/>
  <c r="D726" i="43"/>
  <c r="D727" i="43"/>
  <c r="D728" i="43"/>
  <c r="AC329" i="43"/>
  <c r="AC330" i="43" s="1"/>
  <c r="AC331" i="43" s="1"/>
  <c r="AC332" i="43" s="1"/>
  <c r="AC333" i="43" s="1"/>
  <c r="AC334" i="43" s="1"/>
  <c r="AC335" i="43" s="1"/>
  <c r="AC336" i="43" s="1"/>
  <c r="AC337" i="43" s="1"/>
  <c r="AC338" i="43" s="1"/>
  <c r="AC339" i="43" s="1"/>
  <c r="AC340" i="43" s="1"/>
  <c r="AC341" i="43" s="1"/>
  <c r="AC342" i="43" s="1"/>
  <c r="AC343" i="43" s="1"/>
  <c r="AC344" i="43" s="1"/>
  <c r="AC345" i="43" s="1"/>
  <c r="AC346" i="43" s="1"/>
  <c r="AC347" i="43" s="1"/>
  <c r="AC348" i="43" s="1"/>
  <c r="AC349" i="43" s="1"/>
  <c r="AC350" i="43" s="1"/>
  <c r="AC351" i="43" s="1"/>
  <c r="AC352" i="43" s="1"/>
  <c r="AC353" i="43" s="1"/>
  <c r="AC354" i="43" s="1"/>
  <c r="AC355" i="43" s="1"/>
  <c r="AC356" i="43" s="1"/>
  <c r="AC357" i="43" s="1"/>
  <c r="AC358" i="43" s="1"/>
  <c r="AC359" i="43" s="1"/>
  <c r="AC360" i="43" s="1"/>
  <c r="AC361" i="43" s="1"/>
  <c r="AC362" i="43" s="1"/>
  <c r="AC363" i="43" s="1"/>
  <c r="AC364" i="43" s="1"/>
  <c r="AC365" i="43" s="1"/>
  <c r="AC366" i="43" s="1"/>
  <c r="AC367" i="43" s="1"/>
  <c r="AC368" i="43" s="1"/>
  <c r="AC369" i="43" s="1"/>
  <c r="AC370" i="43" s="1"/>
  <c r="AC371" i="43" s="1"/>
  <c r="AC372" i="43" s="1"/>
  <c r="AC373" i="43" s="1"/>
  <c r="AC374" i="43" s="1"/>
  <c r="AC375" i="43" s="1"/>
  <c r="AC376" i="43" s="1"/>
  <c r="AC377" i="43" s="1"/>
  <c r="AC378" i="43" s="1"/>
  <c r="AC379" i="43" s="1"/>
  <c r="AC380" i="43" s="1"/>
  <c r="AC381" i="43" s="1"/>
  <c r="AC382" i="43" s="1"/>
  <c r="AC383" i="43" s="1"/>
  <c r="AC384" i="43" s="1"/>
  <c r="AC385" i="43" s="1"/>
  <c r="AC386" i="43" s="1"/>
  <c r="AC387" i="43" s="1"/>
  <c r="AC388" i="43" s="1"/>
  <c r="AC389" i="43" s="1"/>
  <c r="AC390" i="43" s="1"/>
  <c r="AC391" i="43" s="1"/>
  <c r="AC392" i="43" s="1"/>
  <c r="AC393" i="43" s="1"/>
  <c r="AC394" i="43" s="1"/>
  <c r="AC395" i="43" s="1"/>
  <c r="AC396" i="43" s="1"/>
  <c r="AC397" i="43" s="1"/>
  <c r="AC398" i="43" s="1"/>
  <c r="AC399" i="43" s="1"/>
  <c r="AC400" i="43" s="1"/>
  <c r="AC401" i="43" s="1"/>
  <c r="AC402" i="43" s="1"/>
  <c r="AC403" i="43" s="1"/>
  <c r="AC404" i="43" s="1"/>
  <c r="AC405" i="43" s="1"/>
  <c r="AC406" i="43" s="1"/>
  <c r="AC407" i="43" s="1"/>
  <c r="AC408" i="43" s="1"/>
  <c r="AC409" i="43" s="1"/>
  <c r="AC410" i="43" s="1"/>
  <c r="AC411" i="43" s="1"/>
  <c r="AC412" i="43" s="1"/>
  <c r="AC413" i="43" s="1"/>
  <c r="AC414" i="43" s="1"/>
  <c r="AC415" i="43" s="1"/>
  <c r="AC416" i="43" s="1"/>
  <c r="AC417" i="43" s="1"/>
  <c r="AC418" i="43" s="1"/>
  <c r="AC419" i="43" s="1"/>
  <c r="AC420" i="43" s="1"/>
  <c r="AC421" i="43" s="1"/>
  <c r="AC422" i="43" s="1"/>
  <c r="AC423" i="43" s="1"/>
  <c r="AC424" i="43" s="1"/>
  <c r="AC425" i="43" s="1"/>
  <c r="AC426" i="43" s="1"/>
  <c r="AC427" i="43" s="1"/>
  <c r="AC428" i="43" s="1"/>
  <c r="AC429" i="43" s="1"/>
  <c r="AC430" i="43" s="1"/>
  <c r="AC431" i="43" s="1"/>
  <c r="AC432" i="43" s="1"/>
  <c r="AC433" i="43" s="1"/>
  <c r="AC434" i="43" s="1"/>
  <c r="AC435" i="43" s="1"/>
  <c r="AC436" i="43" s="1"/>
  <c r="AC437" i="43" s="1"/>
  <c r="AC438" i="43" s="1"/>
  <c r="AC439" i="43" s="1"/>
  <c r="AC440" i="43" s="1"/>
  <c r="AC441" i="43" s="1"/>
  <c r="AC442" i="43" s="1"/>
  <c r="AC443" i="43" s="1"/>
  <c r="AC444" i="43" s="1"/>
  <c r="AC445" i="43" s="1"/>
  <c r="AC446" i="43" s="1"/>
  <c r="AC447" i="43" s="1"/>
  <c r="AC448" i="43" s="1"/>
  <c r="AC449" i="43" s="1"/>
  <c r="AC450" i="43" s="1"/>
  <c r="AC451" i="43" s="1"/>
  <c r="AC452" i="43" s="1"/>
  <c r="AC453" i="43" s="1"/>
  <c r="AC454" i="43" s="1"/>
  <c r="AC455" i="43" s="1"/>
  <c r="AC456" i="43" s="1"/>
  <c r="AC457" i="43" s="1"/>
  <c r="AC458" i="43" s="1"/>
  <c r="AC459" i="43" s="1"/>
  <c r="AC460" i="43" s="1"/>
  <c r="AC461" i="43" s="1"/>
  <c r="AC462" i="43" s="1"/>
  <c r="AC463" i="43" s="1"/>
  <c r="AC464" i="43" s="1"/>
  <c r="AC465" i="43" s="1"/>
  <c r="AC466" i="43" s="1"/>
  <c r="AC467" i="43" s="1"/>
  <c r="AC468" i="43" s="1"/>
  <c r="AC469" i="43" s="1"/>
  <c r="AC470" i="43" s="1"/>
  <c r="AC471" i="43" s="1"/>
  <c r="AC472" i="43" s="1"/>
  <c r="AC473" i="43" s="1"/>
  <c r="AC474" i="43" s="1"/>
  <c r="AC475" i="43" s="1"/>
  <c r="AC476" i="43" s="1"/>
  <c r="AC477" i="43" s="1"/>
  <c r="AC478" i="43" s="1"/>
  <c r="AC479" i="43" s="1"/>
  <c r="AC480" i="43" s="1"/>
  <c r="AC481" i="43" s="1"/>
  <c r="AC482" i="43" s="1"/>
  <c r="AC483" i="43" s="1"/>
  <c r="AC484" i="43" s="1"/>
  <c r="AC485" i="43" s="1"/>
  <c r="AC486" i="43" s="1"/>
  <c r="AC577" i="43" l="1"/>
  <c r="AC540" i="43"/>
  <c r="AC578" i="43" l="1"/>
  <c r="AC541" i="43"/>
  <c r="N178" i="47"/>
  <c r="M178" i="47"/>
  <c r="N177" i="47"/>
  <c r="M177" i="47"/>
  <c r="J175" i="47"/>
  <c r="I175" i="47"/>
  <c r="H175" i="47"/>
  <c r="J168" i="47"/>
  <c r="I168" i="47"/>
  <c r="H168" i="47"/>
  <c r="J162" i="47"/>
  <c r="I162" i="47"/>
  <c r="H162" i="47"/>
  <c r="AC579" i="43" l="1"/>
  <c r="AC542" i="43"/>
  <c r="H77" i="40"/>
  <c r="H78" i="40" s="1"/>
  <c r="H79" i="40" s="1"/>
  <c r="H80" i="40" s="1"/>
  <c r="I77" i="40"/>
  <c r="I78" i="40" s="1"/>
  <c r="I79" i="40" s="1"/>
  <c r="I80" i="40" s="1"/>
  <c r="J77" i="40"/>
  <c r="J78" i="40" s="1"/>
  <c r="J79" i="40" s="1"/>
  <c r="J80" i="40" s="1"/>
  <c r="AC580" i="43" l="1"/>
  <c r="AC543" i="43"/>
  <c r="AC581" i="43" l="1"/>
  <c r="J179" i="45"/>
  <c r="I179" i="45"/>
  <c r="H179" i="45"/>
  <c r="J233" i="44"/>
  <c r="I233" i="44"/>
  <c r="H233" i="44"/>
  <c r="J193" i="45"/>
  <c r="I193" i="45"/>
  <c r="H193" i="45"/>
  <c r="D172" i="45"/>
  <c r="J172" i="45"/>
  <c r="I172" i="45"/>
  <c r="H172" i="45"/>
  <c r="AC582" i="43" l="1"/>
  <c r="L249" i="44"/>
  <c r="L174" i="45" s="1"/>
  <c r="O249" i="44"/>
  <c r="O174" i="45" s="1"/>
  <c r="N249" i="44"/>
  <c r="N174" i="45" s="1"/>
  <c r="J242" i="44"/>
  <c r="I242" i="44"/>
  <c r="H242" i="44"/>
  <c r="AC583" i="43" l="1"/>
  <c r="U249" i="44"/>
  <c r="U174" i="45" s="1"/>
  <c r="U182" i="45" s="1"/>
  <c r="N183" i="45"/>
  <c r="N187" i="45"/>
  <c r="N182" i="45"/>
  <c r="N150" i="47" s="1"/>
  <c r="N181" i="45"/>
  <c r="N149" i="47" s="1"/>
  <c r="U181" i="45"/>
  <c r="U149" i="47" s="1"/>
  <c r="O187" i="45"/>
  <c r="O181" i="45"/>
  <c r="O149" i="47" s="1"/>
  <c r="O183" i="45"/>
  <c r="O182" i="45"/>
  <c r="L182" i="45"/>
  <c r="L183" i="45"/>
  <c r="L181" i="45"/>
  <c r="L187" i="45"/>
  <c r="M249" i="44"/>
  <c r="M174" i="45" s="1"/>
  <c r="S249" i="44"/>
  <c r="S174" i="45" s="1"/>
  <c r="T249" i="44"/>
  <c r="T174" i="45" s="1"/>
  <c r="P249" i="44"/>
  <c r="P174" i="45" s="1"/>
  <c r="Q249" i="44"/>
  <c r="Q174" i="45" s="1"/>
  <c r="R249" i="44"/>
  <c r="R174" i="45" s="1"/>
  <c r="AC584" i="43" l="1"/>
  <c r="L185" i="45"/>
  <c r="L188" i="45" s="1"/>
  <c r="U183" i="45"/>
  <c r="U151" i="47" s="1"/>
  <c r="U187" i="45"/>
  <c r="U150" i="47"/>
  <c r="O151" i="47"/>
  <c r="O197" i="45"/>
  <c r="O196" i="45" s="1"/>
  <c r="O195" i="45" s="1"/>
  <c r="O150" i="47"/>
  <c r="N151" i="47"/>
  <c r="O185" i="45"/>
  <c r="M182" i="45"/>
  <c r="M183" i="45"/>
  <c r="M197" i="45" s="1"/>
  <c r="M187" i="45"/>
  <c r="M181" i="45"/>
  <c r="S181" i="45"/>
  <c r="S149" i="47" s="1"/>
  <c r="S182" i="45"/>
  <c r="S150" i="47" s="1"/>
  <c r="S183" i="45"/>
  <c r="S187" i="45"/>
  <c r="R182" i="45"/>
  <c r="R150" i="47" s="1"/>
  <c r="R183" i="45"/>
  <c r="R181" i="45"/>
  <c r="R149" i="47" s="1"/>
  <c r="R187" i="45"/>
  <c r="N185" i="45"/>
  <c r="Q187" i="45"/>
  <c r="Q181" i="45"/>
  <c r="Q149" i="47" s="1"/>
  <c r="Q182" i="45"/>
  <c r="Q150" i="47" s="1"/>
  <c r="Q183" i="45"/>
  <c r="P187" i="45"/>
  <c r="P181" i="45"/>
  <c r="P149" i="47" s="1"/>
  <c r="P182" i="45"/>
  <c r="P150" i="47" s="1"/>
  <c r="P183" i="45"/>
  <c r="P197" i="45" s="1"/>
  <c r="P196" i="45" s="1"/>
  <c r="T181" i="45"/>
  <c r="T149" i="47" s="1"/>
  <c r="T182" i="45"/>
  <c r="T150" i="47" s="1"/>
  <c r="T183" i="45"/>
  <c r="T187" i="45"/>
  <c r="U185" i="45" l="1"/>
  <c r="U188" i="45" s="1"/>
  <c r="AC585" i="43"/>
  <c r="N188" i="45"/>
  <c r="N155" i="47"/>
  <c r="O188" i="45"/>
  <c r="O155" i="47"/>
  <c r="T197" i="45"/>
  <c r="T196" i="45" s="1"/>
  <c r="T195" i="45" s="1"/>
  <c r="Q197" i="45"/>
  <c r="Q196" i="45" s="1"/>
  <c r="Q195" i="45" s="1"/>
  <c r="M149" i="47"/>
  <c r="M150" i="47"/>
  <c r="M196" i="45"/>
  <c r="M195" i="45" s="1"/>
  <c r="R151" i="47"/>
  <c r="R197" i="45"/>
  <c r="R196" i="45" s="1"/>
  <c r="R195" i="45" s="1"/>
  <c r="P195" i="45"/>
  <c r="S151" i="47"/>
  <c r="S197" i="45"/>
  <c r="S196" i="45" s="1"/>
  <c r="S195" i="45" s="1"/>
  <c r="N197" i="45"/>
  <c r="N196" i="45" s="1"/>
  <c r="N195" i="45" s="1"/>
  <c r="U197" i="45"/>
  <c r="U196" i="45" s="1"/>
  <c r="U195" i="45" s="1"/>
  <c r="Q151" i="47"/>
  <c r="M151" i="47"/>
  <c r="T151" i="47"/>
  <c r="P151" i="47"/>
  <c r="R185" i="45"/>
  <c r="T185" i="45"/>
  <c r="P185" i="45"/>
  <c r="S185" i="45"/>
  <c r="M185" i="45"/>
  <c r="Q185" i="45"/>
  <c r="U155" i="47" l="1"/>
  <c r="AC586" i="43"/>
  <c r="M188" i="45"/>
  <c r="M155" i="47"/>
  <c r="R188" i="45"/>
  <c r="R155" i="47"/>
  <c r="T188" i="45"/>
  <c r="T155" i="47"/>
  <c r="Q188" i="45"/>
  <c r="Q155" i="47"/>
  <c r="S188" i="45"/>
  <c r="S155" i="47"/>
  <c r="P188" i="45"/>
  <c r="P155" i="47"/>
  <c r="J147" i="47"/>
  <c r="I147" i="47"/>
  <c r="H147" i="47"/>
  <c r="J134" i="47"/>
  <c r="I134" i="47"/>
  <c r="H134" i="47"/>
  <c r="J100" i="47"/>
  <c r="I100" i="47"/>
  <c r="H100" i="47"/>
  <c r="AC587" i="43" l="1"/>
  <c r="D790" i="43"/>
  <c r="D789" i="43"/>
  <c r="D788" i="43"/>
  <c r="D787" i="43"/>
  <c r="D786" i="43"/>
  <c r="D785" i="43"/>
  <c r="D784" i="43"/>
  <c r="D783" i="43"/>
  <c r="D782" i="43"/>
  <c r="D781" i="43"/>
  <c r="D780" i="43"/>
  <c r="D779" i="43"/>
  <c r="D778" i="43"/>
  <c r="D729" i="43"/>
  <c r="D571" i="43"/>
  <c r="M161" i="43"/>
  <c r="M162" i="43"/>
  <c r="M163" i="43"/>
  <c r="M164" i="43"/>
  <c r="M165" i="43"/>
  <c r="M166" i="43"/>
  <c r="M167" i="43"/>
  <c r="M168" i="43"/>
  <c r="H161" i="43"/>
  <c r="H162" i="43"/>
  <c r="H163" i="43"/>
  <c r="H164" i="43"/>
  <c r="G165" i="43"/>
  <c r="H165" i="43"/>
  <c r="G166" i="43"/>
  <c r="G167" i="43"/>
  <c r="H167" i="43"/>
  <c r="G168" i="43"/>
  <c r="H168" i="43"/>
  <c r="AC588" i="43" l="1"/>
  <c r="N165" i="47"/>
  <c r="M165" i="47"/>
  <c r="N164" i="47"/>
  <c r="M164" i="47"/>
  <c r="G162" i="43"/>
  <c r="G161" i="43"/>
  <c r="O304" i="43"/>
  <c r="O306" i="43"/>
  <c r="M305" i="43"/>
  <c r="O303" i="43"/>
  <c r="I310" i="43"/>
  <c r="H166" i="43"/>
  <c r="G164" i="43"/>
  <c r="G163" i="43"/>
  <c r="J311" i="43"/>
  <c r="J313" i="43"/>
  <c r="N302" i="43"/>
  <c r="J308" i="43"/>
  <c r="O307" i="43"/>
  <c r="N304" i="43"/>
  <c r="J310" i="43"/>
  <c r="J309" i="43"/>
  <c r="M303" i="43"/>
  <c r="I312" i="43"/>
  <c r="I308" i="43"/>
  <c r="O305" i="43"/>
  <c r="J312" i="43"/>
  <c r="M307" i="43"/>
  <c r="O302" i="43"/>
  <c r="N305" i="43"/>
  <c r="N303" i="43"/>
  <c r="M306" i="43"/>
  <c r="I311" i="43"/>
  <c r="N306" i="43"/>
  <c r="M304" i="43"/>
  <c r="M302" i="43"/>
  <c r="N307" i="43"/>
  <c r="I309" i="43"/>
  <c r="I313" i="43"/>
  <c r="A1" i="41"/>
  <c r="D18" i="37"/>
  <c r="D21" i="38"/>
  <c r="AC589" i="43" l="1"/>
  <c r="J27" i="43"/>
  <c r="I27" i="43"/>
  <c r="D18" i="47"/>
  <c r="D19" i="47"/>
  <c r="N18" i="47"/>
  <c r="N32" i="33"/>
  <c r="N35" i="33" s="1"/>
  <c r="M32" i="33"/>
  <c r="J98" i="48"/>
  <c r="I98" i="48"/>
  <c r="H98" i="48"/>
  <c r="N73" i="47"/>
  <c r="M73" i="47"/>
  <c r="N72" i="47"/>
  <c r="M72" i="47"/>
  <c r="N71" i="47"/>
  <c r="M71" i="47"/>
  <c r="N70" i="47"/>
  <c r="M70" i="47"/>
  <c r="Q88" i="48"/>
  <c r="Q90" i="48" s="1"/>
  <c r="Q93" i="48" s="1"/>
  <c r="P88" i="48"/>
  <c r="T87" i="48"/>
  <c r="T88" i="48" s="1"/>
  <c r="T90" i="48" s="1"/>
  <c r="T93" i="48" s="1"/>
  <c r="S87" i="48"/>
  <c r="S88" i="48" s="1"/>
  <c r="S90" i="48" s="1"/>
  <c r="S93" i="48" s="1"/>
  <c r="J85" i="48"/>
  <c r="I85" i="48"/>
  <c r="H85" i="48"/>
  <c r="J71" i="48"/>
  <c r="J64" i="48"/>
  <c r="I64" i="48"/>
  <c r="H64" i="48"/>
  <c r="F64" i="48"/>
  <c r="E64" i="48"/>
  <c r="D64" i="48"/>
  <c r="M89" i="47"/>
  <c r="N86" i="47"/>
  <c r="M86" i="47"/>
  <c r="J54" i="48"/>
  <c r="J44" i="48"/>
  <c r="I44" i="48"/>
  <c r="H44" i="48"/>
  <c r="F44" i="48"/>
  <c r="E44" i="48"/>
  <c r="D44" i="48"/>
  <c r="J35" i="48"/>
  <c r="AC590" i="43" l="1"/>
  <c r="M69" i="47"/>
  <c r="N69" i="47"/>
  <c r="N19" i="47"/>
  <c r="N37" i="47" s="1"/>
  <c r="M35" i="33"/>
  <c r="M19" i="47" s="1"/>
  <c r="M32" i="47" s="1"/>
  <c r="M87" i="47"/>
  <c r="N87" i="47"/>
  <c r="T48" i="48"/>
  <c r="M85" i="47"/>
  <c r="N85" i="47"/>
  <c r="T68" i="48"/>
  <c r="M74" i="47"/>
  <c r="N74" i="47"/>
  <c r="N89" i="47"/>
  <c r="M88" i="48"/>
  <c r="M90" i="48" s="1"/>
  <c r="M93" i="48" s="1"/>
  <c r="N88" i="48"/>
  <c r="N90" i="48" s="1"/>
  <c r="N93" i="48" s="1"/>
  <c r="P90" i="48"/>
  <c r="P93" i="48" s="1"/>
  <c r="S69" i="48"/>
  <c r="S48" i="48"/>
  <c r="T69" i="48"/>
  <c r="S68" i="48"/>
  <c r="S50" i="48"/>
  <c r="T50" i="48"/>
  <c r="S67" i="48"/>
  <c r="T67" i="48"/>
  <c r="S51" i="48"/>
  <c r="S52" i="48"/>
  <c r="T51" i="48"/>
  <c r="S49" i="48"/>
  <c r="T52" i="48"/>
  <c r="T49" i="48"/>
  <c r="S47" i="48"/>
  <c r="T47" i="48"/>
  <c r="Q54" i="48"/>
  <c r="P54" i="48"/>
  <c r="AC591" i="43" l="1"/>
  <c r="M88" i="47"/>
  <c r="M78" i="47"/>
  <c r="N78" i="47"/>
  <c r="N88" i="47"/>
  <c r="M33" i="47"/>
  <c r="M38" i="47"/>
  <c r="N56" i="47"/>
  <c r="N31" i="47"/>
  <c r="N30" i="47"/>
  <c r="M56" i="47"/>
  <c r="M37" i="47"/>
  <c r="M31" i="47"/>
  <c r="N33" i="47"/>
  <c r="N38" i="47"/>
  <c r="N40" i="47"/>
  <c r="N35" i="47"/>
  <c r="M39" i="47"/>
  <c r="M30" i="47"/>
  <c r="M40" i="47"/>
  <c r="M35" i="47"/>
  <c r="N39" i="47"/>
  <c r="N32" i="47"/>
  <c r="M76" i="47"/>
  <c r="M79" i="47" s="1"/>
  <c r="N76" i="47"/>
  <c r="A93" i="48"/>
  <c r="AC592" i="43" l="1"/>
  <c r="N79" i="47"/>
  <c r="F25" i="48"/>
  <c r="E25" i="48"/>
  <c r="D25" i="48"/>
  <c r="J25" i="48"/>
  <c r="I25" i="48"/>
  <c r="H25" i="48"/>
  <c r="D19" i="25"/>
  <c r="D13" i="28"/>
  <c r="J9" i="48"/>
  <c r="I9" i="48"/>
  <c r="H9" i="48"/>
  <c r="B9" i="48"/>
  <c r="B4" i="48"/>
  <c r="B3" i="48"/>
  <c r="D30" i="25"/>
  <c r="D30" i="28"/>
  <c r="M91" i="47"/>
  <c r="N91" i="47"/>
  <c r="M93" i="47"/>
  <c r="N93" i="47"/>
  <c r="J83" i="47"/>
  <c r="I83" i="47"/>
  <c r="H83" i="47"/>
  <c r="C21" i="32"/>
  <c r="C22" i="32"/>
  <c r="C23" i="32"/>
  <c r="C24" i="32"/>
  <c r="C25" i="32"/>
  <c r="C26" i="32"/>
  <c r="C27" i="32"/>
  <c r="C28" i="32"/>
  <c r="S73" i="47"/>
  <c r="R73" i="47"/>
  <c r="Q73" i="47"/>
  <c r="P73" i="47"/>
  <c r="O73" i="47"/>
  <c r="E59" i="4"/>
  <c r="W77" i="34"/>
  <c r="W76" i="34"/>
  <c r="W75" i="34"/>
  <c r="W74" i="34"/>
  <c r="W64" i="34"/>
  <c r="W63" i="34"/>
  <c r="W62" i="34"/>
  <c r="W61" i="34"/>
  <c r="W60" i="34"/>
  <c r="W59" i="34"/>
  <c r="W58" i="34"/>
  <c r="W57" i="34"/>
  <c r="W56" i="34"/>
  <c r="W55" i="34"/>
  <c r="W54" i="34"/>
  <c r="W53" i="34"/>
  <c r="W52" i="34"/>
  <c r="W51" i="34"/>
  <c r="W50" i="34"/>
  <c r="W40" i="34"/>
  <c r="W39" i="34"/>
  <c r="W38" i="34"/>
  <c r="W37" i="34"/>
  <c r="W36" i="34"/>
  <c r="W35" i="34"/>
  <c r="W34" i="34"/>
  <c r="W33" i="34"/>
  <c r="W32" i="34"/>
  <c r="J58" i="47"/>
  <c r="I58" i="47"/>
  <c r="J49" i="47"/>
  <c r="I49" i="47"/>
  <c r="H49" i="47"/>
  <c r="U77" i="34"/>
  <c r="U76" i="34"/>
  <c r="U75" i="34"/>
  <c r="U74" i="34"/>
  <c r="U64" i="34"/>
  <c r="U63" i="34"/>
  <c r="U62" i="34"/>
  <c r="U61" i="34"/>
  <c r="U60" i="34"/>
  <c r="U59" i="34"/>
  <c r="U58" i="34"/>
  <c r="U57" i="34"/>
  <c r="U56" i="34"/>
  <c r="U55" i="34"/>
  <c r="U54" i="34"/>
  <c r="U53" i="34"/>
  <c r="U52" i="34"/>
  <c r="U51" i="34"/>
  <c r="U50" i="34"/>
  <c r="U40" i="34"/>
  <c r="U39" i="34"/>
  <c r="U38" i="34"/>
  <c r="U37" i="34"/>
  <c r="U36" i="34"/>
  <c r="U35" i="34"/>
  <c r="U34" i="34"/>
  <c r="U33" i="34"/>
  <c r="U32" i="34"/>
  <c r="J16" i="47"/>
  <c r="I16" i="47"/>
  <c r="H16" i="47"/>
  <c r="J67" i="47"/>
  <c r="I67" i="47"/>
  <c r="H67" i="47"/>
  <c r="J42" i="47"/>
  <c r="I42" i="47"/>
  <c r="J26" i="47"/>
  <c r="I26" i="47"/>
  <c r="H26" i="47"/>
  <c r="J9" i="47"/>
  <c r="I9" i="47"/>
  <c r="H9" i="47"/>
  <c r="B9" i="47"/>
  <c r="B4" i="47"/>
  <c r="B3" i="47"/>
  <c r="AC593" i="43" l="1"/>
  <c r="N94" i="47"/>
  <c r="M94" i="47"/>
  <c r="AC594" i="43" l="1"/>
  <c r="P71" i="48"/>
  <c r="S66" i="48"/>
  <c r="M36" i="47" s="1"/>
  <c r="S73" i="48"/>
  <c r="T66" i="48"/>
  <c r="N36" i="47" s="1"/>
  <c r="Q71" i="48"/>
  <c r="T73" i="48"/>
  <c r="T46" i="48"/>
  <c r="N29" i="47" s="1"/>
  <c r="T56" i="48"/>
  <c r="S56" i="48"/>
  <c r="S46" i="48"/>
  <c r="M29" i="47" s="1"/>
  <c r="AC595" i="43" l="1"/>
  <c r="T54" i="48"/>
  <c r="T57" i="48" s="1"/>
  <c r="T71" i="48"/>
  <c r="T74" i="48" s="1"/>
  <c r="S54" i="48"/>
  <c r="S71" i="48"/>
  <c r="S74" i="48" s="1"/>
  <c r="AC596" i="43" l="1"/>
  <c r="S57" i="48"/>
  <c r="A57" i="48" s="1"/>
  <c r="A74" i="48"/>
  <c r="AC597" i="43" l="1"/>
  <c r="E49" i="4"/>
  <c r="C42" i="35"/>
  <c r="C101" i="35" s="1"/>
  <c r="C41" i="35"/>
  <c r="C62" i="35" s="1"/>
  <c r="C40" i="35"/>
  <c r="C80" i="35" s="1"/>
  <c r="C39" i="35"/>
  <c r="C79" i="35" s="1"/>
  <c r="C38" i="35"/>
  <c r="C59" i="35" s="1"/>
  <c r="C37" i="35"/>
  <c r="C58" i="35" s="1"/>
  <c r="C36" i="35"/>
  <c r="C76" i="35" s="1"/>
  <c r="C35" i="35"/>
  <c r="C94" i="35" s="1"/>
  <c r="C34" i="35"/>
  <c r="C74" i="35" s="1"/>
  <c r="C82" i="35"/>
  <c r="C81" i="35"/>
  <c r="C75" i="35"/>
  <c r="C63" i="35"/>
  <c r="C56" i="35"/>
  <c r="D34" i="35" a="1"/>
  <c r="D37" i="35" s="1"/>
  <c r="D77" i="35" s="1"/>
  <c r="C118" i="39"/>
  <c r="C71" i="39"/>
  <c r="C132" i="39" s="1"/>
  <c r="C70" i="39"/>
  <c r="C131" i="39" s="1"/>
  <c r="C69" i="39"/>
  <c r="C130" i="39" s="1"/>
  <c r="C68" i="39"/>
  <c r="C129" i="39" s="1"/>
  <c r="C67" i="39"/>
  <c r="C128" i="39" s="1"/>
  <c r="C66" i="39"/>
  <c r="C127" i="39" s="1"/>
  <c r="C65" i="39"/>
  <c r="C126" i="39" s="1"/>
  <c r="C64" i="39"/>
  <c r="C125" i="39" s="1"/>
  <c r="C63" i="39"/>
  <c r="C124" i="39" s="1"/>
  <c r="C62" i="39"/>
  <c r="C123" i="39" s="1"/>
  <c r="C61" i="39"/>
  <c r="C122" i="39" s="1"/>
  <c r="C60" i="39"/>
  <c r="C121" i="39" s="1"/>
  <c r="C59" i="39"/>
  <c r="C120" i="39" s="1"/>
  <c r="C58" i="39"/>
  <c r="C119" i="39" s="1"/>
  <c r="C57" i="39"/>
  <c r="C56" i="39"/>
  <c r="C117" i="39" s="1"/>
  <c r="C55" i="39"/>
  <c r="C116" i="39" s="1"/>
  <c r="C54" i="39"/>
  <c r="C115" i="39" s="1"/>
  <c r="C53" i="39"/>
  <c r="C114" i="39" s="1"/>
  <c r="C52" i="39"/>
  <c r="C113" i="39" s="1"/>
  <c r="C51" i="39"/>
  <c r="C112" i="39" s="1"/>
  <c r="C50" i="39"/>
  <c r="C111" i="39" s="1"/>
  <c r="C49" i="39"/>
  <c r="C110" i="39" s="1"/>
  <c r="C48" i="39"/>
  <c r="C109" i="39" s="1"/>
  <c r="C47" i="39"/>
  <c r="C108" i="39" s="1"/>
  <c r="C46" i="39"/>
  <c r="C107" i="39" s="1"/>
  <c r="C45" i="39"/>
  <c r="C106" i="39" s="1"/>
  <c r="D65" i="37" a="1"/>
  <c r="D65" i="37" s="1"/>
  <c r="C77" i="34"/>
  <c r="C76" i="34"/>
  <c r="C75" i="34"/>
  <c r="C74" i="34"/>
  <c r="C64" i="34"/>
  <c r="C63" i="34"/>
  <c r="C62" i="34"/>
  <c r="C61" i="34"/>
  <c r="C60" i="34"/>
  <c r="C59" i="34"/>
  <c r="C58" i="34"/>
  <c r="C57" i="34"/>
  <c r="C56" i="34"/>
  <c r="C55" i="34"/>
  <c r="C54" i="34"/>
  <c r="C53" i="34"/>
  <c r="C52" i="34"/>
  <c r="C51" i="34"/>
  <c r="C50" i="34"/>
  <c r="C40" i="34"/>
  <c r="C39" i="34"/>
  <c r="C38" i="34"/>
  <c r="C37" i="34"/>
  <c r="C36" i="34"/>
  <c r="C35" i="34"/>
  <c r="C34" i="34"/>
  <c r="C33" i="34"/>
  <c r="C32" i="34"/>
  <c r="C58" i="32"/>
  <c r="C59" i="32"/>
  <c r="C57" i="32"/>
  <c r="C56" i="32"/>
  <c r="C37" i="32"/>
  <c r="C38" i="32"/>
  <c r="C39" i="32"/>
  <c r="C40" i="32"/>
  <c r="C41" i="32"/>
  <c r="C42" i="32"/>
  <c r="C43" i="32"/>
  <c r="C44" i="32"/>
  <c r="C45" i="32"/>
  <c r="C46" i="32"/>
  <c r="C47" i="32"/>
  <c r="C48" i="32"/>
  <c r="C49" i="32"/>
  <c r="C36" i="32"/>
  <c r="C35" i="32"/>
  <c r="C20" i="32"/>
  <c r="AC598" i="43" l="1"/>
  <c r="C98" i="35"/>
  <c r="C95" i="35"/>
  <c r="C77" i="35"/>
  <c r="C96" i="35"/>
  <c r="C78" i="35"/>
  <c r="C97" i="35"/>
  <c r="C99" i="35"/>
  <c r="C100" i="35"/>
  <c r="C93" i="35"/>
  <c r="D58" i="35"/>
  <c r="D96" i="35"/>
  <c r="C57" i="35"/>
  <c r="C60" i="35"/>
  <c r="C61" i="35"/>
  <c r="C55" i="35"/>
  <c r="D40" i="35"/>
  <c r="D36" i="35"/>
  <c r="D35" i="35"/>
  <c r="D42" i="35"/>
  <c r="D34" i="35"/>
  <c r="D41" i="35"/>
  <c r="D39" i="35"/>
  <c r="D38" i="35"/>
  <c r="D70" i="37"/>
  <c r="D71" i="37"/>
  <c r="D69" i="37"/>
  <c r="D68" i="37"/>
  <c r="D72" i="37"/>
  <c r="D67" i="37"/>
  <c r="D73" i="37"/>
  <c r="D66" i="37"/>
  <c r="I146" i="45"/>
  <c r="J140" i="45"/>
  <c r="I140" i="45"/>
  <c r="H140" i="45"/>
  <c r="I158" i="45"/>
  <c r="J152" i="45"/>
  <c r="I152" i="45"/>
  <c r="H152" i="45"/>
  <c r="I107" i="45"/>
  <c r="J101" i="45"/>
  <c r="I101" i="45"/>
  <c r="H101" i="45"/>
  <c r="S64" i="34"/>
  <c r="R64" i="34"/>
  <c r="Q64" i="34"/>
  <c r="P64" i="34"/>
  <c r="O64" i="34"/>
  <c r="H89" i="33"/>
  <c r="H84" i="33"/>
  <c r="H85" i="33"/>
  <c r="H76" i="33"/>
  <c r="H75" i="33"/>
  <c r="H74" i="33"/>
  <c r="H73" i="33"/>
  <c r="AC599" i="43" l="1"/>
  <c r="P71" i="47"/>
  <c r="P50" i="34"/>
  <c r="P78" i="47"/>
  <c r="P93" i="47" s="1"/>
  <c r="P85" i="47"/>
  <c r="P69" i="47"/>
  <c r="S51" i="34"/>
  <c r="S86" i="47"/>
  <c r="Q71" i="47"/>
  <c r="O87" i="47"/>
  <c r="Q61" i="34"/>
  <c r="Q74" i="47"/>
  <c r="Q89" i="47"/>
  <c r="O88" i="47"/>
  <c r="Q50" i="34"/>
  <c r="Q69" i="47"/>
  <c r="Q85" i="47"/>
  <c r="Q78" i="47"/>
  <c r="Q93" i="47" s="1"/>
  <c r="O70" i="47"/>
  <c r="R71" i="47"/>
  <c r="P87" i="47"/>
  <c r="R61" i="34"/>
  <c r="R74" i="47"/>
  <c r="R89" i="47"/>
  <c r="P88" i="47"/>
  <c r="R50" i="34"/>
  <c r="R85" i="47"/>
  <c r="R69" i="47"/>
  <c r="R78" i="47"/>
  <c r="R93" i="47" s="1"/>
  <c r="P70" i="47"/>
  <c r="S71" i="47"/>
  <c r="Q87" i="47"/>
  <c r="S61" i="34"/>
  <c r="S89" i="47"/>
  <c r="S74" i="47"/>
  <c r="Q88" i="47"/>
  <c r="S50" i="34"/>
  <c r="S69" i="47"/>
  <c r="S85" i="47"/>
  <c r="S78" i="47"/>
  <c r="S93" i="47" s="1"/>
  <c r="Q70" i="47"/>
  <c r="O72" i="47"/>
  <c r="R87" i="47"/>
  <c r="R88" i="47"/>
  <c r="R51" i="34"/>
  <c r="R86" i="47"/>
  <c r="O51" i="34"/>
  <c r="O86" i="47"/>
  <c r="R70" i="47"/>
  <c r="P72" i="47"/>
  <c r="S87" i="47"/>
  <c r="S88" i="47"/>
  <c r="S72" i="47"/>
  <c r="P61" i="34"/>
  <c r="P74" i="47"/>
  <c r="P89" i="47"/>
  <c r="P51" i="34"/>
  <c r="P86" i="47"/>
  <c r="S70" i="47"/>
  <c r="Q72" i="47"/>
  <c r="O50" i="34"/>
  <c r="O78" i="47"/>
  <c r="O93" i="47" s="1"/>
  <c r="O85" i="47"/>
  <c r="O69" i="47"/>
  <c r="Q51" i="34"/>
  <c r="Q86" i="47"/>
  <c r="O71" i="47"/>
  <c r="R72" i="47"/>
  <c r="O61" i="34"/>
  <c r="O74" i="47"/>
  <c r="O89" i="47"/>
  <c r="D63" i="35"/>
  <c r="D82" i="35"/>
  <c r="D101" i="35"/>
  <c r="D94" i="35"/>
  <c r="D56" i="35"/>
  <c r="D75" i="35"/>
  <c r="D95" i="35"/>
  <c r="D76" i="35"/>
  <c r="D57" i="35"/>
  <c r="D59" i="35"/>
  <c r="D78" i="35"/>
  <c r="D97" i="35"/>
  <c r="D60" i="35"/>
  <c r="D79" i="35"/>
  <c r="D98" i="35"/>
  <c r="D80" i="35"/>
  <c r="D99" i="35"/>
  <c r="D61" i="35"/>
  <c r="D62" i="35"/>
  <c r="D81" i="35"/>
  <c r="D100" i="35"/>
  <c r="D55" i="35"/>
  <c r="D74" i="35"/>
  <c r="D93" i="35"/>
  <c r="D23" i="25"/>
  <c r="D18" i="25"/>
  <c r="D20" i="28"/>
  <c r="D12" i="28"/>
  <c r="V25" i="45"/>
  <c r="V28" i="45"/>
  <c r="R21" i="45"/>
  <c r="R22" i="45"/>
  <c r="R23" i="45"/>
  <c r="I68" i="45"/>
  <c r="J62" i="45"/>
  <c r="I62" i="45"/>
  <c r="H62" i="45"/>
  <c r="I44" i="45"/>
  <c r="J38" i="45"/>
  <c r="I38" i="45"/>
  <c r="H38" i="45"/>
  <c r="J19" i="45"/>
  <c r="I19" i="45"/>
  <c r="H19" i="45"/>
  <c r="E47" i="4"/>
  <c r="J23" i="44"/>
  <c r="I23" i="44"/>
  <c r="H23" i="44"/>
  <c r="I56" i="45"/>
  <c r="J50" i="45"/>
  <c r="I50" i="45"/>
  <c r="H50" i="45"/>
  <c r="J38" i="44"/>
  <c r="I38" i="44"/>
  <c r="H38" i="44"/>
  <c r="AC600" i="43" l="1"/>
  <c r="P153" i="47"/>
  <c r="P156" i="47" s="1"/>
  <c r="N153" i="47"/>
  <c r="N156" i="47" s="1"/>
  <c r="M153" i="47"/>
  <c r="M156" i="47" s="1"/>
  <c r="S153" i="47"/>
  <c r="S156" i="47" s="1"/>
  <c r="Q153" i="47"/>
  <c r="Q156" i="47" s="1"/>
  <c r="T153" i="47"/>
  <c r="T156" i="47" s="1"/>
  <c r="R153" i="47"/>
  <c r="R156" i="47" s="1"/>
  <c r="O153" i="47"/>
  <c r="O156" i="47" s="1"/>
  <c r="U153" i="47"/>
  <c r="U156" i="47" s="1"/>
  <c r="R91" i="47"/>
  <c r="R94" i="47" s="1"/>
  <c r="O91" i="47"/>
  <c r="O94" i="47" s="1"/>
  <c r="P91" i="47"/>
  <c r="P94" i="47" s="1"/>
  <c r="Q91" i="47"/>
  <c r="Q94" i="47" s="1"/>
  <c r="S91" i="47"/>
  <c r="S94" i="47" s="1"/>
  <c r="I134" i="45"/>
  <c r="J128" i="45"/>
  <c r="I128" i="45"/>
  <c r="H128" i="45"/>
  <c r="I122" i="45"/>
  <c r="J115" i="45"/>
  <c r="I115" i="45"/>
  <c r="H115" i="45"/>
  <c r="AC601" i="43" l="1"/>
  <c r="A94" i="47"/>
  <c r="P120" i="45"/>
  <c r="N119" i="45"/>
  <c r="P118" i="45"/>
  <c r="Q117" i="45"/>
  <c r="R117" i="45"/>
  <c r="Q120" i="45"/>
  <c r="S117" i="45"/>
  <c r="R120" i="45"/>
  <c r="R118" i="45"/>
  <c r="S118" i="45"/>
  <c r="S120" i="45"/>
  <c r="Q223" i="44"/>
  <c r="Q124" i="45" s="1"/>
  <c r="Q118" i="45"/>
  <c r="P117" i="45"/>
  <c r="R119" i="45"/>
  <c r="M117" i="45"/>
  <c r="M118" i="45"/>
  <c r="M120" i="45"/>
  <c r="N118" i="45"/>
  <c r="O117" i="45"/>
  <c r="N120" i="45"/>
  <c r="N117" i="45"/>
  <c r="M119" i="45"/>
  <c r="O118" i="45"/>
  <c r="O120" i="45"/>
  <c r="Q119" i="45"/>
  <c r="S223" i="44"/>
  <c r="S124" i="45" s="1"/>
  <c r="S119" i="45"/>
  <c r="O223" i="44"/>
  <c r="O124" i="45" s="1"/>
  <c r="M223" i="44"/>
  <c r="M124" i="45" s="1"/>
  <c r="O119" i="45"/>
  <c r="R223" i="44"/>
  <c r="R124" i="45" s="1"/>
  <c r="N223" i="44"/>
  <c r="N124" i="45" s="1"/>
  <c r="P223" i="44"/>
  <c r="P124" i="45" s="1"/>
  <c r="P119" i="45"/>
  <c r="J78" i="44"/>
  <c r="I78" i="44"/>
  <c r="H78" i="44"/>
  <c r="J63" i="44"/>
  <c r="I63" i="44"/>
  <c r="H63" i="44"/>
  <c r="J16" i="37"/>
  <c r="I16" i="37"/>
  <c r="H16" i="37"/>
  <c r="I95" i="45"/>
  <c r="J89" i="45"/>
  <c r="I89" i="45"/>
  <c r="H89" i="45"/>
  <c r="I83" i="45"/>
  <c r="J76" i="45"/>
  <c r="I76" i="45"/>
  <c r="H76" i="45"/>
  <c r="J9" i="45"/>
  <c r="I9" i="45"/>
  <c r="H9" i="45"/>
  <c r="B9" i="45"/>
  <c r="B8" i="45"/>
  <c r="B4" i="45"/>
  <c r="B3" i="45"/>
  <c r="AC602" i="43" l="1"/>
  <c r="S122" i="45"/>
  <c r="S136" i="45" s="1"/>
  <c r="M122" i="45"/>
  <c r="M136" i="45" s="1"/>
  <c r="N122" i="45"/>
  <c r="N136" i="45" s="1"/>
  <c r="R122" i="45"/>
  <c r="R136" i="45" s="1"/>
  <c r="Q122" i="45"/>
  <c r="Q136" i="45" s="1"/>
  <c r="P122" i="45"/>
  <c r="P136" i="45" s="1"/>
  <c r="O122" i="45"/>
  <c r="O136" i="45" s="1"/>
  <c r="O73" i="44"/>
  <c r="S73" i="44"/>
  <c r="M73" i="44"/>
  <c r="N73" i="44"/>
  <c r="P73" i="44"/>
  <c r="Q73" i="44"/>
  <c r="R73" i="44"/>
  <c r="D29" i="25"/>
  <c r="H28" i="25"/>
  <c r="D28" i="25"/>
  <c r="D27" i="25"/>
  <c r="D26" i="25"/>
  <c r="D25" i="25"/>
  <c r="D24" i="25"/>
  <c r="D22" i="25"/>
  <c r="D21" i="25"/>
  <c r="D20" i="25"/>
  <c r="D17" i="25"/>
  <c r="D16" i="25"/>
  <c r="B4" i="25"/>
  <c r="B3" i="25"/>
  <c r="D73" i="4"/>
  <c r="D65" i="4"/>
  <c r="E63" i="4"/>
  <c r="E62" i="4"/>
  <c r="E61" i="4"/>
  <c r="E60" i="4"/>
  <c r="E58" i="4"/>
  <c r="E57" i="4"/>
  <c r="E56" i="4"/>
  <c r="E55" i="4"/>
  <c r="E54" i="4"/>
  <c r="E53" i="4"/>
  <c r="E52" i="4"/>
  <c r="E51" i="4"/>
  <c r="E50" i="4"/>
  <c r="E48" i="4"/>
  <c r="J16" i="4"/>
  <c r="K16" i="4" s="1"/>
  <c r="L16" i="4" s="1"/>
  <c r="M16" i="4" s="1"/>
  <c r="B4" i="4"/>
  <c r="B3" i="4"/>
  <c r="A1" i="4"/>
  <c r="C39" i="41"/>
  <c r="S20" i="41"/>
  <c r="S41" i="41" s="1"/>
  <c r="R41" i="41" s="1"/>
  <c r="R20" i="41"/>
  <c r="C15" i="41"/>
  <c r="B4" i="41"/>
  <c r="B3" i="41"/>
  <c r="A1" i="43"/>
  <c r="H29" i="25" s="1"/>
  <c r="J189" i="40"/>
  <c r="I189" i="40"/>
  <c r="H189" i="40"/>
  <c r="J178" i="40"/>
  <c r="I178" i="40"/>
  <c r="H178" i="40"/>
  <c r="J167" i="40"/>
  <c r="I167" i="40"/>
  <c r="H167" i="40"/>
  <c r="S141" i="40"/>
  <c r="R141" i="40"/>
  <c r="Q141" i="40"/>
  <c r="P141" i="40"/>
  <c r="J136" i="40"/>
  <c r="I136" i="40"/>
  <c r="H136" i="40"/>
  <c r="J116" i="40"/>
  <c r="I116" i="40"/>
  <c r="H116" i="40"/>
  <c r="J99" i="40"/>
  <c r="I99" i="40"/>
  <c r="H99" i="40"/>
  <c r="M94" i="40"/>
  <c r="J92" i="40"/>
  <c r="I92" i="40"/>
  <c r="H92" i="40"/>
  <c r="J86" i="40"/>
  <c r="I86" i="40"/>
  <c r="H86" i="40"/>
  <c r="S84" i="40"/>
  <c r="R84" i="40"/>
  <c r="Q84" i="40"/>
  <c r="P84" i="40"/>
  <c r="O84" i="40"/>
  <c r="N84" i="40"/>
  <c r="M84" i="40"/>
  <c r="J82" i="40"/>
  <c r="I82" i="40"/>
  <c r="S80" i="40"/>
  <c r="R80" i="40"/>
  <c r="Q80" i="40"/>
  <c r="P80" i="40"/>
  <c r="O80" i="40"/>
  <c r="N80" i="40"/>
  <c r="M80" i="40"/>
  <c r="S78" i="40"/>
  <c r="R78" i="40"/>
  <c r="Q78" i="40"/>
  <c r="P78" i="40"/>
  <c r="O78" i="40"/>
  <c r="N78" i="40"/>
  <c r="M78" i="40"/>
  <c r="N77" i="40"/>
  <c r="M77" i="40"/>
  <c r="N75" i="40"/>
  <c r="M75" i="40"/>
  <c r="J73" i="40"/>
  <c r="I73" i="40"/>
  <c r="H73" i="40"/>
  <c r="J51" i="40"/>
  <c r="I51" i="40"/>
  <c r="S49" i="40"/>
  <c r="R49" i="40"/>
  <c r="Q49" i="40"/>
  <c r="P49" i="40"/>
  <c r="O49" i="40"/>
  <c r="S47" i="40"/>
  <c r="R47" i="40"/>
  <c r="Q47" i="40"/>
  <c r="P47" i="40"/>
  <c r="O47" i="40"/>
  <c r="J44" i="40"/>
  <c r="I44" i="40"/>
  <c r="H44" i="40"/>
  <c r="J33" i="40"/>
  <c r="I33" i="40"/>
  <c r="H33" i="40"/>
  <c r="I19" i="40"/>
  <c r="J9" i="40"/>
  <c r="I9" i="40"/>
  <c r="H9" i="40"/>
  <c r="B9" i="40"/>
  <c r="B4" i="40"/>
  <c r="B3" i="40"/>
  <c r="D106" i="35"/>
  <c r="J105" i="35"/>
  <c r="I105" i="35"/>
  <c r="H105" i="35"/>
  <c r="D105" i="35"/>
  <c r="J103" i="35"/>
  <c r="I103" i="35"/>
  <c r="J101" i="35"/>
  <c r="I101" i="35"/>
  <c r="H101" i="35"/>
  <c r="F101" i="35"/>
  <c r="J100" i="35"/>
  <c r="I100" i="35"/>
  <c r="H100" i="35"/>
  <c r="F100" i="35"/>
  <c r="J99" i="35"/>
  <c r="I99" i="35"/>
  <c r="H99" i="35"/>
  <c r="F99" i="35"/>
  <c r="J98" i="35"/>
  <c r="I98" i="35"/>
  <c r="H98" i="35"/>
  <c r="F98" i="35"/>
  <c r="J97" i="35"/>
  <c r="I97" i="35"/>
  <c r="H97" i="35"/>
  <c r="F97" i="35"/>
  <c r="J96" i="35"/>
  <c r="I96" i="35"/>
  <c r="H96" i="35"/>
  <c r="F96" i="35"/>
  <c r="J95" i="35"/>
  <c r="I95" i="35"/>
  <c r="H95" i="35"/>
  <c r="F95" i="35"/>
  <c r="J94" i="35"/>
  <c r="I94" i="35"/>
  <c r="H94" i="35"/>
  <c r="F94" i="35"/>
  <c r="J93" i="35"/>
  <c r="I93" i="35"/>
  <c r="H93" i="35"/>
  <c r="F93" i="35"/>
  <c r="J91" i="35"/>
  <c r="I91" i="35"/>
  <c r="H91" i="35"/>
  <c r="F91" i="35"/>
  <c r="D91" i="35"/>
  <c r="C89" i="35"/>
  <c r="D103" i="35" s="1"/>
  <c r="D87" i="35"/>
  <c r="J86" i="35"/>
  <c r="J46" i="35" s="1"/>
  <c r="I86" i="35"/>
  <c r="I46" i="35" s="1"/>
  <c r="H86" i="35"/>
  <c r="H46" i="35" s="1"/>
  <c r="D86" i="35"/>
  <c r="J84" i="35"/>
  <c r="I84" i="35"/>
  <c r="J82" i="35"/>
  <c r="I82" i="35"/>
  <c r="I42" i="35" s="1"/>
  <c r="H82" i="35"/>
  <c r="H42" i="35" s="1"/>
  <c r="F82" i="35"/>
  <c r="F42" i="35" s="1"/>
  <c r="J81" i="35"/>
  <c r="I81" i="35"/>
  <c r="H81" i="35"/>
  <c r="F81" i="35"/>
  <c r="F41" i="35" s="1"/>
  <c r="J80" i="35"/>
  <c r="I80" i="35"/>
  <c r="I40" i="35" s="1"/>
  <c r="H80" i="35"/>
  <c r="H40" i="35" s="1"/>
  <c r="F80" i="35"/>
  <c r="F40" i="35" s="1"/>
  <c r="J79" i="35"/>
  <c r="J39" i="35" s="1"/>
  <c r="I79" i="35"/>
  <c r="H79" i="35"/>
  <c r="F79" i="35"/>
  <c r="F39" i="35" s="1"/>
  <c r="J78" i="35"/>
  <c r="I78" i="35"/>
  <c r="I38" i="35" s="1"/>
  <c r="H78" i="35"/>
  <c r="H38" i="35" s="1"/>
  <c r="F78" i="35"/>
  <c r="F38" i="35" s="1"/>
  <c r="J77" i="35"/>
  <c r="J37" i="35" s="1"/>
  <c r="I77" i="35"/>
  <c r="H77" i="35"/>
  <c r="F77" i="35"/>
  <c r="F37" i="35" s="1"/>
  <c r="J76" i="35"/>
  <c r="I76" i="35"/>
  <c r="I36" i="35" s="1"/>
  <c r="H76" i="35"/>
  <c r="H36" i="35" s="1"/>
  <c r="F76" i="35"/>
  <c r="F36" i="35" s="1"/>
  <c r="J75" i="35"/>
  <c r="J35" i="35" s="1"/>
  <c r="I75" i="35"/>
  <c r="H75" i="35"/>
  <c r="F75" i="35"/>
  <c r="F35" i="35" s="1"/>
  <c r="J74" i="35"/>
  <c r="I74" i="35"/>
  <c r="I34" i="35" s="1"/>
  <c r="H74" i="35"/>
  <c r="H34" i="35" s="1"/>
  <c r="F74" i="35"/>
  <c r="F34" i="35" s="1"/>
  <c r="J72" i="35"/>
  <c r="I72" i="35"/>
  <c r="H72" i="35"/>
  <c r="F72" i="35"/>
  <c r="D72" i="35"/>
  <c r="C70" i="35"/>
  <c r="D23" i="35" s="1"/>
  <c r="F67" i="35"/>
  <c r="F86" i="35" s="1"/>
  <c r="J65" i="35"/>
  <c r="I65" i="35"/>
  <c r="J53" i="35"/>
  <c r="I53" i="35"/>
  <c r="H53" i="35"/>
  <c r="F53" i="35"/>
  <c r="D53" i="35"/>
  <c r="C51" i="35"/>
  <c r="D65" i="35" s="1"/>
  <c r="D47" i="35"/>
  <c r="D46" i="35"/>
  <c r="J44" i="35"/>
  <c r="I44" i="35"/>
  <c r="D44" i="35"/>
  <c r="J42" i="35"/>
  <c r="J41" i="35"/>
  <c r="I41" i="35"/>
  <c r="H41" i="35"/>
  <c r="J40" i="35"/>
  <c r="I39" i="35"/>
  <c r="H39" i="35"/>
  <c r="J38" i="35"/>
  <c r="I37" i="35"/>
  <c r="H37" i="35"/>
  <c r="J36" i="35"/>
  <c r="I35" i="35"/>
  <c r="H35" i="35"/>
  <c r="J34" i="35"/>
  <c r="J32" i="35"/>
  <c r="I32" i="35"/>
  <c r="H32" i="35"/>
  <c r="F32" i="35"/>
  <c r="D32" i="35"/>
  <c r="J26" i="35"/>
  <c r="I26" i="35"/>
  <c r="H24" i="35"/>
  <c r="J23" i="35"/>
  <c r="J24" i="35" s="1"/>
  <c r="I23" i="35"/>
  <c r="I24" i="35" s="1"/>
  <c r="H23" i="35"/>
  <c r="J20" i="35"/>
  <c r="I20" i="35"/>
  <c r="H20" i="35"/>
  <c r="J9" i="35"/>
  <c r="I9" i="35"/>
  <c r="H9" i="35"/>
  <c r="B9" i="35"/>
  <c r="B4" i="35"/>
  <c r="B3" i="35"/>
  <c r="I104" i="39"/>
  <c r="H104" i="39"/>
  <c r="D87" i="39" a="1"/>
  <c r="D95" i="39" s="1"/>
  <c r="I85" i="39"/>
  <c r="H85" i="39"/>
  <c r="J73" i="39"/>
  <c r="I73" i="39"/>
  <c r="E71" i="39"/>
  <c r="E132" i="39" s="1"/>
  <c r="Q68" i="41" s="1"/>
  <c r="J54" i="43" s="1"/>
  <c r="D71" i="39"/>
  <c r="D132" i="39" s="1"/>
  <c r="E70" i="39"/>
  <c r="E131" i="39" s="1"/>
  <c r="Q67" i="41" s="1"/>
  <c r="J53" i="43" s="1"/>
  <c r="D70" i="39"/>
  <c r="D131" i="39" s="1"/>
  <c r="E69" i="39"/>
  <c r="E130" i="39" s="1"/>
  <c r="Q66" i="41" s="1"/>
  <c r="J52" i="43" s="1"/>
  <c r="D69" i="39"/>
  <c r="D130" i="39" s="1"/>
  <c r="E68" i="39"/>
  <c r="E129" i="39" s="1"/>
  <c r="Q65" i="41" s="1"/>
  <c r="J51" i="43" s="1"/>
  <c r="D68" i="39"/>
  <c r="D129" i="39" s="1"/>
  <c r="E67" i="39"/>
  <c r="E128" i="39" s="1"/>
  <c r="Q64" i="41" s="1"/>
  <c r="J50" i="43" s="1"/>
  <c r="D67" i="39"/>
  <c r="D128" i="39" s="1"/>
  <c r="E66" i="39"/>
  <c r="E127" i="39" s="1"/>
  <c r="Q63" i="41" s="1"/>
  <c r="J49" i="43" s="1"/>
  <c r="D66" i="39"/>
  <c r="D127" i="39" s="1"/>
  <c r="E65" i="39"/>
  <c r="E126" i="39" s="1"/>
  <c r="Q62" i="41" s="1"/>
  <c r="J48" i="43" s="1"/>
  <c r="D65" i="39"/>
  <c r="D126" i="39" s="1"/>
  <c r="E64" i="39"/>
  <c r="E125" i="39" s="1"/>
  <c r="Q61" i="41" s="1"/>
  <c r="J47" i="43" s="1"/>
  <c r="D64" i="39"/>
  <c r="D125" i="39" s="1"/>
  <c r="E63" i="39"/>
  <c r="E124" i="39" s="1"/>
  <c r="Q60" i="41" s="1"/>
  <c r="J46" i="43" s="1"/>
  <c r="D63" i="39"/>
  <c r="D124" i="39" s="1"/>
  <c r="E62" i="39"/>
  <c r="E123" i="39" s="1"/>
  <c r="Q59" i="41" s="1"/>
  <c r="J45" i="43" s="1"/>
  <c r="D62" i="39"/>
  <c r="D123" i="39" s="1"/>
  <c r="E61" i="39"/>
  <c r="E122" i="39" s="1"/>
  <c r="Q58" i="41" s="1"/>
  <c r="J44" i="43" s="1"/>
  <c r="D61" i="39"/>
  <c r="D122" i="39" s="1"/>
  <c r="E60" i="39"/>
  <c r="E121" i="39" s="1"/>
  <c r="Q57" i="41" s="1"/>
  <c r="J43" i="43" s="1"/>
  <c r="D60" i="39"/>
  <c r="D121" i="39" s="1"/>
  <c r="E59" i="39"/>
  <c r="E120" i="39" s="1"/>
  <c r="Q56" i="41" s="1"/>
  <c r="J42" i="43" s="1"/>
  <c r="D59" i="39"/>
  <c r="D120" i="39" s="1"/>
  <c r="E58" i="39"/>
  <c r="E119" i="39" s="1"/>
  <c r="Q55" i="41" s="1"/>
  <c r="J41" i="43" s="1"/>
  <c r="D58" i="39"/>
  <c r="D119" i="39" s="1"/>
  <c r="E57" i="39"/>
  <c r="E118" i="39" s="1"/>
  <c r="Q54" i="41" s="1"/>
  <c r="J40" i="43" s="1"/>
  <c r="D57" i="39"/>
  <c r="D118" i="39" s="1"/>
  <c r="E56" i="39"/>
  <c r="E117" i="39" s="1"/>
  <c r="Q53" i="41" s="1"/>
  <c r="J39" i="43" s="1"/>
  <c r="D56" i="39"/>
  <c r="D117" i="39" s="1"/>
  <c r="E55" i="39"/>
  <c r="E116" i="39" s="1"/>
  <c r="Q52" i="41" s="1"/>
  <c r="J38" i="43" s="1"/>
  <c r="D55" i="39"/>
  <c r="D116" i="39" s="1"/>
  <c r="E54" i="39"/>
  <c r="E115" i="39" s="1"/>
  <c r="Q51" i="41" s="1"/>
  <c r="J37" i="43" s="1"/>
  <c r="D54" i="39"/>
  <c r="D115" i="39" s="1"/>
  <c r="E53" i="39"/>
  <c r="E114" i="39" s="1"/>
  <c r="Q50" i="41" s="1"/>
  <c r="J36" i="43" s="1"/>
  <c r="D53" i="39"/>
  <c r="D114" i="39" s="1"/>
  <c r="E52" i="39"/>
  <c r="E113" i="39" s="1"/>
  <c r="Q49" i="41" s="1"/>
  <c r="J35" i="43" s="1"/>
  <c r="D52" i="39"/>
  <c r="D113" i="39" s="1"/>
  <c r="E51" i="39"/>
  <c r="E112" i="39" s="1"/>
  <c r="Q48" i="41" s="1"/>
  <c r="J34" i="43" s="1"/>
  <c r="D51" i="39"/>
  <c r="D112" i="39" s="1"/>
  <c r="E50" i="39"/>
  <c r="E111" i="39" s="1"/>
  <c r="Q47" i="41" s="1"/>
  <c r="J33" i="43" s="1"/>
  <c r="D50" i="39"/>
  <c r="D111" i="39" s="1"/>
  <c r="E49" i="39"/>
  <c r="E110" i="39" s="1"/>
  <c r="Q46" i="41" s="1"/>
  <c r="J32" i="43" s="1"/>
  <c r="D49" i="39"/>
  <c r="D110" i="39" s="1"/>
  <c r="E48" i="39"/>
  <c r="E109" i="39" s="1"/>
  <c r="Q45" i="41" s="1"/>
  <c r="J31" i="43" s="1"/>
  <c r="D48" i="39"/>
  <c r="D109" i="39" s="1"/>
  <c r="E47" i="39"/>
  <c r="E108" i="39" s="1"/>
  <c r="Q44" i="41" s="1"/>
  <c r="J30" i="43" s="1"/>
  <c r="D47" i="39"/>
  <c r="D108" i="39" s="1"/>
  <c r="E46" i="39"/>
  <c r="E107" i="39" s="1"/>
  <c r="Q43" i="41" s="1"/>
  <c r="J29" i="43" s="1"/>
  <c r="D46" i="39"/>
  <c r="D107" i="39" s="1"/>
  <c r="E45" i="39"/>
  <c r="E106" i="39" s="1"/>
  <c r="Q42" i="41" s="1"/>
  <c r="J28" i="43" s="1"/>
  <c r="D45" i="39"/>
  <c r="D106" i="39" s="1"/>
  <c r="J43" i="39"/>
  <c r="I43" i="39"/>
  <c r="H43" i="39"/>
  <c r="J36" i="39"/>
  <c r="I36" i="39"/>
  <c r="D26" i="39" a="1"/>
  <c r="D27" i="39" s="1"/>
  <c r="J24" i="39"/>
  <c r="I24" i="39"/>
  <c r="H24" i="39"/>
  <c r="J9" i="39"/>
  <c r="I9" i="39"/>
  <c r="H9" i="39"/>
  <c r="B9" i="39"/>
  <c r="B4" i="39"/>
  <c r="B3" i="39"/>
  <c r="J70" i="38"/>
  <c r="I70" i="38"/>
  <c r="D60" i="38" a="1"/>
  <c r="D67" i="38" s="1"/>
  <c r="J58" i="38"/>
  <c r="I58" i="38"/>
  <c r="H58" i="38"/>
  <c r="M45" i="38" a="1"/>
  <c r="M52" i="38" s="1"/>
  <c r="D45" i="38" a="1"/>
  <c r="D48" i="38" s="1"/>
  <c r="J43" i="38"/>
  <c r="I43" i="38"/>
  <c r="H43" i="38"/>
  <c r="M30" i="38" a="1"/>
  <c r="D30" i="38" a="1"/>
  <c r="D37" i="38" s="1"/>
  <c r="J28" i="38"/>
  <c r="I28" i="38"/>
  <c r="H28" i="38"/>
  <c r="J19" i="38"/>
  <c r="I19" i="38"/>
  <c r="H19" i="38"/>
  <c r="J9" i="38"/>
  <c r="I9" i="38"/>
  <c r="H9" i="38"/>
  <c r="B9" i="38"/>
  <c r="B4" i="38"/>
  <c r="B3" i="38"/>
  <c r="E108" i="37"/>
  <c r="E107" i="37"/>
  <c r="E106" i="37"/>
  <c r="E105" i="37"/>
  <c r="E104" i="37"/>
  <c r="E103" i="37"/>
  <c r="E102" i="37"/>
  <c r="E101" i="37"/>
  <c r="E100" i="37"/>
  <c r="D100" i="37" a="1"/>
  <c r="D108" i="37" s="1"/>
  <c r="E91" i="37"/>
  <c r="E90" i="37"/>
  <c r="E89" i="37"/>
  <c r="E88" i="37"/>
  <c r="E87" i="37"/>
  <c r="E86" i="37"/>
  <c r="E85" i="37"/>
  <c r="E84" i="37"/>
  <c r="E83" i="37"/>
  <c r="D83" i="37" a="1"/>
  <c r="D91" i="37" s="1"/>
  <c r="E73" i="37"/>
  <c r="E72" i="37"/>
  <c r="E71" i="37"/>
  <c r="E70" i="37"/>
  <c r="M69" i="37"/>
  <c r="E69" i="37"/>
  <c r="M68" i="37"/>
  <c r="E68" i="37"/>
  <c r="M67" i="37"/>
  <c r="E67" i="37"/>
  <c r="M66" i="37"/>
  <c r="E66" i="37"/>
  <c r="M65" i="37"/>
  <c r="E65" i="37"/>
  <c r="D55" i="37"/>
  <c r="J37" i="37"/>
  <c r="I37" i="37"/>
  <c r="H37" i="37"/>
  <c r="J25" i="37"/>
  <c r="I25" i="37"/>
  <c r="H25" i="37"/>
  <c r="J9" i="37"/>
  <c r="J98" i="37" s="1"/>
  <c r="I9" i="37"/>
  <c r="I55" i="37" s="1"/>
  <c r="H9" i="37"/>
  <c r="H98" i="37" s="1"/>
  <c r="B9" i="37"/>
  <c r="B4" i="37"/>
  <c r="B3" i="37"/>
  <c r="J79" i="34"/>
  <c r="I79" i="34"/>
  <c r="F77" i="34"/>
  <c r="D77" i="34"/>
  <c r="F76" i="34"/>
  <c r="D76" i="34"/>
  <c r="F75" i="34"/>
  <c r="D75" i="34"/>
  <c r="F74" i="34"/>
  <c r="D74" i="34"/>
  <c r="J72" i="34"/>
  <c r="I72" i="34"/>
  <c r="H72" i="34"/>
  <c r="F72" i="34"/>
  <c r="E72" i="34"/>
  <c r="D72" i="34"/>
  <c r="C70" i="34"/>
  <c r="J66" i="34"/>
  <c r="I66" i="34"/>
  <c r="F64" i="34"/>
  <c r="D64" i="34"/>
  <c r="F63" i="34"/>
  <c r="D63" i="34"/>
  <c r="F62" i="34"/>
  <c r="D62" i="34"/>
  <c r="F61" i="34"/>
  <c r="D61" i="34"/>
  <c r="F60" i="34"/>
  <c r="D60" i="34"/>
  <c r="F59" i="34"/>
  <c r="D59" i="34"/>
  <c r="F58" i="34"/>
  <c r="D58" i="34"/>
  <c r="F57" i="34"/>
  <c r="D57" i="34"/>
  <c r="F56" i="34"/>
  <c r="D56" i="34"/>
  <c r="F55" i="34"/>
  <c r="D55" i="34"/>
  <c r="F54" i="34"/>
  <c r="D54" i="34"/>
  <c r="F53" i="34"/>
  <c r="D53" i="34"/>
  <c r="F52" i="34"/>
  <c r="D52" i="34"/>
  <c r="F51" i="34"/>
  <c r="D51" i="34"/>
  <c r="F50" i="34"/>
  <c r="D50" i="34"/>
  <c r="J48" i="34"/>
  <c r="I48" i="34"/>
  <c r="H48" i="34"/>
  <c r="F48" i="34"/>
  <c r="E48" i="34"/>
  <c r="D48" i="34"/>
  <c r="C46" i="34"/>
  <c r="D21" i="34" s="1"/>
  <c r="J42" i="34"/>
  <c r="I42" i="34"/>
  <c r="F40" i="34"/>
  <c r="F39" i="34"/>
  <c r="F38" i="34"/>
  <c r="F37" i="34"/>
  <c r="F36" i="34"/>
  <c r="F35" i="34"/>
  <c r="F34" i="34"/>
  <c r="F33" i="34"/>
  <c r="F32" i="34"/>
  <c r="J30" i="34"/>
  <c r="I30" i="34"/>
  <c r="H30" i="34"/>
  <c r="F30" i="34"/>
  <c r="E30" i="34"/>
  <c r="D30" i="34"/>
  <c r="C28" i="34"/>
  <c r="D20" i="34" s="1"/>
  <c r="J24" i="34"/>
  <c r="I24" i="34"/>
  <c r="D22" i="34"/>
  <c r="J18" i="34"/>
  <c r="I18" i="34"/>
  <c r="H18" i="34"/>
  <c r="F18" i="34"/>
  <c r="J9" i="34"/>
  <c r="I9" i="34"/>
  <c r="H9" i="34"/>
  <c r="B9" i="34"/>
  <c r="B4" i="34"/>
  <c r="B3" i="34"/>
  <c r="J47" i="44"/>
  <c r="I47" i="44"/>
  <c r="H47" i="44"/>
  <c r="J9" i="44"/>
  <c r="I9" i="44"/>
  <c r="H9" i="44"/>
  <c r="B9" i="44"/>
  <c r="B4" i="44"/>
  <c r="B3" i="44"/>
  <c r="A1" i="44"/>
  <c r="H18" i="25" s="1"/>
  <c r="O196" i="33"/>
  <c r="M73" i="37" s="1"/>
  <c r="M108" i="37"/>
  <c r="J196" i="33"/>
  <c r="I196" i="33"/>
  <c r="O195" i="33"/>
  <c r="M72" i="37" s="1"/>
  <c r="M107" i="37"/>
  <c r="J195" i="33"/>
  <c r="I195" i="33"/>
  <c r="O194" i="33"/>
  <c r="M71" i="37" s="1"/>
  <c r="M106" i="37"/>
  <c r="J194" i="33"/>
  <c r="I194" i="33"/>
  <c r="O193" i="33"/>
  <c r="M70" i="37" s="1"/>
  <c r="M105" i="37"/>
  <c r="J193" i="33"/>
  <c r="I193" i="33"/>
  <c r="M104" i="37"/>
  <c r="J192" i="33"/>
  <c r="I192" i="33"/>
  <c r="M103" i="37"/>
  <c r="J191" i="33"/>
  <c r="I191" i="33"/>
  <c r="M102" i="37"/>
  <c r="J190" i="33"/>
  <c r="I190" i="33"/>
  <c r="M101" i="37"/>
  <c r="J189" i="33"/>
  <c r="I189" i="33"/>
  <c r="M100" i="37"/>
  <c r="J188" i="33"/>
  <c r="I188" i="33"/>
  <c r="D188" i="33" a="1"/>
  <c r="D196" i="33" s="1"/>
  <c r="J186" i="33"/>
  <c r="I186" i="33"/>
  <c r="H186" i="33"/>
  <c r="D186" i="33"/>
  <c r="M91" i="37"/>
  <c r="M90" i="37"/>
  <c r="M89" i="37"/>
  <c r="M88" i="37"/>
  <c r="M87" i="37"/>
  <c r="M86" i="37"/>
  <c r="M85" i="37"/>
  <c r="M84" i="37"/>
  <c r="M83" i="37"/>
  <c r="D173" i="33" a="1"/>
  <c r="D179" i="33" s="1"/>
  <c r="J171" i="33"/>
  <c r="I171" i="33"/>
  <c r="H171" i="33"/>
  <c r="D171" i="33"/>
  <c r="J134" i="33"/>
  <c r="I134" i="33"/>
  <c r="H134" i="33"/>
  <c r="E134" i="33"/>
  <c r="D134" i="33"/>
  <c r="N126" i="33"/>
  <c r="M126" i="33"/>
  <c r="D116" i="33" a="1"/>
  <c r="I114" i="33"/>
  <c r="H114" i="33"/>
  <c r="D114" i="33"/>
  <c r="D101" i="33" a="1"/>
  <c r="D109" i="33" s="1"/>
  <c r="J99" i="33"/>
  <c r="I99" i="33"/>
  <c r="H99" i="33"/>
  <c r="D99" i="33"/>
  <c r="J85" i="33"/>
  <c r="J73" i="33" s="1"/>
  <c r="J74" i="33" s="1"/>
  <c r="J75" i="33" s="1"/>
  <c r="J76" i="33" s="1"/>
  <c r="J87" i="33" s="1"/>
  <c r="I85" i="33"/>
  <c r="I73" i="33" s="1"/>
  <c r="I74" i="33" s="1"/>
  <c r="I75" i="33" s="1"/>
  <c r="I76" i="33" s="1"/>
  <c r="I87" i="33" s="1"/>
  <c r="J82" i="33"/>
  <c r="I82" i="33"/>
  <c r="H82" i="33"/>
  <c r="H87" i="33"/>
  <c r="J71" i="33"/>
  <c r="I71" i="33"/>
  <c r="H71" i="33"/>
  <c r="S62" i="33"/>
  <c r="S38" i="40" s="1"/>
  <c r="R62" i="33"/>
  <c r="R38" i="40" s="1"/>
  <c r="Q62" i="33"/>
  <c r="Q38" i="40" s="1"/>
  <c r="P62" i="33"/>
  <c r="P38" i="40" s="1"/>
  <c r="S53" i="33"/>
  <c r="S36" i="40" s="1"/>
  <c r="R53" i="33"/>
  <c r="Q53" i="33"/>
  <c r="P53" i="33"/>
  <c r="O53" i="33"/>
  <c r="O36" i="40" s="1"/>
  <c r="O46" i="40"/>
  <c r="J41" i="33"/>
  <c r="I41" i="33"/>
  <c r="H41" i="33"/>
  <c r="S32" i="33"/>
  <c r="R32" i="33"/>
  <c r="Q32" i="33"/>
  <c r="Q35" i="40" s="1"/>
  <c r="P32" i="33"/>
  <c r="P35" i="40" s="1"/>
  <c r="O32" i="33"/>
  <c r="J25" i="33"/>
  <c r="I25" i="33"/>
  <c r="H25" i="33"/>
  <c r="J9" i="33"/>
  <c r="I9" i="33"/>
  <c r="H9" i="33"/>
  <c r="B9" i="33"/>
  <c r="B4" i="33"/>
  <c r="B3" i="33"/>
  <c r="F59" i="32"/>
  <c r="E59" i="32"/>
  <c r="D59" i="32"/>
  <c r="F58" i="32"/>
  <c r="E58" i="32"/>
  <c r="D58" i="32"/>
  <c r="F57" i="32"/>
  <c r="E57" i="32"/>
  <c r="D57" i="32"/>
  <c r="F56" i="32"/>
  <c r="E56" i="32"/>
  <c r="D56" i="32"/>
  <c r="I54" i="32"/>
  <c r="H54" i="32"/>
  <c r="F54" i="32"/>
  <c r="E54" i="32"/>
  <c r="D54" i="32"/>
  <c r="C52" i="32"/>
  <c r="F49" i="32"/>
  <c r="E49" i="32"/>
  <c r="D49" i="32"/>
  <c r="F48" i="32"/>
  <c r="E48" i="32"/>
  <c r="D48" i="32"/>
  <c r="F47" i="32"/>
  <c r="E47" i="32"/>
  <c r="D47" i="32"/>
  <c r="F46" i="32"/>
  <c r="E46" i="32"/>
  <c r="D46" i="32"/>
  <c r="F45" i="32"/>
  <c r="E45" i="32"/>
  <c r="D45" i="32"/>
  <c r="F44" i="32"/>
  <c r="E44" i="32"/>
  <c r="D44" i="32"/>
  <c r="F43" i="32"/>
  <c r="E43" i="32"/>
  <c r="D43" i="32"/>
  <c r="F42" i="32"/>
  <c r="E42" i="32"/>
  <c r="D42" i="32"/>
  <c r="F41" i="32"/>
  <c r="E41" i="32"/>
  <c r="D41" i="32"/>
  <c r="F40" i="32"/>
  <c r="E40" i="32"/>
  <c r="D40" i="32"/>
  <c r="F39" i="32"/>
  <c r="E39" i="32"/>
  <c r="D39" i="32"/>
  <c r="F38" i="32"/>
  <c r="E38" i="32"/>
  <c r="D38" i="32"/>
  <c r="F37" i="32"/>
  <c r="E37" i="32"/>
  <c r="D37" i="32"/>
  <c r="F36" i="32"/>
  <c r="E36" i="32"/>
  <c r="D36" i="32"/>
  <c r="F35" i="32"/>
  <c r="E35" i="32"/>
  <c r="D35" i="32"/>
  <c r="I33" i="32"/>
  <c r="H33" i="32"/>
  <c r="F33" i="32"/>
  <c r="E33" i="32"/>
  <c r="D33" i="32"/>
  <c r="C31" i="32"/>
  <c r="F28" i="32"/>
  <c r="F27" i="32"/>
  <c r="F26" i="32"/>
  <c r="F25" i="32"/>
  <c r="F24" i="32"/>
  <c r="F23" i="32"/>
  <c r="F22" i="32"/>
  <c r="F21" i="32"/>
  <c r="F20" i="32"/>
  <c r="I18" i="32"/>
  <c r="H18" i="32"/>
  <c r="F18" i="32"/>
  <c r="E18" i="32"/>
  <c r="D18" i="32"/>
  <c r="C16" i="32"/>
  <c r="I9" i="32"/>
  <c r="H9" i="32"/>
  <c r="B9" i="32"/>
  <c r="B4" i="32"/>
  <c r="B3" i="32"/>
  <c r="A1" i="32"/>
  <c r="H17" i="25" s="1"/>
  <c r="I54" i="31"/>
  <c r="H54" i="31"/>
  <c r="F54" i="31"/>
  <c r="E54" i="31"/>
  <c r="D54" i="31"/>
  <c r="I33" i="31"/>
  <c r="H33" i="31"/>
  <c r="F33" i="31"/>
  <c r="E33" i="31"/>
  <c r="D33" i="31"/>
  <c r="D28" i="31"/>
  <c r="D40" i="34" s="1"/>
  <c r="D27" i="31"/>
  <c r="D39" i="34" s="1"/>
  <c r="D26" i="31"/>
  <c r="D38" i="34" s="1"/>
  <c r="D25" i="31"/>
  <c r="D37" i="34" s="1"/>
  <c r="D24" i="31"/>
  <c r="D36" i="34" s="1"/>
  <c r="D23" i="31"/>
  <c r="D35" i="34" s="1"/>
  <c r="D22" i="31"/>
  <c r="D34" i="34" s="1"/>
  <c r="D21" i="31"/>
  <c r="D33" i="34" s="1"/>
  <c r="D20" i="31"/>
  <c r="D32" i="34" s="1"/>
  <c r="I18" i="31"/>
  <c r="H18" i="31"/>
  <c r="F18" i="31"/>
  <c r="E18" i="31"/>
  <c r="D18" i="31"/>
  <c r="I9" i="31"/>
  <c r="H9" i="31"/>
  <c r="B9" i="31"/>
  <c r="B4" i="31"/>
  <c r="B3" i="31"/>
  <c r="A1" i="31"/>
  <c r="H16" i="25" s="1"/>
  <c r="D35" i="28"/>
  <c r="D34" i="28"/>
  <c r="D29" i="28"/>
  <c r="D28" i="28"/>
  <c r="D27" i="28"/>
  <c r="D26" i="28"/>
  <c r="D22" i="28"/>
  <c r="D21" i="28"/>
  <c r="D19" i="28"/>
  <c r="D18" i="28"/>
  <c r="D14" i="28"/>
  <c r="D11" i="28"/>
  <c r="D10" i="28"/>
  <c r="B6" i="28"/>
  <c r="B4" i="28"/>
  <c r="AC603" i="43" l="1"/>
  <c r="D22" i="35"/>
  <c r="D24" i="35"/>
  <c r="D84" i="35"/>
  <c r="O34" i="33"/>
  <c r="O18" i="37" s="1"/>
  <c r="AE492" i="43"/>
  <c r="AE568" i="43"/>
  <c r="AE326" i="43"/>
  <c r="AE548" i="43"/>
  <c r="AE550" i="43" s="1"/>
  <c r="D21" i="32"/>
  <c r="D25" i="32"/>
  <c r="D106" i="33"/>
  <c r="D22" i="32"/>
  <c r="D24" i="32"/>
  <c r="D20" i="32"/>
  <c r="D103" i="33"/>
  <c r="D27" i="32"/>
  <c r="D28" i="32"/>
  <c r="N82" i="40"/>
  <c r="N86" i="40" s="1"/>
  <c r="N96" i="40" s="1"/>
  <c r="N97" i="40" s="1"/>
  <c r="D104" i="33"/>
  <c r="D189" i="33"/>
  <c r="M82" i="40"/>
  <c r="M86" i="40" s="1"/>
  <c r="M96" i="40" s="1"/>
  <c r="M97" i="40" s="1"/>
  <c r="O62" i="33"/>
  <c r="O38" i="40" s="1"/>
  <c r="M27" i="44"/>
  <c r="D102" i="33"/>
  <c r="M95" i="40"/>
  <c r="M46" i="38"/>
  <c r="M47" i="38"/>
  <c r="M48" i="38"/>
  <c r="M49" i="38"/>
  <c r="D60" i="38"/>
  <c r="D49" i="38"/>
  <c r="M50" i="38"/>
  <c r="D61" i="38"/>
  <c r="D31" i="38"/>
  <c r="D51" i="38"/>
  <c r="M51" i="38"/>
  <c r="D62" i="38"/>
  <c r="D38" i="38"/>
  <c r="M53" i="38"/>
  <c r="D66" i="38"/>
  <c r="M45" i="38"/>
  <c r="S98" i="35"/>
  <c r="R98" i="35"/>
  <c r="Q98" i="35"/>
  <c r="P98" i="35"/>
  <c r="O98" i="35"/>
  <c r="S95" i="35"/>
  <c r="R95" i="35"/>
  <c r="Q95" i="35"/>
  <c r="P95" i="35"/>
  <c r="O95" i="35"/>
  <c r="N16" i="4"/>
  <c r="D34" i="39"/>
  <c r="J14" i="4"/>
  <c r="J15" i="4" s="1"/>
  <c r="J17" i="4" s="1"/>
  <c r="D63" i="38"/>
  <c r="D105" i="33"/>
  <c r="D30" i="38"/>
  <c r="D64" i="38"/>
  <c r="D26" i="32"/>
  <c r="D181" i="33"/>
  <c r="D190" i="33"/>
  <c r="D32" i="38"/>
  <c r="D68" i="38"/>
  <c r="D26" i="39"/>
  <c r="D23" i="32"/>
  <c r="D194" i="33"/>
  <c r="D33" i="38"/>
  <c r="D28" i="39"/>
  <c r="D195" i="33"/>
  <c r="D34" i="38"/>
  <c r="D29" i="39"/>
  <c r="F105" i="35"/>
  <c r="F46" i="35" s="1"/>
  <c r="D36" i="38"/>
  <c r="D50" i="38"/>
  <c r="D30" i="39"/>
  <c r="S125" i="45"/>
  <c r="M125" i="45"/>
  <c r="N125" i="45"/>
  <c r="R125" i="45"/>
  <c r="O125" i="45"/>
  <c r="U118" i="45" a="1"/>
  <c r="U118" i="45" s="1"/>
  <c r="P131" i="45" s="1"/>
  <c r="P143" i="45" s="1"/>
  <c r="P111" i="47" s="1"/>
  <c r="U117" i="45" a="1"/>
  <c r="U117" i="45" s="1"/>
  <c r="O130" i="45" s="1"/>
  <c r="U136" i="45"/>
  <c r="P125" i="45"/>
  <c r="Q125" i="45"/>
  <c r="U119" i="45" a="1"/>
  <c r="U119" i="45" s="1"/>
  <c r="S132" i="45" s="1"/>
  <c r="S144" i="45" s="1"/>
  <c r="S119" i="47" s="1"/>
  <c r="T136" i="45"/>
  <c r="M59" i="44"/>
  <c r="M85" i="45" s="1"/>
  <c r="N59" i="44"/>
  <c r="N85" i="45" s="1"/>
  <c r="P78" i="45"/>
  <c r="N78" i="45"/>
  <c r="H81" i="37"/>
  <c r="H55" i="37"/>
  <c r="J55" i="37"/>
  <c r="J63" i="37"/>
  <c r="H63" i="37"/>
  <c r="I63" i="37"/>
  <c r="I81" i="37"/>
  <c r="J81" i="37"/>
  <c r="I98" i="37"/>
  <c r="M78" i="45"/>
  <c r="M81" i="45"/>
  <c r="R59" i="44"/>
  <c r="R85" i="45" s="1"/>
  <c r="S78" i="45"/>
  <c r="N80" i="45"/>
  <c r="R81" i="45"/>
  <c r="O80" i="45"/>
  <c r="S81" i="45"/>
  <c r="S59" i="44"/>
  <c r="S85" i="45" s="1"/>
  <c r="N79" i="45"/>
  <c r="O78" i="45"/>
  <c r="P79" i="45"/>
  <c r="R80" i="45"/>
  <c r="N81" i="45"/>
  <c r="O59" i="44"/>
  <c r="O85" i="45" s="1"/>
  <c r="Q79" i="45"/>
  <c r="S80" i="45"/>
  <c r="O81" i="45"/>
  <c r="M79" i="45"/>
  <c r="Q80" i="45"/>
  <c r="P59" i="44"/>
  <c r="P85" i="45" s="1"/>
  <c r="Q78" i="45"/>
  <c r="R79" i="45"/>
  <c r="P81" i="45"/>
  <c r="P80" i="45"/>
  <c r="O79" i="45"/>
  <c r="Q59" i="44"/>
  <c r="Q85" i="45" s="1"/>
  <c r="R78" i="45"/>
  <c r="S79" i="45"/>
  <c r="M80" i="45"/>
  <c r="Q81" i="45"/>
  <c r="D120" i="33"/>
  <c r="D119" i="33"/>
  <c r="D118" i="33"/>
  <c r="D100" i="37"/>
  <c r="D117" i="33"/>
  <c r="D173" i="33"/>
  <c r="D88" i="37"/>
  <c r="D87" i="37"/>
  <c r="D86" i="37"/>
  <c r="D85" i="37"/>
  <c r="D101" i="37"/>
  <c r="M35" i="38"/>
  <c r="M34" i="38"/>
  <c r="M33" i="38"/>
  <c r="M32" i="38"/>
  <c r="M31" i="38"/>
  <c r="D121" i="33"/>
  <c r="D174" i="33"/>
  <c r="D83" i="37"/>
  <c r="D107" i="37"/>
  <c r="M30" i="38"/>
  <c r="D116" i="33"/>
  <c r="D122" i="33"/>
  <c r="D178" i="33"/>
  <c r="D84" i="37"/>
  <c r="M36" i="38"/>
  <c r="D123" i="33"/>
  <c r="D193" i="33"/>
  <c r="D192" i="33"/>
  <c r="D191" i="33"/>
  <c r="D89" i="37"/>
  <c r="M37" i="38"/>
  <c r="D106" i="37"/>
  <c r="D105" i="37"/>
  <c r="D104" i="37"/>
  <c r="D103" i="37"/>
  <c r="D102" i="37"/>
  <c r="D177" i="33"/>
  <c r="D176" i="33"/>
  <c r="D175" i="33"/>
  <c r="D124" i="33"/>
  <c r="D180" i="33"/>
  <c r="D188" i="33"/>
  <c r="D90" i="37"/>
  <c r="M38" i="38"/>
  <c r="D52" i="38"/>
  <c r="D45" i="38"/>
  <c r="D53" i="38"/>
  <c r="D93" i="39"/>
  <c r="D91" i="39"/>
  <c r="D90" i="39"/>
  <c r="D89" i="39"/>
  <c r="D88" i="39"/>
  <c r="D107" i="33"/>
  <c r="D35" i="38"/>
  <c r="D46" i="38"/>
  <c r="D65" i="38"/>
  <c r="D87" i="39"/>
  <c r="D108" i="33"/>
  <c r="D47" i="38"/>
  <c r="D92" i="39"/>
  <c r="D101" i="33"/>
  <c r="D94" i="39"/>
  <c r="D31" i="39"/>
  <c r="D32" i="39"/>
  <c r="D33" i="39"/>
  <c r="P39" i="40"/>
  <c r="S35" i="40"/>
  <c r="S39" i="40" s="1"/>
  <c r="S139" i="40"/>
  <c r="P140" i="40"/>
  <c r="P36" i="40"/>
  <c r="P46" i="40" s="1"/>
  <c r="Q140" i="40"/>
  <c r="Q36" i="40"/>
  <c r="O77" i="40"/>
  <c r="R140" i="40"/>
  <c r="R36" i="40"/>
  <c r="Q39" i="40"/>
  <c r="R35" i="40"/>
  <c r="R39" i="40" s="1"/>
  <c r="R139" i="40"/>
  <c r="P34" i="33"/>
  <c r="S140" i="40"/>
  <c r="P139" i="40"/>
  <c r="Q139" i="40"/>
  <c r="O35" i="40"/>
  <c r="AC604" i="43" l="1"/>
  <c r="AE543" i="43"/>
  <c r="AE540" i="43"/>
  <c r="AE537" i="43"/>
  <c r="AE541" i="43"/>
  <c r="AE539" i="43"/>
  <c r="AE538" i="43"/>
  <c r="AE542" i="43"/>
  <c r="AE551" i="43"/>
  <c r="AE552" i="43"/>
  <c r="O21" i="38"/>
  <c r="O18" i="47"/>
  <c r="AE328" i="43"/>
  <c r="AE424" i="43"/>
  <c r="AE462" i="43"/>
  <c r="AE349" i="43"/>
  <c r="AE456" i="43"/>
  <c r="AE347" i="43"/>
  <c r="AE388" i="43"/>
  <c r="AE440" i="43"/>
  <c r="AE475" i="43"/>
  <c r="AE356" i="43"/>
  <c r="AE404" i="43"/>
  <c r="AE445" i="43"/>
  <c r="AE338" i="43"/>
  <c r="AE387" i="43"/>
  <c r="AE430" i="43"/>
  <c r="AE333" i="43"/>
  <c r="AE379" i="43"/>
  <c r="AE478" i="43"/>
  <c r="AE441" i="43"/>
  <c r="AE392" i="43"/>
  <c r="AE414" i="43"/>
  <c r="AE471" i="43"/>
  <c r="AE434" i="43"/>
  <c r="AE459" i="43"/>
  <c r="AE449" i="43"/>
  <c r="AE406" i="43"/>
  <c r="AE329" i="43"/>
  <c r="AE417" i="43"/>
  <c r="AE429" i="43"/>
  <c r="AE372" i="43"/>
  <c r="AE366" i="43"/>
  <c r="AE421" i="43"/>
  <c r="AE435" i="43"/>
  <c r="AE402" i="43"/>
  <c r="AE423" i="43"/>
  <c r="AE352" i="43"/>
  <c r="AE433" i="43"/>
  <c r="AE377" i="43"/>
  <c r="AE473" i="43"/>
  <c r="AE358" i="43"/>
  <c r="AE465" i="43"/>
  <c r="AE351" i="43"/>
  <c r="AE438" i="43"/>
  <c r="AE467" i="43"/>
  <c r="AE346" i="43"/>
  <c r="AE401" i="43"/>
  <c r="AE342" i="43"/>
  <c r="AE362" i="43"/>
  <c r="AE373" i="43"/>
  <c r="AE458" i="43"/>
  <c r="AE353" i="43"/>
  <c r="AE390" i="43"/>
  <c r="AE485" i="43"/>
  <c r="AE460" i="43"/>
  <c r="AE383" i="43"/>
  <c r="AE393" i="43"/>
  <c r="AE368" i="43"/>
  <c r="AE442" i="43"/>
  <c r="AE365" i="43"/>
  <c r="AE339" i="43"/>
  <c r="AE371" i="43"/>
  <c r="AE341" i="43"/>
  <c r="AE359" i="43"/>
  <c r="AE375" i="43"/>
  <c r="AE480" i="43"/>
  <c r="AE397" i="43"/>
  <c r="AE457" i="43"/>
  <c r="AE405" i="43"/>
  <c r="AE437" i="43"/>
  <c r="AE470" i="43"/>
  <c r="AE370" i="43"/>
  <c r="AE413" i="43"/>
  <c r="AE361" i="43"/>
  <c r="AE408" i="43"/>
  <c r="AE400" i="43"/>
  <c r="AE394" i="43"/>
  <c r="AE426" i="43"/>
  <c r="AE331" i="43"/>
  <c r="AE391" i="43"/>
  <c r="AE476" i="43"/>
  <c r="AE364" i="43"/>
  <c r="AE396" i="43"/>
  <c r="AE336" i="43"/>
  <c r="AE395" i="43"/>
  <c r="AE407" i="43"/>
  <c r="AE411" i="43"/>
  <c r="AE334" i="43"/>
  <c r="AE389" i="43"/>
  <c r="AE466" i="43"/>
  <c r="AE367" i="43"/>
  <c r="AE452" i="43"/>
  <c r="AE474" i="43"/>
  <c r="AE335" i="43"/>
  <c r="AE409" i="43"/>
  <c r="AE468" i="43"/>
  <c r="AE343" i="43"/>
  <c r="AE410" i="43"/>
  <c r="AE463" i="43"/>
  <c r="AE484" i="43"/>
  <c r="AE443" i="43"/>
  <c r="AE355" i="43"/>
  <c r="AE451" i="43"/>
  <c r="AE348" i="43"/>
  <c r="AE422" i="43"/>
  <c r="AE479" i="43"/>
  <c r="AE384" i="43"/>
  <c r="AE428" i="43"/>
  <c r="AE482" i="43"/>
  <c r="AE330" i="43"/>
  <c r="AE380" i="43"/>
  <c r="AE469" i="43"/>
  <c r="AE447" i="43"/>
  <c r="AE354" i="43"/>
  <c r="AE446" i="43"/>
  <c r="AE486" i="43"/>
  <c r="AE385" i="43"/>
  <c r="AE455" i="43"/>
  <c r="AE369" i="43"/>
  <c r="AE360" i="43"/>
  <c r="AE425" i="43"/>
  <c r="AE427" i="43"/>
  <c r="AE398" i="43"/>
  <c r="AE381" i="43"/>
  <c r="AE332" i="43"/>
  <c r="AE378" i="43"/>
  <c r="AE419" i="43"/>
  <c r="AE477" i="43"/>
  <c r="AE350" i="43"/>
  <c r="AE431" i="43"/>
  <c r="AE464" i="43"/>
  <c r="AE344" i="43"/>
  <c r="AE450" i="43"/>
  <c r="AE357" i="43"/>
  <c r="AE386" i="43"/>
  <c r="AE481" i="43"/>
  <c r="AE374" i="43"/>
  <c r="AE448" i="43"/>
  <c r="AE345" i="43"/>
  <c r="AE418" i="43"/>
  <c r="AE483" i="43"/>
  <c r="AE420" i="43"/>
  <c r="AE416" i="43"/>
  <c r="AE453" i="43"/>
  <c r="AE436" i="43"/>
  <c r="AE403" i="43"/>
  <c r="AE412" i="43"/>
  <c r="AE363" i="43"/>
  <c r="AE415" i="43"/>
  <c r="AE376" i="43"/>
  <c r="AE439" i="43"/>
  <c r="AE432" i="43"/>
  <c r="AE399" i="43"/>
  <c r="AE454" i="43"/>
  <c r="AE340" i="43"/>
  <c r="AE472" i="43"/>
  <c r="AE382" i="43"/>
  <c r="AE444" i="43"/>
  <c r="AE461" i="43"/>
  <c r="AE337" i="43"/>
  <c r="F209" i="43"/>
  <c r="F177" i="43"/>
  <c r="F176" i="43"/>
  <c r="F197" i="43"/>
  <c r="F179" i="43"/>
  <c r="F180" i="43"/>
  <c r="F210" i="43"/>
  <c r="AE570" i="43"/>
  <c r="AE628" i="43"/>
  <c r="AE571" i="43"/>
  <c r="AE719" i="43"/>
  <c r="AE758" i="43"/>
  <c r="AE706" i="43"/>
  <c r="AE663" i="43"/>
  <c r="AE591" i="43"/>
  <c r="AE770" i="43"/>
  <c r="AE768" i="43"/>
  <c r="AE700" i="43"/>
  <c r="AE764" i="43"/>
  <c r="AE740" i="43"/>
  <c r="AE749" i="43"/>
  <c r="AE738" i="43"/>
  <c r="AE703" i="43"/>
  <c r="AE645" i="43"/>
  <c r="AE688" i="43"/>
  <c r="AE620" i="43"/>
  <c r="AE651" i="43"/>
  <c r="AE657" i="43"/>
  <c r="AE611" i="43"/>
  <c r="AE599" i="43"/>
  <c r="AE639" i="43"/>
  <c r="AE610" i="43"/>
  <c r="AE597" i="43"/>
  <c r="AE590" i="43"/>
  <c r="AE577" i="43"/>
  <c r="AE781" i="43"/>
  <c r="AE782" i="43"/>
  <c r="AE737" i="43"/>
  <c r="AE708" i="43"/>
  <c r="AE601" i="43"/>
  <c r="AE626" i="43"/>
  <c r="AE604" i="43"/>
  <c r="AE715" i="43"/>
  <c r="AE618" i="43"/>
  <c r="AE619" i="43"/>
  <c r="AE785" i="43"/>
  <c r="AE783" i="43"/>
  <c r="AE716" i="43"/>
  <c r="AE722" i="43"/>
  <c r="AE672" i="43"/>
  <c r="AE606" i="43"/>
  <c r="AE769" i="43"/>
  <c r="AE763" i="43"/>
  <c r="AE673" i="43"/>
  <c r="AE760" i="43"/>
  <c r="AE746" i="43"/>
  <c r="AE714" i="43"/>
  <c r="AE731" i="43"/>
  <c r="AE732" i="43"/>
  <c r="AE683" i="43"/>
  <c r="AE694" i="43"/>
  <c r="AE632" i="43"/>
  <c r="AE634" i="43"/>
  <c r="AE690" i="43"/>
  <c r="AE616" i="43"/>
  <c r="AE633" i="43"/>
  <c r="AE635" i="43"/>
  <c r="AE592" i="43"/>
  <c r="AE607" i="43"/>
  <c r="AE585" i="43"/>
  <c r="AE572" i="43"/>
  <c r="AE598" i="43"/>
  <c r="AE762" i="43"/>
  <c r="AE745" i="43"/>
  <c r="AE650" i="43"/>
  <c r="AE622" i="43"/>
  <c r="AE573" i="43"/>
  <c r="AE761" i="43"/>
  <c r="AE670" i="43"/>
  <c r="AE755" i="43"/>
  <c r="AE728" i="43"/>
  <c r="AE675" i="43"/>
  <c r="AE712" i="43"/>
  <c r="AE647" i="43"/>
  <c r="AE630" i="43"/>
  <c r="AE627" i="43"/>
  <c r="AE596" i="43"/>
  <c r="AE613" i="43"/>
  <c r="AE790" i="43"/>
  <c r="AE759" i="43"/>
  <c r="AE709" i="43"/>
  <c r="AE697" i="43"/>
  <c r="AE660" i="43"/>
  <c r="AE582" i="43"/>
  <c r="AE730" i="43"/>
  <c r="AE765" i="43"/>
  <c r="AE777" i="43"/>
  <c r="AE654" i="43"/>
  <c r="AE686" i="43"/>
  <c r="AE744" i="43"/>
  <c r="AE726" i="43"/>
  <c r="AE717" i="43"/>
  <c r="AE710" i="43"/>
  <c r="AE702" i="43"/>
  <c r="AE676" i="43"/>
  <c r="AE677" i="43"/>
  <c r="AE621" i="43"/>
  <c r="AE624" i="43"/>
  <c r="AE612" i="43"/>
  <c r="AE615" i="43"/>
  <c r="AE588" i="43"/>
  <c r="AE589" i="43"/>
  <c r="AE583" i="43"/>
  <c r="AE718" i="43"/>
  <c r="AE742" i="43"/>
  <c r="AE666" i="43"/>
  <c r="AE733" i="43"/>
  <c r="AE637" i="43"/>
  <c r="AE658" i="43"/>
  <c r="AE623" i="43"/>
  <c r="AE579" i="43"/>
  <c r="AE752" i="43"/>
  <c r="AE668" i="43"/>
  <c r="AE608" i="43"/>
  <c r="AE788" i="43"/>
  <c r="AE766" i="43"/>
  <c r="AE734" i="43"/>
  <c r="AE739" i="43"/>
  <c r="AE648" i="43"/>
  <c r="AE576" i="43"/>
  <c r="AE695" i="43"/>
  <c r="AE704" i="43"/>
  <c r="AE753" i="43"/>
  <c r="AE720" i="43"/>
  <c r="AE653" i="43"/>
  <c r="AE679" i="43"/>
  <c r="AE748" i="43"/>
  <c r="AE681" i="43"/>
  <c r="AE691" i="43"/>
  <c r="AE721" i="43"/>
  <c r="AE674" i="43"/>
  <c r="AE669" i="43"/>
  <c r="AE642" i="43"/>
  <c r="AE652" i="43"/>
  <c r="AE584" i="43"/>
  <c r="AE617" i="43"/>
  <c r="AE614" i="43"/>
  <c r="AE603" i="43"/>
  <c r="AE581" i="43"/>
  <c r="AE743" i="43"/>
  <c r="AE789" i="43"/>
  <c r="AE696" i="43"/>
  <c r="AE640" i="43"/>
  <c r="AE767" i="43"/>
  <c r="AE689" i="43"/>
  <c r="AE644" i="43"/>
  <c r="AE698" i="43"/>
  <c r="AE595" i="43"/>
  <c r="AE786" i="43"/>
  <c r="AE751" i="43"/>
  <c r="AE693" i="43"/>
  <c r="AE729" i="43"/>
  <c r="AE636" i="43"/>
  <c r="AE711" i="43"/>
  <c r="AE784" i="43"/>
  <c r="AE780" i="43"/>
  <c r="AE750" i="43"/>
  <c r="AE756" i="43"/>
  <c r="AE741" i="43"/>
  <c r="AE701" i="43"/>
  <c r="AE723" i="43"/>
  <c r="AE735" i="43"/>
  <c r="AE725" i="43"/>
  <c r="AE665" i="43"/>
  <c r="AE649" i="43"/>
  <c r="AE661" i="43"/>
  <c r="AE629" i="43"/>
  <c r="AE646" i="43"/>
  <c r="AE641" i="43"/>
  <c r="AE682" i="43"/>
  <c r="AE605" i="43"/>
  <c r="AE586" i="43"/>
  <c r="AE580" i="43"/>
  <c r="AE692" i="43"/>
  <c r="AE575" i="43"/>
  <c r="AE778" i="43"/>
  <c r="AE727" i="43"/>
  <c r="AE705" i="43"/>
  <c r="AE680" i="43"/>
  <c r="AE631" i="43"/>
  <c r="AE724" i="43"/>
  <c r="AE757" i="43"/>
  <c r="AE779" i="43"/>
  <c r="AE754" i="43"/>
  <c r="AE747" i="43"/>
  <c r="AE671" i="43"/>
  <c r="AE678" i="43"/>
  <c r="AE664" i="43"/>
  <c r="AE667" i="43"/>
  <c r="AE685" i="43"/>
  <c r="AE684" i="43"/>
  <c r="AE638" i="43"/>
  <c r="AE687" i="43"/>
  <c r="AE655" i="43"/>
  <c r="AE625" i="43"/>
  <c r="AE594" i="43"/>
  <c r="AE609" i="43"/>
  <c r="AE587" i="43"/>
  <c r="AE593" i="43"/>
  <c r="AE574" i="43"/>
  <c r="AE662" i="43"/>
  <c r="AE787" i="43"/>
  <c r="AE707" i="43"/>
  <c r="AE600" i="43"/>
  <c r="AE736" i="43"/>
  <c r="AE699" i="43"/>
  <c r="AE656" i="43"/>
  <c r="AE713" i="43"/>
  <c r="AE659" i="43"/>
  <c r="AE643" i="43"/>
  <c r="AE602" i="43"/>
  <c r="AE578" i="43"/>
  <c r="AE506" i="43"/>
  <c r="AE563" i="43"/>
  <c r="AE502" i="43"/>
  <c r="AE512" i="43"/>
  <c r="AE526" i="43"/>
  <c r="AE518" i="43"/>
  <c r="AE509" i="43"/>
  <c r="AE562" i="43"/>
  <c r="AE555" i="43"/>
  <c r="AE536" i="43"/>
  <c r="AE521" i="43"/>
  <c r="AE516" i="43"/>
  <c r="AE504" i="43"/>
  <c r="AE558" i="43"/>
  <c r="AE513" i="43"/>
  <c r="AE527" i="43"/>
  <c r="AE522" i="43"/>
  <c r="AE507" i="43"/>
  <c r="AE535" i="43"/>
  <c r="AE534" i="43"/>
  <c r="AE494" i="43"/>
  <c r="AE515" i="43"/>
  <c r="AE524" i="43"/>
  <c r="AE508" i="43"/>
  <c r="AE499" i="43"/>
  <c r="AE533" i="43"/>
  <c r="AE501" i="43"/>
  <c r="AE531" i="43"/>
  <c r="AE556" i="43"/>
  <c r="AE553" i="43"/>
  <c r="AE517" i="43"/>
  <c r="AE500" i="43"/>
  <c r="AE523" i="43"/>
  <c r="AE560" i="43"/>
  <c r="AE510" i="43"/>
  <c r="AE557" i="43"/>
  <c r="AE532" i="43"/>
  <c r="AE511" i="43"/>
  <c r="AE520" i="43"/>
  <c r="AE514" i="43"/>
  <c r="AE497" i="43"/>
  <c r="AE530" i="43"/>
  <c r="AE559" i="43"/>
  <c r="AE496" i="43"/>
  <c r="AE503" i="43"/>
  <c r="AE525" i="43"/>
  <c r="AE528" i="43"/>
  <c r="AE529" i="43"/>
  <c r="AE554" i="43"/>
  <c r="AE495" i="43"/>
  <c r="AE519" i="43"/>
  <c r="AE561" i="43"/>
  <c r="AE498" i="43"/>
  <c r="AE505" i="43"/>
  <c r="E176" i="43"/>
  <c r="E209" i="43"/>
  <c r="E180" i="43"/>
  <c r="E177" i="43"/>
  <c r="E179" i="43"/>
  <c r="E197" i="43"/>
  <c r="E210" i="43"/>
  <c r="I244" i="43"/>
  <c r="I236" i="43"/>
  <c r="I241" i="43"/>
  <c r="I237" i="43"/>
  <c r="S156" i="45"/>
  <c r="P18" i="37"/>
  <c r="P18" i="47"/>
  <c r="P21" i="38"/>
  <c r="P155" i="45"/>
  <c r="O35" i="47"/>
  <c r="O37" i="47"/>
  <c r="O40" i="47"/>
  <c r="O38" i="47"/>
  <c r="O39" i="47"/>
  <c r="O33" i="47"/>
  <c r="J18" i="4"/>
  <c r="J19" i="4" s="1"/>
  <c r="K14" i="4"/>
  <c r="K15" i="4" s="1"/>
  <c r="K17" i="4" s="1"/>
  <c r="O142" i="45"/>
  <c r="O39" i="40"/>
  <c r="M99" i="40"/>
  <c r="N94" i="40" s="1"/>
  <c r="N95" i="40" s="1"/>
  <c r="N99" i="40" s="1"/>
  <c r="O94" i="40" s="1"/>
  <c r="Q96" i="35"/>
  <c r="P96" i="35"/>
  <c r="O96" i="35"/>
  <c r="S96" i="35"/>
  <c r="R96" i="35"/>
  <c r="O97" i="35"/>
  <c r="S97" i="35"/>
  <c r="R97" i="35"/>
  <c r="Q97" i="35"/>
  <c r="P97" i="35"/>
  <c r="O93" i="35"/>
  <c r="S93" i="35"/>
  <c r="R93" i="35"/>
  <c r="Q93" i="35"/>
  <c r="P93" i="35"/>
  <c r="O16" i="4"/>
  <c r="S94" i="35"/>
  <c r="R94" i="35"/>
  <c r="Q94" i="35"/>
  <c r="P94" i="35"/>
  <c r="O94" i="35"/>
  <c r="Q101" i="35"/>
  <c r="P101" i="35"/>
  <c r="O101" i="35"/>
  <c r="S101" i="35"/>
  <c r="R101" i="35"/>
  <c r="Q132" i="45"/>
  <c r="Q144" i="45" s="1"/>
  <c r="O132" i="45"/>
  <c r="O144" i="45" s="1"/>
  <c r="P132" i="45"/>
  <c r="P144" i="45" s="1"/>
  <c r="P130" i="45"/>
  <c r="S131" i="45"/>
  <c r="S143" i="45" s="1"/>
  <c r="S130" i="45"/>
  <c r="N132" i="45"/>
  <c r="N144" i="45" s="1"/>
  <c r="M131" i="45"/>
  <c r="M143" i="45" s="1"/>
  <c r="R131" i="45"/>
  <c r="R143" i="45" s="1"/>
  <c r="O131" i="45"/>
  <c r="O143" i="45" s="1"/>
  <c r="A125" i="45"/>
  <c r="N130" i="45"/>
  <c r="Q131" i="45"/>
  <c r="Q143" i="45" s="1"/>
  <c r="M132" i="45"/>
  <c r="M144" i="45" s="1"/>
  <c r="R130" i="45"/>
  <c r="N131" i="45"/>
  <c r="N143" i="45" s="1"/>
  <c r="R132" i="45"/>
  <c r="R144" i="45" s="1"/>
  <c r="Q130" i="45"/>
  <c r="M130" i="45"/>
  <c r="M83" i="45"/>
  <c r="R83" i="45"/>
  <c r="R97" i="45" s="1"/>
  <c r="P83" i="45"/>
  <c r="P97" i="45" s="1"/>
  <c r="S83" i="45"/>
  <c r="S86" i="45" s="1"/>
  <c r="O83" i="45"/>
  <c r="N83" i="45"/>
  <c r="Q83" i="45"/>
  <c r="Q97" i="45" s="1"/>
  <c r="P77" i="40"/>
  <c r="P82" i="40" s="1"/>
  <c r="Q46" i="40"/>
  <c r="O82" i="40"/>
  <c r="Q34" i="33"/>
  <c r="AC605" i="43" l="1"/>
  <c r="O155" i="45"/>
  <c r="O111" i="47"/>
  <c r="O156" i="45"/>
  <c r="O119" i="47"/>
  <c r="R156" i="45"/>
  <c r="R119" i="47"/>
  <c r="R155" i="45"/>
  <c r="R111" i="47"/>
  <c r="Q156" i="45"/>
  <c r="Q119" i="47"/>
  <c r="O154" i="45"/>
  <c r="O103" i="47"/>
  <c r="P156" i="45"/>
  <c r="P119" i="47"/>
  <c r="N155" i="45"/>
  <c r="N111" i="47"/>
  <c r="M155" i="45"/>
  <c r="M111" i="47"/>
  <c r="N156" i="45"/>
  <c r="N119" i="47"/>
  <c r="M156" i="45"/>
  <c r="M119" i="47"/>
  <c r="Q155" i="45"/>
  <c r="Q111" i="47"/>
  <c r="S155" i="45"/>
  <c r="S111" i="47"/>
  <c r="G180" i="43"/>
  <c r="G177" i="43"/>
  <c r="G197" i="43"/>
  <c r="G209" i="43"/>
  <c r="G179" i="43"/>
  <c r="G176" i="43"/>
  <c r="G210" i="43"/>
  <c r="Q18" i="37"/>
  <c r="Q18" i="47"/>
  <c r="Q21" i="38"/>
  <c r="P33" i="47"/>
  <c r="P35" i="47"/>
  <c r="P39" i="47"/>
  <c r="P37" i="47"/>
  <c r="P38" i="47"/>
  <c r="P40" i="47"/>
  <c r="K18" i="4"/>
  <c r="K19" i="4" s="1"/>
  <c r="L14" i="4"/>
  <c r="L15" i="4" s="1"/>
  <c r="L18" i="4" s="1"/>
  <c r="R148" i="45"/>
  <c r="R160" i="45" s="1"/>
  <c r="R142" i="45"/>
  <c r="S148" i="45"/>
  <c r="S160" i="45" s="1"/>
  <c r="S142" i="45"/>
  <c r="N148" i="45"/>
  <c r="N160" i="45" s="1"/>
  <c r="N142" i="45"/>
  <c r="P142" i="45"/>
  <c r="P148" i="45"/>
  <c r="P160" i="45" s="1"/>
  <c r="M142" i="45"/>
  <c r="M148" i="45"/>
  <c r="M160" i="45" s="1"/>
  <c r="Q142" i="45"/>
  <c r="Q148" i="45"/>
  <c r="Q160" i="45" s="1"/>
  <c r="O148" i="45"/>
  <c r="O160" i="45" s="1"/>
  <c r="O95" i="40"/>
  <c r="P16" i="4"/>
  <c r="U130" i="45"/>
  <c r="U132" i="45"/>
  <c r="U144" i="45" s="1"/>
  <c r="U131" i="45"/>
  <c r="U143" i="45" s="1"/>
  <c r="U80" i="45" a="1"/>
  <c r="U80" i="45" s="1"/>
  <c r="N93" i="45" s="1"/>
  <c r="U79" i="45" a="1"/>
  <c r="U79" i="45" s="1"/>
  <c r="M92" i="45" s="1"/>
  <c r="M86" i="45"/>
  <c r="U78" i="45" a="1"/>
  <c r="U78" i="45" s="1"/>
  <c r="N91" i="45" s="1"/>
  <c r="N105" i="47" s="1"/>
  <c r="R86" i="45"/>
  <c r="S97" i="45"/>
  <c r="M97" i="45"/>
  <c r="P86" i="45"/>
  <c r="N86" i="45"/>
  <c r="N97" i="45"/>
  <c r="O86" i="45"/>
  <c r="O97" i="45"/>
  <c r="Q86" i="45"/>
  <c r="R34" i="33"/>
  <c r="Q77" i="40"/>
  <c r="Q82" i="40" s="1"/>
  <c r="R46" i="40"/>
  <c r="AC606" i="43" l="1"/>
  <c r="M14" i="4"/>
  <c r="M15" i="4" s="1"/>
  <c r="L19" i="4"/>
  <c r="L8" i="45"/>
  <c r="L171" i="45" s="1"/>
  <c r="L17" i="4"/>
  <c r="O158" i="45"/>
  <c r="M53" i="45"/>
  <c r="M137" i="47" s="1"/>
  <c r="M113" i="47"/>
  <c r="N54" i="45"/>
  <c r="N138" i="47" s="1"/>
  <c r="N121" i="47"/>
  <c r="P154" i="45"/>
  <c r="P158" i="45" s="1"/>
  <c r="P103" i="47"/>
  <c r="N154" i="45"/>
  <c r="N158" i="45" s="1"/>
  <c r="N103" i="47"/>
  <c r="S154" i="45"/>
  <c r="S158" i="45" s="1"/>
  <c r="S103" i="47"/>
  <c r="Q154" i="45"/>
  <c r="Q158" i="45" s="1"/>
  <c r="Q103" i="47"/>
  <c r="U156" i="45"/>
  <c r="U119" i="47"/>
  <c r="R154" i="45"/>
  <c r="R158" i="45" s="1"/>
  <c r="R103" i="47"/>
  <c r="U155" i="45"/>
  <c r="U111" i="47"/>
  <c r="M154" i="45"/>
  <c r="M158" i="45" s="1"/>
  <c r="M103" i="47"/>
  <c r="H197" i="43"/>
  <c r="H210" i="43"/>
  <c r="H176" i="43"/>
  <c r="H180" i="43"/>
  <c r="H177" i="43"/>
  <c r="H209" i="43"/>
  <c r="H179" i="43"/>
  <c r="R18" i="37"/>
  <c r="R18" i="47"/>
  <c r="R21" i="38"/>
  <c r="Q40" i="47"/>
  <c r="Q38" i="47"/>
  <c r="Q37" i="47"/>
  <c r="Q39" i="47"/>
  <c r="Q33" i="47"/>
  <c r="Q35" i="47"/>
  <c r="N52" i="45"/>
  <c r="N136" i="47" s="1"/>
  <c r="U142" i="45"/>
  <c r="U148" i="45"/>
  <c r="U160" i="45" s="1"/>
  <c r="M104" i="45"/>
  <c r="S146" i="45"/>
  <c r="O146" i="45"/>
  <c r="N105" i="45"/>
  <c r="N42" i="45" s="1"/>
  <c r="N103" i="45"/>
  <c r="R146" i="45"/>
  <c r="N146" i="45"/>
  <c r="P146" i="45"/>
  <c r="Q146" i="45"/>
  <c r="Q16" i="4"/>
  <c r="U97" i="45"/>
  <c r="U122" i="45"/>
  <c r="T97" i="45"/>
  <c r="Q92" i="45"/>
  <c r="R92" i="45"/>
  <c r="Q91" i="45"/>
  <c r="Q105" i="47" s="1"/>
  <c r="P92" i="45"/>
  <c r="R91" i="45"/>
  <c r="R105" i="47" s="1"/>
  <c r="N92" i="45"/>
  <c r="M93" i="45"/>
  <c r="S92" i="45"/>
  <c r="P91" i="45"/>
  <c r="P105" i="47" s="1"/>
  <c r="R93" i="45"/>
  <c r="O91" i="45"/>
  <c r="O105" i="47" s="1"/>
  <c r="Q93" i="45"/>
  <c r="O92" i="45"/>
  <c r="S93" i="45"/>
  <c r="U83" i="45"/>
  <c r="O93" i="45"/>
  <c r="P93" i="45"/>
  <c r="A86" i="45"/>
  <c r="S91" i="45"/>
  <c r="S105" i="47" s="1"/>
  <c r="M91" i="45"/>
  <c r="M105" i="47" s="1"/>
  <c r="R77" i="40"/>
  <c r="R82" i="40" s="1"/>
  <c r="S46" i="40"/>
  <c r="S77" i="40" s="1"/>
  <c r="S82" i="40" s="1"/>
  <c r="S34" i="33"/>
  <c r="O70" i="37"/>
  <c r="O88" i="37" s="1"/>
  <c r="AC607" i="43" l="1"/>
  <c r="L9" i="45"/>
  <c r="L9" i="44"/>
  <c r="L242" i="44" s="1"/>
  <c r="N40" i="45"/>
  <c r="P54" i="45"/>
  <c r="P138" i="47" s="1"/>
  <c r="P121" i="47"/>
  <c r="O54" i="45"/>
  <c r="O138" i="47" s="1"/>
  <c r="O121" i="47"/>
  <c r="S53" i="45"/>
  <c r="S137" i="47" s="1"/>
  <c r="S113" i="47"/>
  <c r="N53" i="45"/>
  <c r="N137" i="47" s="1"/>
  <c r="N113" i="47"/>
  <c r="Q54" i="45"/>
  <c r="Q138" i="47" s="1"/>
  <c r="Q121" i="47"/>
  <c r="M54" i="45"/>
  <c r="M138" i="47" s="1"/>
  <c r="M121" i="47"/>
  <c r="S54" i="45"/>
  <c r="S138" i="47" s="1"/>
  <c r="S121" i="47"/>
  <c r="O53" i="45"/>
  <c r="O137" i="47" s="1"/>
  <c r="O113" i="47"/>
  <c r="R54" i="45"/>
  <c r="R138" i="47" s="1"/>
  <c r="R121" i="47"/>
  <c r="R53" i="45"/>
  <c r="R137" i="47" s="1"/>
  <c r="R113" i="47"/>
  <c r="P53" i="45"/>
  <c r="P137" i="47" s="1"/>
  <c r="P113" i="47"/>
  <c r="Q53" i="45"/>
  <c r="Q137" i="47" s="1"/>
  <c r="Q113" i="47"/>
  <c r="U154" i="45"/>
  <c r="U158" i="45" s="1"/>
  <c r="U103" i="47"/>
  <c r="I210" i="43"/>
  <c r="I197" i="43"/>
  <c r="I179" i="43"/>
  <c r="I180" i="43"/>
  <c r="I176" i="43"/>
  <c r="I177" i="43"/>
  <c r="I209" i="43"/>
  <c r="S21" i="38"/>
  <c r="S18" i="47"/>
  <c r="R35" i="47"/>
  <c r="R40" i="47"/>
  <c r="R39" i="47"/>
  <c r="R38" i="47"/>
  <c r="R37" i="47"/>
  <c r="R33" i="47"/>
  <c r="M41" i="45"/>
  <c r="R52" i="45"/>
  <c r="R136" i="47" s="1"/>
  <c r="R58" i="45" a="1"/>
  <c r="R58" i="45" s="1"/>
  <c r="M58" i="45" a="1"/>
  <c r="M58" i="45" s="1"/>
  <c r="M52" i="45"/>
  <c r="M136" i="47" s="1"/>
  <c r="S52" i="45"/>
  <c r="S136" i="47" s="1"/>
  <c r="S58" i="45" a="1"/>
  <c r="S58" i="45" s="1"/>
  <c r="O52" i="45"/>
  <c r="O136" i="47" s="1"/>
  <c r="O58" i="45" a="1"/>
  <c r="O58" i="45" s="1"/>
  <c r="Q52" i="45"/>
  <c r="Q136" i="47" s="1"/>
  <c r="Q58" i="45" a="1"/>
  <c r="Q58" i="45" s="1"/>
  <c r="P58" i="45" a="1"/>
  <c r="P58" i="45" s="1"/>
  <c r="P52" i="45"/>
  <c r="P136" i="47" s="1"/>
  <c r="N58" i="45" a="1"/>
  <c r="N58" i="45" s="1"/>
  <c r="R103" i="45"/>
  <c r="R40" i="45" s="1"/>
  <c r="M103" i="45"/>
  <c r="Q105" i="45"/>
  <c r="Q42" i="45" s="1"/>
  <c r="P104" i="45"/>
  <c r="P41" i="45" s="1"/>
  <c r="O103" i="45"/>
  <c r="O40" i="45" s="1"/>
  <c r="M146" i="45"/>
  <c r="O104" i="45"/>
  <c r="O41" i="45" s="1"/>
  <c r="S103" i="45"/>
  <c r="S40" i="45" s="1"/>
  <c r="R104" i="45"/>
  <c r="R41" i="45" s="1"/>
  <c r="S105" i="45"/>
  <c r="S42" i="45" s="1"/>
  <c r="R105" i="45"/>
  <c r="R42" i="45" s="1"/>
  <c r="P105" i="45"/>
  <c r="P42" i="45" s="1"/>
  <c r="P103" i="45"/>
  <c r="P40" i="45" s="1"/>
  <c r="Q104" i="45"/>
  <c r="Q41" i="45" s="1"/>
  <c r="N104" i="45"/>
  <c r="N41" i="45" s="1"/>
  <c r="Q103" i="45"/>
  <c r="Q40" i="45" s="1"/>
  <c r="O105" i="45"/>
  <c r="O42" i="45" s="1"/>
  <c r="S104" i="45"/>
  <c r="S41" i="45" s="1"/>
  <c r="M105" i="45"/>
  <c r="R16" i="4"/>
  <c r="N95" i="45"/>
  <c r="N109" i="45" s="1"/>
  <c r="N46" i="45" s="1"/>
  <c r="U92" i="45"/>
  <c r="U93" i="45"/>
  <c r="U91" i="45"/>
  <c r="U105" i="47" s="1"/>
  <c r="Q134" i="45"/>
  <c r="R134" i="45"/>
  <c r="M134" i="45"/>
  <c r="T130" i="45"/>
  <c r="T132" i="45"/>
  <c r="T144" i="45" s="1"/>
  <c r="S134" i="45"/>
  <c r="N134" i="45"/>
  <c r="T131" i="45"/>
  <c r="T143" i="45" s="1"/>
  <c r="O134" i="45"/>
  <c r="P134" i="45"/>
  <c r="S18" i="37"/>
  <c r="R95" i="45"/>
  <c r="R109" i="45" s="1"/>
  <c r="R46" i="45" s="1"/>
  <c r="P95" i="45"/>
  <c r="P109" i="45" s="1"/>
  <c r="P46" i="45" s="1"/>
  <c r="Q95" i="45"/>
  <c r="Q109" i="45" s="1"/>
  <c r="Q46" i="45" s="1"/>
  <c r="O95" i="45"/>
  <c r="O109" i="45" s="1"/>
  <c r="O46" i="45" s="1"/>
  <c r="T93" i="45"/>
  <c r="T121" i="47" s="1"/>
  <c r="T92" i="45"/>
  <c r="T113" i="47" s="1"/>
  <c r="T91" i="45"/>
  <c r="T105" i="47" s="1"/>
  <c r="S95" i="45"/>
  <c r="S109" i="45" s="1"/>
  <c r="S46" i="45" s="1"/>
  <c r="M95" i="45"/>
  <c r="M109" i="45" s="1"/>
  <c r="M46" i="45" s="1"/>
  <c r="N14" i="4"/>
  <c r="M18" i="4"/>
  <c r="M17" i="4"/>
  <c r="O79" i="35"/>
  <c r="P70" i="37"/>
  <c r="P88" i="37" s="1"/>
  <c r="P79" i="35"/>
  <c r="AC608" i="43" l="1"/>
  <c r="L172" i="45"/>
  <c r="L179" i="45"/>
  <c r="M127" i="47"/>
  <c r="R127" i="47"/>
  <c r="N127" i="47"/>
  <c r="P127" i="47"/>
  <c r="N140" i="47"/>
  <c r="S127" i="47"/>
  <c r="U53" i="45"/>
  <c r="U137" i="47" s="1"/>
  <c r="U113" i="47"/>
  <c r="P129" i="47"/>
  <c r="Q129" i="47"/>
  <c r="S140" i="47"/>
  <c r="N129" i="47"/>
  <c r="M140" i="47"/>
  <c r="M129" i="47"/>
  <c r="Q127" i="47"/>
  <c r="R129" i="47"/>
  <c r="S129" i="47"/>
  <c r="O127" i="47"/>
  <c r="O140" i="47"/>
  <c r="P140" i="47"/>
  <c r="O129" i="47"/>
  <c r="U54" i="45"/>
  <c r="U138" i="47" s="1"/>
  <c r="U121" i="47"/>
  <c r="Q140" i="47"/>
  <c r="R140" i="47"/>
  <c r="T156" i="45"/>
  <c r="T119" i="47"/>
  <c r="T155" i="45"/>
  <c r="T111" i="47"/>
  <c r="S30" i="48"/>
  <c r="S31" i="48"/>
  <c r="S33" i="48"/>
  <c r="S32" i="48"/>
  <c r="M53" i="47" s="1"/>
  <c r="S28" i="48"/>
  <c r="S29" i="48"/>
  <c r="S35" i="47"/>
  <c r="S39" i="47"/>
  <c r="S37" i="47"/>
  <c r="S38" i="47"/>
  <c r="S33" i="47"/>
  <c r="S40" i="47"/>
  <c r="M8" i="45"/>
  <c r="M171" i="45" s="1"/>
  <c r="M42" i="45"/>
  <c r="M40" i="45"/>
  <c r="T148" i="45"/>
  <c r="T160" i="45" s="1"/>
  <c r="T142" i="45"/>
  <c r="T53" i="45"/>
  <c r="T137" i="47" s="1"/>
  <c r="T54" i="45"/>
  <c r="T138" i="47" s="1"/>
  <c r="U58" i="45" a="1"/>
  <c r="U58" i="45" s="1"/>
  <c r="U52" i="45"/>
  <c r="U136" i="47" s="1"/>
  <c r="U104" i="45"/>
  <c r="U41" i="45" s="1"/>
  <c r="O107" i="45"/>
  <c r="O110" i="45" s="1"/>
  <c r="S107" i="45"/>
  <c r="S110" i="45" s="1"/>
  <c r="P107" i="45"/>
  <c r="P110" i="45" s="1"/>
  <c r="U105" i="45"/>
  <c r="U42" i="45" s="1"/>
  <c r="M161" i="45"/>
  <c r="U146" i="45"/>
  <c r="R107" i="45"/>
  <c r="T103" i="45"/>
  <c r="T104" i="45"/>
  <c r="P161" i="45"/>
  <c r="P149" i="45"/>
  <c r="R161" i="45"/>
  <c r="R149" i="45"/>
  <c r="M107" i="45"/>
  <c r="T105" i="45"/>
  <c r="O161" i="45"/>
  <c r="O149" i="45"/>
  <c r="Q161" i="45"/>
  <c r="Q149" i="45"/>
  <c r="N161" i="45"/>
  <c r="N149" i="45"/>
  <c r="S161" i="45"/>
  <c r="S149" i="45"/>
  <c r="U103" i="45"/>
  <c r="U40" i="45" s="1"/>
  <c r="Q107" i="45"/>
  <c r="Q110" i="45" s="1"/>
  <c r="O137" i="45"/>
  <c r="N137" i="45"/>
  <c r="S137" i="45"/>
  <c r="M137" i="45"/>
  <c r="Q137" i="45"/>
  <c r="P137" i="45"/>
  <c r="R137" i="45"/>
  <c r="S16" i="4"/>
  <c r="O98" i="45"/>
  <c r="Q98" i="45"/>
  <c r="P98" i="45"/>
  <c r="M98" i="45"/>
  <c r="R98" i="45"/>
  <c r="S98" i="45"/>
  <c r="N98" i="45"/>
  <c r="T134" i="45"/>
  <c r="U134" i="45"/>
  <c r="U161" i="45" s="1"/>
  <c r="T95" i="45"/>
  <c r="T109" i="45" s="1"/>
  <c r="U95" i="45"/>
  <c r="U109" i="45" s="1"/>
  <c r="U46" i="45" s="1"/>
  <c r="M19" i="4"/>
  <c r="N15" i="4"/>
  <c r="Q70" i="37"/>
  <c r="Q88" i="37" s="1"/>
  <c r="AC609" i="43" l="1"/>
  <c r="M54" i="47"/>
  <c r="R130" i="47"/>
  <c r="M52" i="47"/>
  <c r="N130" i="47"/>
  <c r="T46" i="45"/>
  <c r="M130" i="47"/>
  <c r="T41" i="45"/>
  <c r="S130" i="47"/>
  <c r="P130" i="47"/>
  <c r="U127" i="47"/>
  <c r="O130" i="47"/>
  <c r="Q130" i="47"/>
  <c r="U140" i="47"/>
  <c r="U129" i="47"/>
  <c r="T42" i="45"/>
  <c r="T154" i="45"/>
  <c r="T40" i="45" s="1"/>
  <c r="T103" i="47"/>
  <c r="M55" i="47"/>
  <c r="M34" i="47"/>
  <c r="S27" i="48"/>
  <c r="P35" i="48"/>
  <c r="S37" i="48"/>
  <c r="M9" i="45"/>
  <c r="M62" i="45" s="1"/>
  <c r="M9" i="47"/>
  <c r="M147" i="47" s="1"/>
  <c r="T146" i="45"/>
  <c r="T52" i="45"/>
  <c r="T136" i="47" s="1"/>
  <c r="T58" i="45" a="1"/>
  <c r="T58" i="45" s="1"/>
  <c r="T107" i="45"/>
  <c r="T110" i="45" s="1"/>
  <c r="M110" i="45"/>
  <c r="R110" i="45"/>
  <c r="M149" i="45"/>
  <c r="U149" i="45"/>
  <c r="T137" i="45"/>
  <c r="U137" i="45"/>
  <c r="T16" i="4"/>
  <c r="U98" i="45"/>
  <c r="T98" i="45"/>
  <c r="Q79" i="35"/>
  <c r="O14" i="4"/>
  <c r="N18" i="4"/>
  <c r="N17" i="4"/>
  <c r="M9" i="40"/>
  <c r="M9" i="33"/>
  <c r="M25" i="33" s="1"/>
  <c r="M9" i="44"/>
  <c r="O48" i="38"/>
  <c r="O71" i="37"/>
  <c r="O49" i="38"/>
  <c r="S70" i="37"/>
  <c r="S88" i="37" s="1"/>
  <c r="R70" i="37"/>
  <c r="R88" i="37" s="1"/>
  <c r="O72" i="37"/>
  <c r="O90" i="37" s="1"/>
  <c r="O47" i="38"/>
  <c r="P71" i="37"/>
  <c r="AC610" i="43" l="1"/>
  <c r="T326" i="43"/>
  <c r="T295" i="43"/>
  <c r="T548" i="43"/>
  <c r="T492" i="43"/>
  <c r="T568" i="43"/>
  <c r="U130" i="47"/>
  <c r="M172" i="45"/>
  <c r="M179" i="45"/>
  <c r="M242" i="44"/>
  <c r="M193" i="45"/>
  <c r="M50" i="45"/>
  <c r="M38" i="45"/>
  <c r="M140" i="45"/>
  <c r="A130" i="47"/>
  <c r="T140" i="47"/>
  <c r="T158" i="45"/>
  <c r="T161" i="45" s="1"/>
  <c r="T149" i="45"/>
  <c r="A149" i="45" s="1"/>
  <c r="T129" i="47"/>
  <c r="T127" i="47"/>
  <c r="M100" i="47"/>
  <c r="M134" i="47"/>
  <c r="T31" i="48"/>
  <c r="T33" i="48"/>
  <c r="T32" i="48"/>
  <c r="N53" i="47" s="1"/>
  <c r="T29" i="48"/>
  <c r="T30" i="48"/>
  <c r="T28" i="48"/>
  <c r="M115" i="45"/>
  <c r="M101" i="45"/>
  <c r="M76" i="45"/>
  <c r="M152" i="45"/>
  <c r="M89" i="45"/>
  <c r="M28" i="47"/>
  <c r="M42" i="47" s="1"/>
  <c r="M60" i="47" s="1"/>
  <c r="M51" i="47"/>
  <c r="M58" i="47" s="1"/>
  <c r="S35" i="48"/>
  <c r="M44" i="47" s="1"/>
  <c r="M128" i="45"/>
  <c r="M67" i="47"/>
  <c r="M16" i="47"/>
  <c r="M49" i="47"/>
  <c r="M26" i="47"/>
  <c r="M83" i="47"/>
  <c r="N8" i="45"/>
  <c r="N171" i="45" s="1"/>
  <c r="A137" i="45"/>
  <c r="O89" i="37"/>
  <c r="O28" i="37" s="1"/>
  <c r="O170" i="40" s="1"/>
  <c r="U16" i="4"/>
  <c r="P89" i="37"/>
  <c r="P28" i="37" s="1"/>
  <c r="P170" i="40" s="1"/>
  <c r="A98" i="45"/>
  <c r="M63" i="44"/>
  <c r="M78" i="44"/>
  <c r="M47" i="44"/>
  <c r="N19" i="4"/>
  <c r="S79" i="35"/>
  <c r="M71" i="33"/>
  <c r="M114" i="33"/>
  <c r="M82" i="33"/>
  <c r="R79" i="35"/>
  <c r="O15" i="4"/>
  <c r="M92" i="40"/>
  <c r="M73" i="40"/>
  <c r="O53" i="38"/>
  <c r="O73" i="37"/>
  <c r="P72" i="37"/>
  <c r="P90" i="37" s="1"/>
  <c r="Q71" i="37"/>
  <c r="O46" i="38"/>
  <c r="O51" i="38"/>
  <c r="P46" i="38"/>
  <c r="P47" i="38"/>
  <c r="O52" i="38"/>
  <c r="P48" i="38"/>
  <c r="O50" i="38"/>
  <c r="O45" i="38"/>
  <c r="P49" i="38"/>
  <c r="AC611" i="43" l="1"/>
  <c r="N52" i="47"/>
  <c r="T550" i="43"/>
  <c r="T494" i="43"/>
  <c r="M251" i="43"/>
  <c r="T298" i="43"/>
  <c r="T328" i="43"/>
  <c r="M60" i="43"/>
  <c r="T570" i="43"/>
  <c r="T307" i="43"/>
  <c r="T301" i="43"/>
  <c r="T308" i="43"/>
  <c r="T303" i="43"/>
  <c r="T315" i="43"/>
  <c r="T304" i="43"/>
  <c r="T302" i="43"/>
  <c r="T314" i="43"/>
  <c r="T311" i="43"/>
  <c r="T306" i="43"/>
  <c r="T300" i="43"/>
  <c r="T312" i="43"/>
  <c r="T310" i="43"/>
  <c r="T313" i="43"/>
  <c r="T309" i="43"/>
  <c r="T305" i="43"/>
  <c r="T130" i="47"/>
  <c r="N54" i="47"/>
  <c r="M45" i="47"/>
  <c r="M61" i="47"/>
  <c r="N55" i="47"/>
  <c r="N34" i="47"/>
  <c r="T27" i="48"/>
  <c r="T37" i="48"/>
  <c r="Q35" i="48"/>
  <c r="N9" i="45"/>
  <c r="N179" i="45" s="1"/>
  <c r="N9" i="47"/>
  <c r="N147" i="47" s="1"/>
  <c r="O126" i="33"/>
  <c r="O91" i="37"/>
  <c r="O29" i="37" s="1"/>
  <c r="O171" i="40" s="1"/>
  <c r="V16" i="4"/>
  <c r="Q89" i="37"/>
  <c r="Q28" i="37" s="1"/>
  <c r="Q170" i="40" s="1"/>
  <c r="P14" i="4"/>
  <c r="O18" i="4"/>
  <c r="O17" i="4"/>
  <c r="N9" i="40"/>
  <c r="N9" i="33"/>
  <c r="N9" i="44"/>
  <c r="O82" i="35"/>
  <c r="P50" i="38"/>
  <c r="P45" i="38"/>
  <c r="Q46" i="38"/>
  <c r="Q48" i="38"/>
  <c r="S71" i="37"/>
  <c r="P73" i="37"/>
  <c r="P91" i="37" s="1"/>
  <c r="P29" i="37" s="1"/>
  <c r="P171" i="40" s="1"/>
  <c r="P53" i="38"/>
  <c r="O65" i="37"/>
  <c r="O83" i="37" s="1"/>
  <c r="R71" i="37"/>
  <c r="Q47" i="38"/>
  <c r="Q72" i="37"/>
  <c r="Q90" i="37" s="1"/>
  <c r="P51" i="38"/>
  <c r="O66" i="37"/>
  <c r="O84" i="37" s="1"/>
  <c r="P66" i="37"/>
  <c r="P84" i="37" s="1"/>
  <c r="P52" i="38"/>
  <c r="AC612" i="43" l="1"/>
  <c r="I165" i="43"/>
  <c r="I164" i="43"/>
  <c r="U326" i="43"/>
  <c r="U295" i="43"/>
  <c r="U492" i="43"/>
  <c r="U548" i="43"/>
  <c r="U568" i="43"/>
  <c r="M253" i="43"/>
  <c r="I166" i="43"/>
  <c r="I168" i="43"/>
  <c r="N50" i="45"/>
  <c r="I167" i="43"/>
  <c r="M62" i="43"/>
  <c r="I163" i="43"/>
  <c r="M61" i="43"/>
  <c r="I161" i="43"/>
  <c r="M252" i="43"/>
  <c r="I162" i="43"/>
  <c r="N242" i="44"/>
  <c r="N193" i="45"/>
  <c r="N38" i="45"/>
  <c r="N172" i="45"/>
  <c r="N140" i="45"/>
  <c r="N100" i="47"/>
  <c r="N134" i="47"/>
  <c r="N76" i="45"/>
  <c r="N62" i="45"/>
  <c r="N128" i="45"/>
  <c r="N152" i="45"/>
  <c r="N89" i="45"/>
  <c r="N101" i="45"/>
  <c r="N28" i="47"/>
  <c r="N42" i="47" s="1"/>
  <c r="N60" i="47" s="1"/>
  <c r="N51" i="47"/>
  <c r="N58" i="47" s="1"/>
  <c r="T35" i="48"/>
  <c r="N44" i="47" s="1"/>
  <c r="N115" i="45"/>
  <c r="N83" i="47"/>
  <c r="N16" i="47"/>
  <c r="N67" i="47"/>
  <c r="N49" i="47"/>
  <c r="N26" i="47"/>
  <c r="O37" i="34"/>
  <c r="R89" i="37"/>
  <c r="R28" i="37" s="1"/>
  <c r="R170" i="40" s="1"/>
  <c r="S89" i="37"/>
  <c r="S28" i="37" s="1"/>
  <c r="S170" i="40" s="1"/>
  <c r="W16" i="4"/>
  <c r="N63" i="44"/>
  <c r="N78" i="44"/>
  <c r="N47" i="44"/>
  <c r="N71" i="33"/>
  <c r="N114" i="33"/>
  <c r="N82" i="33"/>
  <c r="N25" i="33"/>
  <c r="P15" i="4"/>
  <c r="P82" i="35"/>
  <c r="N73" i="40"/>
  <c r="N92" i="40"/>
  <c r="O8" i="45"/>
  <c r="O171" i="45" s="1"/>
  <c r="O19" i="4"/>
  <c r="P75" i="35"/>
  <c r="R47" i="38"/>
  <c r="R48" i="38"/>
  <c r="Q53" i="38"/>
  <c r="P65" i="37"/>
  <c r="P83" i="37" s="1"/>
  <c r="R72" i="37"/>
  <c r="R90" i="37" s="1"/>
  <c r="Q52" i="38"/>
  <c r="Q73" i="37"/>
  <c r="Q51" i="38"/>
  <c r="Q49" i="38"/>
  <c r="O69" i="37"/>
  <c r="O87" i="37" s="1"/>
  <c r="Q66" i="37"/>
  <c r="Q84" i="37" s="1"/>
  <c r="Q50" i="38"/>
  <c r="P126" i="33"/>
  <c r="O75" i="35"/>
  <c r="Q45" i="38"/>
  <c r="S72" i="37"/>
  <c r="S90" i="37" s="1"/>
  <c r="AC613" i="43" l="1"/>
  <c r="M170" i="47"/>
  <c r="N170" i="47"/>
  <c r="M171" i="47"/>
  <c r="N171" i="47"/>
  <c r="U314" i="43"/>
  <c r="U301" i="43"/>
  <c r="U300" i="43"/>
  <c r="U315" i="43"/>
  <c r="N251" i="43"/>
  <c r="U328" i="43"/>
  <c r="AG298" i="43"/>
  <c r="U570" i="43"/>
  <c r="N60" i="43"/>
  <c r="U298" i="43"/>
  <c r="U550" i="43"/>
  <c r="U494" i="43"/>
  <c r="M78" i="43"/>
  <c r="AA298" i="43"/>
  <c r="M217" i="43"/>
  <c r="T38" i="48"/>
  <c r="E167" i="43"/>
  <c r="N61" i="47"/>
  <c r="E164" i="43"/>
  <c r="O32" i="34"/>
  <c r="O55" i="35" s="1"/>
  <c r="E161" i="43"/>
  <c r="E166" i="43"/>
  <c r="O40" i="34"/>
  <c r="O34" i="47" s="1"/>
  <c r="E168" i="43"/>
  <c r="E163" i="43"/>
  <c r="E165" i="43"/>
  <c r="O33" i="34"/>
  <c r="O56" i="35" s="1"/>
  <c r="E162" i="43"/>
  <c r="N45" i="47"/>
  <c r="O9" i="47"/>
  <c r="O55" i="47"/>
  <c r="Q126" i="33"/>
  <c r="Q91" i="37"/>
  <c r="Q29" i="37" s="1"/>
  <c r="Q171" i="40" s="1"/>
  <c r="X16" i="4"/>
  <c r="Q14" i="4"/>
  <c r="P18" i="4"/>
  <c r="P17" i="4"/>
  <c r="V295" i="43" s="1"/>
  <c r="O60" i="35"/>
  <c r="Q82" i="35"/>
  <c r="O9" i="45"/>
  <c r="O9" i="40"/>
  <c r="O9" i="35"/>
  <c r="O9" i="37"/>
  <c r="O16" i="37" s="1"/>
  <c r="O9" i="39"/>
  <c r="O9" i="38"/>
  <c r="O9" i="34"/>
  <c r="O9" i="44"/>
  <c r="O9" i="33"/>
  <c r="O9" i="32"/>
  <c r="O9" i="31"/>
  <c r="R49" i="38"/>
  <c r="Q75" i="35"/>
  <c r="R73" i="37"/>
  <c r="R52" i="38"/>
  <c r="R66" i="37"/>
  <c r="R84" i="37" s="1"/>
  <c r="Q65" i="37"/>
  <c r="Q83" i="37" s="1"/>
  <c r="R45" i="38"/>
  <c r="S66" i="37"/>
  <c r="S84" i="37" s="1"/>
  <c r="R46" i="38"/>
  <c r="R50" i="38"/>
  <c r="O74" i="35"/>
  <c r="P67" i="37"/>
  <c r="P85" i="37" s="1"/>
  <c r="O67" i="37"/>
  <c r="O85" i="37" s="1"/>
  <c r="O75" i="37"/>
  <c r="R53" i="38"/>
  <c r="S73" i="37"/>
  <c r="R51" i="38"/>
  <c r="O68" i="37"/>
  <c r="O86" i="37" s="1"/>
  <c r="AC614" i="43" l="1"/>
  <c r="O63" i="35"/>
  <c r="O42" i="35" s="1"/>
  <c r="M244" i="43" s="1"/>
  <c r="O56" i="47"/>
  <c r="V301" i="43"/>
  <c r="V315" i="43"/>
  <c r="V314" i="43"/>
  <c r="V300" i="43"/>
  <c r="J168" i="43"/>
  <c r="AA315" i="43"/>
  <c r="AG315" i="43" s="1"/>
  <c r="AA300" i="43"/>
  <c r="N61" i="43"/>
  <c r="J161" i="43"/>
  <c r="J162" i="43"/>
  <c r="AA301" i="43"/>
  <c r="AG301" i="43" s="1"/>
  <c r="N252" i="43"/>
  <c r="AA314" i="43"/>
  <c r="AG314" i="43" s="1"/>
  <c r="O172" i="45"/>
  <c r="O179" i="45"/>
  <c r="O242" i="44"/>
  <c r="O193" i="45"/>
  <c r="O140" i="45"/>
  <c r="O134" i="47"/>
  <c r="O147" i="47"/>
  <c r="O83" i="47"/>
  <c r="O100" i="47"/>
  <c r="O26" i="47"/>
  <c r="O67" i="47"/>
  <c r="O16" i="47"/>
  <c r="O49" i="47"/>
  <c r="P40" i="34"/>
  <c r="P34" i="47" s="1"/>
  <c r="P33" i="34"/>
  <c r="P37" i="34"/>
  <c r="O101" i="45"/>
  <c r="O152" i="45"/>
  <c r="O62" i="45"/>
  <c r="O38" i="45"/>
  <c r="Y16" i="4"/>
  <c r="R91" i="37"/>
  <c r="R29" i="37" s="1"/>
  <c r="R171" i="40" s="1"/>
  <c r="S91" i="37"/>
  <c r="S29" i="37" s="1"/>
  <c r="S171" i="40" s="1"/>
  <c r="O50" i="45"/>
  <c r="O115" i="45"/>
  <c r="O128" i="45"/>
  <c r="O63" i="44"/>
  <c r="O78" i="44"/>
  <c r="O47" i="44"/>
  <c r="O76" i="45"/>
  <c r="O89" i="45"/>
  <c r="O37" i="37"/>
  <c r="O25" i="37"/>
  <c r="O81" i="37"/>
  <c r="O98" i="37"/>
  <c r="O55" i="37"/>
  <c r="O63" i="37"/>
  <c r="O39" i="35"/>
  <c r="M241" i="43" s="1"/>
  <c r="Q75" i="37"/>
  <c r="O54" i="31"/>
  <c r="O18" i="31"/>
  <c r="O33" i="31"/>
  <c r="O91" i="35"/>
  <c r="O72" i="35"/>
  <c r="O53" i="35"/>
  <c r="O32" i="35"/>
  <c r="O20" i="35"/>
  <c r="S82" i="35"/>
  <c r="O54" i="32"/>
  <c r="O33" i="32"/>
  <c r="O18" i="32"/>
  <c r="O44" i="40"/>
  <c r="O33" i="40"/>
  <c r="O48" i="40" s="1"/>
  <c r="O51" i="40" s="1"/>
  <c r="O56" i="40" s="1"/>
  <c r="O136" i="40"/>
  <c r="O116" i="40"/>
  <c r="O104" i="40"/>
  <c r="O189" i="40"/>
  <c r="H24" i="40"/>
  <c r="I24" i="40" s="1"/>
  <c r="O178" i="40"/>
  <c r="O92" i="40"/>
  <c r="O73" i="40"/>
  <c r="O167" i="40"/>
  <c r="O60" i="40"/>
  <c r="O151" i="40"/>
  <c r="O200" i="40"/>
  <c r="R82" i="35"/>
  <c r="O71" i="33"/>
  <c r="O25" i="33"/>
  <c r="O114" i="33"/>
  <c r="O82" i="33"/>
  <c r="O134" i="33"/>
  <c r="O41" i="33"/>
  <c r="O104" i="39"/>
  <c r="O43" i="39"/>
  <c r="O85" i="39"/>
  <c r="O24" i="39"/>
  <c r="P8" i="45"/>
  <c r="P171" i="45" s="1"/>
  <c r="P19" i="4"/>
  <c r="O48" i="34"/>
  <c r="O30" i="34"/>
  <c r="O18" i="34"/>
  <c r="O72" i="34"/>
  <c r="Q15" i="4"/>
  <c r="O43" i="38"/>
  <c r="O58" i="38"/>
  <c r="O19" i="38"/>
  <c r="O28" i="38"/>
  <c r="O35" i="35"/>
  <c r="M237" i="43" s="1"/>
  <c r="S53" i="38"/>
  <c r="O173" i="40"/>
  <c r="O93" i="37"/>
  <c r="O31" i="37"/>
  <c r="O27" i="37"/>
  <c r="O169" i="40" s="1"/>
  <c r="E11" i="43" s="1" a="1"/>
  <c r="P68" i="37"/>
  <c r="P86" i="37" s="1"/>
  <c r="S52" i="38"/>
  <c r="S45" i="38"/>
  <c r="S51" i="38"/>
  <c r="S75" i="35"/>
  <c r="Q68" i="37"/>
  <c r="Q86" i="37" s="1"/>
  <c r="S50" i="38"/>
  <c r="Q67" i="37"/>
  <c r="Q85" i="37" s="1"/>
  <c r="Q69" i="37"/>
  <c r="Q87" i="37" s="1"/>
  <c r="P69" i="37"/>
  <c r="R126" i="33"/>
  <c r="S49" i="38"/>
  <c r="S47" i="38"/>
  <c r="O34" i="35"/>
  <c r="M236" i="43" s="1"/>
  <c r="P74" i="35"/>
  <c r="O76" i="37"/>
  <c r="S48" i="38"/>
  <c r="R65" i="37"/>
  <c r="R83" i="37" s="1"/>
  <c r="R75" i="35"/>
  <c r="S46" i="38"/>
  <c r="P75" i="37"/>
  <c r="AC615" i="43" l="1"/>
  <c r="K161" i="43"/>
  <c r="K168" i="43"/>
  <c r="K162" i="43"/>
  <c r="O61" i="43"/>
  <c r="AB300" i="43"/>
  <c r="O252" i="43"/>
  <c r="AB301" i="43"/>
  <c r="AH301" i="43" s="1"/>
  <c r="O251" i="43"/>
  <c r="V298" i="43"/>
  <c r="AH298" i="43"/>
  <c r="O60" i="43"/>
  <c r="AB298" i="43"/>
  <c r="N78" i="43"/>
  <c r="N217" i="43"/>
  <c r="AG300" i="43"/>
  <c r="M79" i="43" s="1"/>
  <c r="AB314" i="43"/>
  <c r="AH314" i="43" s="1"/>
  <c r="AB315" i="43"/>
  <c r="AH315" i="43" s="1"/>
  <c r="G11" i="43"/>
  <c r="E11" i="43"/>
  <c r="F11" i="43"/>
  <c r="P9" i="47"/>
  <c r="P55" i="47"/>
  <c r="P56" i="47"/>
  <c r="P32" i="34"/>
  <c r="P87" i="37"/>
  <c r="P31" i="37" s="1"/>
  <c r="Z16" i="4"/>
  <c r="Q173" i="40"/>
  <c r="P60" i="35"/>
  <c r="P39" i="35" s="1"/>
  <c r="Q18" i="4"/>
  <c r="Q17" i="4"/>
  <c r="W295" i="43" s="1"/>
  <c r="R14" i="4"/>
  <c r="P9" i="45"/>
  <c r="P9" i="40"/>
  <c r="P9" i="35"/>
  <c r="P9" i="33"/>
  <c r="P9" i="37"/>
  <c r="P16" i="37" s="1"/>
  <c r="P9" i="39"/>
  <c r="P9" i="44"/>
  <c r="P9" i="38"/>
  <c r="P9" i="34"/>
  <c r="P9" i="32"/>
  <c r="P9" i="31"/>
  <c r="P56" i="35"/>
  <c r="Q31" i="37"/>
  <c r="P63" i="35"/>
  <c r="R75" i="37"/>
  <c r="Q93" i="37"/>
  <c r="R69" i="37"/>
  <c r="R87" i="37" s="1"/>
  <c r="O174" i="40"/>
  <c r="S65" i="37"/>
  <c r="S83" i="37" s="1"/>
  <c r="S126" i="33"/>
  <c r="S67" i="37"/>
  <c r="S85" i="37" s="1"/>
  <c r="Q27" i="37"/>
  <c r="Q169" i="40" s="1"/>
  <c r="Q74" i="35"/>
  <c r="P76" i="37"/>
  <c r="R68" i="37"/>
  <c r="R86" i="37" s="1"/>
  <c r="R67" i="37"/>
  <c r="R85" i="37" s="1"/>
  <c r="O32" i="37"/>
  <c r="Q76" i="37"/>
  <c r="AC616" i="43" l="1"/>
  <c r="L162" i="43"/>
  <c r="L168" i="43"/>
  <c r="L161" i="43"/>
  <c r="AH300" i="43"/>
  <c r="N79" i="43" s="1"/>
  <c r="W314" i="43"/>
  <c r="W315" i="43"/>
  <c r="W301" i="43"/>
  <c r="W300" i="43"/>
  <c r="P172" i="45"/>
  <c r="P179" i="45"/>
  <c r="P242" i="44"/>
  <c r="P193" i="45"/>
  <c r="P140" i="45"/>
  <c r="P134" i="47"/>
  <c r="P147" i="47"/>
  <c r="P83" i="47"/>
  <c r="P100" i="47"/>
  <c r="P67" i="47"/>
  <c r="P26" i="47"/>
  <c r="P16" i="47"/>
  <c r="P49" i="47"/>
  <c r="P55" i="35"/>
  <c r="P34" i="35" s="1"/>
  <c r="Q33" i="34"/>
  <c r="Q37" i="34"/>
  <c r="Q40" i="34"/>
  <c r="Q34" i="47" s="1"/>
  <c r="P27" i="37"/>
  <c r="P169" i="40" s="1"/>
  <c r="P101" i="45"/>
  <c r="P152" i="45"/>
  <c r="P93" i="37"/>
  <c r="P173" i="40"/>
  <c r="Q174" i="40"/>
  <c r="P62" i="45"/>
  <c r="P38" i="45"/>
  <c r="AA16" i="4"/>
  <c r="P50" i="45"/>
  <c r="P115" i="45"/>
  <c r="P128" i="45"/>
  <c r="P63" i="44"/>
  <c r="P78" i="44"/>
  <c r="P47" i="44"/>
  <c r="P76" i="45"/>
  <c r="P89" i="45"/>
  <c r="S75" i="37"/>
  <c r="P18" i="32"/>
  <c r="P33" i="32"/>
  <c r="P54" i="32"/>
  <c r="P136" i="40"/>
  <c r="P116" i="40"/>
  <c r="P104" i="40"/>
  <c r="P189" i="40"/>
  <c r="P178" i="40"/>
  <c r="P92" i="40"/>
  <c r="P73" i="40"/>
  <c r="P200" i="40"/>
  <c r="P167" i="40"/>
  <c r="P33" i="40"/>
  <c r="P151" i="40"/>
  <c r="P44" i="40"/>
  <c r="P60" i="40"/>
  <c r="P48" i="34"/>
  <c r="P30" i="34"/>
  <c r="P18" i="34"/>
  <c r="P72" i="34"/>
  <c r="P42" i="35"/>
  <c r="P43" i="38"/>
  <c r="P58" i="38"/>
  <c r="P28" i="38"/>
  <c r="P19" i="38"/>
  <c r="P104" i="39"/>
  <c r="P43" i="39"/>
  <c r="P85" i="39"/>
  <c r="P24" i="39"/>
  <c r="Q8" i="45"/>
  <c r="Q171" i="45" s="1"/>
  <c r="Q19" i="4"/>
  <c r="P35" i="35"/>
  <c r="P37" i="37"/>
  <c r="P25" i="37"/>
  <c r="P81" i="37"/>
  <c r="P98" i="37"/>
  <c r="P55" i="37"/>
  <c r="P63" i="37"/>
  <c r="R173" i="40"/>
  <c r="P114" i="33"/>
  <c r="P41" i="33"/>
  <c r="P71" i="33"/>
  <c r="P82" i="33"/>
  <c r="P25" i="33"/>
  <c r="P134" i="33"/>
  <c r="R15" i="4"/>
  <c r="P18" i="31"/>
  <c r="P33" i="31"/>
  <c r="P54" i="31"/>
  <c r="P72" i="35"/>
  <c r="P53" i="35"/>
  <c r="P32" i="35"/>
  <c r="P91" i="35"/>
  <c r="P20" i="35"/>
  <c r="R31" i="37"/>
  <c r="R93" i="37"/>
  <c r="R27" i="37"/>
  <c r="R169" i="40" s="1"/>
  <c r="R74" i="35"/>
  <c r="S68" i="37"/>
  <c r="S86" i="37" s="1"/>
  <c r="Q32" i="37"/>
  <c r="R76" i="37"/>
  <c r="S69" i="37"/>
  <c r="S87" i="37" s="1"/>
  <c r="S74" i="35"/>
  <c r="AC617" i="43" l="1"/>
  <c r="N168" i="43"/>
  <c r="AC314" i="43"/>
  <c r="AI314" i="43" s="1"/>
  <c r="P61" i="43"/>
  <c r="AC300" i="43"/>
  <c r="AI298" i="43"/>
  <c r="W298" i="43"/>
  <c r="P60" i="43"/>
  <c r="O78" i="43"/>
  <c r="P251" i="43"/>
  <c r="AC298" i="43"/>
  <c r="O217" i="43"/>
  <c r="P252" i="43"/>
  <c r="AC301" i="43"/>
  <c r="AI301" i="43" s="1"/>
  <c r="AC315" i="43"/>
  <c r="AI315" i="43" s="1"/>
  <c r="Q9" i="47"/>
  <c r="Q26" i="47" s="1"/>
  <c r="Q55" i="47"/>
  <c r="Q56" i="47"/>
  <c r="Q32" i="34"/>
  <c r="P174" i="40"/>
  <c r="P32" i="37"/>
  <c r="AB16" i="4"/>
  <c r="S173" i="40"/>
  <c r="Q56" i="35"/>
  <c r="Q63" i="35"/>
  <c r="Q9" i="45"/>
  <c r="Q9" i="40"/>
  <c r="Q9" i="35"/>
  <c r="Q9" i="37"/>
  <c r="Q16" i="37" s="1"/>
  <c r="Q9" i="39"/>
  <c r="Q9" i="44"/>
  <c r="Q9" i="32"/>
  <c r="Q9" i="38"/>
  <c r="Q9" i="34"/>
  <c r="Q9" i="31"/>
  <c r="Q9" i="33"/>
  <c r="R174" i="40"/>
  <c r="R17" i="4"/>
  <c r="X295" i="43" s="1"/>
  <c r="S14" i="4"/>
  <c r="R18" i="4"/>
  <c r="Q60" i="35"/>
  <c r="Q39" i="35" s="1"/>
  <c r="S27" i="37"/>
  <c r="S169" i="40" s="1"/>
  <c r="S93" i="37"/>
  <c r="A93" i="37" s="1"/>
  <c r="S31" i="37"/>
  <c r="R32" i="37"/>
  <c r="S76" i="37"/>
  <c r="A76" i="37" s="1"/>
  <c r="AC618" i="43" l="1"/>
  <c r="Q67" i="47"/>
  <c r="AI300" i="43"/>
  <c r="O79" i="43" s="1"/>
  <c r="X314" i="43"/>
  <c r="X300" i="43"/>
  <c r="X301" i="43"/>
  <c r="X315" i="43"/>
  <c r="Q172" i="45"/>
  <c r="Q179" i="45"/>
  <c r="Q242" i="44"/>
  <c r="Q193" i="45"/>
  <c r="Q140" i="45"/>
  <c r="Q134" i="47"/>
  <c r="Q147" i="47"/>
  <c r="S174" i="40"/>
  <c r="A174" i="40" s="1"/>
  <c r="Q16" i="47"/>
  <c r="Q83" i="47"/>
  <c r="Q100" i="47"/>
  <c r="Q49" i="47"/>
  <c r="Q55" i="35"/>
  <c r="Q34" i="35" s="1"/>
  <c r="R33" i="34"/>
  <c r="R37" i="34"/>
  <c r="R40" i="34"/>
  <c r="R34" i="47" s="1"/>
  <c r="Q101" i="45"/>
  <c r="Q152" i="45"/>
  <c r="Q62" i="45"/>
  <c r="Q38" i="45"/>
  <c r="AC16" i="4"/>
  <c r="Q50" i="45"/>
  <c r="Q115" i="45"/>
  <c r="Q128" i="45"/>
  <c r="Q63" i="44"/>
  <c r="Q78" i="44"/>
  <c r="Q47" i="44"/>
  <c r="Q76" i="45"/>
  <c r="Q89" i="45"/>
  <c r="S32" i="37"/>
  <c r="A32" i="37" s="1"/>
  <c r="Q58" i="38"/>
  <c r="Q28" i="38"/>
  <c r="Q19" i="38"/>
  <c r="Q43" i="38"/>
  <c r="Q54" i="32"/>
  <c r="Q33" i="32"/>
  <c r="Q18" i="32"/>
  <c r="Q25" i="37"/>
  <c r="Q81" i="37"/>
  <c r="Q98" i="37"/>
  <c r="Q55" i="37"/>
  <c r="Q63" i="37"/>
  <c r="Q37" i="37"/>
  <c r="Q42" i="35"/>
  <c r="S15" i="4"/>
  <c r="Q114" i="33"/>
  <c r="Q82" i="33"/>
  <c r="Q41" i="33"/>
  <c r="Q25" i="33"/>
  <c r="Q71" i="33"/>
  <c r="Q134" i="33"/>
  <c r="Q32" i="35"/>
  <c r="Q20" i="35"/>
  <c r="Q72" i="35"/>
  <c r="Q91" i="35"/>
  <c r="Q53" i="35"/>
  <c r="Q35" i="35"/>
  <c r="Q85" i="39"/>
  <c r="Q43" i="39"/>
  <c r="Q104" i="39"/>
  <c r="Q24" i="39"/>
  <c r="R8" i="45"/>
  <c r="R171" i="45" s="1"/>
  <c r="R19" i="4"/>
  <c r="Q33" i="31"/>
  <c r="Q54" i="31"/>
  <c r="Q18" i="31"/>
  <c r="Q104" i="40"/>
  <c r="Q189" i="40"/>
  <c r="Q178" i="40"/>
  <c r="Q92" i="40"/>
  <c r="Q73" i="40"/>
  <c r="Q200" i="40"/>
  <c r="Q167" i="40"/>
  <c r="Q151" i="40"/>
  <c r="Q60" i="40"/>
  <c r="Q116" i="40"/>
  <c r="Q33" i="40"/>
  <c r="Q136" i="40"/>
  <c r="Q44" i="40"/>
  <c r="Q48" i="34"/>
  <c r="Q30" i="34"/>
  <c r="Q18" i="34"/>
  <c r="Q72" i="34"/>
  <c r="AC619" i="43" l="1"/>
  <c r="AD314" i="43"/>
  <c r="AJ314" i="43" s="1"/>
  <c r="AD315" i="43"/>
  <c r="AJ315" i="43" s="1"/>
  <c r="Q60" i="43"/>
  <c r="X298" i="43"/>
  <c r="AD298" i="43"/>
  <c r="P78" i="43"/>
  <c r="Q251" i="43"/>
  <c r="AJ298" i="43"/>
  <c r="P217" i="43"/>
  <c r="AK301" i="43"/>
  <c r="Q252" i="43"/>
  <c r="AD301" i="43"/>
  <c r="AJ301" i="43" s="1"/>
  <c r="Q61" i="43"/>
  <c r="AD300" i="43"/>
  <c r="R9" i="47"/>
  <c r="R56" i="47"/>
  <c r="R55" i="47"/>
  <c r="R32" i="34"/>
  <c r="R55" i="35" s="1"/>
  <c r="AD16" i="4"/>
  <c r="R56" i="35"/>
  <c r="R63" i="35"/>
  <c r="R9" i="45"/>
  <c r="R9" i="35"/>
  <c r="R9" i="39"/>
  <c r="R9" i="40"/>
  <c r="R9" i="44"/>
  <c r="R9" i="38"/>
  <c r="R9" i="31"/>
  <c r="R9" i="33"/>
  <c r="R9" i="32"/>
  <c r="R9" i="37"/>
  <c r="R16" i="37" s="1"/>
  <c r="R9" i="34"/>
  <c r="G10" i="41"/>
  <c r="S17" i="4"/>
  <c r="Y295" i="43" s="1"/>
  <c r="T14" i="4"/>
  <c r="S18" i="4"/>
  <c r="R60" i="35"/>
  <c r="R39" i="35" s="1"/>
  <c r="AC620" i="43" l="1"/>
  <c r="AJ300" i="43"/>
  <c r="P79" i="43" s="1"/>
  <c r="Y315" i="43"/>
  <c r="AE315" i="43" s="1"/>
  <c r="AK315" i="43" s="1"/>
  <c r="Y300" i="43"/>
  <c r="Y314" i="43"/>
  <c r="AE314" i="43" s="1"/>
  <c r="AK314" i="43" s="1"/>
  <c r="Y301" i="43"/>
  <c r="R172" i="45"/>
  <c r="R179" i="45"/>
  <c r="R242" i="44"/>
  <c r="R193" i="45"/>
  <c r="R140" i="45"/>
  <c r="R134" i="47"/>
  <c r="R147" i="47"/>
  <c r="R83" i="47"/>
  <c r="R100" i="47"/>
  <c r="R67" i="47"/>
  <c r="R26" i="47"/>
  <c r="R16" i="47"/>
  <c r="R49" i="47"/>
  <c r="S37" i="34"/>
  <c r="F161" i="43"/>
  <c r="R101" i="45"/>
  <c r="R152" i="45"/>
  <c r="R38" i="45"/>
  <c r="R62" i="45"/>
  <c r="T15" i="4"/>
  <c r="AE16" i="4"/>
  <c r="R50" i="45"/>
  <c r="R128" i="45"/>
  <c r="R115" i="45"/>
  <c r="R63" i="44"/>
  <c r="R78" i="44"/>
  <c r="R47" i="44"/>
  <c r="R76" i="45"/>
  <c r="R89" i="45"/>
  <c r="R189" i="40"/>
  <c r="R178" i="40"/>
  <c r="R92" i="40"/>
  <c r="R73" i="40"/>
  <c r="R200" i="40"/>
  <c r="R167" i="40"/>
  <c r="R151" i="40"/>
  <c r="R60" i="40"/>
  <c r="R44" i="40"/>
  <c r="R33" i="40"/>
  <c r="R104" i="40"/>
  <c r="R116" i="40"/>
  <c r="R136" i="40"/>
  <c r="R42" i="35"/>
  <c r="R48" i="34"/>
  <c r="R30" i="34"/>
  <c r="R18" i="34"/>
  <c r="R72" i="34"/>
  <c r="R104" i="39"/>
  <c r="R43" i="39"/>
  <c r="R24" i="39"/>
  <c r="R85" i="39"/>
  <c r="R35" i="35"/>
  <c r="R34" i="35"/>
  <c r="R18" i="32"/>
  <c r="R54" i="32"/>
  <c r="R33" i="32"/>
  <c r="R81" i="37"/>
  <c r="R98" i="37"/>
  <c r="R55" i="37"/>
  <c r="R63" i="37"/>
  <c r="R25" i="37"/>
  <c r="R37" i="37"/>
  <c r="R41" i="33"/>
  <c r="R114" i="33"/>
  <c r="R82" i="33"/>
  <c r="R25" i="33"/>
  <c r="R134" i="33"/>
  <c r="R71" i="33"/>
  <c r="R20" i="35"/>
  <c r="R91" i="35"/>
  <c r="R32" i="35"/>
  <c r="R53" i="35"/>
  <c r="R72" i="35"/>
  <c r="S8" i="45"/>
  <c r="S171" i="45" s="1"/>
  <c r="S19" i="4"/>
  <c r="R18" i="31"/>
  <c r="R33" i="31"/>
  <c r="R54" i="31"/>
  <c r="R58" i="38"/>
  <c r="R28" i="38"/>
  <c r="R19" i="38"/>
  <c r="R43" i="38"/>
  <c r="AC621" i="43" l="1"/>
  <c r="R252" i="43"/>
  <c r="AE301" i="43"/>
  <c r="AE300" i="43"/>
  <c r="R61" i="43"/>
  <c r="R60" i="43"/>
  <c r="Q78" i="43"/>
  <c r="Y298" i="43"/>
  <c r="R251" i="43"/>
  <c r="AK298" i="43"/>
  <c r="AE298" i="43"/>
  <c r="Q217" i="43"/>
  <c r="F163" i="43"/>
  <c r="F164" i="43"/>
  <c r="F167" i="43"/>
  <c r="F165" i="43"/>
  <c r="F166" i="43"/>
  <c r="S33" i="34"/>
  <c r="S56" i="35" s="1"/>
  <c r="F162" i="43"/>
  <c r="S40" i="34"/>
  <c r="S34" i="47" s="1"/>
  <c r="F168" i="43"/>
  <c r="S9" i="47"/>
  <c r="S56" i="47"/>
  <c r="S55" i="47"/>
  <c r="T17" i="4"/>
  <c r="S32" i="34"/>
  <c r="T18" i="4"/>
  <c r="AF16" i="4"/>
  <c r="U14" i="4"/>
  <c r="S63" i="35"/>
  <c r="S60" i="35"/>
  <c r="S39" i="35" s="1"/>
  <c r="S9" i="45"/>
  <c r="S9" i="35"/>
  <c r="S9" i="39"/>
  <c r="S9" i="40"/>
  <c r="S9" i="44"/>
  <c r="S9" i="32"/>
  <c r="S9" i="38"/>
  <c r="S9" i="34"/>
  <c r="S9" i="33"/>
  <c r="S9" i="31"/>
  <c r="S9" i="37"/>
  <c r="S16" i="37" s="1"/>
  <c r="AC622" i="43" l="1"/>
  <c r="AK300" i="43"/>
  <c r="Q79" i="43" s="1"/>
  <c r="S172" i="45"/>
  <c r="S179" i="45"/>
  <c r="S242" i="44"/>
  <c r="S193" i="45"/>
  <c r="S140" i="45"/>
  <c r="S134" i="47"/>
  <c r="S147" i="47"/>
  <c r="S83" i="47"/>
  <c r="S100" i="47"/>
  <c r="S67" i="47"/>
  <c r="S26" i="47"/>
  <c r="S49" i="47"/>
  <c r="S16" i="47"/>
  <c r="S55" i="35"/>
  <c r="S34" i="35" s="1"/>
  <c r="S101" i="45"/>
  <c r="S152" i="45"/>
  <c r="S38" i="45"/>
  <c r="S62" i="45"/>
  <c r="U15" i="4"/>
  <c r="AG16" i="4"/>
  <c r="T19" i="4"/>
  <c r="T9" i="47" s="1"/>
  <c r="T8" i="45"/>
  <c r="T171" i="45" s="1"/>
  <c r="S50" i="45"/>
  <c r="S128" i="45"/>
  <c r="S115" i="45"/>
  <c r="S63" i="44"/>
  <c r="S78" i="44"/>
  <c r="S47" i="44"/>
  <c r="S76" i="45"/>
  <c r="S89" i="45"/>
  <c r="S33" i="31"/>
  <c r="S54" i="31"/>
  <c r="S18" i="31"/>
  <c r="S20" i="35"/>
  <c r="S91" i="35"/>
  <c r="S72" i="35"/>
  <c r="S53" i="35"/>
  <c r="S32" i="35"/>
  <c r="S98" i="37"/>
  <c r="S63" i="37"/>
  <c r="S55" i="37"/>
  <c r="S25" i="37"/>
  <c r="S37" i="37"/>
  <c r="S81" i="37"/>
  <c r="S134" i="33"/>
  <c r="S82" i="33"/>
  <c r="S25" i="33"/>
  <c r="S114" i="33"/>
  <c r="S41" i="33"/>
  <c r="S71" i="33"/>
  <c r="S189" i="40"/>
  <c r="S178" i="40"/>
  <c r="S92" i="40"/>
  <c r="S73" i="40"/>
  <c r="S200" i="40"/>
  <c r="S167" i="40"/>
  <c r="S151" i="40"/>
  <c r="S60" i="40"/>
  <c r="S44" i="40"/>
  <c r="S33" i="40"/>
  <c r="S136" i="40"/>
  <c r="S116" i="40"/>
  <c r="S104" i="40"/>
  <c r="S85" i="39"/>
  <c r="S24" i="39"/>
  <c r="S104" i="39"/>
  <c r="S43" i="39"/>
  <c r="S30" i="34"/>
  <c r="S18" i="34"/>
  <c r="S72" i="34"/>
  <c r="S48" i="34"/>
  <c r="S58" i="38"/>
  <c r="S28" i="38"/>
  <c r="S19" i="38"/>
  <c r="S43" i="38"/>
  <c r="S42" i="35"/>
  <c r="S54" i="32"/>
  <c r="S33" i="32"/>
  <c r="S18" i="32"/>
  <c r="S35" i="35"/>
  <c r="AC623" i="43" l="1"/>
  <c r="T100" i="47"/>
  <c r="T134" i="47"/>
  <c r="T147" i="47"/>
  <c r="A161" i="33" a="1"/>
  <c r="A161" i="33" s="1"/>
  <c r="A138" i="33" a="1"/>
  <c r="A138" i="33" s="1"/>
  <c r="A148" i="33" a="1"/>
  <c r="A148" i="33" s="1"/>
  <c r="A144" i="33" a="1"/>
  <c r="A144" i="33" s="1"/>
  <c r="A153" i="33" a="1"/>
  <c r="A153" i="33" s="1"/>
  <c r="A140" i="33" a="1"/>
  <c r="A140" i="33" s="1"/>
  <c r="A152" i="33" a="1"/>
  <c r="A152" i="33" s="1"/>
  <c r="A136" i="33" a="1"/>
  <c r="A136" i="33" s="1"/>
  <c r="A157" i="33" a="1"/>
  <c r="A157" i="33" s="1"/>
  <c r="T9" i="45"/>
  <c r="T9" i="44"/>
  <c r="T193" i="45" s="1"/>
  <c r="AH16" i="4"/>
  <c r="V14" i="4"/>
  <c r="U18" i="4"/>
  <c r="U17" i="4"/>
  <c r="AC624" i="43" l="1"/>
  <c r="A1" i="33"/>
  <c r="H20" i="25" s="1"/>
  <c r="T172" i="45"/>
  <c r="T179" i="45"/>
  <c r="T242" i="44"/>
  <c r="T140" i="45"/>
  <c r="T101" i="45"/>
  <c r="T152" i="45"/>
  <c r="T38" i="45"/>
  <c r="T62" i="45"/>
  <c r="U19" i="4"/>
  <c r="U9" i="47" s="1"/>
  <c r="U8" i="45"/>
  <c r="U171" i="45" s="1"/>
  <c r="V15" i="4"/>
  <c r="AI16" i="4"/>
  <c r="T128" i="45"/>
  <c r="T50" i="45"/>
  <c r="T89" i="45"/>
  <c r="AC625" i="43" l="1"/>
  <c r="U100" i="47"/>
  <c r="U147" i="47"/>
  <c r="U134" i="47"/>
  <c r="W14" i="4"/>
  <c r="V18" i="4"/>
  <c r="V17" i="4"/>
  <c r="U9" i="44"/>
  <c r="U193" i="45" s="1"/>
  <c r="U9" i="45"/>
  <c r="AC626" i="43" l="1"/>
  <c r="U172" i="45"/>
  <c r="U179" i="45"/>
  <c r="U242" i="44"/>
  <c r="U140" i="45"/>
  <c r="U101" i="45"/>
  <c r="U152" i="45"/>
  <c r="U38" i="45"/>
  <c r="U62" i="45"/>
  <c r="U128" i="45"/>
  <c r="U50" i="45"/>
  <c r="U89" i="45"/>
  <c r="V19" i="4"/>
  <c r="V9" i="47" s="1"/>
  <c r="V8" i="45"/>
  <c r="V171" i="45" s="1"/>
  <c r="W15" i="4"/>
  <c r="AC627" i="43" l="1"/>
  <c r="V100" i="47"/>
  <c r="V147" i="47"/>
  <c r="V134" i="47"/>
  <c r="X14" i="4"/>
  <c r="W18" i="4"/>
  <c r="W17" i="4"/>
  <c r="V9" i="44"/>
  <c r="V193" i="45" s="1"/>
  <c r="V9" i="45"/>
  <c r="AC628" i="43" l="1"/>
  <c r="V172" i="45"/>
  <c r="V179" i="45"/>
  <c r="V140" i="45"/>
  <c r="V101" i="45"/>
  <c r="V152" i="45"/>
  <c r="V38" i="45"/>
  <c r="V62" i="45"/>
  <c r="V128" i="45"/>
  <c r="V50" i="45"/>
  <c r="V89" i="45"/>
  <c r="W19" i="4"/>
  <c r="W9" i="47" s="1"/>
  <c r="W8" i="45"/>
  <c r="W171" i="45" s="1"/>
  <c r="X15" i="4"/>
  <c r="AC629" i="43" l="1"/>
  <c r="W100" i="47"/>
  <c r="W134" i="47"/>
  <c r="W147" i="47"/>
  <c r="W9" i="45"/>
  <c r="W9" i="44"/>
  <c r="W193" i="45" s="1"/>
  <c r="Y14" i="4"/>
  <c r="X18" i="4"/>
  <c r="X17" i="4"/>
  <c r="AC630" i="43" l="1"/>
  <c r="W172" i="45"/>
  <c r="W179" i="45"/>
  <c r="W140" i="45"/>
  <c r="W101" i="45"/>
  <c r="W152" i="45"/>
  <c r="W62" i="45"/>
  <c r="W38" i="45"/>
  <c r="X19" i="4"/>
  <c r="X9" i="47" s="1"/>
  <c r="X8" i="45"/>
  <c r="X171" i="45" s="1"/>
  <c r="Y15" i="4"/>
  <c r="W89" i="45"/>
  <c r="W128" i="45"/>
  <c r="W50" i="45"/>
  <c r="AC631" i="43" l="1"/>
  <c r="X100" i="47"/>
  <c r="X147" i="47"/>
  <c r="X134" i="47"/>
  <c r="Y18" i="4"/>
  <c r="Y17" i="4"/>
  <c r="Z14" i="4"/>
  <c r="X9" i="44"/>
  <c r="X193" i="45" s="1"/>
  <c r="X9" i="45"/>
  <c r="AC632" i="43" l="1"/>
  <c r="X172" i="45"/>
  <c r="X179" i="45"/>
  <c r="X140" i="45"/>
  <c r="X101" i="45"/>
  <c r="X152" i="45"/>
  <c r="X38" i="45"/>
  <c r="X62" i="45"/>
  <c r="X50" i="45"/>
  <c r="X89" i="45"/>
  <c r="X128" i="45"/>
  <c r="Z15" i="4"/>
  <c r="Y19" i="4"/>
  <c r="Y9" i="47" s="1"/>
  <c r="Y8" i="45"/>
  <c r="Y171" i="45" s="1"/>
  <c r="AC633" i="43" l="1"/>
  <c r="Y100" i="47"/>
  <c r="Y147" i="47"/>
  <c r="Y134" i="47"/>
  <c r="Y9" i="44"/>
  <c r="Y193" i="45" s="1"/>
  <c r="Y9" i="45"/>
  <c r="Z17" i="4"/>
  <c r="AA14" i="4"/>
  <c r="Z18" i="4"/>
  <c r="AC634" i="43" l="1"/>
  <c r="Y172" i="45"/>
  <c r="Y179" i="45"/>
  <c r="Y140" i="45"/>
  <c r="Y101" i="45"/>
  <c r="Y152" i="45"/>
  <c r="Y62" i="45"/>
  <c r="Y38" i="45"/>
  <c r="AA15" i="4"/>
  <c r="Z19" i="4"/>
  <c r="Z9" i="47" s="1"/>
  <c r="Z8" i="45"/>
  <c r="Z171" i="45" s="1"/>
  <c r="Y89" i="45"/>
  <c r="Y128" i="45"/>
  <c r="Y50" i="45"/>
  <c r="AC635" i="43" l="1"/>
  <c r="Z100" i="47"/>
  <c r="Z147" i="47"/>
  <c r="Z134" i="47"/>
  <c r="Z9" i="44"/>
  <c r="Z193" i="45" s="1"/>
  <c r="Z9" i="45"/>
  <c r="AB14" i="4"/>
  <c r="AA18" i="4"/>
  <c r="AA17" i="4"/>
  <c r="AC636" i="43" l="1"/>
  <c r="Z172" i="45"/>
  <c r="Z179" i="45"/>
  <c r="Z140" i="45"/>
  <c r="Z101" i="45"/>
  <c r="Z152" i="45"/>
  <c r="Z38" i="45"/>
  <c r="Z62" i="45"/>
  <c r="AA19" i="4"/>
  <c r="AA9" i="47" s="1"/>
  <c r="AA8" i="45"/>
  <c r="AA171" i="45" s="1"/>
  <c r="AB15" i="4"/>
  <c r="Z128" i="45"/>
  <c r="Z50" i="45"/>
  <c r="Z89" i="45"/>
  <c r="AC637" i="43" l="1"/>
  <c r="AA100" i="47"/>
  <c r="AA147" i="47"/>
  <c r="AA134" i="47"/>
  <c r="AC14" i="4"/>
  <c r="AB18" i="4"/>
  <c r="AB17" i="4"/>
  <c r="AA9" i="44"/>
  <c r="AA193" i="45" s="1"/>
  <c r="AA9" i="45"/>
  <c r="AC638" i="43" l="1"/>
  <c r="AA172" i="45"/>
  <c r="AA179" i="45"/>
  <c r="AA140" i="45"/>
  <c r="AA101" i="45"/>
  <c r="AA152" i="45"/>
  <c r="AA38" i="45"/>
  <c r="AA62" i="45"/>
  <c r="AA128" i="45"/>
  <c r="AA89" i="45"/>
  <c r="AA50" i="45"/>
  <c r="AB19" i="4"/>
  <c r="AB9" i="47" s="1"/>
  <c r="AB8" i="45"/>
  <c r="AB171" i="45" s="1"/>
  <c r="AC15" i="4"/>
  <c r="AC639" i="43" l="1"/>
  <c r="AB100" i="47"/>
  <c r="AB147" i="47"/>
  <c r="AB134" i="47"/>
  <c r="AC17" i="4"/>
  <c r="AD14" i="4"/>
  <c r="AC18" i="4"/>
  <c r="AB9" i="44"/>
  <c r="AB193" i="45" s="1"/>
  <c r="AB9" i="45"/>
  <c r="AC640" i="43" l="1"/>
  <c r="AB172" i="45"/>
  <c r="AB179" i="45"/>
  <c r="AB140" i="45"/>
  <c r="AB101" i="45"/>
  <c r="AB152" i="45"/>
  <c r="AB38" i="45"/>
  <c r="AB62" i="45"/>
  <c r="AD15" i="4"/>
  <c r="AB128" i="45"/>
  <c r="AB50" i="45"/>
  <c r="AB89" i="45"/>
  <c r="AC19" i="4"/>
  <c r="AC9" i="47" s="1"/>
  <c r="AC8" i="45"/>
  <c r="AC171" i="45" s="1"/>
  <c r="AC641" i="43" l="1"/>
  <c r="AC100" i="47"/>
  <c r="AC147" i="47"/>
  <c r="AC134" i="47"/>
  <c r="AC9" i="44"/>
  <c r="AC193" i="45" s="1"/>
  <c r="AC9" i="45"/>
  <c r="AE14" i="4"/>
  <c r="AD18" i="4"/>
  <c r="AD17" i="4"/>
  <c r="AC642" i="43" l="1"/>
  <c r="AC172" i="45"/>
  <c r="AC179" i="45"/>
  <c r="AC140" i="45"/>
  <c r="AC101" i="45"/>
  <c r="AC152" i="45"/>
  <c r="AC38" i="45"/>
  <c r="AC62" i="45"/>
  <c r="AD19" i="4"/>
  <c r="AD9" i="47" s="1"/>
  <c r="AD8" i="45"/>
  <c r="AD171" i="45" s="1"/>
  <c r="AC50" i="45"/>
  <c r="AC89" i="45"/>
  <c r="AC128" i="45"/>
  <c r="AE15" i="4"/>
  <c r="AC643" i="43" l="1"/>
  <c r="AD100" i="47"/>
  <c r="AD147" i="47"/>
  <c r="AD134" i="47"/>
  <c r="AE17" i="4"/>
  <c r="AF14" i="4"/>
  <c r="AE18" i="4"/>
  <c r="AD9" i="44"/>
  <c r="AD193" i="45" s="1"/>
  <c r="AD9" i="45"/>
  <c r="AC644" i="43" l="1"/>
  <c r="AD172" i="45"/>
  <c r="AD179" i="45"/>
  <c r="AD140" i="45"/>
  <c r="AD101" i="45"/>
  <c r="AD152" i="45"/>
  <c r="AD38" i="45"/>
  <c r="AD62" i="45"/>
  <c r="AE19" i="4"/>
  <c r="AE9" i="47" s="1"/>
  <c r="AE8" i="45"/>
  <c r="AE171" i="45" s="1"/>
  <c r="AD128" i="45"/>
  <c r="AD50" i="45"/>
  <c r="AD89" i="45"/>
  <c r="AF15" i="4"/>
  <c r="AC645" i="43" l="1"/>
  <c r="AE100" i="47"/>
  <c r="AE147" i="47"/>
  <c r="AE134" i="47"/>
  <c r="AE9" i="45"/>
  <c r="AE9" i="44"/>
  <c r="AE193" i="45" s="1"/>
  <c r="AG14" i="4"/>
  <c r="AF17" i="4"/>
  <c r="AF18" i="4"/>
  <c r="AC646" i="43" l="1"/>
  <c r="AE172" i="45"/>
  <c r="AE179" i="45"/>
  <c r="AE140" i="45"/>
  <c r="AE101" i="45"/>
  <c r="AE152" i="45"/>
  <c r="AE62" i="45"/>
  <c r="AE38" i="45"/>
  <c r="AG15" i="4"/>
  <c r="AF19" i="4"/>
  <c r="AF9" i="47" s="1"/>
  <c r="AF8" i="45"/>
  <c r="AF171" i="45" s="1"/>
  <c r="AE128" i="45"/>
  <c r="AE50" i="45"/>
  <c r="AE89" i="45"/>
  <c r="AC647" i="43" l="1"/>
  <c r="AF100" i="47"/>
  <c r="AF147" i="47"/>
  <c r="AF134" i="47"/>
  <c r="AF9" i="44"/>
  <c r="AF193" i="45" s="1"/>
  <c r="AF9" i="45"/>
  <c r="AH14" i="4"/>
  <c r="AG18" i="4"/>
  <c r="AG17" i="4"/>
  <c r="AC648" i="43" l="1"/>
  <c r="AF172" i="45"/>
  <c r="AF179" i="45"/>
  <c r="AF140" i="45"/>
  <c r="AF101" i="45"/>
  <c r="AF152" i="45"/>
  <c r="AF38" i="45"/>
  <c r="AF62" i="45"/>
  <c r="AG19" i="4"/>
  <c r="AG9" i="47" s="1"/>
  <c r="AG8" i="45"/>
  <c r="AG171" i="45" s="1"/>
  <c r="AH15" i="4"/>
  <c r="AF128" i="45"/>
  <c r="AF50" i="45"/>
  <c r="AF89" i="45"/>
  <c r="AC649" i="43" l="1"/>
  <c r="AG134" i="47"/>
  <c r="AG147" i="47"/>
  <c r="AG100" i="47"/>
  <c r="AH17" i="4"/>
  <c r="AH18" i="4"/>
  <c r="AI14" i="4"/>
  <c r="AG9" i="45"/>
  <c r="AG9" i="44"/>
  <c r="AG193" i="45" s="1"/>
  <c r="AC650" i="43" l="1"/>
  <c r="AG172" i="45"/>
  <c r="AG179" i="45"/>
  <c r="AG140" i="45"/>
  <c r="AG101" i="45"/>
  <c r="AG152" i="45"/>
  <c r="AG62" i="45"/>
  <c r="AG38" i="45"/>
  <c r="AI15" i="4"/>
  <c r="AG128" i="45"/>
  <c r="AG50" i="45"/>
  <c r="AG89" i="45"/>
  <c r="AH19" i="4"/>
  <c r="AH9" i="47" s="1"/>
  <c r="AH8" i="45"/>
  <c r="AH171" i="45" s="1"/>
  <c r="AC651" i="43" l="1"/>
  <c r="AH134" i="47"/>
  <c r="AH100" i="47"/>
  <c r="AH147" i="47"/>
  <c r="AH9" i="44"/>
  <c r="AH193" i="45" s="1"/>
  <c r="AH9" i="45"/>
  <c r="AI17" i="4"/>
  <c r="AI18" i="4"/>
  <c r="AC652" i="43" l="1"/>
  <c r="AH172" i="45"/>
  <c r="AH179" i="45"/>
  <c r="AH140" i="45"/>
  <c r="AH101" i="45"/>
  <c r="AH152" i="45"/>
  <c r="AH38" i="45"/>
  <c r="AH62" i="45"/>
  <c r="AH89" i="45"/>
  <c r="AH128" i="45"/>
  <c r="AH50" i="45"/>
  <c r="AI19" i="4"/>
  <c r="AI9" i="47" s="1"/>
  <c r="AI8" i="45"/>
  <c r="AI171" i="45" s="1"/>
  <c r="V174" i="45" s="1" a="1"/>
  <c r="AC653" i="43" l="1"/>
  <c r="AI134" i="47"/>
  <c r="AI147" i="47"/>
  <c r="AI100" i="47"/>
  <c r="Y174" i="45"/>
  <c r="AB174" i="45"/>
  <c r="AI174" i="45"/>
  <c r="AF174" i="45"/>
  <c r="AA174" i="45"/>
  <c r="V174" i="45"/>
  <c r="X174" i="45"/>
  <c r="AH174" i="45"/>
  <c r="AG174" i="45"/>
  <c r="AD174" i="45"/>
  <c r="AC174" i="45"/>
  <c r="AE174" i="45"/>
  <c r="Z174" i="45"/>
  <c r="W174" i="45"/>
  <c r="AI9" i="44"/>
  <c r="AI193" i="45" s="1"/>
  <c r="AI9" i="45"/>
  <c r="AC654" i="43" l="1"/>
  <c r="AI172" i="45"/>
  <c r="AI179" i="45"/>
  <c r="AH182" i="45"/>
  <c r="AH150" i="47" s="1"/>
  <c r="AH181" i="45"/>
  <c r="AH149" i="47" s="1"/>
  <c r="AH183" i="45"/>
  <c r="AH187" i="45"/>
  <c r="X187" i="45"/>
  <c r="X182" i="45"/>
  <c r="X150" i="47" s="1"/>
  <c r="X183" i="45"/>
  <c r="X181" i="45"/>
  <c r="X149" i="47" s="1"/>
  <c r="W187" i="45"/>
  <c r="W181" i="45"/>
  <c r="W149" i="47" s="1"/>
  <c r="W182" i="45"/>
  <c r="W183" i="45"/>
  <c r="V183" i="45"/>
  <c r="V197" i="45" s="1"/>
  <c r="V187" i="45"/>
  <c r="V181" i="45"/>
  <c r="V149" i="47" s="1"/>
  <c r="V182" i="45"/>
  <c r="Z182" i="45"/>
  <c r="Z150" i="47" s="1"/>
  <c r="Z183" i="45"/>
  <c r="Z181" i="45"/>
  <c r="Z149" i="47" s="1"/>
  <c r="Z187" i="45"/>
  <c r="AA181" i="45"/>
  <c r="AA149" i="47" s="1"/>
  <c r="AA183" i="45"/>
  <c r="AA182" i="45"/>
  <c r="AA187" i="45"/>
  <c r="AE187" i="45"/>
  <c r="AE181" i="45"/>
  <c r="AE149" i="47" s="1"/>
  <c r="AE182" i="45"/>
  <c r="AE183" i="45"/>
  <c r="AF181" i="45"/>
  <c r="AF149" i="47" s="1"/>
  <c r="AF187" i="45"/>
  <c r="AF182" i="45"/>
  <c r="AF150" i="47" s="1"/>
  <c r="AF183" i="45"/>
  <c r="AC182" i="45"/>
  <c r="AC183" i="45"/>
  <c r="AC187" i="45"/>
  <c r="AC181" i="45"/>
  <c r="AC149" i="47" s="1"/>
  <c r="AI181" i="45"/>
  <c r="AI149" i="47" s="1"/>
  <c r="AI183" i="45"/>
  <c r="AI197" i="45" s="1"/>
  <c r="AI182" i="45"/>
  <c r="AI187" i="45"/>
  <c r="AD183" i="45"/>
  <c r="AD187" i="45"/>
  <c r="AD181" i="45"/>
  <c r="AD149" i="47" s="1"/>
  <c r="AD182" i="45"/>
  <c r="AB181" i="45"/>
  <c r="AB149" i="47" s="1"/>
  <c r="AB182" i="45"/>
  <c r="AB150" i="47" s="1"/>
  <c r="AB183" i="45"/>
  <c r="AB187" i="45"/>
  <c r="AG187" i="45"/>
  <c r="AG181" i="45"/>
  <c r="AG149" i="47" s="1"/>
  <c r="AG183" i="45"/>
  <c r="AG182" i="45"/>
  <c r="AG150" i="47" s="1"/>
  <c r="Y187" i="45"/>
  <c r="Y181" i="45"/>
  <c r="Y149" i="47" s="1"/>
  <c r="Y182" i="45"/>
  <c r="Y150" i="47" s="1"/>
  <c r="Y183" i="45"/>
  <c r="AI140" i="45"/>
  <c r="AI101" i="45"/>
  <c r="AI152" i="45"/>
  <c r="AI38" i="45"/>
  <c r="AI62" i="45"/>
  <c r="AI50" i="45"/>
  <c r="AI89" i="45"/>
  <c r="AI128" i="45"/>
  <c r="AC655" i="43" l="1"/>
  <c r="AA197" i="45"/>
  <c r="AA93" i="45" s="1"/>
  <c r="V196" i="45"/>
  <c r="V195" i="45" s="1"/>
  <c r="AG197" i="45"/>
  <c r="AF197" i="45"/>
  <c r="AF196" i="45" s="1"/>
  <c r="AF195" i="45" s="1"/>
  <c r="AI196" i="45"/>
  <c r="AI195" i="45" s="1"/>
  <c r="AG196" i="45"/>
  <c r="AG195" i="45" s="1"/>
  <c r="AC197" i="45"/>
  <c r="AC132" i="45" s="1"/>
  <c r="AC144" i="45" s="1"/>
  <c r="AD197" i="45"/>
  <c r="AD196" i="45" s="1"/>
  <c r="AD195" i="45" s="1"/>
  <c r="Y197" i="45"/>
  <c r="Y93" i="45" s="1"/>
  <c r="AE197" i="45"/>
  <c r="AE196" i="45" s="1"/>
  <c r="AE195" i="45" s="1"/>
  <c r="W197" i="45"/>
  <c r="W196" i="45" s="1"/>
  <c r="W195" i="45" s="1"/>
  <c r="AH197" i="45"/>
  <c r="AH196" i="45" s="1"/>
  <c r="AH195" i="45" s="1"/>
  <c r="Z197" i="45"/>
  <c r="Z196" i="45" s="1"/>
  <c r="Z195" i="45" s="1"/>
  <c r="AC150" i="47"/>
  <c r="AB197" i="45"/>
  <c r="AB196" i="45" s="1"/>
  <c r="AB195" i="45" s="1"/>
  <c r="X197" i="45"/>
  <c r="X196" i="45" s="1"/>
  <c r="X195" i="45" s="1"/>
  <c r="W151" i="47"/>
  <c r="W150" i="47"/>
  <c r="AH151" i="47"/>
  <c r="AC151" i="47"/>
  <c r="Z151" i="47"/>
  <c r="AD150" i="47"/>
  <c r="AE150" i="47"/>
  <c r="AD151" i="47"/>
  <c r="Y151" i="47"/>
  <c r="AF151" i="47"/>
  <c r="V150" i="47"/>
  <c r="AB151" i="47"/>
  <c r="AI150" i="47"/>
  <c r="AA150" i="47"/>
  <c r="X151" i="47"/>
  <c r="AI151" i="47"/>
  <c r="AA151" i="47"/>
  <c r="V151" i="47"/>
  <c r="AE151" i="47"/>
  <c r="AG151" i="47"/>
  <c r="AI132" i="45"/>
  <c r="AI144" i="45" s="1"/>
  <c r="AI93" i="45"/>
  <c r="AA132" i="45"/>
  <c r="AA144" i="45" s="1"/>
  <c r="X185" i="45"/>
  <c r="V93" i="45"/>
  <c r="V132" i="45"/>
  <c r="V144" i="45" s="1"/>
  <c r="AC185" i="45"/>
  <c r="Y185" i="45"/>
  <c r="AG93" i="45"/>
  <c r="AG132" i="45"/>
  <c r="AG144" i="45" s="1"/>
  <c r="AH185" i="45"/>
  <c r="AB185" i="45"/>
  <c r="AD185" i="45"/>
  <c r="Z185" i="45"/>
  <c r="AG185" i="45"/>
  <c r="AE185" i="45"/>
  <c r="W185" i="45"/>
  <c r="AA185" i="45"/>
  <c r="AI185" i="45"/>
  <c r="AF185" i="45"/>
  <c r="V185" i="45"/>
  <c r="AC656" i="43" l="1"/>
  <c r="AC196" i="45"/>
  <c r="AC195" i="45" s="1"/>
  <c r="AA196" i="45"/>
  <c r="AA195" i="45" s="1"/>
  <c r="AA130" i="45" s="1"/>
  <c r="W188" i="45"/>
  <c r="W155" i="47"/>
  <c r="AC188" i="45"/>
  <c r="AC155" i="47"/>
  <c r="AE188" i="45"/>
  <c r="AE155" i="47"/>
  <c r="AG188" i="45"/>
  <c r="AG155" i="47"/>
  <c r="AD188" i="45"/>
  <c r="AD155" i="47"/>
  <c r="AF188" i="45"/>
  <c r="AF155" i="47"/>
  <c r="AB188" i="45"/>
  <c r="AB155" i="47"/>
  <c r="Y188" i="45"/>
  <c r="Y155" i="47"/>
  <c r="V188" i="45"/>
  <c r="V155" i="47"/>
  <c r="AI188" i="45"/>
  <c r="AI155" i="47"/>
  <c r="AH188" i="45"/>
  <c r="AH155" i="47"/>
  <c r="X188" i="45"/>
  <c r="X155" i="47"/>
  <c r="Z188" i="45"/>
  <c r="Z155" i="47"/>
  <c r="AA188" i="45"/>
  <c r="AA155" i="47"/>
  <c r="Y196" i="45"/>
  <c r="Y195" i="45" s="1"/>
  <c r="Y91" i="45" s="1"/>
  <c r="AE132" i="45"/>
  <c r="AE144" i="45" s="1"/>
  <c r="AE119" i="47" s="1"/>
  <c r="AE93" i="45"/>
  <c r="AE105" i="45" s="1"/>
  <c r="AC93" i="45"/>
  <c r="AC54" i="45" s="1"/>
  <c r="AC138" i="47" s="1"/>
  <c r="Y132" i="45"/>
  <c r="Y144" i="45" s="1"/>
  <c r="Y54" i="45" s="1"/>
  <c r="Y138" i="47" s="1"/>
  <c r="W91" i="45"/>
  <c r="W130" i="45"/>
  <c r="AD92" i="45"/>
  <c r="AD131" i="45"/>
  <c r="AD143" i="45" s="1"/>
  <c r="AH131" i="45"/>
  <c r="AH143" i="45" s="1"/>
  <c r="AH92" i="45"/>
  <c r="AH132" i="45"/>
  <c r="AH144" i="45" s="1"/>
  <c r="AH93" i="45"/>
  <c r="AA156" i="45"/>
  <c r="AA119" i="47"/>
  <c r="AF130" i="45"/>
  <c r="AF91" i="45"/>
  <c r="V131" i="45"/>
  <c r="V143" i="45" s="1"/>
  <c r="V92" i="45"/>
  <c r="Z92" i="45"/>
  <c r="Z131" i="45"/>
  <c r="Z143" i="45" s="1"/>
  <c r="Z93" i="45"/>
  <c r="Z132" i="45"/>
  <c r="Z144" i="45" s="1"/>
  <c r="W92" i="45"/>
  <c r="W131" i="45"/>
  <c r="W143" i="45" s="1"/>
  <c r="V156" i="45"/>
  <c r="V119" i="47"/>
  <c r="AA121" i="47"/>
  <c r="AA105" i="45"/>
  <c r="AA54" i="45"/>
  <c r="AA138" i="47" s="1"/>
  <c r="X132" i="45"/>
  <c r="X144" i="45" s="1"/>
  <c r="X93" i="45"/>
  <c r="AF93" i="45"/>
  <c r="AF132" i="45"/>
  <c r="AF144" i="45" s="1"/>
  <c r="AC131" i="45"/>
  <c r="AC143" i="45" s="1"/>
  <c r="AC92" i="45"/>
  <c r="AE130" i="45"/>
  <c r="AE91" i="45"/>
  <c r="W93" i="45"/>
  <c r="W132" i="45"/>
  <c r="W144" i="45" s="1"/>
  <c r="V121" i="47"/>
  <c r="V54" i="45"/>
  <c r="V138" i="47" s="1"/>
  <c r="V105" i="45"/>
  <c r="AA131" i="45"/>
  <c r="AA143" i="45" s="1"/>
  <c r="AD132" i="45"/>
  <c r="AD144" i="45" s="1"/>
  <c r="AD93" i="45"/>
  <c r="AC156" i="45"/>
  <c r="AC119" i="47"/>
  <c r="AE131" i="45"/>
  <c r="AE143" i="45" s="1"/>
  <c r="AE92" i="45"/>
  <c r="M23" i="45"/>
  <c r="AI121" i="47"/>
  <c r="AI105" i="45"/>
  <c r="AI54" i="45"/>
  <c r="AI138" i="47" s="1"/>
  <c r="AF131" i="45"/>
  <c r="AF143" i="45" s="1"/>
  <c r="AF92" i="45"/>
  <c r="Y121" i="47"/>
  <c r="Y105" i="45"/>
  <c r="AG130" i="45"/>
  <c r="AG91" i="45"/>
  <c r="AG156" i="45"/>
  <c r="AG119" i="47"/>
  <c r="AI119" i="47"/>
  <c r="AI156" i="45"/>
  <c r="AA91" i="45"/>
  <c r="AB132" i="45"/>
  <c r="AB144" i="45" s="1"/>
  <c r="AB93" i="45"/>
  <c r="AG121" i="47"/>
  <c r="AG105" i="45"/>
  <c r="AG54" i="45"/>
  <c r="AG138" i="47" s="1"/>
  <c r="AI130" i="45"/>
  <c r="AI91" i="45"/>
  <c r="AG92" i="45"/>
  <c r="AG131" i="45"/>
  <c r="AG143" i="45" s="1"/>
  <c r="AI92" i="45"/>
  <c r="AI131" i="45"/>
  <c r="AI143" i="45" s="1"/>
  <c r="AC657" i="43" l="1"/>
  <c r="A188" i="45"/>
  <c r="AA92" i="45"/>
  <c r="AE54" i="45"/>
  <c r="AE138" i="47" s="1"/>
  <c r="AE121" i="47"/>
  <c r="Y92" i="45"/>
  <c r="Y113" i="47" s="1"/>
  <c r="Y131" i="45"/>
  <c r="Y143" i="45" s="1"/>
  <c r="Y155" i="45" s="1"/>
  <c r="AC105" i="45"/>
  <c r="AC42" i="45" s="1"/>
  <c r="AE156" i="45"/>
  <c r="AE42" i="45" s="1"/>
  <c r="Y119" i="47"/>
  <c r="AG42" i="45"/>
  <c r="AC121" i="47"/>
  <c r="Y156" i="45"/>
  <c r="Y42" i="45" s="1"/>
  <c r="Y130" i="45"/>
  <c r="AI42" i="45"/>
  <c r="AA42" i="45"/>
  <c r="AH91" i="45"/>
  <c r="AH130" i="45"/>
  <c r="AA105" i="47"/>
  <c r="AA103" i="45"/>
  <c r="AA95" i="45"/>
  <c r="AG153" i="47"/>
  <c r="AG156" i="47" s="1"/>
  <c r="AA104" i="45"/>
  <c r="AA53" i="45"/>
  <c r="AA137" i="47" s="1"/>
  <c r="AA113" i="47"/>
  <c r="Z121" i="47"/>
  <c r="Z54" i="45"/>
  <c r="Z138" i="47" s="1"/>
  <c r="Z105" i="45"/>
  <c r="AF105" i="47"/>
  <c r="AF95" i="45"/>
  <c r="AF103" i="45"/>
  <c r="AD91" i="45"/>
  <c r="AD130" i="45"/>
  <c r="AI155" i="45"/>
  <c r="AI111" i="47"/>
  <c r="AA153" i="47"/>
  <c r="AA156" i="47" s="1"/>
  <c r="AA111" i="47"/>
  <c r="AA155" i="45"/>
  <c r="Z91" i="45"/>
  <c r="Z130" i="45"/>
  <c r="AF142" i="45"/>
  <c r="AF148" i="45"/>
  <c r="AF160" i="45" s="1"/>
  <c r="AF134" i="45"/>
  <c r="AH113" i="47"/>
  <c r="AH104" i="45"/>
  <c r="AH53" i="45"/>
  <c r="AH137" i="47" s="1"/>
  <c r="AD155" i="45"/>
  <c r="AD111" i="47"/>
  <c r="AI113" i="47"/>
  <c r="AI104" i="45"/>
  <c r="AI53" i="45"/>
  <c r="AI137" i="47" s="1"/>
  <c r="M22" i="45"/>
  <c r="U23" i="45" s="1"/>
  <c r="AD121" i="47"/>
  <c r="AD54" i="45"/>
  <c r="AD138" i="47" s="1"/>
  <c r="AD105" i="45"/>
  <c r="AE105" i="47"/>
  <c r="AE95" i="45"/>
  <c r="AE103" i="45"/>
  <c r="AF121" i="47"/>
  <c r="AF54" i="45"/>
  <c r="AF138" i="47" s="1"/>
  <c r="AF105" i="45"/>
  <c r="Z155" i="45"/>
  <c r="Z111" i="47"/>
  <c r="AF153" i="47"/>
  <c r="AF156" i="47" s="1"/>
  <c r="AH155" i="45"/>
  <c r="AH111" i="47"/>
  <c r="AD113" i="47"/>
  <c r="AD104" i="45"/>
  <c r="AD53" i="45"/>
  <c r="AD137" i="47" s="1"/>
  <c r="AB121" i="47"/>
  <c r="AB54" i="45"/>
  <c r="AB138" i="47" s="1"/>
  <c r="AB105" i="45"/>
  <c r="AD156" i="45"/>
  <c r="AD119" i="47"/>
  <c r="V42" i="45"/>
  <c r="AE148" i="45"/>
  <c r="AE160" i="45" s="1"/>
  <c r="AE134" i="45"/>
  <c r="AE142" i="45"/>
  <c r="Z113" i="47"/>
  <c r="Z104" i="45"/>
  <c r="Z53" i="45"/>
  <c r="Z137" i="47" s="1"/>
  <c r="AC130" i="45"/>
  <c r="AC91" i="45"/>
  <c r="AI105" i="47"/>
  <c r="AI103" i="45"/>
  <c r="AI95" i="45"/>
  <c r="AB119" i="47"/>
  <c r="AB156" i="45"/>
  <c r="AF113" i="47"/>
  <c r="AF104" i="45"/>
  <c r="AF53" i="45"/>
  <c r="AF137" i="47" s="1"/>
  <c r="X121" i="47"/>
  <c r="X105" i="45"/>
  <c r="X54" i="45"/>
  <c r="X138" i="47" s="1"/>
  <c r="W111" i="47"/>
  <c r="W155" i="45"/>
  <c r="W148" i="45"/>
  <c r="W160" i="45" s="1"/>
  <c r="W142" i="45"/>
  <c r="W52" i="45" s="1"/>
  <c r="W136" i="47" s="1"/>
  <c r="W134" i="45"/>
  <c r="AG155" i="45"/>
  <c r="AG111" i="47"/>
  <c r="AI134" i="45"/>
  <c r="AI142" i="45"/>
  <c r="AI148" i="45"/>
  <c r="AI160" i="45" s="1"/>
  <c r="AF111" i="47"/>
  <c r="AF155" i="45"/>
  <c r="AE113" i="47"/>
  <c r="AE53" i="45"/>
  <c r="AE137" i="47" s="1"/>
  <c r="AE104" i="45"/>
  <c r="AE153" i="47"/>
  <c r="AE156" i="47" s="1"/>
  <c r="X156" i="45"/>
  <c r="X119" i="47"/>
  <c r="W113" i="47"/>
  <c r="W104" i="45"/>
  <c r="W53" i="45"/>
  <c r="W137" i="47" s="1"/>
  <c r="V104" i="45"/>
  <c r="V53" i="45"/>
  <c r="V137" i="47" s="1"/>
  <c r="V113" i="47"/>
  <c r="Y105" i="47"/>
  <c r="Y95" i="45"/>
  <c r="Y103" i="45"/>
  <c r="W105" i="47"/>
  <c r="W103" i="45"/>
  <c r="W95" i="45"/>
  <c r="AF156" i="45"/>
  <c r="AF119" i="47"/>
  <c r="AG113" i="47"/>
  <c r="AG53" i="45"/>
  <c r="AG137" i="47" s="1"/>
  <c r="AG104" i="45"/>
  <c r="AI153" i="47"/>
  <c r="AI156" i="47" s="1"/>
  <c r="AB131" i="45"/>
  <c r="AB143" i="45" s="1"/>
  <c r="AB92" i="45"/>
  <c r="AG105" i="47"/>
  <c r="AG95" i="45"/>
  <c r="AG103" i="45"/>
  <c r="AE155" i="45"/>
  <c r="AE111" i="47"/>
  <c r="W156" i="45"/>
  <c r="W119" i="47"/>
  <c r="AC113" i="47"/>
  <c r="AC53" i="45"/>
  <c r="AC137" i="47" s="1"/>
  <c r="AC104" i="45"/>
  <c r="V155" i="45"/>
  <c r="V111" i="47"/>
  <c r="AH121" i="47"/>
  <c r="AH54" i="45"/>
  <c r="AH138" i="47" s="1"/>
  <c r="AH105" i="45"/>
  <c r="Y153" i="47"/>
  <c r="Y156" i="47" s="1"/>
  <c r="W153" i="47"/>
  <c r="W156" i="47" s="1"/>
  <c r="X92" i="45"/>
  <c r="X131" i="45"/>
  <c r="X143" i="45" s="1"/>
  <c r="AA134" i="45"/>
  <c r="AA142" i="45"/>
  <c r="AA58" i="45" s="1" a="1"/>
  <c r="AA58" i="45" s="1"/>
  <c r="AA148" i="45"/>
  <c r="AA160" i="45" s="1"/>
  <c r="AG134" i="45"/>
  <c r="AG142" i="45"/>
  <c r="AG52" i="45" s="1"/>
  <c r="AG136" i="47" s="1"/>
  <c r="AG148" i="45"/>
  <c r="AG160" i="45" s="1"/>
  <c r="V130" i="45"/>
  <c r="V91" i="45"/>
  <c r="W121" i="47"/>
  <c r="W54" i="45"/>
  <c r="W138" i="47" s="1"/>
  <c r="W105" i="45"/>
  <c r="AC155" i="45"/>
  <c r="AC111" i="47"/>
  <c r="Z156" i="45"/>
  <c r="Z119" i="47"/>
  <c r="AH119" i="47"/>
  <c r="AH156" i="45"/>
  <c r="R124" i="40" a="1"/>
  <c r="Q126" i="40" a="1"/>
  <c r="Q124" i="40" a="1"/>
  <c r="Q125" i="40" a="1"/>
  <c r="R125" i="40" a="1"/>
  <c r="R126" i="40" a="1"/>
  <c r="P125" i="40" a="1"/>
  <c r="P126" i="40" a="1"/>
  <c r="P124" i="40" a="1"/>
  <c r="S126" i="40" a="1"/>
  <c r="S124" i="40" a="1"/>
  <c r="S125" i="40" a="1"/>
  <c r="M64" i="45"/>
  <c r="S64" i="45"/>
  <c r="N64" i="45"/>
  <c r="O64" i="45"/>
  <c r="U64" i="45"/>
  <c r="P64" i="45"/>
  <c r="T64" i="45"/>
  <c r="Q64" i="45"/>
  <c r="R64" i="45"/>
  <c r="AC658" i="43" l="1"/>
  <c r="Y551" i="43"/>
  <c r="AA551" i="43" s="1"/>
  <c r="Y559" i="43"/>
  <c r="Y557" i="43"/>
  <c r="Y554" i="43"/>
  <c r="Y560" i="43"/>
  <c r="Y563" i="43"/>
  <c r="Y556" i="43"/>
  <c r="Y562" i="43"/>
  <c r="Y555" i="43"/>
  <c r="Y558" i="43"/>
  <c r="Y553" i="43"/>
  <c r="Y561" i="43"/>
  <c r="Y552" i="43"/>
  <c r="Y111" i="47"/>
  <c r="Y134" i="45"/>
  <c r="Y53" i="45"/>
  <c r="Y137" i="47" s="1"/>
  <c r="Y104" i="45"/>
  <c r="Y41" i="45" s="1"/>
  <c r="W41" i="45"/>
  <c r="W65" i="45" s="1"/>
  <c r="Y142" i="45"/>
  <c r="Y52" i="45" s="1"/>
  <c r="Y136" i="47" s="1"/>
  <c r="AG41" i="45"/>
  <c r="AG65" i="45" s="1"/>
  <c r="Y148" i="45"/>
  <c r="Y160" i="45" s="1"/>
  <c r="AI41" i="45"/>
  <c r="AI65" i="45" s="1"/>
  <c r="AA41" i="45"/>
  <c r="AA65" i="45" s="1"/>
  <c r="M21" i="45"/>
  <c r="M25" i="45" s="1"/>
  <c r="T21" i="45" s="1"/>
  <c r="O23" i="45"/>
  <c r="W42" i="45"/>
  <c r="W66" i="45" s="1"/>
  <c r="AG58" i="45" a="1"/>
  <c r="AG58" i="45" s="1"/>
  <c r="AC41" i="45"/>
  <c r="AC65" i="45" s="1"/>
  <c r="AD41" i="45"/>
  <c r="AD65" i="45" s="1"/>
  <c r="AB42" i="45"/>
  <c r="AB66" i="45" s="1"/>
  <c r="AB111" i="47"/>
  <c r="AB155" i="45"/>
  <c r="AF146" i="45"/>
  <c r="AF149" i="45" s="1"/>
  <c r="AF103" i="47"/>
  <c r="AF154" i="45"/>
  <c r="AF158" i="45" s="1"/>
  <c r="AF161" i="45" s="1"/>
  <c r="V105" i="47"/>
  <c r="V103" i="45"/>
  <c r="V95" i="45"/>
  <c r="AG140" i="47"/>
  <c r="W140" i="47"/>
  <c r="Y109" i="45"/>
  <c r="W146" i="45"/>
  <c r="W149" i="45" s="1"/>
  <c r="W103" i="47"/>
  <c r="W154" i="45"/>
  <c r="W158" i="45" s="1"/>
  <c r="W161" i="45" s="1"/>
  <c r="AC105" i="47"/>
  <c r="AC95" i="45"/>
  <c r="AC103" i="45"/>
  <c r="AE154" i="45"/>
  <c r="AE158" i="45" s="1"/>
  <c r="AE161" i="45" s="1"/>
  <c r="AE146" i="45"/>
  <c r="AE149" i="45" s="1"/>
  <c r="AE103" i="47"/>
  <c r="AE58" i="45" a="1"/>
  <c r="AE58" i="45" s="1"/>
  <c r="Z134" i="45"/>
  <c r="Z148" i="45"/>
  <c r="Z160" i="45" s="1"/>
  <c r="Z142" i="45"/>
  <c r="Z52" i="45" s="1"/>
  <c r="AD153" i="47"/>
  <c r="AD156" i="47" s="1"/>
  <c r="AA109" i="45"/>
  <c r="V148" i="45"/>
  <c r="V160" i="45" s="1"/>
  <c r="V142" i="45"/>
  <c r="V52" i="45" s="1"/>
  <c r="V134" i="45"/>
  <c r="AA103" i="47"/>
  <c r="AA154" i="45"/>
  <c r="AA158" i="45" s="1"/>
  <c r="AA161" i="45" s="1"/>
  <c r="AA146" i="45"/>
  <c r="AA149" i="45" s="1"/>
  <c r="AG107" i="45"/>
  <c r="W58" i="45" a="1"/>
  <c r="W58" i="45" s="1"/>
  <c r="X42" i="45"/>
  <c r="X66" i="45" s="1"/>
  <c r="AC134" i="45"/>
  <c r="AC148" i="45"/>
  <c r="AC160" i="45" s="1"/>
  <c r="AC142" i="45"/>
  <c r="AE52" i="45"/>
  <c r="AE136" i="47" s="1"/>
  <c r="Z105" i="47"/>
  <c r="Z103" i="45"/>
  <c r="Z95" i="45"/>
  <c r="AF52" i="45"/>
  <c r="AF136" i="47" s="1"/>
  <c r="AA107" i="45"/>
  <c r="AG109" i="45"/>
  <c r="W109" i="45"/>
  <c r="AE107" i="45"/>
  <c r="U22" i="45"/>
  <c r="AF58" i="45" a="1"/>
  <c r="AF58" i="45" s="1"/>
  <c r="X130" i="45"/>
  <c r="X91" i="45"/>
  <c r="AH42" i="45"/>
  <c r="AH66" i="45" s="1"/>
  <c r="W107" i="45"/>
  <c r="AI146" i="45"/>
  <c r="AI149" i="45" s="1"/>
  <c r="AI154" i="45"/>
  <c r="AI158" i="45" s="1"/>
  <c r="AI161" i="45" s="1"/>
  <c r="AI103" i="47"/>
  <c r="AI58" i="45" a="1"/>
  <c r="AI58" i="45" s="1"/>
  <c r="AC153" i="47"/>
  <c r="AC156" i="47" s="1"/>
  <c r="AE109" i="45"/>
  <c r="AH41" i="45"/>
  <c r="AH65" i="45" s="1"/>
  <c r="Z153" i="47"/>
  <c r="Z156" i="47" s="1"/>
  <c r="AF107" i="45"/>
  <c r="V153" i="47"/>
  <c r="V156" i="47" s="1"/>
  <c r="X111" i="47"/>
  <c r="X155" i="45"/>
  <c r="V41" i="45"/>
  <c r="V65" i="45" s="1"/>
  <c r="AI52" i="45"/>
  <c r="AI136" i="47" s="1"/>
  <c r="N23" i="45"/>
  <c r="AF109" i="45"/>
  <c r="AH142" i="45"/>
  <c r="AH134" i="45"/>
  <c r="AH148" i="45"/>
  <c r="AH160" i="45" s="1"/>
  <c r="X113" i="47"/>
  <c r="X104" i="45"/>
  <c r="X53" i="45"/>
  <c r="X137" i="47" s="1"/>
  <c r="AB130" i="45"/>
  <c r="AB91" i="45"/>
  <c r="AE41" i="45"/>
  <c r="AE65" i="45" s="1"/>
  <c r="AF41" i="45"/>
  <c r="AF65" i="45" s="1"/>
  <c r="AI109" i="45"/>
  <c r="Z41" i="45"/>
  <c r="Z65" i="45" s="1"/>
  <c r="AF42" i="45"/>
  <c r="AF66" i="45" s="1"/>
  <c r="AD42" i="45"/>
  <c r="AD66" i="45" s="1"/>
  <c r="AD148" i="45"/>
  <c r="AD160" i="45" s="1"/>
  <c r="AD142" i="45"/>
  <c r="AD52" i="45" s="1"/>
  <c r="AD136" i="47" s="1"/>
  <c r="AD134" i="45"/>
  <c r="AH105" i="47"/>
  <c r="AH95" i="45"/>
  <c r="AH103" i="45"/>
  <c r="AG103" i="47"/>
  <c r="AG154" i="45"/>
  <c r="AG158" i="45" s="1"/>
  <c r="AG161" i="45" s="1"/>
  <c r="AG146" i="45"/>
  <c r="AG149" i="45" s="1"/>
  <c r="AB113" i="47"/>
  <c r="AB53" i="45"/>
  <c r="AB137" i="47" s="1"/>
  <c r="AB104" i="45"/>
  <c r="AI107" i="45"/>
  <c r="AD105" i="47"/>
  <c r="AD103" i="45"/>
  <c r="AD95" i="45"/>
  <c r="Z42" i="45"/>
  <c r="Z66" i="45" s="1"/>
  <c r="AA52" i="45"/>
  <c r="AA136" i="47" s="1"/>
  <c r="AH153" i="47"/>
  <c r="AH156" i="47" s="1"/>
  <c r="O56" i="45"/>
  <c r="S66" i="45"/>
  <c r="M44" i="45"/>
  <c r="M47" i="45" s="1"/>
  <c r="P23" i="45"/>
  <c r="P56" i="45"/>
  <c r="R44" i="45"/>
  <c r="R47" i="45" s="1"/>
  <c r="W56" i="45"/>
  <c r="AG66" i="45"/>
  <c r="M56" i="45"/>
  <c r="AC66" i="45"/>
  <c r="O66" i="45"/>
  <c r="R56" i="45"/>
  <c r="AG56" i="45"/>
  <c r="N44" i="45"/>
  <c r="P66" i="45"/>
  <c r="U56" i="45"/>
  <c r="S56" i="45"/>
  <c r="M65" i="45"/>
  <c r="U65" i="45"/>
  <c r="AE66" i="45"/>
  <c r="T56" i="45"/>
  <c r="S65" i="45"/>
  <c r="Q56" i="45"/>
  <c r="N56" i="45"/>
  <c r="T65" i="45"/>
  <c r="Q65" i="45"/>
  <c r="N66" i="45"/>
  <c r="O65" i="45"/>
  <c r="N65" i="45"/>
  <c r="Y66" i="45"/>
  <c r="U44" i="45"/>
  <c r="AA66" i="45"/>
  <c r="R66" i="45"/>
  <c r="AI66" i="45"/>
  <c r="O44" i="45"/>
  <c r="R65" i="45"/>
  <c r="U66" i="45"/>
  <c r="P44" i="45"/>
  <c r="Q44" i="45"/>
  <c r="T66" i="45"/>
  <c r="V66" i="45"/>
  <c r="Q66" i="45"/>
  <c r="T44" i="45"/>
  <c r="T47" i="45" s="1"/>
  <c r="M66" i="45"/>
  <c r="P65" i="45"/>
  <c r="S44" i="45"/>
  <c r="AA552" i="43" l="1"/>
  <c r="AC659" i="43"/>
  <c r="AA553" i="43"/>
  <c r="AA555" i="43"/>
  <c r="AA556" i="43"/>
  <c r="AA563" i="43"/>
  <c r="AA560" i="43"/>
  <c r="AA561" i="43"/>
  <c r="AA554" i="43"/>
  <c r="AD556" i="43" s="1"/>
  <c r="AA557" i="43"/>
  <c r="AA558" i="43"/>
  <c r="AA559" i="43"/>
  <c r="AD553" i="43"/>
  <c r="AD551" i="43"/>
  <c r="AD552" i="43"/>
  <c r="AA562" i="43"/>
  <c r="Y107" i="45"/>
  <c r="Y110" i="45" s="1"/>
  <c r="Y65" i="45"/>
  <c r="Y140" i="47"/>
  <c r="Y146" i="45"/>
  <c r="Y129" i="47" s="1"/>
  <c r="Y103" i="47"/>
  <c r="Y154" i="45"/>
  <c r="Y158" i="45" s="1"/>
  <c r="Y161" i="45" s="1"/>
  <c r="Y56" i="45"/>
  <c r="Y58" i="45" a="1"/>
  <c r="Y58" i="45" s="1"/>
  <c r="W129" i="47"/>
  <c r="O22" i="45"/>
  <c r="AB41" i="45"/>
  <c r="AB65" i="45" s="1"/>
  <c r="W40" i="45"/>
  <c r="W64" i="45" s="1"/>
  <c r="W68" i="45" s="1"/>
  <c r="AI40" i="45"/>
  <c r="AI44" i="45" s="1"/>
  <c r="X41" i="45"/>
  <c r="X65" i="45" s="1"/>
  <c r="T22" i="45"/>
  <c r="T23" i="45"/>
  <c r="AF56" i="45"/>
  <c r="AF142" i="47" s="1"/>
  <c r="AA129" i="47"/>
  <c r="AE129" i="47"/>
  <c r="AF129" i="47"/>
  <c r="AA56" i="45"/>
  <c r="AA142" i="47" s="1"/>
  <c r="Z58" i="45" a="1"/>
  <c r="Z58" i="45" s="1"/>
  <c r="V58" i="45" a="1"/>
  <c r="V58" i="45" s="1"/>
  <c r="AG129" i="47"/>
  <c r="N22" i="45"/>
  <c r="AA40" i="45"/>
  <c r="AA64" i="45" s="1"/>
  <c r="AA68" i="45" s="1"/>
  <c r="V136" i="47"/>
  <c r="V56" i="45"/>
  <c r="AE127" i="47"/>
  <c r="AF127" i="47"/>
  <c r="AE56" i="45"/>
  <c r="AE59" i="45" s="1"/>
  <c r="AI56" i="45"/>
  <c r="AI142" i="47" s="1"/>
  <c r="AA140" i="47"/>
  <c r="AB148" i="45"/>
  <c r="AB160" i="45" s="1"/>
  <c r="AB142" i="45"/>
  <c r="AB134" i="45"/>
  <c r="Y127" i="47"/>
  <c r="AF40" i="45"/>
  <c r="AE110" i="45"/>
  <c r="AE46" i="45"/>
  <c r="AF140" i="47"/>
  <c r="AA46" i="45"/>
  <c r="AA110" i="45"/>
  <c r="W127" i="47"/>
  <c r="AH109" i="45"/>
  <c r="AC146" i="45"/>
  <c r="AC149" i="45" s="1"/>
  <c r="AC103" i="47"/>
  <c r="AC154" i="45"/>
  <c r="AC158" i="45" s="1"/>
  <c r="AC161" i="45" s="1"/>
  <c r="AD56" i="45"/>
  <c r="AD142" i="47" s="1"/>
  <c r="W110" i="45"/>
  <c r="W46" i="45"/>
  <c r="Z136" i="47"/>
  <c r="Z56" i="45"/>
  <c r="P22" i="45"/>
  <c r="AC52" i="45"/>
  <c r="AD103" i="47"/>
  <c r="AD154" i="45"/>
  <c r="AD158" i="45" s="1"/>
  <c r="AD161" i="45" s="1"/>
  <c r="AD146" i="45"/>
  <c r="AD149" i="45" s="1"/>
  <c r="AB153" i="47"/>
  <c r="AB156" i="47" s="1"/>
  <c r="AH103" i="47"/>
  <c r="AH154" i="45"/>
  <c r="AH158" i="45" s="1"/>
  <c r="AH161" i="45" s="1"/>
  <c r="AH146" i="45"/>
  <c r="AH149" i="45" s="1"/>
  <c r="AA127" i="47"/>
  <c r="AD58" i="45" a="1"/>
  <c r="AD58" i="45" s="1"/>
  <c r="AG127" i="47"/>
  <c r="AI110" i="45"/>
  <c r="AI46" i="45"/>
  <c r="X105" i="47"/>
  <c r="X95" i="45"/>
  <c r="X103" i="45"/>
  <c r="AE40" i="45"/>
  <c r="AG46" i="45"/>
  <c r="AG110" i="45"/>
  <c r="Z109" i="45"/>
  <c r="Z103" i="47"/>
  <c r="Z154" i="45"/>
  <c r="Z158" i="45" s="1"/>
  <c r="Z161" i="45" s="1"/>
  <c r="Z146" i="45"/>
  <c r="Z149" i="45" s="1"/>
  <c r="AC58" i="45" a="1"/>
  <c r="AC58" i="45" s="1"/>
  <c r="Y46" i="45"/>
  <c r="V109" i="45"/>
  <c r="AI140" i="47"/>
  <c r="AD140" i="47"/>
  <c r="AI129" i="47"/>
  <c r="AD109" i="45"/>
  <c r="AH58" i="45" a="1"/>
  <c r="AH58" i="45" s="1"/>
  <c r="AF46" i="45"/>
  <c r="AF110" i="45"/>
  <c r="AI127" i="47"/>
  <c r="X148" i="45"/>
  <c r="X160" i="45" s="1"/>
  <c r="X134" i="45"/>
  <c r="X142" i="45"/>
  <c r="X58" i="45" s="1" a="1"/>
  <c r="X58" i="45" s="1"/>
  <c r="Z107" i="45"/>
  <c r="V103" i="47"/>
  <c r="V154" i="45"/>
  <c r="V146" i="45"/>
  <c r="V149" i="45" s="1"/>
  <c r="AC107" i="45"/>
  <c r="V107" i="45"/>
  <c r="AB105" i="47"/>
  <c r="AB103" i="45"/>
  <c r="AB95" i="45"/>
  <c r="U28" i="45"/>
  <c r="U25" i="45"/>
  <c r="AD107" i="45"/>
  <c r="AH52" i="45"/>
  <c r="AC109" i="45"/>
  <c r="AH107" i="45"/>
  <c r="X153" i="47"/>
  <c r="X156" i="47" s="1"/>
  <c r="AE140" i="47"/>
  <c r="AG40" i="45"/>
  <c r="AG59" i="45"/>
  <c r="AG142" i="47"/>
  <c r="AG143" i="47" s="1"/>
  <c r="P59" i="45"/>
  <c r="P142" i="47"/>
  <c r="P143" i="47" s="1"/>
  <c r="T59" i="45"/>
  <c r="T142" i="47"/>
  <c r="T143" i="47" s="1"/>
  <c r="S59" i="45"/>
  <c r="S142" i="47"/>
  <c r="S143" i="47" s="1"/>
  <c r="O59" i="45"/>
  <c r="O142" i="47"/>
  <c r="O143" i="47" s="1"/>
  <c r="Q59" i="45"/>
  <c r="Q142" i="47"/>
  <c r="Q143" i="47" s="1"/>
  <c r="U59" i="45"/>
  <c r="U142" i="47"/>
  <c r="U143" i="47" s="1"/>
  <c r="M59" i="45"/>
  <c r="M142" i="47"/>
  <c r="M143" i="47" s="1"/>
  <c r="R59" i="45"/>
  <c r="R142" i="47"/>
  <c r="R143" i="47" s="1"/>
  <c r="N59" i="45"/>
  <c r="N142" i="47"/>
  <c r="N143" i="47" s="1"/>
  <c r="W59" i="45"/>
  <c r="W142" i="47"/>
  <c r="W143" i="47" s="1"/>
  <c r="S68" i="45"/>
  <c r="U70" i="45"/>
  <c r="P70" i="45"/>
  <c r="S70" i="45"/>
  <c r="P68" i="45"/>
  <c r="M70" i="45"/>
  <c r="R70" i="45"/>
  <c r="T68" i="45"/>
  <c r="T70" i="45"/>
  <c r="N68" i="45"/>
  <c r="P47" i="45"/>
  <c r="Q68" i="45"/>
  <c r="U68" i="45"/>
  <c r="R68" i="45"/>
  <c r="Q70" i="45"/>
  <c r="Q47" i="45"/>
  <c r="O68" i="45"/>
  <c r="Q23" i="45"/>
  <c r="M68" i="45"/>
  <c r="S47" i="45"/>
  <c r="N70" i="45"/>
  <c r="O70" i="45"/>
  <c r="O47" i="45"/>
  <c r="AC660" i="43" l="1"/>
  <c r="AD554" i="43"/>
  <c r="AD555" i="43"/>
  <c r="AD560" i="43"/>
  <c r="AD562" i="43"/>
  <c r="AD561" i="43"/>
  <c r="AD559" i="43"/>
  <c r="AD563" i="43"/>
  <c r="AD557" i="43"/>
  <c r="AD558" i="43"/>
  <c r="A156" i="47"/>
  <c r="Y149" i="45"/>
  <c r="Y40" i="45"/>
  <c r="Y64" i="45" s="1"/>
  <c r="Y68" i="45" s="1"/>
  <c r="Y59" i="45"/>
  <c r="AF59" i="45"/>
  <c r="Y142" i="47"/>
  <c r="Y143" i="47" s="1"/>
  <c r="W130" i="47"/>
  <c r="AD59" i="45"/>
  <c r="AA59" i="45"/>
  <c r="AA130" i="47"/>
  <c r="AH40" i="45"/>
  <c r="AH64" i="45" s="1"/>
  <c r="AH68" i="45" s="1"/>
  <c r="AI143" i="47"/>
  <c r="Q22" i="45"/>
  <c r="AI47" i="45"/>
  <c r="W44" i="45"/>
  <c r="W70" i="45" s="1"/>
  <c r="W71" i="45" s="1"/>
  <c r="AA44" i="45"/>
  <c r="AA47" i="45" s="1"/>
  <c r="AD143" i="47"/>
  <c r="AC40" i="45"/>
  <c r="AC64" i="45" s="1"/>
  <c r="AC68" i="45" s="1"/>
  <c r="AG130" i="47"/>
  <c r="AI70" i="45"/>
  <c r="Z40" i="45"/>
  <c r="Z64" i="45" s="1"/>
  <c r="Z68" i="45" s="1"/>
  <c r="Y130" i="47"/>
  <c r="AE142" i="47"/>
  <c r="AE143" i="47" s="1"/>
  <c r="AI59" i="45"/>
  <c r="AD40" i="45"/>
  <c r="AD64" i="45" s="1"/>
  <c r="AD68" i="45" s="1"/>
  <c r="AD129" i="47"/>
  <c r="AI64" i="45"/>
  <c r="AI68" i="45" s="1"/>
  <c r="AE130" i="47"/>
  <c r="AA143" i="47"/>
  <c r="T25" i="45"/>
  <c r="T28" i="45"/>
  <c r="N21" i="45"/>
  <c r="N25" i="45" s="1"/>
  <c r="AF130" i="47"/>
  <c r="AC129" i="47"/>
  <c r="AF143" i="47"/>
  <c r="AB103" i="47"/>
  <c r="AB154" i="45"/>
  <c r="AB158" i="45" s="1"/>
  <c r="AB161" i="45" s="1"/>
  <c r="AB146" i="45"/>
  <c r="AB149" i="45" s="1"/>
  <c r="V158" i="45"/>
  <c r="V161" i="45" s="1"/>
  <c r="AD127" i="47"/>
  <c r="V46" i="45"/>
  <c r="V110" i="45"/>
  <c r="V40" i="45"/>
  <c r="V127" i="47"/>
  <c r="AI130" i="47"/>
  <c r="AG64" i="45"/>
  <c r="AG68" i="45" s="1"/>
  <c r="AG44" i="45"/>
  <c r="AE44" i="45"/>
  <c r="AE70" i="45" s="1"/>
  <c r="AE64" i="45"/>
  <c r="AE68" i="45" s="1"/>
  <c r="AC136" i="47"/>
  <c r="AC56" i="45"/>
  <c r="AF64" i="45"/>
  <c r="AF68" i="45" s="1"/>
  <c r="AF44" i="45"/>
  <c r="X52" i="45"/>
  <c r="AH127" i="47"/>
  <c r="AC127" i="47"/>
  <c r="AB107" i="45"/>
  <c r="AC46" i="45"/>
  <c r="AC110" i="45"/>
  <c r="AB58" i="45" a="1"/>
  <c r="AB58" i="45" s="1"/>
  <c r="Z142" i="47"/>
  <c r="Z59" i="45"/>
  <c r="V142" i="47"/>
  <c r="V59" i="45"/>
  <c r="AH46" i="45"/>
  <c r="AH110" i="45"/>
  <c r="AB52" i="45"/>
  <c r="X154" i="45"/>
  <c r="X158" i="45" s="1"/>
  <c r="X161" i="45" s="1"/>
  <c r="X103" i="47"/>
  <c r="X146" i="45"/>
  <c r="X149" i="45" s="1"/>
  <c r="Z127" i="47"/>
  <c r="X107" i="45"/>
  <c r="Z140" i="47"/>
  <c r="Z110" i="45"/>
  <c r="Z46" i="45"/>
  <c r="AH136" i="47"/>
  <c r="AH56" i="45"/>
  <c r="AB109" i="45"/>
  <c r="AD46" i="45"/>
  <c r="AD110" i="45"/>
  <c r="V129" i="47"/>
  <c r="Z129" i="47"/>
  <c r="X109" i="45"/>
  <c r="AH129" i="47"/>
  <c r="V140" i="47"/>
  <c r="U71" i="45"/>
  <c r="S71" i="45"/>
  <c r="P71" i="45"/>
  <c r="R71" i="45"/>
  <c r="T71" i="45"/>
  <c r="Q71" i="45"/>
  <c r="N71" i="45"/>
  <c r="O71" i="45"/>
  <c r="M71" i="45"/>
  <c r="AC661" i="43" l="1"/>
  <c r="Y44" i="45"/>
  <c r="Y47" i="45" s="1"/>
  <c r="AH44" i="45"/>
  <c r="AH70" i="45" s="1"/>
  <c r="AH71" i="45" s="1"/>
  <c r="Z44" i="45"/>
  <c r="Z70" i="45" s="1"/>
  <c r="Z71" i="45" s="1"/>
  <c r="AI71" i="45"/>
  <c r="AC130" i="47"/>
  <c r="AA70" i="45"/>
  <c r="AA71" i="45" s="1"/>
  <c r="AD130" i="47"/>
  <c r="AC44" i="45"/>
  <c r="AC47" i="45" s="1"/>
  <c r="W47" i="45"/>
  <c r="AE71" i="45"/>
  <c r="Z130" i="47"/>
  <c r="AB40" i="45"/>
  <c r="AB44" i="45" s="1"/>
  <c r="AH130" i="47"/>
  <c r="AD44" i="45"/>
  <c r="AD47" i="45" s="1"/>
  <c r="V130" i="47"/>
  <c r="AE47" i="45"/>
  <c r="X40" i="45"/>
  <c r="X64" i="45" s="1"/>
  <c r="X68" i="45" s="1"/>
  <c r="X136" i="47"/>
  <c r="X56" i="45"/>
  <c r="P21" i="45"/>
  <c r="P25" i="45" s="1"/>
  <c r="A161" i="45"/>
  <c r="V143" i="47"/>
  <c r="AF70" i="45"/>
  <c r="AF71" i="45" s="1"/>
  <c r="AF47" i="45"/>
  <c r="AG70" i="45"/>
  <c r="AG71" i="45" s="1"/>
  <c r="AG47" i="45"/>
  <c r="AB129" i="47"/>
  <c r="X127" i="47"/>
  <c r="Z143" i="47"/>
  <c r="AC59" i="45"/>
  <c r="AC142" i="47"/>
  <c r="AB110" i="45"/>
  <c r="AB46" i="45"/>
  <c r="AC140" i="47"/>
  <c r="AB127" i="47"/>
  <c r="X129" i="47"/>
  <c r="AH142" i="47"/>
  <c r="AH59" i="45"/>
  <c r="AB136" i="47"/>
  <c r="AB56" i="45"/>
  <c r="AB142" i="47" s="1"/>
  <c r="X110" i="45"/>
  <c r="X46" i="45"/>
  <c r="AH140" i="47"/>
  <c r="V64" i="45"/>
  <c r="V44" i="45"/>
  <c r="V70" i="45" s="1"/>
  <c r="O21" i="45"/>
  <c r="O25" i="45" s="1"/>
  <c r="AC662" i="43" l="1"/>
  <c r="Y70" i="45"/>
  <c r="Y71" i="45" s="1"/>
  <c r="AH47" i="45"/>
  <c r="Z47" i="45"/>
  <c r="AC70" i="45"/>
  <c r="AC71" i="45" s="1"/>
  <c r="AB64" i="45"/>
  <c r="AB68" i="45" s="1"/>
  <c r="AD70" i="45"/>
  <c r="AD71" i="45" s="1"/>
  <c r="AB47" i="45"/>
  <c r="AB59" i="45"/>
  <c r="AC143" i="47"/>
  <c r="X130" i="47"/>
  <c r="X44" i="45"/>
  <c r="X70" i="45" s="1"/>
  <c r="X71" i="45" s="1"/>
  <c r="AH143" i="47"/>
  <c r="V47" i="45"/>
  <c r="AB140" i="47"/>
  <c r="AB143" i="47" s="1"/>
  <c r="AB70" i="45"/>
  <c r="X142" i="47"/>
  <c r="X59" i="45"/>
  <c r="V68" i="45"/>
  <c r="AB130" i="47"/>
  <c r="X140" i="47"/>
  <c r="U47" i="45"/>
  <c r="N107" i="45"/>
  <c r="AC663" i="43" l="1"/>
  <c r="Q21" i="45"/>
  <c r="X22" i="45" s="1" a="1"/>
  <c r="X22" i="45" s="1"/>
  <c r="AC22" i="45" s="1"/>
  <c r="AB71" i="45"/>
  <c r="A59" i="45"/>
  <c r="X143" i="47"/>
  <c r="A143" i="47" s="1"/>
  <c r="X47" i="45"/>
  <c r="V71" i="45"/>
  <c r="Q27" i="45"/>
  <c r="N110" i="45"/>
  <c r="N47" i="45"/>
  <c r="AC664" i="43" l="1"/>
  <c r="A47" i="45"/>
  <c r="X21" i="45" a="1"/>
  <c r="X21" i="45" s="1"/>
  <c r="AC21" i="45" s="1"/>
  <c r="X23" i="45" a="1"/>
  <c r="X23" i="45" s="1"/>
  <c r="AC23" i="45" s="1"/>
  <c r="AH23" i="45" s="1"/>
  <c r="Q25" i="45"/>
  <c r="X27" i="45" s="1"/>
  <c r="A71" i="45"/>
  <c r="AH22" i="45"/>
  <c r="AA22" i="45"/>
  <c r="AF22" i="45" s="1"/>
  <c r="G21" i="43" s="1"/>
  <c r="Z22" i="45"/>
  <c r="AE22" i="45" s="1"/>
  <c r="F21" i="43" s="1"/>
  <c r="AB22" i="45"/>
  <c r="AG22" i="45" s="1"/>
  <c r="H21" i="43" s="1"/>
  <c r="AC665" i="43" l="1"/>
  <c r="AA23" i="45"/>
  <c r="AF23" i="45" s="1"/>
  <c r="G20" i="43" s="1"/>
  <c r="Z23" i="45"/>
  <c r="AE23" i="45" s="1"/>
  <c r="F20" i="43" s="1"/>
  <c r="AB23" i="45"/>
  <c r="AG23" i="45" s="1"/>
  <c r="H20" i="43" s="1"/>
  <c r="X25" i="45"/>
  <c r="X28" i="45" s="1"/>
  <c r="U107" i="45" s="1"/>
  <c r="U110" i="45" s="1"/>
  <c r="A110" i="45" s="1"/>
  <c r="Q28" i="45"/>
  <c r="A28" i="45" s="1"/>
  <c r="I21" i="43"/>
  <c r="R37" i="38"/>
  <c r="R67" i="38" s="1"/>
  <c r="S38" i="38"/>
  <c r="S68" i="38" s="1"/>
  <c r="S34" i="39" s="1"/>
  <c r="O38" i="38"/>
  <c r="O68" i="38" s="1"/>
  <c r="O37" i="38"/>
  <c r="O67" i="38" s="1"/>
  <c r="E243" i="43" s="1"/>
  <c r="P37" i="38"/>
  <c r="P67" i="38" s="1"/>
  <c r="Q38" i="38"/>
  <c r="Q68" i="38" s="1"/>
  <c r="Q34" i="39" s="1"/>
  <c r="S37" i="38"/>
  <c r="S67" i="38" s="1"/>
  <c r="Q37" i="38"/>
  <c r="Q67" i="38" s="1"/>
  <c r="R38" i="38"/>
  <c r="R68" i="38" s="1"/>
  <c r="R34" i="39" s="1"/>
  <c r="P38" i="38"/>
  <c r="P68" i="38" s="1"/>
  <c r="P34" i="39" s="1"/>
  <c r="R35" i="38"/>
  <c r="R65" i="38" s="1"/>
  <c r="R31" i="39" s="1"/>
  <c r="R61" i="39" s="1"/>
  <c r="O34" i="38"/>
  <c r="O64" i="38" s="1"/>
  <c r="E240" i="43" s="1"/>
  <c r="Q35" i="38"/>
  <c r="Q65" i="38" s="1"/>
  <c r="Q31" i="39" s="1"/>
  <c r="Q61" i="39" s="1"/>
  <c r="Q36" i="38"/>
  <c r="Q66" i="38" s="1"/>
  <c r="S30" i="38"/>
  <c r="S33" i="38"/>
  <c r="S63" i="38" s="1"/>
  <c r="O35" i="38"/>
  <c r="O65" i="38" s="1"/>
  <c r="P33" i="38"/>
  <c r="P63" i="38" s="1"/>
  <c r="P35" i="38"/>
  <c r="P65" i="38" s="1"/>
  <c r="P31" i="39" s="1"/>
  <c r="P61" i="39" s="1"/>
  <c r="P34" i="38"/>
  <c r="P64" i="38" s="1"/>
  <c r="O32" i="38"/>
  <c r="O62" i="38" s="1"/>
  <c r="E238" i="43" s="1"/>
  <c r="R30" i="38"/>
  <c r="R32" i="38"/>
  <c r="R62" i="38" s="1"/>
  <c r="Q33" i="38"/>
  <c r="Q63" i="38" s="1"/>
  <c r="P32" i="38"/>
  <c r="P62" i="38" s="1"/>
  <c r="S32" i="38"/>
  <c r="S62" i="38" s="1"/>
  <c r="R33" i="38"/>
  <c r="R63" i="38" s="1"/>
  <c r="R34" i="38"/>
  <c r="R64" i="38" s="1"/>
  <c r="S35" i="38"/>
  <c r="S65" i="38" s="1"/>
  <c r="S31" i="39" s="1"/>
  <c r="S61" i="39" s="1"/>
  <c r="S31" i="38"/>
  <c r="S61" i="38" s="1"/>
  <c r="S27" i="39" s="1"/>
  <c r="O30" i="38"/>
  <c r="S34" i="38"/>
  <c r="S64" i="38" s="1"/>
  <c r="P31" i="38"/>
  <c r="P61" i="38" s="1"/>
  <c r="P27" i="39" s="1"/>
  <c r="Q31" i="38"/>
  <c r="Q61" i="38" s="1"/>
  <c r="Q27" i="39" s="1"/>
  <c r="O36" i="38"/>
  <c r="O66" i="38" s="1"/>
  <c r="E242" i="43" s="1"/>
  <c r="Q34" i="38"/>
  <c r="Q64" i="38" s="1"/>
  <c r="P30" i="38"/>
  <c r="Q32" i="38"/>
  <c r="Q62" i="38" s="1"/>
  <c r="O31" i="38"/>
  <c r="O61" i="38" s="1"/>
  <c r="R31" i="38"/>
  <c r="R61" i="38" s="1"/>
  <c r="R27" i="39" s="1"/>
  <c r="O33" i="38"/>
  <c r="O63" i="38" s="1"/>
  <c r="E239" i="43" s="1"/>
  <c r="I20" i="43"/>
  <c r="Q30" i="38"/>
  <c r="S36" i="38"/>
  <c r="S66" i="38" s="1"/>
  <c r="R36" i="38"/>
  <c r="R66" i="38" s="1"/>
  <c r="P36" i="38"/>
  <c r="P66" i="38" s="1"/>
  <c r="AB21" i="45"/>
  <c r="AG21" i="45" s="1"/>
  <c r="Z21" i="45"/>
  <c r="AE21" i="45" s="1"/>
  <c r="AA21" i="45"/>
  <c r="AF21" i="45" s="1"/>
  <c r="AH21" i="45"/>
  <c r="AC666" i="43" l="1"/>
  <c r="A1" i="45"/>
  <c r="H23" i="25" s="1"/>
  <c r="Q70" i="39"/>
  <c r="Q71" i="39"/>
  <c r="E237" i="43"/>
  <c r="O27" i="39"/>
  <c r="O60" i="38"/>
  <c r="O72" i="38"/>
  <c r="S60" i="38"/>
  <c r="S72" i="38"/>
  <c r="O34" i="39"/>
  <c r="E244" i="43"/>
  <c r="S47" i="39"/>
  <c r="S48" i="39"/>
  <c r="Q60" i="38"/>
  <c r="Q72" i="38"/>
  <c r="Q48" i="39"/>
  <c r="Q47" i="39"/>
  <c r="P71" i="39"/>
  <c r="P70" i="39"/>
  <c r="S71" i="39"/>
  <c r="S70" i="39"/>
  <c r="P47" i="39"/>
  <c r="P48" i="39"/>
  <c r="E241" i="43"/>
  <c r="O31" i="39"/>
  <c r="O61" i="39" s="1"/>
  <c r="R71" i="39"/>
  <c r="R70" i="39"/>
  <c r="R60" i="38"/>
  <c r="R72" i="38"/>
  <c r="P60" i="38"/>
  <c r="P72" i="38"/>
  <c r="R48" i="39"/>
  <c r="R47" i="39"/>
  <c r="AC667" i="43" l="1"/>
  <c r="K241" i="43"/>
  <c r="J241" i="43"/>
  <c r="S26" i="39"/>
  <c r="S70" i="38"/>
  <c r="S58" i="37" s="1"/>
  <c r="P26" i="39"/>
  <c r="P70" i="38"/>
  <c r="P58" i="37" s="1"/>
  <c r="Q26" i="39"/>
  <c r="Q70" i="38"/>
  <c r="Q58" i="37" s="1"/>
  <c r="E236" i="43"/>
  <c r="O70" i="38"/>
  <c r="O58" i="37" s="1"/>
  <c r="O26" i="39"/>
  <c r="O48" i="39"/>
  <c r="O47" i="39"/>
  <c r="R26" i="39"/>
  <c r="R70" i="38"/>
  <c r="R58" i="37" s="1"/>
  <c r="J237" i="43"/>
  <c r="K237" i="43"/>
  <c r="K244" i="43"/>
  <c r="J244" i="43"/>
  <c r="O71" i="39"/>
  <c r="O70" i="39"/>
  <c r="AC668" i="43" l="1"/>
  <c r="S73" i="38"/>
  <c r="Q73" i="38"/>
  <c r="R73" i="38"/>
  <c r="S106" i="37"/>
  <c r="S107" i="37"/>
  <c r="S108" i="37"/>
  <c r="Q226" i="43" s="1"/>
  <c r="S100" i="37"/>
  <c r="S101" i="37"/>
  <c r="Q219" i="43" s="1"/>
  <c r="S103" i="37"/>
  <c r="Q221" i="43" s="1"/>
  <c r="S104" i="37"/>
  <c r="Q222" i="43" s="1"/>
  <c r="S102" i="37"/>
  <c r="Q220" i="43" s="1"/>
  <c r="S105" i="37"/>
  <c r="Q223" i="43" s="1"/>
  <c r="O45" i="39"/>
  <c r="O46" i="39"/>
  <c r="S46" i="39"/>
  <c r="S45" i="39"/>
  <c r="O108" i="37"/>
  <c r="M226" i="43" s="1"/>
  <c r="O102" i="37"/>
  <c r="M220" i="43" s="1"/>
  <c r="O107" i="37"/>
  <c r="O101" i="37"/>
  <c r="M219" i="43" s="1"/>
  <c r="O105" i="37"/>
  <c r="M223" i="43" s="1"/>
  <c r="O106" i="37"/>
  <c r="O100" i="37"/>
  <c r="O104" i="37"/>
  <c r="M222" i="43" s="1"/>
  <c r="O103" i="37"/>
  <c r="M221" i="43" s="1"/>
  <c r="K236" i="43"/>
  <c r="J236" i="43"/>
  <c r="R108" i="37"/>
  <c r="P226" i="43" s="1"/>
  <c r="R105" i="37"/>
  <c r="P223" i="43" s="1"/>
  <c r="R106" i="37"/>
  <c r="R100" i="37"/>
  <c r="R107" i="37"/>
  <c r="R102" i="37"/>
  <c r="P220" i="43" s="1"/>
  <c r="R104" i="37"/>
  <c r="P222" i="43" s="1"/>
  <c r="R103" i="37"/>
  <c r="P221" i="43" s="1"/>
  <c r="R101" i="37"/>
  <c r="P219" i="43" s="1"/>
  <c r="Q107" i="37"/>
  <c r="Q100" i="37"/>
  <c r="Q105" i="37"/>
  <c r="O223" i="43" s="1"/>
  <c r="Q104" i="37"/>
  <c r="O222" i="43" s="1"/>
  <c r="Q108" i="37"/>
  <c r="O226" i="43" s="1"/>
  <c r="Q102" i="37"/>
  <c r="O220" i="43" s="1"/>
  <c r="Q103" i="37"/>
  <c r="O221" i="43" s="1"/>
  <c r="Q106" i="37"/>
  <c r="Q101" i="37"/>
  <c r="O219" i="43" s="1"/>
  <c r="O73" i="38"/>
  <c r="R45" i="39"/>
  <c r="R46" i="39"/>
  <c r="Q46" i="39"/>
  <c r="Q45" i="39"/>
  <c r="P106" i="37"/>
  <c r="P105" i="37"/>
  <c r="N223" i="43" s="1"/>
  <c r="P107" i="37"/>
  <c r="P102" i="37"/>
  <c r="N220" i="43" s="1"/>
  <c r="P108" i="37"/>
  <c r="N226" i="43" s="1"/>
  <c r="P104" i="37"/>
  <c r="N222" i="43" s="1"/>
  <c r="P100" i="37"/>
  <c r="P101" i="37"/>
  <c r="N219" i="43" s="1"/>
  <c r="P103" i="37"/>
  <c r="N221" i="43" s="1"/>
  <c r="P73" i="38"/>
  <c r="P46" i="39"/>
  <c r="P45" i="39"/>
  <c r="AC669" i="43" l="1"/>
  <c r="A73" i="38"/>
  <c r="A1" i="38" s="1"/>
  <c r="H24" i="25" s="1"/>
  <c r="M225" i="43"/>
  <c r="O41" i="37"/>
  <c r="O182" i="40" s="1"/>
  <c r="N218" i="43"/>
  <c r="P39" i="37"/>
  <c r="P180" i="40" s="1"/>
  <c r="P110" i="37"/>
  <c r="P43" i="37"/>
  <c r="P184" i="40"/>
  <c r="P225" i="43"/>
  <c r="R41" i="37"/>
  <c r="R182" i="40" s="1"/>
  <c r="P218" i="43"/>
  <c r="R184" i="40"/>
  <c r="R110" i="37"/>
  <c r="R43" i="37"/>
  <c r="R39" i="37"/>
  <c r="R180" i="40" s="1"/>
  <c r="M218" i="43"/>
  <c r="O110" i="37"/>
  <c r="O39" i="37"/>
  <c r="O180" i="40" s="1"/>
  <c r="O43" i="37"/>
  <c r="O184" i="40"/>
  <c r="O218" i="43"/>
  <c r="Q110" i="37"/>
  <c r="Q39" i="37"/>
  <c r="Q180" i="40" s="1"/>
  <c r="Q43" i="37"/>
  <c r="Q184" i="40"/>
  <c r="P224" i="43"/>
  <c r="R40" i="37"/>
  <c r="R181" i="40" s="1"/>
  <c r="M224" i="43"/>
  <c r="O40" i="37"/>
  <c r="O181" i="40" s="1"/>
  <c r="Q218" i="43"/>
  <c r="S43" i="37"/>
  <c r="S110" i="37"/>
  <c r="S39" i="37"/>
  <c r="S180" i="40" s="1"/>
  <c r="S184" i="40"/>
  <c r="N225" i="43"/>
  <c r="P41" i="37"/>
  <c r="P182" i="40" s="1"/>
  <c r="O225" i="43"/>
  <c r="Q41" i="37"/>
  <c r="Q182" i="40" s="1"/>
  <c r="O224" i="43"/>
  <c r="Q40" i="37"/>
  <c r="Q181" i="40" s="1"/>
  <c r="Q225" i="43"/>
  <c r="S41" i="37"/>
  <c r="S182" i="40" s="1"/>
  <c r="N224" i="43"/>
  <c r="P40" i="37"/>
  <c r="P181" i="40" s="1"/>
  <c r="Q224" i="43"/>
  <c r="S40" i="37"/>
  <c r="S181" i="40" s="1"/>
  <c r="AC670" i="43" l="1"/>
  <c r="S44" i="37"/>
  <c r="R185" i="40"/>
  <c r="Q185" i="40"/>
  <c r="A110" i="37"/>
  <c r="Q44" i="37"/>
  <c r="P185" i="40"/>
  <c r="P44" i="37"/>
  <c r="R44" i="37"/>
  <c r="O185" i="40"/>
  <c r="O44" i="37"/>
  <c r="S185" i="40"/>
  <c r="E13" i="43" a="1"/>
  <c r="Q76" i="47"/>
  <c r="P76" i="47"/>
  <c r="R76" i="47"/>
  <c r="S76" i="47"/>
  <c r="AC671" i="43" l="1"/>
  <c r="A185" i="40"/>
  <c r="A44" i="37"/>
  <c r="A1" i="37" s="1"/>
  <c r="H22" i="25" s="1"/>
  <c r="F13" i="43"/>
  <c r="G13" i="43"/>
  <c r="E13" i="43"/>
  <c r="O76" i="47"/>
  <c r="AC672" i="43" l="1"/>
  <c r="P79" i="47"/>
  <c r="Q79" i="47"/>
  <c r="R79" i="47"/>
  <c r="S79" i="47"/>
  <c r="AC673" i="43" l="1"/>
  <c r="O79" i="47"/>
  <c r="A79" i="47" s="1"/>
  <c r="AC674" i="43" l="1"/>
  <c r="R21" i="41"/>
  <c r="R30" i="41" s="1"/>
  <c r="AC675" i="43" l="1"/>
  <c r="R42" i="41"/>
  <c r="R69" i="41" s="1"/>
  <c r="AC676" i="43" l="1"/>
  <c r="P157" i="40"/>
  <c r="AC677" i="43" l="1"/>
  <c r="Q157" i="40"/>
  <c r="AC678" i="43" l="1"/>
  <c r="R157" i="40"/>
  <c r="AC679" i="43" l="1"/>
  <c r="A155" i="40"/>
  <c r="A153" i="40"/>
  <c r="A154" i="40"/>
  <c r="AC680" i="43" l="1"/>
  <c r="S157" i="40"/>
  <c r="A157" i="40" s="1"/>
  <c r="AC681" i="43" l="1"/>
  <c r="AC682" i="43" l="1"/>
  <c r="H187" i="43"/>
  <c r="R35" i="34"/>
  <c r="I206" i="43"/>
  <c r="S76" i="34"/>
  <c r="F202" i="43"/>
  <c r="P75" i="34"/>
  <c r="F192" i="43"/>
  <c r="P36" i="34"/>
  <c r="P59" i="35" s="1"/>
  <c r="I207" i="43"/>
  <c r="S77" i="34"/>
  <c r="G202" i="43"/>
  <c r="Q75" i="34"/>
  <c r="G201" i="43"/>
  <c r="Q74" i="34"/>
  <c r="H192" i="43"/>
  <c r="R36" i="34"/>
  <c r="R59" i="35" s="1"/>
  <c r="I201" i="43"/>
  <c r="S74" i="34"/>
  <c r="F201" i="43"/>
  <c r="P74" i="34"/>
  <c r="F206" i="43"/>
  <c r="P76" i="34"/>
  <c r="AC683" i="43" l="1"/>
  <c r="I182" i="43"/>
  <c r="S34" i="34"/>
  <c r="G182" i="43"/>
  <c r="Q34" i="34"/>
  <c r="F199" i="43"/>
  <c r="P38" i="34"/>
  <c r="V308" i="43"/>
  <c r="V309" i="43"/>
  <c r="V310" i="43"/>
  <c r="E202" i="43"/>
  <c r="O75" i="34"/>
  <c r="H242" i="43" s="1"/>
  <c r="H182" i="43"/>
  <c r="R34" i="34"/>
  <c r="P99" i="35"/>
  <c r="I199" i="43"/>
  <c r="S38" i="34"/>
  <c r="Y309" i="43"/>
  <c r="Y308" i="43"/>
  <c r="Y310" i="43"/>
  <c r="G207" i="43"/>
  <c r="Q77" i="34"/>
  <c r="G206" i="43"/>
  <c r="Q76" i="34"/>
  <c r="I202" i="43"/>
  <c r="S75" i="34"/>
  <c r="S79" i="34" s="1"/>
  <c r="G204" i="43"/>
  <c r="Q39" i="34"/>
  <c r="W313" i="43"/>
  <c r="W312" i="43"/>
  <c r="W311" i="43"/>
  <c r="S100" i="35"/>
  <c r="S63" i="34"/>
  <c r="S81" i="35" s="1"/>
  <c r="I205" i="43"/>
  <c r="I187" i="43"/>
  <c r="S35" i="34"/>
  <c r="E192" i="43"/>
  <c r="O36" i="34"/>
  <c r="O59" i="35" s="1"/>
  <c r="G192" i="43"/>
  <c r="Q36" i="34"/>
  <c r="Q59" i="35" s="1"/>
  <c r="E206" i="43"/>
  <c r="O76" i="34"/>
  <c r="Q63" i="34"/>
  <c r="Q81" i="35" s="1"/>
  <c r="G205" i="43"/>
  <c r="Q99" i="35"/>
  <c r="P62" i="34"/>
  <c r="F200" i="43"/>
  <c r="G199" i="43"/>
  <c r="Q38" i="34"/>
  <c r="W309" i="43"/>
  <c r="W308" i="43"/>
  <c r="W310" i="43"/>
  <c r="E207" i="43"/>
  <c r="O77" i="34"/>
  <c r="H243" i="43" s="1"/>
  <c r="H206" i="43"/>
  <c r="R76" i="34"/>
  <c r="R58" i="35"/>
  <c r="E201" i="43"/>
  <c r="O74" i="34"/>
  <c r="F187" i="43"/>
  <c r="P35" i="34"/>
  <c r="H207" i="43"/>
  <c r="R77" i="34"/>
  <c r="S62" i="34"/>
  <c r="I200" i="43"/>
  <c r="S36" i="47"/>
  <c r="G187" i="43"/>
  <c r="Q35" i="34"/>
  <c r="E182" i="43"/>
  <c r="O34" i="34"/>
  <c r="I204" i="43"/>
  <c r="S39" i="34"/>
  <c r="Y313" i="43"/>
  <c r="Y312" i="43"/>
  <c r="Y311" i="43"/>
  <c r="I192" i="43"/>
  <c r="S36" i="34"/>
  <c r="S59" i="35" s="1"/>
  <c r="F182" i="43"/>
  <c r="P34" i="34"/>
  <c r="E187" i="43"/>
  <c r="O35" i="34"/>
  <c r="F207" i="43"/>
  <c r="P77" i="34"/>
  <c r="P100" i="35" s="1"/>
  <c r="H201" i="43"/>
  <c r="R74" i="34"/>
  <c r="H202" i="43"/>
  <c r="R75" i="34"/>
  <c r="Q62" i="34"/>
  <c r="G200" i="43"/>
  <c r="AC684" i="43" l="1"/>
  <c r="S99" i="35"/>
  <c r="Q79" i="34"/>
  <c r="AC308" i="43"/>
  <c r="AI308" i="43" s="1"/>
  <c r="Q36" i="47"/>
  <c r="P36" i="47"/>
  <c r="S103" i="35"/>
  <c r="S24" i="35" s="1"/>
  <c r="AC309" i="43"/>
  <c r="AI309" i="43" s="1"/>
  <c r="O58" i="35"/>
  <c r="O57" i="35"/>
  <c r="Q22" i="34"/>
  <c r="Q105" i="35"/>
  <c r="Q81" i="34"/>
  <c r="P63" i="34"/>
  <c r="P81" i="35" s="1"/>
  <c r="F205" i="43"/>
  <c r="O62" i="34"/>
  <c r="E200" i="43"/>
  <c r="Q29" i="47"/>
  <c r="Q80" i="35"/>
  <c r="H199" i="43"/>
  <c r="R38" i="34"/>
  <c r="X309" i="43"/>
  <c r="AD309" i="43" s="1"/>
  <c r="AJ309" i="43" s="1"/>
  <c r="X310" i="43"/>
  <c r="AD310" i="43" s="1"/>
  <c r="AJ310" i="43" s="1"/>
  <c r="X308" i="43"/>
  <c r="AD308" i="43" s="1"/>
  <c r="AJ308" i="43" s="1"/>
  <c r="S29" i="47"/>
  <c r="S80" i="35"/>
  <c r="Q100" i="35"/>
  <c r="F204" i="43"/>
  <c r="P39" i="34"/>
  <c r="V312" i="43"/>
  <c r="V311" i="43"/>
  <c r="V313" i="43"/>
  <c r="AC313" i="43" s="1"/>
  <c r="AI313" i="43" s="1"/>
  <c r="H204" i="43"/>
  <c r="R39" i="34"/>
  <c r="X312" i="43"/>
  <c r="AD312" i="43" s="1"/>
  <c r="AJ312" i="43" s="1"/>
  <c r="X313" i="43"/>
  <c r="AD313" i="43" s="1"/>
  <c r="AJ313" i="43" s="1"/>
  <c r="X311" i="43"/>
  <c r="AD311" i="43" s="1"/>
  <c r="AJ311" i="43" s="1"/>
  <c r="S58" i="35"/>
  <c r="P58" i="35"/>
  <c r="AC310" i="43"/>
  <c r="AI310" i="43" s="1"/>
  <c r="Q103" i="35"/>
  <c r="Q24" i="35" s="1"/>
  <c r="P79" i="34"/>
  <c r="S28" i="47"/>
  <c r="S57" i="35"/>
  <c r="S42" i="34"/>
  <c r="R79" i="34"/>
  <c r="R36" i="47"/>
  <c r="R99" i="35"/>
  <c r="P29" i="47"/>
  <c r="P80" i="35"/>
  <c r="P103" i="35"/>
  <c r="P24" i="35" s="1"/>
  <c r="R63" i="34"/>
  <c r="R81" i="35" s="1"/>
  <c r="H205" i="43"/>
  <c r="Q54" i="47"/>
  <c r="Q62" i="35"/>
  <c r="Q41" i="35" s="1"/>
  <c r="AE310" i="43"/>
  <c r="AK310" i="43" s="1"/>
  <c r="R57" i="35"/>
  <c r="E199" i="43"/>
  <c r="O38" i="34"/>
  <c r="U309" i="43"/>
  <c r="AA309" i="43" s="1"/>
  <c r="AG309" i="43" s="1"/>
  <c r="U310" i="43"/>
  <c r="U308" i="43"/>
  <c r="AA308" i="43" s="1"/>
  <c r="AG308" i="43" s="1"/>
  <c r="AE308" i="43"/>
  <c r="AK308" i="43" s="1"/>
  <c r="P61" i="35"/>
  <c r="P53" i="47"/>
  <c r="P28" i="47"/>
  <c r="P57" i="35"/>
  <c r="P42" i="34"/>
  <c r="AE313" i="43"/>
  <c r="AK313" i="43" s="1"/>
  <c r="Q53" i="47"/>
  <c r="Q61" i="35"/>
  <c r="Q40" i="35" s="1"/>
  <c r="AE311" i="43"/>
  <c r="AK311" i="43" s="1"/>
  <c r="S81" i="34"/>
  <c r="S105" i="35"/>
  <c r="S106" i="35" s="1"/>
  <c r="S22" i="34"/>
  <c r="R62" i="34"/>
  <c r="H200" i="43"/>
  <c r="S62" i="35"/>
  <c r="S41" i="35" s="1"/>
  <c r="S54" i="47"/>
  <c r="Q58" i="35"/>
  <c r="G242" i="43"/>
  <c r="J242" i="43" s="1"/>
  <c r="O99" i="35"/>
  <c r="O79" i="34"/>
  <c r="O36" i="47"/>
  <c r="R100" i="35"/>
  <c r="G243" i="43"/>
  <c r="J243" i="43" s="1"/>
  <c r="O100" i="35"/>
  <c r="S61" i="35"/>
  <c r="S53" i="47"/>
  <c r="Q28" i="47"/>
  <c r="Q57" i="35"/>
  <c r="Q42" i="34"/>
  <c r="AC685" i="43" l="1"/>
  <c r="R28" i="47"/>
  <c r="S40" i="35"/>
  <c r="P40" i="35"/>
  <c r="R42" i="34"/>
  <c r="R103" i="35"/>
  <c r="R24" i="35" s="1"/>
  <c r="Y419" i="43"/>
  <c r="Y455" i="43"/>
  <c r="Y374" i="43"/>
  <c r="Y358" i="43"/>
  <c r="Y371" i="43"/>
  <c r="Y485" i="43"/>
  <c r="Y436" i="43"/>
  <c r="Y392" i="43"/>
  <c r="Y348" i="43"/>
  <c r="Y479" i="43"/>
  <c r="Y451" i="43"/>
  <c r="Y350" i="43"/>
  <c r="Y389" i="43"/>
  <c r="Y412" i="43"/>
  <c r="Y450" i="43"/>
  <c r="Y464" i="43"/>
  <c r="Y470" i="43"/>
  <c r="Y339" i="43"/>
  <c r="Y401" i="43"/>
  <c r="O61" i="35"/>
  <c r="O53" i="47"/>
  <c r="AB309" i="43"/>
  <c r="AH309" i="43" s="1"/>
  <c r="O80" i="35"/>
  <c r="Y465" i="43"/>
  <c r="Y366" i="43"/>
  <c r="Y373" i="43"/>
  <c r="Y421" i="43"/>
  <c r="AE309" i="43"/>
  <c r="AK309" i="43" s="1"/>
  <c r="Y364" i="43"/>
  <c r="Y429" i="43"/>
  <c r="Y331" i="43"/>
  <c r="Y459" i="43"/>
  <c r="Y370" i="43"/>
  <c r="Y439" i="43"/>
  <c r="Y345" i="43"/>
  <c r="Y351" i="43"/>
  <c r="Y480" i="43"/>
  <c r="Y361" i="43"/>
  <c r="Y367" i="43"/>
  <c r="Y427" i="43"/>
  <c r="Y418" i="43"/>
  <c r="Y342" i="43"/>
  <c r="Y476" i="43"/>
  <c r="J166" i="43"/>
  <c r="K166" i="43" s="1"/>
  <c r="L166" i="43" s="1"/>
  <c r="N166" i="43" s="1"/>
  <c r="AA310" i="43"/>
  <c r="AG310" i="43" s="1"/>
  <c r="Y397" i="43"/>
  <c r="Y406" i="43"/>
  <c r="Y415" i="43"/>
  <c r="Q33" i="39"/>
  <c r="Q193" i="40"/>
  <c r="P62" i="35"/>
  <c r="P41" i="35" s="1"/>
  <c r="P54" i="47"/>
  <c r="R53" i="47"/>
  <c r="R61" i="35"/>
  <c r="Y448" i="43"/>
  <c r="Y468" i="43"/>
  <c r="Y441" i="43"/>
  <c r="Y340" i="43"/>
  <c r="Y393" i="43"/>
  <c r="Y446" i="43"/>
  <c r="Y390" i="43"/>
  <c r="Y469" i="43"/>
  <c r="Y379" i="43"/>
  <c r="Y395" i="43"/>
  <c r="Y329" i="43"/>
  <c r="AA329" i="43" s="1"/>
  <c r="Y486" i="43"/>
  <c r="Y417" i="43"/>
  <c r="Y413" i="43"/>
  <c r="Y461" i="43"/>
  <c r="Y398" i="43"/>
  <c r="Y359" i="43"/>
  <c r="Y430" i="43"/>
  <c r="Y414" i="43"/>
  <c r="Y335" i="43"/>
  <c r="Y347" i="43"/>
  <c r="Y431" i="43"/>
  <c r="Y334" i="43"/>
  <c r="Y353" i="43"/>
  <c r="AB310" i="43"/>
  <c r="AH310" i="43" s="1"/>
  <c r="R22" i="34"/>
  <c r="R81" i="34"/>
  <c r="R105" i="35"/>
  <c r="Y387" i="43"/>
  <c r="Y473" i="43"/>
  <c r="Q20" i="34"/>
  <c r="Q44" i="34"/>
  <c r="Q67" i="35"/>
  <c r="Y388" i="43"/>
  <c r="Y355" i="43"/>
  <c r="Y386" i="43"/>
  <c r="Y456" i="43"/>
  <c r="Y394" i="43"/>
  <c r="Y385" i="43"/>
  <c r="Y381" i="43"/>
  <c r="Y474" i="43"/>
  <c r="Y463" i="43"/>
  <c r="Y440" i="43"/>
  <c r="Y382" i="43"/>
  <c r="Y482" i="43"/>
  <c r="Y426" i="43"/>
  <c r="Y428" i="43"/>
  <c r="Y472" i="43"/>
  <c r="Y424" i="43"/>
  <c r="AB308" i="43"/>
  <c r="AH308" i="43" s="1"/>
  <c r="S20" i="34"/>
  <c r="S67" i="35"/>
  <c r="S44" i="34"/>
  <c r="R54" i="47"/>
  <c r="R62" i="35"/>
  <c r="R41" i="35" s="1"/>
  <c r="Q106" i="35"/>
  <c r="AC311" i="43"/>
  <c r="AI311" i="43" s="1"/>
  <c r="Y458" i="43"/>
  <c r="Y343" i="43"/>
  <c r="Y454" i="43"/>
  <c r="Y402" i="43"/>
  <c r="Y438" i="43"/>
  <c r="Y444" i="43"/>
  <c r="Q65" i="35"/>
  <c r="Q22" i="35" s="1"/>
  <c r="Q32" i="39"/>
  <c r="Q192" i="40"/>
  <c r="Y376" i="43"/>
  <c r="Y422" i="43"/>
  <c r="O81" i="34"/>
  <c r="O105" i="35"/>
  <c r="O22" i="34"/>
  <c r="R29" i="47"/>
  <c r="R80" i="35"/>
  <c r="AC312" i="43"/>
  <c r="AI312" i="43" s="1"/>
  <c r="Y341" i="43"/>
  <c r="Y365" i="43"/>
  <c r="Y404" i="43"/>
  <c r="Y384" i="43"/>
  <c r="Y481" i="43"/>
  <c r="Y420" i="43"/>
  <c r="Y462" i="43"/>
  <c r="Y477" i="43"/>
  <c r="Y391" i="43"/>
  <c r="Y408" i="43"/>
  <c r="Y433" i="43"/>
  <c r="Y360" i="43"/>
  <c r="Y362" i="43"/>
  <c r="Y396" i="43"/>
  <c r="Y399" i="43"/>
  <c r="Y416" i="43"/>
  <c r="Y330" i="43"/>
  <c r="AA330" i="43" s="1"/>
  <c r="Y357" i="43"/>
  <c r="Y467" i="43"/>
  <c r="R67" i="35"/>
  <c r="R20" i="34"/>
  <c r="R44" i="34"/>
  <c r="S65" i="35"/>
  <c r="S22" i="35" s="1"/>
  <c r="S192" i="40"/>
  <c r="S32" i="39"/>
  <c r="Y442" i="43"/>
  <c r="Y484" i="43"/>
  <c r="P22" i="34"/>
  <c r="P81" i="34"/>
  <c r="P105" i="35"/>
  <c r="P106" i="35" s="1"/>
  <c r="Y380" i="43"/>
  <c r="O103" i="35"/>
  <c r="O24" i="35" s="1"/>
  <c r="Y460" i="43"/>
  <c r="Y410" i="43"/>
  <c r="Y344" i="43"/>
  <c r="Y471" i="43"/>
  <c r="Y437" i="43"/>
  <c r="Y383" i="43"/>
  <c r="Y352" i="43"/>
  <c r="Y478" i="43"/>
  <c r="Y346" i="43"/>
  <c r="Y423" i="43"/>
  <c r="Y332" i="43"/>
  <c r="Y349" i="43"/>
  <c r="Y368" i="43"/>
  <c r="Y443" i="43"/>
  <c r="Y409" i="43"/>
  <c r="Y333" i="43"/>
  <c r="Y378" i="43"/>
  <c r="Y403" i="43"/>
  <c r="Y447" i="43"/>
  <c r="Y449" i="43"/>
  <c r="Y369" i="43"/>
  <c r="AE312" i="43"/>
  <c r="AK312" i="43" s="1"/>
  <c r="Y411" i="43"/>
  <c r="Y354" i="43"/>
  <c r="S33" i="39"/>
  <c r="S193" i="40"/>
  <c r="Y435" i="43"/>
  <c r="P20" i="34"/>
  <c r="P44" i="34"/>
  <c r="P67" i="35"/>
  <c r="P32" i="39"/>
  <c r="P192" i="40"/>
  <c r="Y457" i="43"/>
  <c r="Y483" i="43"/>
  <c r="Y336" i="43"/>
  <c r="Y407" i="43"/>
  <c r="Y338" i="43"/>
  <c r="Y445" i="43"/>
  <c r="Y434" i="43"/>
  <c r="Y425" i="43"/>
  <c r="Y377" i="43"/>
  <c r="Y432" i="43"/>
  <c r="Y475" i="43"/>
  <c r="Y400" i="43"/>
  <c r="Y452" i="43"/>
  <c r="Y337" i="43"/>
  <c r="Y375" i="43"/>
  <c r="Y405" i="43"/>
  <c r="Y363" i="43"/>
  <c r="Y466" i="43"/>
  <c r="Y356" i="43"/>
  <c r="Y372" i="43"/>
  <c r="Y453" i="43"/>
  <c r="AC686" i="43" l="1"/>
  <c r="R106" i="35"/>
  <c r="R65" i="35"/>
  <c r="R22" i="35" s="1"/>
  <c r="AA363" i="43"/>
  <c r="AA475" i="43"/>
  <c r="AA362" i="43"/>
  <c r="AA332" i="43"/>
  <c r="P65" i="35"/>
  <c r="P22" i="35" s="1"/>
  <c r="AA335" i="43"/>
  <c r="AA333" i="43"/>
  <c r="P193" i="40"/>
  <c r="P33" i="39"/>
  <c r="AA400" i="43"/>
  <c r="AA407" i="43"/>
  <c r="P64" i="39"/>
  <c r="P62" i="39"/>
  <c r="P65" i="39"/>
  <c r="P63" i="39"/>
  <c r="AA443" i="43"/>
  <c r="AA478" i="43"/>
  <c r="AA460" i="43"/>
  <c r="AA416" i="43"/>
  <c r="AA477" i="43"/>
  <c r="AA341" i="43"/>
  <c r="AA422" i="43"/>
  <c r="AA438" i="43"/>
  <c r="S68" i="35"/>
  <c r="AA426" i="43"/>
  <c r="Q68" i="35"/>
  <c r="AA347" i="43"/>
  <c r="AA340" i="43"/>
  <c r="AA397" i="43"/>
  <c r="AA427" i="43"/>
  <c r="AA439" i="43"/>
  <c r="AA331" i="43"/>
  <c r="AD332" i="43" s="1"/>
  <c r="AA373" i="43"/>
  <c r="AA419" i="43"/>
  <c r="AA464" i="43"/>
  <c r="AA479" i="43"/>
  <c r="AA371" i="43"/>
  <c r="AA368" i="43"/>
  <c r="AA482" i="43"/>
  <c r="AA441" i="43"/>
  <c r="AA370" i="43"/>
  <c r="AA348" i="43"/>
  <c r="AA358" i="43"/>
  <c r="AA453" i="43"/>
  <c r="AA405" i="43"/>
  <c r="AA432" i="43"/>
  <c r="AA434" i="43"/>
  <c r="AA336" i="43"/>
  <c r="AA411" i="43"/>
  <c r="AA349" i="43"/>
  <c r="AA471" i="43"/>
  <c r="S65" i="39"/>
  <c r="S63" i="39"/>
  <c r="S64" i="39"/>
  <c r="S62" i="39"/>
  <c r="AA360" i="43"/>
  <c r="AA384" i="43"/>
  <c r="Q120" i="40"/>
  <c r="Q203" i="40"/>
  <c r="AA454" i="43"/>
  <c r="AA474" i="43"/>
  <c r="AA398" i="43"/>
  <c r="AA468" i="43"/>
  <c r="Q121" i="40"/>
  <c r="Q204" i="40"/>
  <c r="AA401" i="43"/>
  <c r="AA412" i="43"/>
  <c r="AA372" i="43"/>
  <c r="AA375" i="43"/>
  <c r="AA445" i="43"/>
  <c r="AA378" i="43"/>
  <c r="AA380" i="43"/>
  <c r="AA442" i="43"/>
  <c r="S203" i="40"/>
  <c r="S120" i="40"/>
  <c r="AA433" i="43"/>
  <c r="Q64" i="39"/>
  <c r="Q63" i="39"/>
  <c r="Q65" i="39"/>
  <c r="Q62" i="39"/>
  <c r="AA381" i="43"/>
  <c r="AA461" i="43"/>
  <c r="AA448" i="43"/>
  <c r="Q66" i="39"/>
  <c r="Q67" i="39"/>
  <c r="Q68" i="39"/>
  <c r="Q69" i="39"/>
  <c r="AA476" i="43"/>
  <c r="AA351" i="43"/>
  <c r="AA429" i="43"/>
  <c r="AA339" i="43"/>
  <c r="AA376" i="43"/>
  <c r="AA356" i="43"/>
  <c r="AA435" i="43"/>
  <c r="AA369" i="43"/>
  <c r="AA423" i="43"/>
  <c r="AA352" i="43"/>
  <c r="AA344" i="43"/>
  <c r="AA399" i="43"/>
  <c r="AA408" i="43"/>
  <c r="AA462" i="43"/>
  <c r="AA404" i="43"/>
  <c r="AA382" i="43"/>
  <c r="AA385" i="43"/>
  <c r="AA388" i="43"/>
  <c r="AA414" i="43"/>
  <c r="AA413" i="43"/>
  <c r="AA469" i="43"/>
  <c r="AA367" i="43"/>
  <c r="AA364" i="43"/>
  <c r="AA366" i="43"/>
  <c r="AA470" i="43"/>
  <c r="AA374" i="43"/>
  <c r="AA456" i="43"/>
  <c r="AA466" i="43"/>
  <c r="AA377" i="43"/>
  <c r="AA338" i="43"/>
  <c r="AA483" i="43"/>
  <c r="S121" i="40"/>
  <c r="S204" i="40"/>
  <c r="AA449" i="43"/>
  <c r="AA409" i="43"/>
  <c r="AA383" i="43"/>
  <c r="AA467" i="43"/>
  <c r="AA396" i="43"/>
  <c r="AA420" i="43"/>
  <c r="O106" i="35"/>
  <c r="A106" i="35" s="1"/>
  <c r="AA343" i="43"/>
  <c r="R193" i="40"/>
  <c r="R33" i="39"/>
  <c r="AA424" i="43"/>
  <c r="AA440" i="43"/>
  <c r="AA394" i="43"/>
  <c r="AA473" i="43"/>
  <c r="AA353" i="43"/>
  <c r="AA430" i="43"/>
  <c r="AA417" i="43"/>
  <c r="AD329" i="43"/>
  <c r="AD331" i="43"/>
  <c r="AA390" i="43"/>
  <c r="AA361" i="43"/>
  <c r="AA389" i="43"/>
  <c r="AA392" i="43"/>
  <c r="AA455" i="43"/>
  <c r="AA484" i="43"/>
  <c r="AA425" i="43"/>
  <c r="AA457" i="43"/>
  <c r="S67" i="39"/>
  <c r="S66" i="39"/>
  <c r="S69" i="39"/>
  <c r="S68" i="39"/>
  <c r="AA447" i="43"/>
  <c r="AA357" i="43"/>
  <c r="A81" i="34"/>
  <c r="AA458" i="43"/>
  <c r="AA472" i="43"/>
  <c r="AA463" i="43"/>
  <c r="AA386" i="43"/>
  <c r="AA387" i="43"/>
  <c r="AA334" i="43"/>
  <c r="AA359" i="43"/>
  <c r="AA395" i="43"/>
  <c r="AA446" i="43"/>
  <c r="R40" i="35"/>
  <c r="AA415" i="43"/>
  <c r="AA342" i="43"/>
  <c r="AA480" i="43"/>
  <c r="AA459" i="43"/>
  <c r="AA350" i="43"/>
  <c r="AA436" i="43"/>
  <c r="AA402" i="43"/>
  <c r="AA486" i="43"/>
  <c r="AA450" i="43"/>
  <c r="AA337" i="43"/>
  <c r="AA452" i="43"/>
  <c r="P203" i="40"/>
  <c r="P120" i="40"/>
  <c r="AA354" i="43"/>
  <c r="AA403" i="43"/>
  <c r="AA346" i="43"/>
  <c r="AA437" i="43"/>
  <c r="AA410" i="43"/>
  <c r="AA391" i="43"/>
  <c r="AA481" i="43"/>
  <c r="AA365" i="43"/>
  <c r="AA444" i="43"/>
  <c r="AA428" i="43"/>
  <c r="AA355" i="43"/>
  <c r="AA431" i="43"/>
  <c r="AA379" i="43"/>
  <c r="AA393" i="43"/>
  <c r="AA406" i="43"/>
  <c r="AA418" i="43"/>
  <c r="AA345" i="43"/>
  <c r="AA421" i="43"/>
  <c r="AA465" i="43"/>
  <c r="O40" i="35"/>
  <c r="AA451" i="43"/>
  <c r="AA485" i="43"/>
  <c r="AC687" i="43" l="1"/>
  <c r="AD330" i="43"/>
  <c r="AD333" i="43"/>
  <c r="AD334" i="43"/>
  <c r="R68" i="35"/>
  <c r="P68" i="35"/>
  <c r="AD363" i="43"/>
  <c r="AD433" i="43"/>
  <c r="AD426" i="43"/>
  <c r="AD343" i="43"/>
  <c r="AD485" i="43"/>
  <c r="AD395" i="43"/>
  <c r="AD366" i="43"/>
  <c r="AD462" i="43"/>
  <c r="AD398" i="43"/>
  <c r="R192" i="40"/>
  <c r="R32" i="39"/>
  <c r="AD446" i="43"/>
  <c r="AD391" i="43"/>
  <c r="AD349" i="43"/>
  <c r="AD469" i="43"/>
  <c r="AD434" i="43"/>
  <c r="AD456" i="43"/>
  <c r="AD406" i="43"/>
  <c r="AD348" i="43"/>
  <c r="AD383" i="43"/>
  <c r="AD467" i="43"/>
  <c r="AD367" i="43"/>
  <c r="AD437" i="43"/>
  <c r="AD394" i="43"/>
  <c r="AD336" i="43"/>
  <c r="AD373" i="43"/>
  <c r="AD449" i="43"/>
  <c r="AD381" i="43"/>
  <c r="AD390" i="43"/>
  <c r="AD419" i="43"/>
  <c r="R66" i="39"/>
  <c r="R69" i="39"/>
  <c r="R67" i="39"/>
  <c r="R68" i="39"/>
  <c r="AD482" i="43"/>
  <c r="AD473" i="43"/>
  <c r="AD384" i="43"/>
  <c r="AD378" i="43"/>
  <c r="AD464" i="43"/>
  <c r="AD350" i="43"/>
  <c r="AD405" i="43"/>
  <c r="AD420" i="43"/>
  <c r="AD338" i="43"/>
  <c r="AD444" i="43"/>
  <c r="AD370" i="43"/>
  <c r="AD392" i="43"/>
  <c r="AD342" i="43"/>
  <c r="AD424" i="43"/>
  <c r="AD396" i="43"/>
  <c r="AD403" i="43"/>
  <c r="AD360" i="43"/>
  <c r="AD438" i="43"/>
  <c r="AD339" i="43"/>
  <c r="AD411" i="43"/>
  <c r="AD455" i="43"/>
  <c r="AD413" i="43"/>
  <c r="AD435" i="43"/>
  <c r="AD359" i="43"/>
  <c r="AD409" i="43"/>
  <c r="AD387" i="43"/>
  <c r="AD407" i="43"/>
  <c r="AD356" i="43"/>
  <c r="AD386" i="43"/>
  <c r="AD371" i="43"/>
  <c r="AD353" i="43"/>
  <c r="AD486" i="43"/>
  <c r="AD431" i="43"/>
  <c r="AD399" i="43"/>
  <c r="AD421" i="43"/>
  <c r="AD445" i="43"/>
  <c r="AD453" i="43"/>
  <c r="AD474" i="43"/>
  <c r="AD432" i="43"/>
  <c r="AD389" i="43"/>
  <c r="AD410" i="43"/>
  <c r="AD368" i="43"/>
  <c r="AD470" i="43"/>
  <c r="AD364" i="43"/>
  <c r="AD385" i="43"/>
  <c r="AD484" i="43"/>
  <c r="R204" i="40"/>
  <c r="R121" i="40"/>
  <c r="AD429" i="43"/>
  <c r="AD451" i="43"/>
  <c r="AD465" i="43"/>
  <c r="AD415" i="43"/>
  <c r="AD417" i="43"/>
  <c r="AD382" i="43"/>
  <c r="AD347" i="43"/>
  <c r="AD351" i="43"/>
  <c r="AD443" i="43"/>
  <c r="AD457" i="43"/>
  <c r="AD430" i="43"/>
  <c r="AD372" i="43"/>
  <c r="AD452" i="43"/>
  <c r="AD461" i="43"/>
  <c r="AD425" i="43"/>
  <c r="AD439" i="43"/>
  <c r="AD397" i="43"/>
  <c r="AD442" i="43"/>
  <c r="AD345" i="43"/>
  <c r="AD414" i="43"/>
  <c r="AD475" i="43"/>
  <c r="AD480" i="43"/>
  <c r="AD340" i="43"/>
  <c r="AD376" i="43"/>
  <c r="AD418" i="43"/>
  <c r="AD352" i="43"/>
  <c r="AD472" i="43"/>
  <c r="AD422" i="43"/>
  <c r="AD476" i="43"/>
  <c r="AD335" i="43"/>
  <c r="AD357" i="43"/>
  <c r="AD416" i="43"/>
  <c r="AD454" i="43"/>
  <c r="AD483" i="43"/>
  <c r="AD481" i="43"/>
  <c r="AD471" i="43"/>
  <c r="AD374" i="43"/>
  <c r="AD450" i="43"/>
  <c r="AD463" i="43"/>
  <c r="AD412" i="43"/>
  <c r="AD478" i="43"/>
  <c r="AD459" i="43"/>
  <c r="AD460" i="43"/>
  <c r="AD355" i="43"/>
  <c r="AD428" i="43"/>
  <c r="AD369" i="43"/>
  <c r="AD447" i="43"/>
  <c r="AD341" i="43"/>
  <c r="AD337" i="43"/>
  <c r="AD404" i="43"/>
  <c r="AD458" i="43"/>
  <c r="AD436" i="43"/>
  <c r="AD379" i="43"/>
  <c r="AD393" i="43"/>
  <c r="AD466" i="43"/>
  <c r="AD380" i="43"/>
  <c r="AD448" i="43"/>
  <c r="AD401" i="43"/>
  <c r="AD468" i="43"/>
  <c r="AD346" i="43"/>
  <c r="AD479" i="43"/>
  <c r="P67" i="39"/>
  <c r="P66" i="39"/>
  <c r="P68" i="39"/>
  <c r="P69" i="39"/>
  <c r="AD402" i="43"/>
  <c r="M242" i="43"/>
  <c r="K242" i="43" s="1"/>
  <c r="O192" i="40"/>
  <c r="O203" i="40" s="1"/>
  <c r="O32" i="39"/>
  <c r="AD362" i="43"/>
  <c r="AD388" i="43"/>
  <c r="AD400" i="43"/>
  <c r="AD427" i="43"/>
  <c r="AD377" i="43"/>
  <c r="AD441" i="43"/>
  <c r="AD354" i="43"/>
  <c r="AD423" i="43"/>
  <c r="AD365" i="43"/>
  <c r="AD408" i="43"/>
  <c r="AD358" i="43"/>
  <c r="AD344" i="43"/>
  <c r="AD477" i="43"/>
  <c r="AD440" i="43"/>
  <c r="AD361" i="43"/>
  <c r="AD375" i="43"/>
  <c r="P121" i="40"/>
  <c r="P204" i="40"/>
  <c r="AC688" i="43" l="1"/>
  <c r="R64" i="39"/>
  <c r="R63" i="39"/>
  <c r="R65" i="39"/>
  <c r="R62" i="39"/>
  <c r="R120" i="40"/>
  <c r="R203" i="40"/>
  <c r="A203" i="40" s="1"/>
  <c r="O65" i="39"/>
  <c r="O62" i="39"/>
  <c r="O64" i="39"/>
  <c r="O63" i="39"/>
  <c r="AC689" i="43" l="1"/>
  <c r="AC690" i="43" l="1"/>
  <c r="O63" i="34"/>
  <c r="E205" i="43"/>
  <c r="E204" i="43"/>
  <c r="O39" i="34"/>
  <c r="U312" i="43"/>
  <c r="U311" i="43"/>
  <c r="U313" i="43"/>
  <c r="AC691" i="43" l="1"/>
  <c r="Y771" i="43"/>
  <c r="Y773" i="43"/>
  <c r="Y772" i="43"/>
  <c r="Y776" i="43"/>
  <c r="Y775" i="43"/>
  <c r="Y774" i="43"/>
  <c r="Y540" i="43"/>
  <c r="Y541" i="43"/>
  <c r="Y542" i="43"/>
  <c r="Y537" i="43"/>
  <c r="Y538" i="43"/>
  <c r="Y543" i="43"/>
  <c r="Y539" i="43"/>
  <c r="Y515" i="43"/>
  <c r="Y744" i="43"/>
  <c r="Y733" i="43"/>
  <c r="Y754" i="43"/>
  <c r="Y736" i="43"/>
  <c r="Y502" i="43"/>
  <c r="Y758" i="43"/>
  <c r="Y755" i="43"/>
  <c r="Y508" i="43"/>
  <c r="Y513" i="43"/>
  <c r="Y745" i="43"/>
  <c r="Y519" i="43"/>
  <c r="Y752" i="43"/>
  <c r="Y761" i="43"/>
  <c r="Y735" i="43"/>
  <c r="Y535" i="43"/>
  <c r="AA311" i="43"/>
  <c r="AG311" i="43" s="1"/>
  <c r="AB311" i="43"/>
  <c r="AH311" i="43" s="1"/>
  <c r="Y749" i="43"/>
  <c r="Y522" i="43"/>
  <c r="Y769" i="43"/>
  <c r="Y729" i="43"/>
  <c r="Y698" i="43"/>
  <c r="Y779" i="43"/>
  <c r="Y785" i="43"/>
  <c r="Y588" i="43"/>
  <c r="Y630" i="43"/>
  <c r="Y692" i="43"/>
  <c r="Y723" i="43"/>
  <c r="Y705" i="43"/>
  <c r="Y576" i="43"/>
  <c r="Y675" i="43"/>
  <c r="Y662" i="43"/>
  <c r="Y645" i="43"/>
  <c r="Y676" i="43"/>
  <c r="Y593" i="43"/>
  <c r="Y622" i="43"/>
  <c r="Y584" i="43"/>
  <c r="Y707" i="43"/>
  <c r="Y679" i="43"/>
  <c r="Y575" i="43"/>
  <c r="Y655" i="43"/>
  <c r="Y696" i="43"/>
  <c r="Y637" i="43"/>
  <c r="Y789" i="43"/>
  <c r="Y781" i="43"/>
  <c r="Y712" i="43"/>
  <c r="Y618" i="43"/>
  <c r="Y604" i="43"/>
  <c r="Y573" i="43"/>
  <c r="Y615" i="43"/>
  <c r="Y608" i="43"/>
  <c r="Y605" i="43"/>
  <c r="Y609" i="43"/>
  <c r="Y726" i="43"/>
  <c r="Y589" i="43"/>
  <c r="Y595" i="43"/>
  <c r="Y727" i="43"/>
  <c r="Y611" i="43"/>
  <c r="Y700" i="43"/>
  <c r="Y585" i="43"/>
  <c r="Y710" i="43"/>
  <c r="Y653" i="43"/>
  <c r="Y719" i="43"/>
  <c r="Y619" i="43"/>
  <c r="Y670" i="43"/>
  <c r="Y634" i="43"/>
  <c r="Y617" i="43"/>
  <c r="Y571" i="43"/>
  <c r="AA571" i="43" s="1"/>
  <c r="Y628" i="43"/>
  <c r="Y612" i="43"/>
  <c r="Y677" i="43"/>
  <c r="Y686" i="43"/>
  <c r="Y633" i="43"/>
  <c r="Y621" i="43"/>
  <c r="Y701" i="43"/>
  <c r="Y643" i="43"/>
  <c r="Y693" i="43"/>
  <c r="Y671" i="43"/>
  <c r="Y641" i="43"/>
  <c r="Y648" i="43"/>
  <c r="Y650" i="43"/>
  <c r="Y638" i="43"/>
  <c r="Y715" i="43"/>
  <c r="Y649" i="43"/>
  <c r="Y722" i="43"/>
  <c r="Y600" i="43"/>
  <c r="Y598" i="43"/>
  <c r="Y703" i="43"/>
  <c r="Y783" i="43"/>
  <c r="Y597" i="43"/>
  <c r="Y651" i="43"/>
  <c r="Y614" i="43"/>
  <c r="Y592" i="43"/>
  <c r="Y666" i="43"/>
  <c r="Y689" i="43"/>
  <c r="Y678" i="43"/>
  <c r="Y583" i="43"/>
  <c r="Y635" i="43"/>
  <c r="Y646" i="43"/>
  <c r="Y601" i="43"/>
  <c r="Y624" i="43"/>
  <c r="Y647" i="43"/>
  <c r="Y580" i="43"/>
  <c r="Y690" i="43"/>
  <c r="Y626" i="43"/>
  <c r="Y685" i="43"/>
  <c r="Y660" i="43"/>
  <c r="Y652" i="43"/>
  <c r="Y654" i="43"/>
  <c r="Y590" i="43"/>
  <c r="Y684" i="43"/>
  <c r="Y586" i="43"/>
  <c r="Y629" i="43"/>
  <c r="Y790" i="43"/>
  <c r="Y782" i="43"/>
  <c r="Y668" i="43"/>
  <c r="Y640" i="43"/>
  <c r="Y661" i="43"/>
  <c r="Y680" i="43"/>
  <c r="Y625" i="43"/>
  <c r="Y602" i="43"/>
  <c r="Y724" i="43"/>
  <c r="Y578" i="43"/>
  <c r="Y720" i="43"/>
  <c r="Y639" i="43"/>
  <c r="Y607" i="43"/>
  <c r="Y631" i="43"/>
  <c r="Y596" i="43"/>
  <c r="Y582" i="43"/>
  <c r="Y691" i="43"/>
  <c r="Y667" i="43"/>
  <c r="Y659" i="43"/>
  <c r="Y623" i="43"/>
  <c r="Y572" i="43"/>
  <c r="Y673" i="43"/>
  <c r="Y610" i="43"/>
  <c r="Y687" i="43"/>
  <c r="Y594" i="43"/>
  <c r="Y718" i="43"/>
  <c r="Y728" i="43"/>
  <c r="Y788" i="43"/>
  <c r="Y708" i="43"/>
  <c r="Y577" i="43"/>
  <c r="Y706" i="43"/>
  <c r="Y711" i="43"/>
  <c r="Y778" i="43"/>
  <c r="Y780" i="43"/>
  <c r="Y663" i="43"/>
  <c r="Y697" i="43"/>
  <c r="Y658" i="43"/>
  <c r="Y603" i="43"/>
  <c r="Y627" i="43"/>
  <c r="Y699" i="43"/>
  <c r="Y721" i="43"/>
  <c r="Y665" i="43"/>
  <c r="Y695" i="43"/>
  <c r="Y717" i="43"/>
  <c r="Y704" i="43"/>
  <c r="Y709" i="43"/>
  <c r="Y581" i="43"/>
  <c r="Y632" i="43"/>
  <c r="Y616" i="43"/>
  <c r="Y591" i="43"/>
  <c r="Y606" i="43"/>
  <c r="Y672" i="43"/>
  <c r="Y656" i="43"/>
  <c r="Y644" i="43"/>
  <c r="Y702" i="43"/>
  <c r="Y787" i="43"/>
  <c r="Y784" i="43"/>
  <c r="Y786" i="43"/>
  <c r="Y683" i="43"/>
  <c r="Y636" i="43"/>
  <c r="Y682" i="43"/>
  <c r="Y642" i="43"/>
  <c r="Y694" i="43"/>
  <c r="Y725" i="43"/>
  <c r="Y599" i="43"/>
  <c r="Y674" i="43"/>
  <c r="Y681" i="43"/>
  <c r="Y657" i="43"/>
  <c r="Y664" i="43"/>
  <c r="Y714" i="43"/>
  <c r="Y716" i="43"/>
  <c r="Y713" i="43"/>
  <c r="Y688" i="43"/>
  <c r="Y574" i="43"/>
  <c r="Y620" i="43"/>
  <c r="Y613" i="43"/>
  <c r="Y587" i="43"/>
  <c r="Y669" i="43"/>
  <c r="Y579" i="43"/>
  <c r="Y530" i="43"/>
  <c r="Y527" i="43"/>
  <c r="Y514" i="43"/>
  <c r="Y777" i="43"/>
  <c r="Y504" i="43"/>
  <c r="Y526" i="43"/>
  <c r="Y760" i="43"/>
  <c r="Y500" i="43"/>
  <c r="Y524" i="43"/>
  <c r="Y767" i="43"/>
  <c r="Y516" i="43"/>
  <c r="Y751" i="43"/>
  <c r="Y528" i="43"/>
  <c r="Y734" i="43"/>
  <c r="Y521" i="43"/>
  <c r="Y520" i="43"/>
  <c r="Y740" i="43"/>
  <c r="Y507" i="43"/>
  <c r="AA313" i="43"/>
  <c r="AG313" i="43" s="1"/>
  <c r="AB313" i="43"/>
  <c r="AH313" i="43" s="1"/>
  <c r="Y747" i="43"/>
  <c r="Y532" i="43"/>
  <c r="Y506" i="43"/>
  <c r="Y746" i="43"/>
  <c r="Y509" i="43"/>
  <c r="Y759" i="43"/>
  <c r="Y756" i="43"/>
  <c r="O62" i="35"/>
  <c r="O54" i="47"/>
  <c r="O28" i="47"/>
  <c r="O42" i="34"/>
  <c r="Y764" i="43"/>
  <c r="Y732" i="43"/>
  <c r="Y536" i="43"/>
  <c r="Y762" i="43"/>
  <c r="Y512" i="43"/>
  <c r="Y498" i="43"/>
  <c r="Y757" i="43"/>
  <c r="Y499" i="43"/>
  <c r="Y523" i="43"/>
  <c r="Y770" i="43"/>
  <c r="Y531" i="43"/>
  <c r="AA312" i="43"/>
  <c r="AG312" i="43" s="1"/>
  <c r="J167" i="43"/>
  <c r="K167" i="43" s="1"/>
  <c r="L167" i="43" s="1"/>
  <c r="N167" i="43" s="1"/>
  <c r="AB312" i="43"/>
  <c r="AH312" i="43" s="1"/>
  <c r="Y750" i="43"/>
  <c r="Y517" i="43"/>
  <c r="Y739" i="43"/>
  <c r="Y497" i="43"/>
  <c r="Y529" i="43"/>
  <c r="Y525" i="43"/>
  <c r="Y737" i="43"/>
  <c r="Y501" i="43"/>
  <c r="Y743" i="43"/>
  <c r="Y765" i="43"/>
  <c r="Y533" i="43"/>
  <c r="Y730" i="43"/>
  <c r="Y495" i="43"/>
  <c r="AA495" i="43" s="1"/>
  <c r="Y503" i="43"/>
  <c r="Y753" i="43"/>
  <c r="Y741" i="43"/>
  <c r="Y496" i="43"/>
  <c r="Y768" i="43"/>
  <c r="Y518" i="43"/>
  <c r="Y511" i="43"/>
  <c r="Y731" i="43"/>
  <c r="Y505" i="43"/>
  <c r="Y738" i="43"/>
  <c r="Y742" i="43"/>
  <c r="Y534" i="43"/>
  <c r="Y766" i="43"/>
  <c r="Y748" i="43"/>
  <c r="Y510" i="43"/>
  <c r="Y763" i="43"/>
  <c r="O81" i="35"/>
  <c r="O29" i="47"/>
  <c r="AD572" i="43" l="1"/>
  <c r="AC692" i="43"/>
  <c r="AA774" i="43"/>
  <c r="AA775" i="43"/>
  <c r="AA776" i="43"/>
  <c r="AA772" i="43"/>
  <c r="AA773" i="43"/>
  <c r="AA771" i="43"/>
  <c r="AA539" i="43"/>
  <c r="AA543" i="43"/>
  <c r="AA538" i="43"/>
  <c r="AA537" i="43"/>
  <c r="AA542" i="43"/>
  <c r="AA541" i="43"/>
  <c r="AA540" i="43"/>
  <c r="AA496" i="43"/>
  <c r="AD496" i="43" s="1"/>
  <c r="AA572" i="43"/>
  <c r="AD788" i="43" s="1"/>
  <c r="AA734" i="43"/>
  <c r="AA587" i="43"/>
  <c r="AA742" i="43"/>
  <c r="AA741" i="43"/>
  <c r="AA501" i="43"/>
  <c r="AA498" i="43"/>
  <c r="AA497" i="43"/>
  <c r="AD499" i="43" s="1"/>
  <c r="AA532" i="43"/>
  <c r="AA658" i="43"/>
  <c r="AA600" i="43"/>
  <c r="AA712" i="43"/>
  <c r="AA748" i="43"/>
  <c r="AA533" i="43"/>
  <c r="AA740" i="43"/>
  <c r="AA765" i="43"/>
  <c r="AA534" i="43"/>
  <c r="AA743" i="43"/>
  <c r="AA750" i="43"/>
  <c r="AA757" i="43"/>
  <c r="O67" i="35"/>
  <c r="O20" i="34"/>
  <c r="O44" i="34"/>
  <c r="A44" i="34" s="1"/>
  <c r="AA506" i="43"/>
  <c r="AA521" i="43"/>
  <c r="AA760" i="43"/>
  <c r="AA669" i="43"/>
  <c r="AA714" i="43"/>
  <c r="AA642" i="43"/>
  <c r="AA644" i="43"/>
  <c r="AA709" i="43"/>
  <c r="AA603" i="43"/>
  <c r="AA577" i="43"/>
  <c r="AA673" i="43"/>
  <c r="AA631" i="43"/>
  <c r="AA680" i="43"/>
  <c r="AA684" i="43"/>
  <c r="AA580" i="43"/>
  <c r="AA689" i="43"/>
  <c r="AA598" i="43"/>
  <c r="AA641" i="43"/>
  <c r="AA677" i="43"/>
  <c r="AA719" i="43"/>
  <c r="AA589" i="43"/>
  <c r="AA618" i="43"/>
  <c r="AA679" i="43"/>
  <c r="AA675" i="43"/>
  <c r="AA779" i="43"/>
  <c r="AA508" i="43"/>
  <c r="AA682" i="43"/>
  <c r="AA607" i="43"/>
  <c r="AA612" i="43"/>
  <c r="AA755" i="43"/>
  <c r="AA753" i="43"/>
  <c r="AA512" i="43"/>
  <c r="AA747" i="43"/>
  <c r="AA528" i="43"/>
  <c r="AA504" i="43"/>
  <c r="AA613" i="43"/>
  <c r="AA657" i="43"/>
  <c r="AA636" i="43"/>
  <c r="AA672" i="43"/>
  <c r="AA717" i="43"/>
  <c r="AA697" i="43"/>
  <c r="AA788" i="43"/>
  <c r="AA623" i="43"/>
  <c r="AA639" i="43"/>
  <c r="AA640" i="43"/>
  <c r="AA654" i="43"/>
  <c r="AA624" i="43"/>
  <c r="AA592" i="43"/>
  <c r="AA722" i="43"/>
  <c r="AA693" i="43"/>
  <c r="AA628" i="43"/>
  <c r="AA710" i="43"/>
  <c r="AA609" i="43"/>
  <c r="AA781" i="43"/>
  <c r="AA584" i="43"/>
  <c r="AA705" i="43"/>
  <c r="AA729" i="43"/>
  <c r="AA735" i="43"/>
  <c r="AA758" i="43"/>
  <c r="AA661" i="43"/>
  <c r="AA653" i="43"/>
  <c r="AA535" i="43"/>
  <c r="AA738" i="43"/>
  <c r="AA503" i="43"/>
  <c r="AA762" i="43"/>
  <c r="AA751" i="43"/>
  <c r="AA777" i="43"/>
  <c r="AA620" i="43"/>
  <c r="AA681" i="43"/>
  <c r="AA683" i="43"/>
  <c r="AA606" i="43"/>
  <c r="AA695" i="43"/>
  <c r="AA663" i="43"/>
  <c r="AA728" i="43"/>
  <c r="AA659" i="43"/>
  <c r="AA720" i="43"/>
  <c r="AA668" i="43"/>
  <c r="AA652" i="43"/>
  <c r="AA601" i="43"/>
  <c r="AA614" i="43"/>
  <c r="AA649" i="43"/>
  <c r="AA643" i="43"/>
  <c r="AA585" i="43"/>
  <c r="AA605" i="43"/>
  <c r="AA789" i="43"/>
  <c r="AA622" i="43"/>
  <c r="AA723" i="43"/>
  <c r="AA761" i="43"/>
  <c r="AA502" i="43"/>
  <c r="AA664" i="43"/>
  <c r="AA671" i="43"/>
  <c r="AA698" i="43"/>
  <c r="AA737" i="43"/>
  <c r="AA505" i="43"/>
  <c r="AA525" i="43"/>
  <c r="O41" i="35"/>
  <c r="O65" i="35"/>
  <c r="O22" i="35" s="1"/>
  <c r="AA763" i="43"/>
  <c r="AA731" i="43"/>
  <c r="AD495" i="43"/>
  <c r="AA529" i="43"/>
  <c r="AA531" i="43"/>
  <c r="AA536" i="43"/>
  <c r="AA756" i="43"/>
  <c r="AA516" i="43"/>
  <c r="AA514" i="43"/>
  <c r="AA574" i="43"/>
  <c r="AA674" i="43"/>
  <c r="AA786" i="43"/>
  <c r="AA591" i="43"/>
  <c r="AA665" i="43"/>
  <c r="AA780" i="43"/>
  <c r="AA718" i="43"/>
  <c r="AA667" i="43"/>
  <c r="AA578" i="43"/>
  <c r="AA782" i="43"/>
  <c r="AA660" i="43"/>
  <c r="AA646" i="43"/>
  <c r="AA651" i="43"/>
  <c r="AA715" i="43"/>
  <c r="AA701" i="43"/>
  <c r="AA617" i="43"/>
  <c r="AA700" i="43"/>
  <c r="AA608" i="43"/>
  <c r="AA637" i="43"/>
  <c r="AA593" i="43"/>
  <c r="AA692" i="43"/>
  <c r="AA769" i="43"/>
  <c r="AA752" i="43"/>
  <c r="AA736" i="43"/>
  <c r="AA656" i="43"/>
  <c r="AA647" i="43"/>
  <c r="AA726" i="43"/>
  <c r="AA510" i="43"/>
  <c r="AA770" i="43"/>
  <c r="AA732" i="43"/>
  <c r="AA759" i="43"/>
  <c r="AA507" i="43"/>
  <c r="AA767" i="43"/>
  <c r="AA527" i="43"/>
  <c r="AA688" i="43"/>
  <c r="AA599" i="43"/>
  <c r="AA784" i="43"/>
  <c r="AA616" i="43"/>
  <c r="AA721" i="43"/>
  <c r="AA778" i="43"/>
  <c r="AA594" i="43"/>
  <c r="AA691" i="43"/>
  <c r="AA724" i="43"/>
  <c r="AA790" i="43"/>
  <c r="AA685" i="43"/>
  <c r="AA635" i="43"/>
  <c r="AA597" i="43"/>
  <c r="AA638" i="43"/>
  <c r="AA621" i="43"/>
  <c r="AA634" i="43"/>
  <c r="AA611" i="43"/>
  <c r="AA615" i="43"/>
  <c r="AA696" i="43"/>
  <c r="AA676" i="43"/>
  <c r="AA630" i="43"/>
  <c r="AA522" i="43"/>
  <c r="AA519" i="43"/>
  <c r="AA754" i="43"/>
  <c r="AA704" i="43"/>
  <c r="AA590" i="43"/>
  <c r="AA707" i="43"/>
  <c r="AA730" i="43"/>
  <c r="AA739" i="43"/>
  <c r="AA523" i="43"/>
  <c r="AA509" i="43"/>
  <c r="AA524" i="43"/>
  <c r="AA530" i="43"/>
  <c r="AA713" i="43"/>
  <c r="AA725" i="43"/>
  <c r="AA787" i="43"/>
  <c r="AA632" i="43"/>
  <c r="AA699" i="43"/>
  <c r="AA711" i="43"/>
  <c r="AA687" i="43"/>
  <c r="AA582" i="43"/>
  <c r="AA602" i="43"/>
  <c r="AA629" i="43"/>
  <c r="AA626" i="43"/>
  <c r="AA583" i="43"/>
  <c r="AA783" i="43"/>
  <c r="AA650" i="43"/>
  <c r="AA633" i="43"/>
  <c r="AA670" i="43"/>
  <c r="AA727" i="43"/>
  <c r="AA573" i="43"/>
  <c r="AD585" i="43" s="1"/>
  <c r="AA655" i="43"/>
  <c r="AA645" i="43"/>
  <c r="AA588" i="43"/>
  <c r="AA749" i="43"/>
  <c r="AA745" i="43"/>
  <c r="AA733" i="43"/>
  <c r="AA526" i="43"/>
  <c r="AA708" i="43"/>
  <c r="AA666" i="43"/>
  <c r="AA576" i="43"/>
  <c r="AA511" i="43"/>
  <c r="AA518" i="43"/>
  <c r="AA764" i="43"/>
  <c r="AA766" i="43"/>
  <c r="AA768" i="43"/>
  <c r="AA517" i="43"/>
  <c r="AA499" i="43"/>
  <c r="AA515" i="43"/>
  <c r="AA746" i="43"/>
  <c r="AA520" i="43"/>
  <c r="AA500" i="43"/>
  <c r="AA579" i="43"/>
  <c r="AA716" i="43"/>
  <c r="AA694" i="43"/>
  <c r="AA702" i="43"/>
  <c r="AA581" i="43"/>
  <c r="AA627" i="43"/>
  <c r="AA706" i="43"/>
  <c r="AA610" i="43"/>
  <c r="AA596" i="43"/>
  <c r="AA625" i="43"/>
  <c r="AA586" i="43"/>
  <c r="AA690" i="43"/>
  <c r="AA678" i="43"/>
  <c r="AA703" i="43"/>
  <c r="AA648" i="43"/>
  <c r="AA686" i="43"/>
  <c r="AA619" i="43"/>
  <c r="AA595" i="43"/>
  <c r="AA604" i="43"/>
  <c r="AA575" i="43"/>
  <c r="AA662" i="43"/>
  <c r="AA785" i="43"/>
  <c r="AA513" i="43"/>
  <c r="AA744" i="43"/>
  <c r="AD726" i="43" l="1"/>
  <c r="AD621" i="43"/>
  <c r="AD685" i="43"/>
  <c r="AD749" i="43"/>
  <c r="AD750" i="43"/>
  <c r="AD631" i="43"/>
  <c r="AD695" i="43"/>
  <c r="AD759" i="43"/>
  <c r="AD766" i="43"/>
  <c r="AD632" i="43"/>
  <c r="AD696" i="43"/>
  <c r="AD760" i="43"/>
  <c r="AD593" i="43"/>
  <c r="AD657" i="43"/>
  <c r="AD721" i="43"/>
  <c r="AD785" i="43"/>
  <c r="AD610" i="43"/>
  <c r="AD674" i="43"/>
  <c r="AD738" i="43"/>
  <c r="AD654" i="43"/>
  <c r="AD611" i="43"/>
  <c r="AD675" i="43"/>
  <c r="AD739" i="43"/>
  <c r="AD646" i="43"/>
  <c r="AD604" i="43"/>
  <c r="AD668" i="43"/>
  <c r="AD732" i="43"/>
  <c r="AD774" i="43"/>
  <c r="AD629" i="43"/>
  <c r="AD693" i="43"/>
  <c r="AD757" i="43"/>
  <c r="AD575" i="43"/>
  <c r="AD639" i="43"/>
  <c r="AD703" i="43"/>
  <c r="AD767" i="43"/>
  <c r="AD576" i="43"/>
  <c r="AD640" i="43"/>
  <c r="AD704" i="43"/>
  <c r="AD768" i="43"/>
  <c r="AD601" i="43"/>
  <c r="AD665" i="43"/>
  <c r="AD729" i="43"/>
  <c r="AD614" i="43"/>
  <c r="AD618" i="43"/>
  <c r="AD682" i="43"/>
  <c r="AD746" i="43"/>
  <c r="AD702" i="43"/>
  <c r="AD619" i="43"/>
  <c r="AD683" i="43"/>
  <c r="AD747" i="43"/>
  <c r="AD710" i="43"/>
  <c r="AD612" i="43"/>
  <c r="AD676" i="43"/>
  <c r="AD740" i="43"/>
  <c r="AD573" i="43"/>
  <c r="AD637" i="43"/>
  <c r="AD701" i="43"/>
  <c r="AD765" i="43"/>
  <c r="AD583" i="43"/>
  <c r="AD647" i="43"/>
  <c r="AD711" i="43"/>
  <c r="AD775" i="43"/>
  <c r="AD584" i="43"/>
  <c r="AD648" i="43"/>
  <c r="AD712" i="43"/>
  <c r="AD776" i="43"/>
  <c r="AD609" i="43"/>
  <c r="AD673" i="43"/>
  <c r="AD737" i="43"/>
  <c r="AD678" i="43"/>
  <c r="AD626" i="43"/>
  <c r="AD690" i="43"/>
  <c r="AD754" i="43"/>
  <c r="AD734" i="43"/>
  <c r="AD627" i="43"/>
  <c r="AD691" i="43"/>
  <c r="AD755" i="43"/>
  <c r="AD742" i="43"/>
  <c r="AD620" i="43"/>
  <c r="AD684" i="43"/>
  <c r="AD748" i="43"/>
  <c r="AD581" i="43"/>
  <c r="AD645" i="43"/>
  <c r="AD709" i="43"/>
  <c r="AD773" i="43"/>
  <c r="AD591" i="43"/>
  <c r="AD655" i="43"/>
  <c r="AD719" i="43"/>
  <c r="AD783" i="43"/>
  <c r="AD592" i="43"/>
  <c r="AD656" i="43"/>
  <c r="AD720" i="43"/>
  <c r="AD784" i="43"/>
  <c r="AD617" i="43"/>
  <c r="AD681" i="43"/>
  <c r="AD745" i="43"/>
  <c r="AD758" i="43"/>
  <c r="AD634" i="43"/>
  <c r="AD698" i="43"/>
  <c r="AD762" i="43"/>
  <c r="AD782" i="43"/>
  <c r="AD635" i="43"/>
  <c r="AD699" i="43"/>
  <c r="AD763" i="43"/>
  <c r="AD790" i="43"/>
  <c r="AD628" i="43"/>
  <c r="AD692" i="43"/>
  <c r="AD756" i="43"/>
  <c r="AD589" i="43"/>
  <c r="AD653" i="43"/>
  <c r="AD717" i="43"/>
  <c r="AD781" i="43"/>
  <c r="AD599" i="43"/>
  <c r="AD663" i="43"/>
  <c r="AD727" i="43"/>
  <c r="AD574" i="43"/>
  <c r="AD600" i="43"/>
  <c r="AD664" i="43"/>
  <c r="AD728" i="43"/>
  <c r="AD590" i="43"/>
  <c r="AD625" i="43"/>
  <c r="AD689" i="43"/>
  <c r="AD753" i="43"/>
  <c r="AD578" i="43"/>
  <c r="AD642" i="43"/>
  <c r="AD706" i="43"/>
  <c r="AD770" i="43"/>
  <c r="AD579" i="43"/>
  <c r="AD643" i="43"/>
  <c r="AD707" i="43"/>
  <c r="AD771" i="43"/>
  <c r="AD636" i="43"/>
  <c r="AD700" i="43"/>
  <c r="AD764" i="43"/>
  <c r="AD582" i="43"/>
  <c r="AD597" i="43"/>
  <c r="AD661" i="43"/>
  <c r="AD725" i="43"/>
  <c r="AD789" i="43"/>
  <c r="AD607" i="43"/>
  <c r="AD671" i="43"/>
  <c r="AD735" i="43"/>
  <c r="AD630" i="43"/>
  <c r="AD608" i="43"/>
  <c r="AD672" i="43"/>
  <c r="AD736" i="43"/>
  <c r="AD694" i="43"/>
  <c r="AD633" i="43"/>
  <c r="AD697" i="43"/>
  <c r="AD761" i="43"/>
  <c r="AD586" i="43"/>
  <c r="AD650" i="43"/>
  <c r="AD714" i="43"/>
  <c r="AD778" i="43"/>
  <c r="AD587" i="43"/>
  <c r="AD651" i="43"/>
  <c r="AD715" i="43"/>
  <c r="AD779" i="43"/>
  <c r="AD580" i="43"/>
  <c r="AD644" i="43"/>
  <c r="AD708" i="43"/>
  <c r="AD772" i="43"/>
  <c r="AD638" i="43"/>
  <c r="AD605" i="43"/>
  <c r="AD669" i="43"/>
  <c r="AD733" i="43"/>
  <c r="AD622" i="43"/>
  <c r="AD615" i="43"/>
  <c r="AD679" i="43"/>
  <c r="AD743" i="43"/>
  <c r="AD662" i="43"/>
  <c r="AD616" i="43"/>
  <c r="AD680" i="43"/>
  <c r="AD744" i="43"/>
  <c r="AD577" i="43"/>
  <c r="AD641" i="43"/>
  <c r="AD705" i="43"/>
  <c r="AD769" i="43"/>
  <c r="AD594" i="43"/>
  <c r="AD658" i="43"/>
  <c r="AD722" i="43"/>
  <c r="AD786" i="43"/>
  <c r="AD595" i="43"/>
  <c r="AD659" i="43"/>
  <c r="AD723" i="43"/>
  <c r="AD787" i="43"/>
  <c r="AD588" i="43"/>
  <c r="AD652" i="43"/>
  <c r="AD716" i="43"/>
  <c r="AD780" i="43"/>
  <c r="AD670" i="43"/>
  <c r="AD613" i="43"/>
  <c r="AD677" i="43"/>
  <c r="AD741" i="43"/>
  <c r="AD686" i="43"/>
  <c r="AD623" i="43"/>
  <c r="AD687" i="43"/>
  <c r="AD751" i="43"/>
  <c r="AD718" i="43"/>
  <c r="AD624" i="43"/>
  <c r="AD688" i="43"/>
  <c r="AD752" i="43"/>
  <c r="AD649" i="43"/>
  <c r="AD713" i="43"/>
  <c r="AD777" i="43"/>
  <c r="AD602" i="43"/>
  <c r="AD666" i="43"/>
  <c r="AD730" i="43"/>
  <c r="AD598" i="43"/>
  <c r="AD603" i="43"/>
  <c r="AD667" i="43"/>
  <c r="AD731" i="43"/>
  <c r="AD606" i="43"/>
  <c r="AD596" i="43"/>
  <c r="AD660" i="43"/>
  <c r="AD724" i="43"/>
  <c r="AC693" i="43"/>
  <c r="AD540" i="43"/>
  <c r="AD538" i="43"/>
  <c r="AD539" i="43"/>
  <c r="AD537" i="43"/>
  <c r="AD543" i="43"/>
  <c r="AD542" i="43"/>
  <c r="AD541" i="43"/>
  <c r="AD497" i="43"/>
  <c r="AD509" i="43"/>
  <c r="AD501" i="43"/>
  <c r="AD500" i="43"/>
  <c r="AD506" i="43"/>
  <c r="AD518" i="43"/>
  <c r="AD510" i="43"/>
  <c r="AD527" i="43"/>
  <c r="AD528" i="43"/>
  <c r="AD529" i="43"/>
  <c r="AD520" i="43"/>
  <c r="AD530" i="43"/>
  <c r="AD502" i="43"/>
  <c r="AD525" i="43"/>
  <c r="AD522" i="43"/>
  <c r="AD513" i="43"/>
  <c r="M243" i="43"/>
  <c r="K243" i="43" s="1"/>
  <c r="O33" i="39"/>
  <c r="O193" i="40"/>
  <c r="O204" i="40" s="1"/>
  <c r="A204" i="40" s="1"/>
  <c r="AD571" i="43"/>
  <c r="AD517" i="43"/>
  <c r="AD512" i="43"/>
  <c r="AD532" i="43"/>
  <c r="AD534" i="43"/>
  <c r="AD516" i="43"/>
  <c r="O68" i="35"/>
  <c r="A68" i="35" s="1"/>
  <c r="AD524" i="43"/>
  <c r="AD511" i="43"/>
  <c r="AD514" i="43"/>
  <c r="AD505" i="43"/>
  <c r="AD515" i="43"/>
  <c r="AD498" i="43"/>
  <c r="AD503" i="43"/>
  <c r="AD521" i="43"/>
  <c r="AD526" i="43"/>
  <c r="AD508" i="43"/>
  <c r="AD536" i="43"/>
  <c r="AD519" i="43"/>
  <c r="AD504" i="43"/>
  <c r="AD531" i="43"/>
  <c r="AD507" i="43"/>
  <c r="AD533" i="43"/>
  <c r="AD523" i="43"/>
  <c r="AD535" i="43"/>
  <c r="AC694" i="43" l="1"/>
  <c r="O67" i="39"/>
  <c r="O68" i="39"/>
  <c r="O66" i="39"/>
  <c r="O69" i="39"/>
  <c r="AC695" i="43" l="1"/>
  <c r="AC696" i="43" l="1"/>
  <c r="Q53" i="34"/>
  <c r="G184" i="43"/>
  <c r="Q54" i="34"/>
  <c r="G185" i="43"/>
  <c r="O56" i="34"/>
  <c r="E189" i="43"/>
  <c r="Q57" i="34"/>
  <c r="G190" i="43"/>
  <c r="Q55" i="34"/>
  <c r="G188" i="43"/>
  <c r="W304" i="43"/>
  <c r="W305" i="43"/>
  <c r="O58" i="34"/>
  <c r="E193" i="43"/>
  <c r="O60" i="34"/>
  <c r="E195" i="43"/>
  <c r="S55" i="34"/>
  <c r="I188" i="43"/>
  <c r="S53" i="34"/>
  <c r="I184" i="43"/>
  <c r="O53" i="34"/>
  <c r="E184" i="43"/>
  <c r="S60" i="34"/>
  <c r="I195" i="43"/>
  <c r="R58" i="34"/>
  <c r="H193" i="43"/>
  <c r="O52" i="34"/>
  <c r="E183" i="43"/>
  <c r="U302" i="43"/>
  <c r="AA302" i="43" s="1"/>
  <c r="AG302" i="43" s="1"/>
  <c r="U303" i="43"/>
  <c r="Q60" i="34"/>
  <c r="G195" i="43"/>
  <c r="O54" i="34"/>
  <c r="E185" i="43"/>
  <c r="R53" i="34"/>
  <c r="H184" i="43"/>
  <c r="S58" i="34"/>
  <c r="I193" i="43"/>
  <c r="R55" i="34"/>
  <c r="H188" i="43"/>
  <c r="X304" i="43"/>
  <c r="X305" i="43"/>
  <c r="R56" i="34"/>
  <c r="H189" i="43"/>
  <c r="S57" i="34"/>
  <c r="I190" i="43"/>
  <c r="Q59" i="34"/>
  <c r="G194" i="43"/>
  <c r="R59" i="34"/>
  <c r="H194" i="43"/>
  <c r="O55" i="34"/>
  <c r="E188" i="43"/>
  <c r="U304" i="43"/>
  <c r="U305" i="43"/>
  <c r="Q56" i="34"/>
  <c r="G189" i="43"/>
  <c r="O57" i="34"/>
  <c r="E190" i="43"/>
  <c r="R57" i="34"/>
  <c r="H190" i="43"/>
  <c r="R54" i="34"/>
  <c r="H185" i="43"/>
  <c r="Q52" i="34"/>
  <c r="G183" i="43"/>
  <c r="R125" i="40"/>
  <c r="R130" i="40" s="1"/>
  <c r="W303" i="43"/>
  <c r="R124" i="40"/>
  <c r="R126" i="40"/>
  <c r="R131" i="40" s="1"/>
  <c r="W302" i="43"/>
  <c r="Q58" i="34"/>
  <c r="G193" i="43"/>
  <c r="W307" i="43"/>
  <c r="W306" i="43"/>
  <c r="R52" i="34"/>
  <c r="H183" i="43"/>
  <c r="X303" i="43"/>
  <c r="X302" i="43"/>
  <c r="Y306" i="43"/>
  <c r="Y305" i="43"/>
  <c r="AE305" i="43" s="1"/>
  <c r="AK305" i="43" s="1"/>
  <c r="X306" i="43"/>
  <c r="P124" i="40"/>
  <c r="AC697" i="43" l="1"/>
  <c r="AD302" i="43"/>
  <c r="AJ302" i="43" s="1"/>
  <c r="AD305" i="43"/>
  <c r="AJ305" i="43" s="1"/>
  <c r="Q78" i="35"/>
  <c r="Q38" i="35" s="1"/>
  <c r="Q30" i="39" s="1"/>
  <c r="Q57" i="39" s="1"/>
  <c r="S125" i="40"/>
  <c r="S130" i="40" s="1"/>
  <c r="S126" i="40"/>
  <c r="S131" i="40" s="1"/>
  <c r="AE306" i="43"/>
  <c r="AK306" i="43" s="1"/>
  <c r="N253" i="43"/>
  <c r="AA304" i="43"/>
  <c r="AG304" i="43" s="1"/>
  <c r="AD306" i="43"/>
  <c r="AJ306" i="43" s="1"/>
  <c r="U307" i="43"/>
  <c r="AD303" i="43"/>
  <c r="AJ303" i="43" s="1"/>
  <c r="P80" i="43" s="1"/>
  <c r="Q62" i="43"/>
  <c r="P125" i="40"/>
  <c r="P130" i="40" s="1"/>
  <c r="Y304" i="43"/>
  <c r="U306" i="43"/>
  <c r="AA306" i="43" s="1"/>
  <c r="AG306" i="43" s="1"/>
  <c r="P54" i="34"/>
  <c r="F185" i="43"/>
  <c r="S54" i="34"/>
  <c r="S32" i="47" s="1"/>
  <c r="I185" i="43"/>
  <c r="P56" i="34"/>
  <c r="F189" i="43"/>
  <c r="P58" i="34"/>
  <c r="F193" i="43"/>
  <c r="V307" i="43"/>
  <c r="V306" i="43"/>
  <c r="P60" i="34"/>
  <c r="F195" i="43"/>
  <c r="Q126" i="40"/>
  <c r="Q131" i="40" s="1"/>
  <c r="Q124" i="40"/>
  <c r="P55" i="34"/>
  <c r="F188" i="43"/>
  <c r="V304" i="43"/>
  <c r="AC304" i="43" s="1"/>
  <c r="AI304" i="43" s="1"/>
  <c r="V305" i="43"/>
  <c r="AB305" i="43" s="1"/>
  <c r="AH305" i="43" s="1"/>
  <c r="R142" i="40"/>
  <c r="R144" i="40"/>
  <c r="F239" i="43"/>
  <c r="J239" i="43" s="1"/>
  <c r="O77" i="35"/>
  <c r="O37" i="35" s="1"/>
  <c r="P57" i="34"/>
  <c r="F190" i="43"/>
  <c r="S52" i="34"/>
  <c r="I183" i="43"/>
  <c r="Y302" i="43"/>
  <c r="AE302" i="43" s="1"/>
  <c r="AK302" i="43" s="1"/>
  <c r="Y303" i="43"/>
  <c r="P52" i="34"/>
  <c r="F183" i="43"/>
  <c r="V302" i="43"/>
  <c r="AB302" i="43" s="1"/>
  <c r="AH302" i="43" s="1"/>
  <c r="V303" i="43"/>
  <c r="AC303" i="43" s="1"/>
  <c r="Q125" i="40"/>
  <c r="Q130" i="40" s="1"/>
  <c r="R30" i="47"/>
  <c r="R76" i="35"/>
  <c r="R51" i="47"/>
  <c r="P62" i="43"/>
  <c r="N62" i="43"/>
  <c r="AA303" i="43"/>
  <c r="AG303" i="43" s="1"/>
  <c r="M80" i="43" s="1"/>
  <c r="J163" i="43"/>
  <c r="K163" i="43" s="1"/>
  <c r="L163" i="43" s="1"/>
  <c r="F240" i="43"/>
  <c r="J240" i="43" s="1"/>
  <c r="Q253" i="43"/>
  <c r="AD304" i="43"/>
  <c r="AJ304" i="43" s="1"/>
  <c r="R31" i="47"/>
  <c r="P53" i="34"/>
  <c r="F184" i="43"/>
  <c r="O59" i="34"/>
  <c r="O31" i="47" s="1"/>
  <c r="E194" i="43"/>
  <c r="P126" i="40"/>
  <c r="P131" i="40" s="1"/>
  <c r="P253" i="43"/>
  <c r="Q32" i="47"/>
  <c r="P59" i="34"/>
  <c r="F194" i="43"/>
  <c r="R60" i="34"/>
  <c r="R32" i="47" s="1"/>
  <c r="H195" i="43"/>
  <c r="S124" i="40"/>
  <c r="Q30" i="47"/>
  <c r="Q66" i="34"/>
  <c r="Q76" i="35"/>
  <c r="Q51" i="47"/>
  <c r="R77" i="35"/>
  <c r="R37" i="35" s="1"/>
  <c r="R29" i="39" s="1"/>
  <c r="R52" i="47"/>
  <c r="O32" i="47"/>
  <c r="F238" i="43"/>
  <c r="J238" i="43" s="1"/>
  <c r="O30" i="47"/>
  <c r="O76" i="35"/>
  <c r="O51" i="47"/>
  <c r="S59" i="34"/>
  <c r="S78" i="35" s="1"/>
  <c r="S38" i="35" s="1"/>
  <c r="S30" i="39" s="1"/>
  <c r="I194" i="43"/>
  <c r="S56" i="34"/>
  <c r="S77" i="35" s="1"/>
  <c r="S37" i="35" s="1"/>
  <c r="S29" i="39" s="1"/>
  <c r="I189" i="43"/>
  <c r="AA305" i="43"/>
  <c r="AG305" i="43" s="1"/>
  <c r="J164" i="43"/>
  <c r="K164" i="43" s="1"/>
  <c r="L164" i="43" s="1"/>
  <c r="Y307" i="43"/>
  <c r="X307" i="43"/>
  <c r="AD307" i="43" s="1"/>
  <c r="AJ307" i="43" s="1"/>
  <c r="Q77" i="35"/>
  <c r="Q37" i="35" s="1"/>
  <c r="Q29" i="39" s="1"/>
  <c r="Q52" i="47"/>
  <c r="Q31" i="47"/>
  <c r="Q60" i="39" l="1"/>
  <c r="Q59" i="39"/>
  <c r="Q58" i="39"/>
  <c r="AC698" i="43"/>
  <c r="AB306" i="43"/>
  <c r="AH306" i="43" s="1"/>
  <c r="O66" i="34"/>
  <c r="O86" i="35" s="1"/>
  <c r="AC306" i="43"/>
  <c r="AI306" i="43" s="1"/>
  <c r="P31" i="47"/>
  <c r="P32" i="47"/>
  <c r="R78" i="35"/>
  <c r="R38" i="35" s="1"/>
  <c r="R30" i="39" s="1"/>
  <c r="R57" i="39" s="1"/>
  <c r="AC305" i="43"/>
  <c r="AI305" i="43" s="1"/>
  <c r="R58" i="47"/>
  <c r="R66" i="34"/>
  <c r="R21" i="34" s="1"/>
  <c r="R24" i="34" s="1"/>
  <c r="S55" i="39"/>
  <c r="S53" i="39"/>
  <c r="S56" i="39"/>
  <c r="S54" i="39"/>
  <c r="Q53" i="39"/>
  <c r="Q55" i="39"/>
  <c r="Q54" i="39"/>
  <c r="Q56" i="39"/>
  <c r="Q84" i="35"/>
  <c r="Q23" i="35" s="1"/>
  <c r="Q26" i="35" s="1"/>
  <c r="Q36" i="35"/>
  <c r="O78" i="35"/>
  <c r="O38" i="35" s="1"/>
  <c r="AB304" i="43"/>
  <c r="AH304" i="43" s="1"/>
  <c r="O253" i="43"/>
  <c r="AB307" i="43"/>
  <c r="AH307" i="43" s="1"/>
  <c r="AC302" i="43"/>
  <c r="AI302" i="43" s="1"/>
  <c r="AE307" i="43"/>
  <c r="AK307" i="43" s="1"/>
  <c r="Q42" i="47"/>
  <c r="Q60" i="47" s="1"/>
  <c r="R62" i="43"/>
  <c r="AE303" i="43"/>
  <c r="AK303" i="43" s="1"/>
  <c r="Q80" i="43" s="1"/>
  <c r="O52" i="47"/>
  <c r="O58" i="47" s="1"/>
  <c r="P77" i="35"/>
  <c r="P37" i="35" s="1"/>
  <c r="P29" i="39" s="1"/>
  <c r="P52" i="47"/>
  <c r="P78" i="35"/>
  <c r="P38" i="35" s="1"/>
  <c r="P30" i="39" s="1"/>
  <c r="S31" i="47"/>
  <c r="O36" i="35"/>
  <c r="M239" i="43"/>
  <c r="K239" i="43" s="1"/>
  <c r="O29" i="39"/>
  <c r="Q144" i="40"/>
  <c r="Q142" i="40"/>
  <c r="R253" i="43"/>
  <c r="AE304" i="43"/>
  <c r="AK304" i="43" s="1"/>
  <c r="Q68" i="34"/>
  <c r="Q86" i="35"/>
  <c r="Q21" i="34"/>
  <c r="Q24" i="34" s="1"/>
  <c r="P30" i="47"/>
  <c r="P66" i="34"/>
  <c r="P76" i="35"/>
  <c r="P51" i="47"/>
  <c r="O42" i="47"/>
  <c r="O60" i="47" s="1"/>
  <c r="S52" i="47"/>
  <c r="R42" i="47"/>
  <c r="R60" i="47" s="1"/>
  <c r="S58" i="39"/>
  <c r="S60" i="39"/>
  <c r="S59" i="39"/>
  <c r="S57" i="39"/>
  <c r="S144" i="40"/>
  <c r="S142" i="40"/>
  <c r="R36" i="35"/>
  <c r="AC307" i="43"/>
  <c r="AI307" i="43" s="1"/>
  <c r="S30" i="47"/>
  <c r="S76" i="35"/>
  <c r="S66" i="34"/>
  <c r="S51" i="47"/>
  <c r="J165" i="43"/>
  <c r="K165" i="43" s="1"/>
  <c r="L165" i="43" s="1"/>
  <c r="AA307" i="43"/>
  <c r="AG307" i="43" s="1"/>
  <c r="R54" i="39"/>
  <c r="R56" i="39"/>
  <c r="R53" i="39"/>
  <c r="R55" i="39"/>
  <c r="AB303" i="43"/>
  <c r="AH303" i="43" s="1"/>
  <c r="N80" i="43" s="1"/>
  <c r="O62" i="43"/>
  <c r="AI303" i="43"/>
  <c r="O80" i="43" s="1"/>
  <c r="P142" i="40"/>
  <c r="Q58" i="47"/>
  <c r="P144" i="40"/>
  <c r="AC699" i="43" l="1"/>
  <c r="O68" i="34"/>
  <c r="O21" i="34"/>
  <c r="O24" i="34" s="1"/>
  <c r="O57" i="37" s="1"/>
  <c r="S42" i="47"/>
  <c r="S60" i="47" s="1"/>
  <c r="S58" i="47"/>
  <c r="P42" i="47"/>
  <c r="P60" i="47" s="1"/>
  <c r="R61" i="47"/>
  <c r="O84" i="35"/>
  <c r="O23" i="35" s="1"/>
  <c r="O26" i="35" s="1"/>
  <c r="O44" i="47" s="1"/>
  <c r="O45" i="47" s="1"/>
  <c r="P58" i="47"/>
  <c r="Q87" i="35"/>
  <c r="R59" i="39"/>
  <c r="R86" i="35"/>
  <c r="O61" i="47"/>
  <c r="R68" i="34"/>
  <c r="R60" i="39"/>
  <c r="R58" i="39"/>
  <c r="R84" i="35"/>
  <c r="R23" i="35" s="1"/>
  <c r="R26" i="35" s="1"/>
  <c r="R54" i="40" s="1"/>
  <c r="M238" i="43"/>
  <c r="K238" i="43" s="1"/>
  <c r="O191" i="40"/>
  <c r="O44" i="35"/>
  <c r="O28" i="39"/>
  <c r="Q44" i="35"/>
  <c r="Q28" i="39"/>
  <c r="Q191" i="40"/>
  <c r="S86" i="35"/>
  <c r="S68" i="34"/>
  <c r="S21" i="34"/>
  <c r="S24" i="34" s="1"/>
  <c r="R57" i="37"/>
  <c r="R38" i="39"/>
  <c r="R26" i="34"/>
  <c r="R46" i="35"/>
  <c r="Q54" i="40"/>
  <c r="Q75" i="40"/>
  <c r="Q86" i="40" s="1"/>
  <c r="Q96" i="40" s="1"/>
  <c r="Q97" i="40" s="1"/>
  <c r="Q44" i="47"/>
  <c r="Q45" i="47" s="1"/>
  <c r="Q28" i="35"/>
  <c r="Q195" i="40"/>
  <c r="S84" i="35"/>
  <c r="S23" i="35" s="1"/>
  <c r="S26" i="35" s="1"/>
  <c r="S36" i="35"/>
  <c r="P84" i="35"/>
  <c r="P23" i="35" s="1"/>
  <c r="P26" i="35" s="1"/>
  <c r="P36" i="35"/>
  <c r="P59" i="39"/>
  <c r="P60" i="39"/>
  <c r="P58" i="39"/>
  <c r="P57" i="39"/>
  <c r="P86" i="35"/>
  <c r="P21" i="34"/>
  <c r="P24" i="34" s="1"/>
  <c r="P68" i="34"/>
  <c r="Q61" i="47"/>
  <c r="P53" i="39"/>
  <c r="P56" i="39"/>
  <c r="P55" i="39"/>
  <c r="P54" i="39"/>
  <c r="R44" i="35"/>
  <c r="R191" i="40"/>
  <c r="R28" i="39"/>
  <c r="Q26" i="34"/>
  <c r="Q38" i="39"/>
  <c r="Q57" i="37"/>
  <c r="Q46" i="35"/>
  <c r="O56" i="39"/>
  <c r="O55" i="39"/>
  <c r="O53" i="39"/>
  <c r="O54" i="39"/>
  <c r="M240" i="43"/>
  <c r="K240" i="43" s="1"/>
  <c r="O30" i="39"/>
  <c r="AC700" i="43" l="1"/>
  <c r="R75" i="40"/>
  <c r="R86" i="40" s="1"/>
  <c r="R96" i="40" s="1"/>
  <c r="R97" i="40" s="1"/>
  <c r="O26" i="34"/>
  <c r="O46" i="35"/>
  <c r="O47" i="35" s="1"/>
  <c r="O38" i="39"/>
  <c r="P61" i="47"/>
  <c r="S61" i="47"/>
  <c r="O75" i="40"/>
  <c r="O86" i="40" s="1"/>
  <c r="O96" i="40" s="1"/>
  <c r="O87" i="35"/>
  <c r="Q47" i="35"/>
  <c r="R44" i="47"/>
  <c r="R45" i="47" s="1"/>
  <c r="O28" i="35"/>
  <c r="R87" i="35"/>
  <c r="R195" i="40"/>
  <c r="R196" i="40" s="1"/>
  <c r="R28" i="35"/>
  <c r="O195" i="40"/>
  <c r="O196" i="40" s="1"/>
  <c r="O54" i="40"/>
  <c r="O62" i="40" s="1"/>
  <c r="H22" i="40" s="1"/>
  <c r="A68" i="34"/>
  <c r="P57" i="37"/>
  <c r="P38" i="39"/>
  <c r="P26" i="34"/>
  <c r="P46" i="35"/>
  <c r="R47" i="35"/>
  <c r="O59" i="39"/>
  <c r="O57" i="39"/>
  <c r="O58" i="39"/>
  <c r="O60" i="39"/>
  <c r="P87" i="35"/>
  <c r="S44" i="47"/>
  <c r="S45" i="47" s="1"/>
  <c r="S75" i="40"/>
  <c r="S86" i="40" s="1"/>
  <c r="S96" i="40" s="1"/>
  <c r="S97" i="40" s="1"/>
  <c r="S28" i="35"/>
  <c r="S195" i="40"/>
  <c r="S54" i="40"/>
  <c r="S87" i="35"/>
  <c r="Q119" i="40"/>
  <c r="Q129" i="40" s="1"/>
  <c r="Q202" i="40"/>
  <c r="Q206" i="40" s="1"/>
  <c r="Q196" i="40"/>
  <c r="Q49" i="39"/>
  <c r="Q50" i="39"/>
  <c r="Q52" i="39"/>
  <c r="Q51" i="39"/>
  <c r="Q36" i="39"/>
  <c r="Q89" i="39" s="1"/>
  <c r="R52" i="39"/>
  <c r="R51" i="39"/>
  <c r="R49" i="39"/>
  <c r="R50" i="39"/>
  <c r="R36" i="39"/>
  <c r="R89" i="39" s="1"/>
  <c r="R202" i="40"/>
  <c r="R206" i="40" s="1"/>
  <c r="R119" i="40"/>
  <c r="R129" i="40" s="1"/>
  <c r="P44" i="35"/>
  <c r="P28" i="39"/>
  <c r="P191" i="40"/>
  <c r="O36" i="39"/>
  <c r="O89" i="39" s="1"/>
  <c r="S23" i="41" s="1"/>
  <c r="O49" i="39"/>
  <c r="O50" i="39"/>
  <c r="O51" i="39"/>
  <c r="O52" i="39"/>
  <c r="P54" i="40"/>
  <c r="P195" i="40"/>
  <c r="P75" i="40"/>
  <c r="P86" i="40" s="1"/>
  <c r="P96" i="40" s="1"/>
  <c r="P97" i="40" s="1"/>
  <c r="P44" i="47"/>
  <c r="P45" i="47" s="1"/>
  <c r="P28" i="35"/>
  <c r="O97" i="40"/>
  <c r="O99" i="40" s="1"/>
  <c r="E12" i="43" a="1"/>
  <c r="O202" i="40"/>
  <c r="S38" i="48"/>
  <c r="A38" i="48" s="1"/>
  <c r="A1" i="48" s="1"/>
  <c r="H19" i="25" s="1"/>
  <c r="S26" i="34"/>
  <c r="S46" i="35"/>
  <c r="S57" i="37"/>
  <c r="S38" i="39"/>
  <c r="S28" i="39"/>
  <c r="S44" i="35"/>
  <c r="S191" i="40"/>
  <c r="AC701" i="43" l="1"/>
  <c r="A61" i="47"/>
  <c r="A26" i="34"/>
  <c r="A1" i="34" s="1"/>
  <c r="H21" i="25" s="1"/>
  <c r="A87" i="35"/>
  <c r="R39" i="39"/>
  <c r="A28" i="35"/>
  <c r="A45" i="47"/>
  <c r="P196" i="40"/>
  <c r="O88" i="39"/>
  <c r="S22" i="41" s="1"/>
  <c r="O87" i="39"/>
  <c r="O75" i="39"/>
  <c r="O95" i="39"/>
  <c r="S29" i="41" s="1"/>
  <c r="O92" i="39"/>
  <c r="S26" i="41" s="1"/>
  <c r="O93" i="39"/>
  <c r="S27" i="41" s="1"/>
  <c r="O94" i="39"/>
  <c r="S28" i="41" s="1"/>
  <c r="O90" i="39"/>
  <c r="S24" i="41" s="1"/>
  <c r="S202" i="40"/>
  <c r="S206" i="40" s="1"/>
  <c r="S119" i="40"/>
  <c r="S129" i="40" s="1"/>
  <c r="O206" i="40"/>
  <c r="R92" i="39"/>
  <c r="R88" i="39"/>
  <c r="R87" i="39"/>
  <c r="R95" i="39"/>
  <c r="R75" i="39"/>
  <c r="R94" i="39"/>
  <c r="R93" i="39"/>
  <c r="R91" i="39"/>
  <c r="R90" i="39"/>
  <c r="P119" i="40"/>
  <c r="P129" i="40" s="1"/>
  <c r="P202" i="40"/>
  <c r="P206" i="40" s="1"/>
  <c r="Q39" i="39"/>
  <c r="Q88" i="39"/>
  <c r="Q87" i="39"/>
  <c r="Q75" i="39"/>
  <c r="Q95" i="39"/>
  <c r="Q92" i="39"/>
  <c r="Q93" i="39"/>
  <c r="Q94" i="39"/>
  <c r="Q91" i="39"/>
  <c r="Q90" i="39"/>
  <c r="R73" i="39"/>
  <c r="R110" i="39" s="1"/>
  <c r="P47" i="35"/>
  <c r="E12" i="43"/>
  <c r="E14" i="43" s="1"/>
  <c r="F12" i="43"/>
  <c r="F14" i="43" s="1"/>
  <c r="G12" i="43"/>
  <c r="G14" i="43" s="1"/>
  <c r="P36" i="39"/>
  <c r="P49" i="39"/>
  <c r="P52" i="39"/>
  <c r="P51" i="39"/>
  <c r="P50" i="39"/>
  <c r="S52" i="39"/>
  <c r="S50" i="39"/>
  <c r="S49" i="39"/>
  <c r="S36" i="39"/>
  <c r="S39" i="39" s="1"/>
  <c r="S51" i="39"/>
  <c r="P94" i="40"/>
  <c r="O106" i="40"/>
  <c r="H23" i="40" s="1"/>
  <c r="S47" i="35"/>
  <c r="O39" i="39"/>
  <c r="Q73" i="39"/>
  <c r="Q110" i="39" s="1"/>
  <c r="O91" i="39"/>
  <c r="S25" i="41" s="1"/>
  <c r="O73" i="39"/>
  <c r="O119" i="39" s="1"/>
  <c r="S196" i="40"/>
  <c r="AC702" i="43" l="1"/>
  <c r="A1" i="47"/>
  <c r="H30" i="25" s="1"/>
  <c r="A196" i="40"/>
  <c r="R112" i="39"/>
  <c r="O111" i="39"/>
  <c r="K33" i="43" s="1"/>
  <c r="R113" i="39"/>
  <c r="O121" i="39"/>
  <c r="K43" i="43" s="1"/>
  <c r="Q113" i="39"/>
  <c r="A202" i="40"/>
  <c r="K41" i="43"/>
  <c r="S55" i="41"/>
  <c r="H25" i="40"/>
  <c r="A206" i="40"/>
  <c r="S73" i="39"/>
  <c r="S110" i="39" s="1"/>
  <c r="P73" i="39"/>
  <c r="P113" i="39" s="1"/>
  <c r="R49" i="41" s="1"/>
  <c r="O113" i="39"/>
  <c r="R111" i="39"/>
  <c r="R76" i="39"/>
  <c r="O76" i="39"/>
  <c r="S21" i="41"/>
  <c r="S30" i="41" s="1"/>
  <c r="O97" i="39"/>
  <c r="O100" i="39" s="1"/>
  <c r="Q111" i="39"/>
  <c r="Q122" i="39"/>
  <c r="Q131" i="39"/>
  <c r="Q107" i="39"/>
  <c r="Q109" i="39"/>
  <c r="Q106" i="39"/>
  <c r="Q108" i="39"/>
  <c r="Q132" i="39"/>
  <c r="Q129" i="39"/>
  <c r="Q128" i="39"/>
  <c r="Q126" i="39"/>
  <c r="Q130" i="39"/>
  <c r="Q123" i="39"/>
  <c r="Q127" i="39"/>
  <c r="Q124" i="39"/>
  <c r="Q125" i="39"/>
  <c r="Q120" i="39"/>
  <c r="Q121" i="39"/>
  <c r="Q119" i="39"/>
  <c r="Q118" i="39"/>
  <c r="Q117" i="39"/>
  <c r="Q114" i="39"/>
  <c r="Q116" i="39"/>
  <c r="Q115" i="39"/>
  <c r="P89" i="39"/>
  <c r="R23" i="41" s="1"/>
  <c r="P88" i="39"/>
  <c r="R22" i="41" s="1"/>
  <c r="P87" i="39"/>
  <c r="P92" i="39"/>
  <c r="R26" i="41" s="1"/>
  <c r="P95" i="39"/>
  <c r="R29" i="41" s="1"/>
  <c r="P75" i="39"/>
  <c r="P93" i="39"/>
  <c r="R27" i="41" s="1"/>
  <c r="P94" i="39"/>
  <c r="R28" i="41" s="1"/>
  <c r="P91" i="39"/>
  <c r="R25" i="41" s="1"/>
  <c r="P90" i="39"/>
  <c r="R24" i="41" s="1"/>
  <c r="R97" i="39"/>
  <c r="R100" i="39" s="1"/>
  <c r="O110" i="39"/>
  <c r="K32" i="43" s="1"/>
  <c r="O109" i="39"/>
  <c r="O106" i="39"/>
  <c r="O132" i="39"/>
  <c r="O107" i="39"/>
  <c r="O108" i="39"/>
  <c r="O131" i="39"/>
  <c r="O122" i="39"/>
  <c r="O124" i="39"/>
  <c r="O125" i="39"/>
  <c r="O123" i="39"/>
  <c r="O126" i="39"/>
  <c r="O128" i="39"/>
  <c r="O127" i="39"/>
  <c r="O129" i="39"/>
  <c r="O130" i="39"/>
  <c r="O114" i="39"/>
  <c r="O117" i="39"/>
  <c r="O115" i="39"/>
  <c r="O116" i="39"/>
  <c r="R132" i="39"/>
  <c r="R131" i="39"/>
  <c r="R107" i="39"/>
  <c r="R106" i="39"/>
  <c r="R108" i="39"/>
  <c r="R109" i="39"/>
  <c r="R122" i="39"/>
  <c r="R129" i="39"/>
  <c r="R130" i="39"/>
  <c r="R128" i="39"/>
  <c r="R127" i="39"/>
  <c r="R126" i="39"/>
  <c r="R124" i="39"/>
  <c r="R123" i="39"/>
  <c r="R125" i="39"/>
  <c r="R119" i="39"/>
  <c r="R115" i="39"/>
  <c r="R121" i="39"/>
  <c r="R120" i="39"/>
  <c r="R117" i="39"/>
  <c r="R116" i="39"/>
  <c r="R114" i="39"/>
  <c r="R118" i="39"/>
  <c r="O118" i="39"/>
  <c r="P39" i="39"/>
  <c r="A39" i="39" s="1"/>
  <c r="P95" i="40"/>
  <c r="P99" i="40" s="1"/>
  <c r="P48" i="40"/>
  <c r="O112" i="39"/>
  <c r="Q112" i="39"/>
  <c r="Q76" i="39"/>
  <c r="S88" i="39"/>
  <c r="S95" i="39"/>
  <c r="S92" i="39"/>
  <c r="S87" i="39"/>
  <c r="S75" i="39"/>
  <c r="S94" i="39"/>
  <c r="S93" i="39"/>
  <c r="S90" i="39"/>
  <c r="S91" i="39"/>
  <c r="S89" i="39"/>
  <c r="A47" i="35"/>
  <c r="A1" i="35" s="1"/>
  <c r="H26" i="25" s="1"/>
  <c r="O120" i="39"/>
  <c r="Q97" i="39"/>
  <c r="Q100" i="39" s="1"/>
  <c r="AC703" i="43" l="1"/>
  <c r="S47" i="41"/>
  <c r="S111" i="39"/>
  <c r="S76" i="39"/>
  <c r="S46" i="41"/>
  <c r="S112" i="39"/>
  <c r="P112" i="39"/>
  <c r="R48" i="41" s="1"/>
  <c r="S57" i="41"/>
  <c r="P110" i="39"/>
  <c r="R46" i="41" s="1"/>
  <c r="S97" i="39"/>
  <c r="S100" i="39" s="1"/>
  <c r="P76" i="39"/>
  <c r="Q134" i="39"/>
  <c r="Q137" i="39" s="1"/>
  <c r="K49" i="43"/>
  <c r="S63" i="41"/>
  <c r="K30" i="43"/>
  <c r="S44" i="41"/>
  <c r="P97" i="39"/>
  <c r="P100" i="39" s="1"/>
  <c r="K50" i="43"/>
  <c r="S64" i="41"/>
  <c r="K29" i="43"/>
  <c r="S43" i="41"/>
  <c r="K53" i="43"/>
  <c r="S67" i="41"/>
  <c r="K54" i="43"/>
  <c r="S68" i="41"/>
  <c r="K35" i="43"/>
  <c r="S49" i="41"/>
  <c r="K40" i="43"/>
  <c r="S54" i="41"/>
  <c r="K48" i="43"/>
  <c r="S62" i="41"/>
  <c r="K37" i="43"/>
  <c r="S51" i="41"/>
  <c r="K45" i="43"/>
  <c r="S59" i="41"/>
  <c r="K28" i="43"/>
  <c r="O134" i="39"/>
  <c r="O137" i="39" s="1"/>
  <c r="S42" i="41"/>
  <c r="K39" i="43"/>
  <c r="S53" i="41"/>
  <c r="K47" i="43"/>
  <c r="S61" i="41"/>
  <c r="K31" i="43"/>
  <c r="S45" i="41"/>
  <c r="P111" i="39"/>
  <c r="R47" i="41" s="1"/>
  <c r="P106" i="39"/>
  <c r="P122" i="39"/>
  <c r="R58" i="41" s="1"/>
  <c r="P132" i="39"/>
  <c r="R68" i="41" s="1"/>
  <c r="P109" i="39"/>
  <c r="R45" i="41" s="1"/>
  <c r="P108" i="39"/>
  <c r="R44" i="41" s="1"/>
  <c r="P131" i="39"/>
  <c r="R67" i="41" s="1"/>
  <c r="P107" i="39"/>
  <c r="R43" i="41" s="1"/>
  <c r="P125" i="39"/>
  <c r="R61" i="41" s="1"/>
  <c r="P123" i="39"/>
  <c r="R59" i="41" s="1"/>
  <c r="P126" i="39"/>
  <c r="R62" i="41" s="1"/>
  <c r="P124" i="39"/>
  <c r="R60" i="41" s="1"/>
  <c r="P130" i="39"/>
  <c r="R66" i="41" s="1"/>
  <c r="P128" i="39"/>
  <c r="R64" i="41" s="1"/>
  <c r="P129" i="39"/>
  <c r="R65" i="41" s="1"/>
  <c r="P127" i="39"/>
  <c r="R63" i="41" s="1"/>
  <c r="P119" i="39"/>
  <c r="R55" i="41" s="1"/>
  <c r="P117" i="39"/>
  <c r="R53" i="41" s="1"/>
  <c r="P114" i="39"/>
  <c r="R50" i="41" s="1"/>
  <c r="P120" i="39"/>
  <c r="R56" i="41" s="1"/>
  <c r="P118" i="39"/>
  <c r="R54" i="41" s="1"/>
  <c r="P116" i="39"/>
  <c r="R52" i="41" s="1"/>
  <c r="P121" i="39"/>
  <c r="R57" i="41" s="1"/>
  <c r="P115" i="39"/>
  <c r="R51" i="41" s="1"/>
  <c r="P106" i="40"/>
  <c r="Q94" i="40"/>
  <c r="K36" i="43"/>
  <c r="S50" i="41"/>
  <c r="K46" i="43"/>
  <c r="S60" i="41"/>
  <c r="P143" i="40"/>
  <c r="P146" i="40" s="1"/>
  <c r="P51" i="40"/>
  <c r="K51" i="43"/>
  <c r="S65" i="41"/>
  <c r="K38" i="43"/>
  <c r="S52" i="41"/>
  <c r="K42" i="43"/>
  <c r="S56" i="41"/>
  <c r="K34" i="43"/>
  <c r="S48" i="41"/>
  <c r="R134" i="39"/>
  <c r="R137" i="39" s="1"/>
  <c r="K52" i="43"/>
  <c r="S66" i="41"/>
  <c r="K44" i="43"/>
  <c r="S58" i="41"/>
  <c r="S113" i="39"/>
  <c r="S132" i="39"/>
  <c r="S122" i="39"/>
  <c r="S107" i="39"/>
  <c r="S109" i="39"/>
  <c r="S108" i="39"/>
  <c r="S106" i="39"/>
  <c r="S131" i="39"/>
  <c r="S130" i="39"/>
  <c r="S125" i="39"/>
  <c r="S124" i="39"/>
  <c r="S128" i="39"/>
  <c r="S129" i="39"/>
  <c r="S126" i="39"/>
  <c r="S127" i="39"/>
  <c r="S123" i="39"/>
  <c r="S115" i="39"/>
  <c r="S118" i="39"/>
  <c r="S117" i="39"/>
  <c r="S116" i="39"/>
  <c r="S120" i="39"/>
  <c r="S119" i="39"/>
  <c r="S114" i="39"/>
  <c r="S121" i="39"/>
  <c r="AC704" i="43" l="1"/>
  <c r="A100" i="39"/>
  <c r="A76" i="39"/>
  <c r="S134" i="39"/>
  <c r="S137" i="39" s="1"/>
  <c r="Q95" i="40"/>
  <c r="Q99" i="40" s="1"/>
  <c r="Q48" i="40"/>
  <c r="P134" i="39"/>
  <c r="P137" i="39" s="1"/>
  <c r="S69" i="41"/>
  <c r="P62" i="40"/>
  <c r="P56" i="40"/>
  <c r="K55" i="43"/>
  <c r="AC705" i="43" l="1"/>
  <c r="A137" i="39"/>
  <c r="A1" i="39" s="1"/>
  <c r="H25" i="25" s="1"/>
  <c r="Q143" i="40"/>
  <c r="Q146" i="40" s="1"/>
  <c r="Q51" i="40"/>
  <c r="Q106" i="40"/>
  <c r="R94" i="40"/>
  <c r="AC706" i="43" l="1"/>
  <c r="R48" i="40"/>
  <c r="R95" i="40"/>
  <c r="R99" i="40" s="1"/>
  <c r="Q56" i="40"/>
  <c r="Q62" i="40"/>
  <c r="AC707" i="43" l="1"/>
  <c r="R106" i="40"/>
  <c r="S94" i="40"/>
  <c r="R143" i="40"/>
  <c r="R146" i="40" s="1"/>
  <c r="R51" i="40"/>
  <c r="AC708" i="43" l="1"/>
  <c r="R56" i="40"/>
  <c r="R62" i="40"/>
  <c r="S48" i="40"/>
  <c r="S95" i="40"/>
  <c r="S99" i="40" s="1"/>
  <c r="S106" i="40" s="1"/>
  <c r="A106" i="40" s="1"/>
  <c r="AC709" i="43" l="1"/>
  <c r="S143" i="40"/>
  <c r="S146" i="40" s="1"/>
  <c r="S51" i="40"/>
  <c r="AC710" i="43" l="1"/>
  <c r="S56" i="40"/>
  <c r="A56" i="40" s="1"/>
  <c r="S62" i="40"/>
  <c r="A62" i="40" s="1"/>
  <c r="AC711" i="43" l="1"/>
  <c r="A1" i="40"/>
  <c r="H27" i="25" s="1"/>
  <c r="H32" i="25" s="1"/>
  <c r="H8" i="25" s="1"/>
  <c r="H10" i="25" s="1"/>
  <c r="AC712" i="43" l="1"/>
  <c r="B2" i="48"/>
  <c r="B2" i="28"/>
  <c r="B2" i="45"/>
  <c r="B2" i="32"/>
  <c r="B2" i="33"/>
  <c r="B2" i="4"/>
  <c r="B2" i="40"/>
  <c r="B2" i="38"/>
  <c r="B2" i="47"/>
  <c r="B2" i="44"/>
  <c r="B2" i="31"/>
  <c r="B2" i="41"/>
  <c r="B2" i="39"/>
  <c r="B2" i="34"/>
  <c r="B2" i="35"/>
  <c r="B2" i="37"/>
  <c r="B2" i="25"/>
  <c r="AC713" i="43" l="1"/>
  <c r="AC714" i="43" l="1"/>
  <c r="AC715" i="43" l="1"/>
  <c r="AC716" i="43" l="1"/>
  <c r="AC717" i="43" l="1"/>
  <c r="AC718" i="43" l="1"/>
  <c r="AC719" i="43" l="1"/>
  <c r="AC720" i="43" l="1"/>
  <c r="AC721" i="43" l="1"/>
  <c r="AC722" i="43" l="1"/>
  <c r="AC723" i="43" l="1"/>
  <c r="AC724" i="43" l="1"/>
  <c r="AC725" i="43" l="1"/>
  <c r="AC726" i="43" l="1"/>
  <c r="AC727" i="43" l="1"/>
  <c r="AC728" i="43" l="1"/>
  <c r="AC729" i="43" l="1"/>
  <c r="AC730" i="43" l="1"/>
  <c r="AC731" i="43" l="1"/>
  <c r="AC732" i="43" l="1"/>
  <c r="AC733" i="43" l="1"/>
  <c r="AC734" i="43" l="1"/>
  <c r="AC735" i="43" l="1"/>
  <c r="AC736" i="43" l="1"/>
  <c r="AC737" i="43" l="1"/>
  <c r="AC738" i="43" l="1"/>
  <c r="AC739" i="43" l="1"/>
  <c r="AC740" i="43" l="1"/>
  <c r="AC741" i="43" l="1"/>
  <c r="AC742" i="43" l="1"/>
  <c r="AC743" i="43" l="1"/>
  <c r="AC744" i="43" l="1"/>
  <c r="AC745" i="43" l="1"/>
  <c r="AC746" i="43" l="1"/>
  <c r="AC747" i="43" l="1"/>
  <c r="AC748" i="43" l="1"/>
  <c r="AC749" i="43" l="1"/>
  <c r="AC750" i="43" l="1"/>
  <c r="AC751" i="43" l="1"/>
  <c r="AC752" i="43" l="1"/>
  <c r="AC753" i="43" l="1"/>
  <c r="AC754" i="43" l="1"/>
  <c r="AC755" i="43" l="1"/>
  <c r="AC756" i="43" l="1"/>
  <c r="AC757" i="43" l="1"/>
  <c r="AC758" i="43" l="1"/>
  <c r="AC759" i="43" l="1"/>
  <c r="AC760" i="43" l="1"/>
  <c r="AC761" i="43" l="1"/>
  <c r="AC762" i="43" l="1"/>
  <c r="AC763" i="43" l="1"/>
  <c r="AC764" i="43" l="1"/>
  <c r="AC765" i="43" l="1"/>
  <c r="AC766" i="43" l="1"/>
  <c r="AC767" i="43" l="1"/>
  <c r="AC768" i="43" l="1"/>
  <c r="AC769" i="43" l="1"/>
  <c r="AC770" i="43" l="1"/>
  <c r="AC771" i="43" l="1"/>
  <c r="AC772" i="43" l="1"/>
  <c r="AC773" i="43" l="1"/>
  <c r="AC774" i="43" l="1"/>
  <c r="AC775" i="43" l="1"/>
  <c r="AC776" i="43" l="1"/>
  <c r="AC777" i="43" l="1"/>
  <c r="AC778" i="43" l="1"/>
  <c r="AC779" i="43" l="1"/>
  <c r="AC780" i="43" l="1"/>
  <c r="AC781" i="43" l="1"/>
  <c r="AC782" i="43" l="1"/>
  <c r="AC783" i="43" l="1"/>
  <c r="AC784" i="43" l="1"/>
  <c r="AC785" i="43" l="1"/>
  <c r="AC786" i="43" l="1"/>
  <c r="AC787" i="43" l="1"/>
  <c r="AC788" i="43" l="1"/>
  <c r="AC789" i="43" l="1"/>
  <c r="AC790"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<sst xmlns="http://schemas.openxmlformats.org/spreadsheetml/2006/main" count="7322" uniqueCount="826">
  <si>
    <t>General Model Constant</t>
  </si>
  <si>
    <t>Name</t>
  </si>
  <si>
    <t>Mths_In_Yr</t>
  </si>
  <si>
    <t>Heading 1</t>
  </si>
  <si>
    <t>Yes</t>
  </si>
  <si>
    <t>No</t>
  </si>
  <si>
    <t>Yes_No</t>
  </si>
  <si>
    <t>Calculations</t>
  </si>
  <si>
    <t>Assumptions</t>
  </si>
  <si>
    <t>Checks</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</si>
  <si>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</si>
  <si>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</si>
  <si>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</si>
  <si>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</si>
  <si>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</si>
  <si>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</si>
  <si>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</si>
  <si>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</si>
  <si>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</si>
  <si>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</si>
  <si>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End</t>
  </si>
  <si>
    <t>N/A</t>
  </si>
  <si>
    <t>NA</t>
  </si>
  <si>
    <t>Model Legend:</t>
  </si>
  <si>
    <t>Cells where inputs or outputs are not applicable</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</si>
  <si>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</si>
  <si>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</si>
  <si>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</si>
  <si>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</si>
  <si>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Hyperlink</t>
  </si>
  <si>
    <t>Inputs</t>
  </si>
  <si>
    <t>Outputs</t>
  </si>
  <si>
    <t>Appendix</t>
  </si>
  <si>
    <t>Go to Cover Sheet</t>
  </si>
  <si>
    <t>Year</t>
  </si>
  <si>
    <t>Actual</t>
  </si>
  <si>
    <t>Source</t>
  </si>
  <si>
    <t>Unit</t>
  </si>
  <si>
    <t>Basis</t>
  </si>
  <si>
    <t>Timing</t>
  </si>
  <si>
    <t>Nominal</t>
  </si>
  <si>
    <t>LU_Basis</t>
  </si>
  <si>
    <t>Units</t>
  </si>
  <si>
    <t>Percent</t>
  </si>
  <si>
    <t>Dollars</t>
  </si>
  <si>
    <t>Factor</t>
  </si>
  <si>
    <t>$Millions</t>
  </si>
  <si>
    <t>$000's</t>
  </si>
  <si>
    <t>Millions</t>
  </si>
  <si>
    <t>Thousands</t>
  </si>
  <si>
    <t>LU_Units</t>
  </si>
  <si>
    <t>Total</t>
  </si>
  <si>
    <t>Calculated</t>
  </si>
  <si>
    <t>Not Applicable</t>
  </si>
  <si>
    <t>Number</t>
  </si>
  <si>
    <t>Check</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</si>
  <si>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</si>
  <si>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</si>
  <si>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</si>
  <si>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</si>
  <si>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Inputs - Prices</t>
  </si>
  <si>
    <t>Tariff Components</t>
  </si>
  <si>
    <t>Tariff Class</t>
  </si>
  <si>
    <t>LV Residential Accumulation</t>
  </si>
  <si>
    <t>LV &lt;750MWh</t>
  </si>
  <si>
    <t>LV Non-Residential Accumulation</t>
  </si>
  <si>
    <t>LV Unmetered</t>
  </si>
  <si>
    <t>LV Smart Meter</t>
  </si>
  <si>
    <t>HV Smart meter &lt;750MWh</t>
  </si>
  <si>
    <t>HV</t>
  </si>
  <si>
    <t>LV &gt;750MWh</t>
  </si>
  <si>
    <t>HV &gt;750MWh</t>
  </si>
  <si>
    <t>$/month/meter</t>
  </si>
  <si>
    <t>$/day/per NMI</t>
  </si>
  <si>
    <t>Consumption</t>
  </si>
  <si>
    <t>¢/kWh</t>
  </si>
  <si>
    <t>Demand</t>
  </si>
  <si>
    <t>$/kVA</t>
  </si>
  <si>
    <t>LV Smart meter &gt;40MWh</t>
  </si>
  <si>
    <t>PWC</t>
  </si>
  <si>
    <t>NMI-days</t>
  </si>
  <si>
    <t>Meter-month</t>
  </si>
  <si>
    <t>kWh</t>
  </si>
  <si>
    <t>kVA</t>
  </si>
  <si>
    <t>NMI</t>
  </si>
  <si>
    <t>LU_Tariff_Classes</t>
  </si>
  <si>
    <t>LV Unmetered 12hr</t>
  </si>
  <si>
    <t>LV Unmetered 12hr - 24hr</t>
  </si>
  <si>
    <t>LV Smart meter &lt;40MWh</t>
  </si>
  <si>
    <t>LU_Tariff_Assignments</t>
  </si>
  <si>
    <t>Check - Target Value</t>
  </si>
  <si>
    <t>Inputs - Volumes</t>
  </si>
  <si>
    <t>Inputs - Other</t>
  </si>
  <si>
    <t>Dollars_to_Thousands</t>
  </si>
  <si>
    <t>Cents_to_Dollars</t>
  </si>
  <si>
    <t>Item</t>
  </si>
  <si>
    <t>Inflation rate</t>
  </si>
  <si>
    <t>Nominal Vanilla WACC</t>
  </si>
  <si>
    <t xml:space="preserve">Real vanilla WACC </t>
  </si>
  <si>
    <t>Distribution Substations</t>
  </si>
  <si>
    <t>LU_Tariff_Type</t>
  </si>
  <si>
    <t>LV Smart meter</t>
  </si>
  <si>
    <t>Total Revenue</t>
  </si>
  <si>
    <t>Revenue</t>
  </si>
  <si>
    <t>Stand-alone network cost</t>
  </si>
  <si>
    <t>SAC</t>
  </si>
  <si>
    <t>Peak Demand</t>
  </si>
  <si>
    <t>Revenue from DUoS</t>
  </si>
  <si>
    <t>Adjusted annual smoothed revenue (AARt)</t>
  </si>
  <si>
    <t>DMIS adjustments (It)</t>
  </si>
  <si>
    <t>Annual adjustments (Bt)</t>
  </si>
  <si>
    <t>Cost pass through amounts (Ct)</t>
  </si>
  <si>
    <t>Opening balance</t>
  </si>
  <si>
    <t>Interest on opening balance</t>
  </si>
  <si>
    <t>Under/over recovery of revenue for regulatory year</t>
  </si>
  <si>
    <t>Interest on under/over recovery for regulatory year</t>
  </si>
  <si>
    <t>Pass or Fail</t>
  </si>
  <si>
    <t>Output - Charts</t>
  </si>
  <si>
    <t>Tariff</t>
  </si>
  <si>
    <t>Component</t>
  </si>
  <si>
    <t>Power and Water Corporation</t>
  </si>
  <si>
    <t>Pricing Model - Power and Water Corporation</t>
  </si>
  <si>
    <t>This section projects the unders and overs account balance that forms part of the price control mechanism.  Tariffs should be set in a way that seeks to reduce the balance to zero by the end of the relevant tariff compliance year.</t>
  </si>
  <si>
    <t>Account</t>
  </si>
  <si>
    <t>This section compares the revenue forecast for each tariff class and year of the regulatory period against the estimated stand alone and avoidable costs.  If revenue is below stand alone cost or above avoidable cost then the check is failed.</t>
  </si>
  <si>
    <t>If the balance is forecast to be non-zero, then the check is failed.</t>
  </si>
  <si>
    <t>FY</t>
  </si>
  <si>
    <t>Check for errors</t>
  </si>
  <si>
    <t>Summary</t>
  </si>
  <si>
    <t>Tariff Type</t>
  </si>
  <si>
    <t>Below</t>
  </si>
  <si>
    <t>This sheet forecasts stand alone and avoidable costs for each network element and tariff class.</t>
  </si>
  <si>
    <t>Detail</t>
  </si>
  <si>
    <t>Forecast revenue</t>
  </si>
  <si>
    <t>Total revenue</t>
  </si>
  <si>
    <t>This section calculates the stand alone and avoidable network costs by multiplying forecast revenue by two factors.  The first allocates that revenue over the network cost element.  The second identifies the share of costs that could be considered either stand alone or avoidable.</t>
  </si>
  <si>
    <t>Stand alone costs are those that would be incurred if a service provider were only providing services to a given tariff class.  Avoidable costs are those that could be avoided if those services were no longer provided.</t>
  </si>
  <si>
    <t>Forecast Revenue</t>
  </si>
  <si>
    <t>Simplified</t>
  </si>
  <si>
    <t>This section calculates residual costs as the difference between forecast revenue (from the 'Output_Revenue' sheet) and forecast LRMC revenue (from the 'Calc_LRMC_Tariff' sheet).</t>
  </si>
  <si>
    <t>This sheet forecasts residual costs for each tariff and tariff type.  It also calculates the percentage allocation of residual costs across tariffs and tariff types.</t>
  </si>
  <si>
    <t>This section calculates the allocation of residual costs across tariffs and tariff types for each year.</t>
  </si>
  <si>
    <t>LRMC</t>
  </si>
  <si>
    <t>This sheet forecasts long-run marginal costs for each tariff and tariff type.  This is done by multiplying forecast volumes for each tariff and tariff type by the corresponding LRMC tariff.</t>
  </si>
  <si>
    <t>The resulting revenue forecast is referred to as 'LRMC Revenue'.</t>
  </si>
  <si>
    <t>LRMC tariffs are input to the 'Inputs_Other' sheet and calculated in PWC's separate LRMC model.  As those tariffs are in $2019 they are indexed to the to $nominal for each year.</t>
  </si>
  <si>
    <t>= LRMC Revenue</t>
  </si>
  <si>
    <t>Comparison Year:</t>
  </si>
  <si>
    <t>This sheet lets the model user assess both the residual cost and forecast revenue allocation across tariffs for a nominated comparison year.</t>
  </si>
  <si>
    <t>This section inputs assumptions used to estimate stand alone and avoidable cost for each tariff class.</t>
  </si>
  <si>
    <t>Inflation</t>
  </si>
  <si>
    <t>Consumer Price Index</t>
  </si>
  <si>
    <t>Quarter</t>
  </si>
  <si>
    <t>X-Factor</t>
  </si>
  <si>
    <t>X-Factors</t>
  </si>
  <si>
    <t>Rate of return</t>
  </si>
  <si>
    <t>Real vanilla WACC</t>
  </si>
  <si>
    <t>Nominal vanilla WACC</t>
  </si>
  <si>
    <t>Most recent</t>
  </si>
  <si>
    <t>Note: uses the latest X factors available, including from any return on debt updates</t>
  </si>
  <si>
    <t>Note: uses the latest real vanilla WACC available, including from any return on debt updates</t>
  </si>
  <si>
    <t>Note: nominal rate of return updated to reflect actual inflation</t>
  </si>
  <si>
    <t>This section inputs values from relevant network price determinations, including for annual return on debt updates.  The first sub-section inputs inflation inputs.  The second sub-section inputs revenue, X-factor and rate of return values.</t>
  </si>
  <si>
    <t>Annual smoothed revenue requirement</t>
  </si>
  <si>
    <t>Note: set to zero as per Appendix B of Attachment 13 of the Distribution Determination.</t>
  </si>
  <si>
    <t>Revenue deliberately under-recovered in year</t>
  </si>
  <si>
    <t>(A) Revenue from DUoS</t>
  </si>
  <si>
    <t xml:space="preserve">(A minus B plus C) Under/over recovery </t>
  </si>
  <si>
    <r>
      <rPr>
        <i/>
        <sz val="10"/>
        <color theme="1"/>
        <rFont val="Helvetica"/>
      </rPr>
      <t>plus</t>
    </r>
    <r>
      <rPr>
        <sz val="10"/>
        <color theme="1"/>
        <rFont val="Helvetica"/>
        <family val="2"/>
      </rPr>
      <t xml:space="preserve"> (C) Revenue deliberately under-recovered in year</t>
    </r>
  </si>
  <si>
    <t>Constraint</t>
  </si>
  <si>
    <t>Price change</t>
  </si>
  <si>
    <t>Constraint Factor</t>
  </si>
  <si>
    <t>Components</t>
  </si>
  <si>
    <t>Expected revenues for regulatory year t-1</t>
  </si>
  <si>
    <t>Expected revenues for regulatory year t</t>
  </si>
  <si>
    <t>Incentive Scheme Adjustments (I't)</t>
  </si>
  <si>
    <t>Annual Adjustment Factors (B't)</t>
  </si>
  <si>
    <t>Approved Pass Through Amounts (C't)</t>
  </si>
  <si>
    <t>Pricing side constraint factor</t>
  </si>
  <si>
    <t>Note: expected revenues for year t for a given tariff class calculated by multiplying quantities for year t against prices for year t-1 for each component and tariff of that class</t>
  </si>
  <si>
    <t>This section compares the proposed price change for each tariff class and regulatory year against the side constraint.  If the price change is greater than the side constraint, then the check is failed. The side constraint only applies from year 2 of the regulatory period.</t>
  </si>
  <si>
    <t>Check 2: Unders and Overs Account Balance</t>
  </si>
  <si>
    <t>Check 3: Side Constraint</t>
  </si>
  <si>
    <t>Check 4: Stand Alone and Avoidable Costs</t>
  </si>
  <si>
    <r>
      <t xml:space="preserve">The </t>
    </r>
    <r>
      <rPr>
        <b/>
        <sz val="8"/>
        <color theme="4"/>
        <rFont val="Helvetica"/>
      </rPr>
      <t>second</t>
    </r>
    <r>
      <rPr>
        <sz val="8"/>
        <color theme="4"/>
        <rFont val="Helvetica"/>
        <family val="2"/>
      </rPr>
      <t xml:space="preserve"> check is that the projected balance of the unders and overs account is zero for the relevant tariff compliance year.</t>
    </r>
  </si>
  <si>
    <r>
      <t xml:space="preserve">The </t>
    </r>
    <r>
      <rPr>
        <b/>
        <sz val="8"/>
        <color theme="4"/>
        <rFont val="Helvetica"/>
      </rPr>
      <t>third</t>
    </r>
    <r>
      <rPr>
        <sz val="8"/>
        <color theme="4"/>
        <rFont val="Helvetica"/>
        <family val="2"/>
      </rPr>
      <t xml:space="preserve"> check is that the project revenue for each tariff class does not increase by more than the side constraint.</t>
    </r>
  </si>
  <si>
    <r>
      <t xml:space="preserve">The </t>
    </r>
    <r>
      <rPr>
        <b/>
        <sz val="8"/>
        <color theme="4"/>
        <rFont val="Helvetica"/>
      </rPr>
      <t>fourth</t>
    </r>
    <r>
      <rPr>
        <sz val="8"/>
        <color theme="4"/>
        <rFont val="Helvetica"/>
        <family val="2"/>
      </rPr>
      <t xml:space="preserve"> check is that projected revenue for each of the three tariff classes falls between stand alone and avoidable costs.</t>
    </r>
  </si>
  <si>
    <t>This sheet tests whether the projected revenue satisfies four checks.</t>
  </si>
  <si>
    <t>Overall</t>
  </si>
  <si>
    <t>Total MAR</t>
  </si>
  <si>
    <t>Check 1: Maximum Allowable Revenue</t>
  </si>
  <si>
    <r>
      <t xml:space="preserve">The </t>
    </r>
    <r>
      <rPr>
        <b/>
        <sz val="8"/>
        <color theme="4"/>
        <rFont val="Helvetica"/>
      </rPr>
      <t>first</t>
    </r>
    <r>
      <rPr>
        <sz val="8"/>
        <color theme="4"/>
        <rFont val="Helvetica"/>
        <family val="2"/>
      </rPr>
      <t xml:space="preserve"> check is that the forecast revenue does not exceed the maximum allowable revenue for the relevant tariff compliance year.</t>
    </r>
  </si>
  <si>
    <t/>
  </si>
  <si>
    <t>$/kWh</t>
  </si>
  <si>
    <t>Price</t>
  </si>
  <si>
    <t>Non-Residential Accumulation Meter (30,000 kWh pa)</t>
  </si>
  <si>
    <t>Small Residential - average energy - Smart Meter (8500 kWh pa)</t>
  </si>
  <si>
    <t>Small Residential - average energy - Accumulation Meter (8500 kWh pa)</t>
  </si>
  <si>
    <t>%</t>
  </si>
  <si>
    <t>$</t>
  </si>
  <si>
    <t>Avoidable cost</t>
  </si>
  <si>
    <t>Revenue and cost measures</t>
  </si>
  <si>
    <t>Value</t>
  </si>
  <si>
    <t>¢/day/NMI</t>
  </si>
  <si>
    <t xml:space="preserve">Real </t>
  </si>
  <si>
    <t>T1: Residential Tariff</t>
  </si>
  <si>
    <t>T2: Non-Residential Tariff</t>
  </si>
  <si>
    <t>T3: LV Smart meter Tariff</t>
  </si>
  <si>
    <t>T6: HV Minors Tariff</t>
  </si>
  <si>
    <t>T5: LV Majors Tariff</t>
  </si>
  <si>
    <t>T7: HV Majors Tariff</t>
  </si>
  <si>
    <t>T4: Unmetered Tariff</t>
  </si>
  <si>
    <t>Power and Water Corporation (PWC) - Network Pricing Model</t>
  </si>
  <si>
    <t>No Errors Found</t>
  </si>
  <si>
    <t xml:space="preserve">This sheet inputs volumes by tariff type.  The units vary across the types. </t>
  </si>
  <si>
    <t>The purpose of this model is to assesses tariffs applicable to Power and Water Corporation customers and demonstrate compliance with AER requirements.</t>
  </si>
  <si>
    <t>Index (Weighted Average for the eight capital cities)</t>
  </si>
  <si>
    <t>This sheet forecasts revenue by tariff type, calculated by multiplying forecast prices by forecast volumes from the 'Inputs_Prices' and 'Inputs_Volumes' sheets.</t>
  </si>
  <si>
    <t>This sheet outputs forecast revenue by tariff type and tariff assignment.  This is useful to understand how revenue has and is projected to change over time.</t>
  </si>
  <si>
    <t>Note: uses actual inflation where available and forecast inflation from the Distribution Determination where not.</t>
  </si>
  <si>
    <t>Estimate</t>
  </si>
  <si>
    <t>LU_Revenue_Input</t>
  </si>
  <si>
    <t>No Input</t>
  </si>
  <si>
    <t>No_Input</t>
  </si>
  <si>
    <t>Note: actual or estimated revenue is used where input in the 'Inputs_Other' sheet, otherwise calculated revenues from the 'Output_Revenue' sheet are used.</t>
  </si>
  <si>
    <t>Opening unders and overs account balance from prior period</t>
  </si>
  <si>
    <t>Adjusted annual smoothed revenue (AARt) from prior period</t>
  </si>
  <si>
    <t>Parameter</t>
  </si>
  <si>
    <t>NMIs</t>
  </si>
  <si>
    <t xml:space="preserve"> </t>
  </si>
  <si>
    <t>Proposed</t>
  </si>
  <si>
    <t>Note: Unable to project a zero balance in outer two years due to maintaining compliance with side constraints</t>
  </si>
  <si>
    <t>Note: the I't, B't, and C't have been calculated by dividing the incremental change in It, Bt and Ct revenues from year t-1 to t by expected revenues for regulatory year t-1 (based on year t quantities).</t>
  </si>
  <si>
    <t>Note: alternative approaches may be consistent with how these terms are described in the side constraint formula included with the AER's draft decision.</t>
  </si>
  <si>
    <t>.</t>
  </si>
  <si>
    <t>Note: Approved Bt factors are from prior approved pricing proposals</t>
  </si>
  <si>
    <t>Note: previously approved Bt terms are used for years prior to the current tariff compliance year</t>
  </si>
  <si>
    <t>Real $2022</t>
  </si>
  <si>
    <t>Real $2023</t>
  </si>
  <si>
    <t>Real $2024</t>
  </si>
  <si>
    <t>Real2022</t>
  </si>
  <si>
    <t>Real2023</t>
  </si>
  <si>
    <t>Real2024</t>
  </si>
  <si>
    <t>Residential Accumulation</t>
  </si>
  <si>
    <t>Non-Residential Accumulation</t>
  </si>
  <si>
    <t>LV Smart Meter - Res</t>
  </si>
  <si>
    <t>LV Smart Meter - Small Comm</t>
  </si>
  <si>
    <t>LV Smart Meter - Med Comm</t>
  </si>
  <si>
    <t>Unmetered</t>
  </si>
  <si>
    <t>LV Majors</t>
  </si>
  <si>
    <t>HV Smart Meters</t>
  </si>
  <si>
    <t>Super Users</t>
  </si>
  <si>
    <t>Days</t>
  </si>
  <si>
    <t>MWh_to_kWh</t>
  </si>
  <si>
    <t>kW</t>
  </si>
  <si>
    <t>$/kW</t>
  </si>
  <si>
    <t>Voltage Level</t>
  </si>
  <si>
    <t>LV</t>
  </si>
  <si>
    <t>ST</t>
  </si>
  <si>
    <t>LU_Voltage_Level</t>
  </si>
  <si>
    <t>Power Factor</t>
  </si>
  <si>
    <t>Note: The Power Factor assumptions are the same as those adopted for the 2019-24 period.</t>
  </si>
  <si>
    <t>Note: Forecast coincident demand in kW is converted to kVA by dividing by the assumed power factor.</t>
  </si>
  <si>
    <t>MW_to_kW</t>
  </si>
  <si>
    <t>MW</t>
  </si>
  <si>
    <t>Forecast Inflation (proposed)</t>
  </si>
  <si>
    <t>2025-26 update</t>
  </si>
  <si>
    <t>2026-27 update</t>
  </si>
  <si>
    <t>2027-28 update</t>
  </si>
  <si>
    <t>2028-29 update</t>
  </si>
  <si>
    <t>The fourth sub-section inputs annual adjustments (if any).  And the fifth sub-section inputs revenue and other inputs used to set up the unders and overs account (where needed).</t>
  </si>
  <si>
    <t>LU_Tariffs</t>
  </si>
  <si>
    <t>This section inputs assumptions used to allocate residual revenue (i.e., the difference between smoothed revenue and LRMC revenue) to charging parameters.</t>
  </si>
  <si>
    <t>Anytime Energy Price</t>
  </si>
  <si>
    <t>Peak Energy</t>
  </si>
  <si>
    <t>Off-peak Energy</t>
  </si>
  <si>
    <t>Super Off-peak Energy</t>
  </si>
  <si>
    <t>Anytime Energy</t>
  </si>
  <si>
    <t>On-Season Demand</t>
  </si>
  <si>
    <t>Off-Season Demand</t>
  </si>
  <si>
    <t>Complex</t>
  </si>
  <si>
    <t>FY25</t>
  </si>
  <si>
    <t>T1: Residential Accumulation</t>
  </si>
  <si>
    <t>T2: Non-Residential Accumulation</t>
  </si>
  <si>
    <t>T3a: LV Smart Meter - Res</t>
  </si>
  <si>
    <t>T3b: LV Smart Meter - Small Comm</t>
  </si>
  <si>
    <t>T3c: LV Smart Meter - Med Comm</t>
  </si>
  <si>
    <t>T4: Unmetered</t>
  </si>
  <si>
    <t>T5: LV Majors</t>
  </si>
  <si>
    <t>T6: HV Smart Meters</t>
  </si>
  <si>
    <t>T7: Super Users</t>
  </si>
  <si>
    <t>Revenue Share</t>
  </si>
  <si>
    <t>Residential</t>
  </si>
  <si>
    <t>Commercial</t>
  </si>
  <si>
    <t>Revenue Allocation</t>
  </si>
  <si>
    <t>Allocator</t>
  </si>
  <si>
    <t>LRMC revenue</t>
  </si>
  <si>
    <t>Cost ($/kWh)</t>
  </si>
  <si>
    <t>T1</t>
  </si>
  <si>
    <t>T3a</t>
  </si>
  <si>
    <t>T2</t>
  </si>
  <si>
    <t>T3b</t>
  </si>
  <si>
    <t>T3c</t>
  </si>
  <si>
    <t>T4</t>
  </si>
  <si>
    <t>T5</t>
  </si>
  <si>
    <t>T6</t>
  </si>
  <si>
    <t>T7</t>
  </si>
  <si>
    <t>Inputs - LRMC</t>
  </si>
  <si>
    <t>This sheet inputs various values used in the model to calculate the LRMC by voltage level.</t>
  </si>
  <si>
    <t>Expenditure</t>
  </si>
  <si>
    <t>This section inputs the capital and operating expenditure forecasts used to calculate LRMC.</t>
  </si>
  <si>
    <t>Subtransmission Substations, Switching Stations, Zone Substations</t>
  </si>
  <si>
    <t>Subtransmission Lines</t>
  </si>
  <si>
    <t>HV Feeders</t>
  </si>
  <si>
    <t>HV Feeders - Land Purchases and Easements</t>
  </si>
  <si>
    <t>Distribution Substations - Land Purchases and Easements</t>
  </si>
  <si>
    <t>LV Feeders</t>
  </si>
  <si>
    <t>LV Feeders - Land Purchases and Easements</t>
  </si>
  <si>
    <t>Other Assets</t>
  </si>
  <si>
    <t>Voltage</t>
  </si>
  <si>
    <t>Other</t>
  </si>
  <si>
    <t>Darwin - Hudson Creek Spare 132kV Transformer</t>
  </si>
  <si>
    <t>Install ZSS Reactors</t>
  </si>
  <si>
    <t>Design and planning projects</t>
  </si>
  <si>
    <t>Catch all for actual expenditure</t>
  </si>
  <si>
    <t>Locks and security</t>
  </si>
  <si>
    <t>PRK31430</t>
  </si>
  <si>
    <t>PRD33230</t>
  </si>
  <si>
    <t>PRJ009</t>
  </si>
  <si>
    <t>NDP</t>
  </si>
  <si>
    <t>Catch-all</t>
  </si>
  <si>
    <t>CGT07</t>
  </si>
  <si>
    <t>Katherine Voltage Rectification</t>
  </si>
  <si>
    <t>PRJ015</t>
  </si>
  <si>
    <t>Tindal Zone Substation and feeder reinforcement</t>
  </si>
  <si>
    <t>Project Code</t>
  </si>
  <si>
    <t>Note: This expenditure data is unescalated (i.e., no labour escalation) in Real$2022.</t>
  </si>
  <si>
    <t>Various</t>
  </si>
  <si>
    <t>This section inputs the demand forecasts used to calculate LRMC.</t>
  </si>
  <si>
    <t>By Category</t>
  </si>
  <si>
    <t>Breakdown of substation category by project</t>
  </si>
  <si>
    <t>Note: Broken down below in Real$2022.</t>
  </si>
  <si>
    <t>Asset Class</t>
  </si>
  <si>
    <t>Asset Category</t>
  </si>
  <si>
    <t>Poles</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</si>
  <si>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</si>
  <si>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</si>
  <si>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</si>
  <si>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</si>
  <si>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</si>
  <si>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</si>
  <si>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</si>
  <si>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</si>
  <si>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</si>
  <si>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</si>
  <si>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</si>
  <si>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</si>
  <si>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</si>
  <si>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</si>
  <si>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</si>
  <si>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</si>
  <si>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</si>
  <si>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</si>
  <si>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PoleTop</t>
  </si>
  <si>
    <t>˂ = 1 kV</t>
  </si>
  <si>
    <t>&gt; 1 kV &amp; &lt; = 11 kV</t>
  </si>
  <si>
    <t>˃ 11 kV &amp; &lt; = 22 kV</t>
  </si>
  <si>
    <t>&gt; 22 kV &amp; &lt; = 66 kV</t>
  </si>
  <si>
    <t>&gt; 66 kV &amp; &lt; = 132 kV</t>
  </si>
  <si>
    <t>&gt; 132 kV</t>
  </si>
  <si>
    <t>Staking Wooden Poles</t>
  </si>
  <si>
    <t>˂ = 1 Kv</t>
  </si>
  <si>
    <t>Overhead Conductors</t>
  </si>
  <si>
    <t>˃ 11 kV &amp; &lt; = 22 kV  ; SWER</t>
  </si>
  <si>
    <t>˃ 11 kV &amp; &lt; = 22 kV ; Single-Phase</t>
  </si>
  <si>
    <t>˃ 11 kV &amp; &lt; = 22 kV ; Multiple-Phase</t>
  </si>
  <si>
    <t>Underground Cables</t>
  </si>
  <si>
    <t>&gt; 11 kV &amp; &lt; = 22 kV</t>
  </si>
  <si>
    <t>&gt; 22 kV &amp; &lt; = 33 kV</t>
  </si>
  <si>
    <t>&gt; 33 kV &amp; &lt; = 66 kV</t>
  </si>
  <si>
    <t>&gt;  132 kV</t>
  </si>
  <si>
    <t>Service Lines</t>
  </si>
  <si>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</si>
  <si>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</si>
  <si>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</si>
  <si>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</si>
  <si>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</si>
  <si>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</si>
  <si>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</si>
  <si>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</si>
  <si>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</si>
  <si>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</si>
  <si>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</si>
  <si>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</si>
  <si>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</si>
  <si>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</si>
  <si>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</si>
  <si>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t>Transformers</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</si>
  <si>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</si>
  <si>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</si>
  <si>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</si>
  <si>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</si>
  <si>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</si>
  <si>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</si>
  <si>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</si>
  <si>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</si>
  <si>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</si>
  <si>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</si>
  <si>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</si>
  <si>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</si>
  <si>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</si>
  <si>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</si>
  <si>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</si>
  <si>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</si>
  <si>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</si>
  <si>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</si>
  <si>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</si>
  <si>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</si>
  <si>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</si>
  <si>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</si>
  <si>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</si>
  <si>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</si>
  <si>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</si>
  <si>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</si>
  <si>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</si>
  <si>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</si>
  <si>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t>Switchgear</t>
  </si>
  <si>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</si>
  <si>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</si>
  <si>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</si>
  <si>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</si>
  <si>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</si>
  <si>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</si>
  <si>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</si>
  <si>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</si>
  <si>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</si>
  <si>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</si>
  <si>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</si>
  <si>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</si>
  <si>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</si>
  <si>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t>Public Lighting</t>
  </si>
  <si>
    <t>Luminaires ;  Major Road</t>
  </si>
  <si>
    <t>Luminaires ;  Minor Road</t>
  </si>
  <si>
    <t>Brackets ; Major Road</t>
  </si>
  <si>
    <t>Brackets ; Minor Road</t>
  </si>
  <si>
    <t>Lamps ; Major Road</t>
  </si>
  <si>
    <t>Lamps ; Minor Road</t>
  </si>
  <si>
    <t>Poles / Columns ; Major Road</t>
  </si>
  <si>
    <t>Poles / Columns ; Minor Road</t>
  </si>
  <si>
    <t>SCADA, NETWORK CONTROL AND PROTECTION SYSTEMS</t>
  </si>
  <si>
    <t>Field Devices</t>
  </si>
  <si>
    <t>Local Network Wiring Assets</t>
  </si>
  <si>
    <t>Communications Network Assets</t>
  </si>
  <si>
    <t>Master Station Assets</t>
  </si>
  <si>
    <t>Communications Site Infrastructure</t>
  </si>
  <si>
    <t>Communications Linear Assets</t>
  </si>
  <si>
    <t>AFLC</t>
  </si>
  <si>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</si>
  <si>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</si>
  <si>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</si>
  <si>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</si>
  <si>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</si>
  <si>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</si>
  <si>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</si>
  <si>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</si>
  <si>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</si>
  <si>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</si>
  <si>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</si>
  <si>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</si>
  <si>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</si>
  <si>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</si>
  <si>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</si>
  <si>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</si>
  <si>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Opex as Proportion of Capex</t>
  </si>
  <si>
    <t>Growth-Related  Repex</t>
  </si>
  <si>
    <t>Valuation</t>
  </si>
  <si>
    <t>This section inputs the valuation assumptions used to estimate long run marginal cost.</t>
  </si>
  <si>
    <t>Time Horizon (years)</t>
  </si>
  <si>
    <t>Years</t>
  </si>
  <si>
    <t>Average Asset Lifetime (Years)</t>
  </si>
  <si>
    <t>Discount rate (real vanilla WACC)</t>
  </si>
  <si>
    <t>Calculation</t>
  </si>
  <si>
    <t>Source for power factor: PWC, 11.11CP - Regulatory Determination Workbooks – Consolidated, 2018, Table 3.4.3.5</t>
  </si>
  <si>
    <t>Power Factor (%)</t>
  </si>
  <si>
    <t xml:space="preserve">This calculates the long-run marginal costs </t>
  </si>
  <si>
    <t>Note: This is calculated as the average WACC proposed for the 2024-29 period.</t>
  </si>
  <si>
    <t>Note: values in this section left blank for now. Expect to update as part of the annual pricing proposal process.</t>
  </si>
  <si>
    <t>This section inputs the data needed to translate the LRMC by voltage level into LRMC revenue for each tariff.</t>
  </si>
  <si>
    <t>This sheet inputs various values used in the model to calculate stand alone costs, avoidable costs, and residual costs, and to LRMC revenue for each tariff.</t>
  </si>
  <si>
    <t>Opex</t>
  </si>
  <si>
    <t>Augex</t>
  </si>
  <si>
    <t>Repex</t>
  </si>
  <si>
    <t>LRMC ($/kW/Year)</t>
  </si>
  <si>
    <t>LRMC ($/kVA/Year)</t>
  </si>
  <si>
    <t>3a</t>
  </si>
  <si>
    <t>3b</t>
  </si>
  <si>
    <t>3c</t>
  </si>
  <si>
    <t>$/day/NMI</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</si>
  <si>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</si>
  <si>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</si>
  <si>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</si>
  <si>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</si>
  <si>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</si>
  <si>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controlled load customer charges</t>
  </si>
  <si>
    <t>Revenue from unmetered supplies</t>
  </si>
  <si>
    <t>Revenue from Contracted Maximum Demand charges</t>
  </si>
  <si>
    <t>Revenue from Measured Maximum Demand charges</t>
  </si>
  <si>
    <t>Revenue from metering charges</t>
  </si>
  <si>
    <t>Revenue from connection charges</t>
  </si>
  <si>
    <t>Revenue from public lighting charges</t>
  </si>
  <si>
    <t>Revenue from other Sources</t>
  </si>
  <si>
    <t>Overview</t>
  </si>
  <si>
    <t>3.1.1 - Revenue grouping by chargeable quantity</t>
  </si>
  <si>
    <t>RIN Category (Table 3.1.1)</t>
  </si>
  <si>
    <t>3.1.2 - Revenue grouping by customer type or class</t>
  </si>
  <si>
    <t xml:space="preserve">Revenue from residential Customers </t>
  </si>
  <si>
    <t xml:space="preserve">Revenue from Non residential customers not on demand tariffs </t>
  </si>
  <si>
    <t xml:space="preserve">Revenue from Non-residential low voltage demand tariff customers </t>
  </si>
  <si>
    <t xml:space="preserve">Revenue from Non-residential high voltage demand tariff customers </t>
  </si>
  <si>
    <t>Revenue from Other Customers</t>
  </si>
  <si>
    <t>RIN Category (Table 3.1.2)</t>
  </si>
  <si>
    <t>Grouping</t>
  </si>
  <si>
    <t>Energy Delivery where time of use is not a determinant</t>
  </si>
  <si>
    <t>Energy Delivery at On-peak times</t>
  </si>
  <si>
    <t xml:space="preserve">Energy Delivery at Shoulder times </t>
  </si>
  <si>
    <t>Energy Delivery at Off-peak times</t>
  </si>
  <si>
    <t>Controlled load energy deliveries</t>
  </si>
  <si>
    <t>Energy Delivery to unmetered supplies</t>
  </si>
  <si>
    <t>GWh</t>
  </si>
  <si>
    <t>GWh_to_MWh</t>
  </si>
  <si>
    <t>RIN Category (Table 3.4.1.1)</t>
  </si>
  <si>
    <t>3.4.1.4 - Energy grouping  by customer type or class</t>
  </si>
  <si>
    <t>3.4.1.1 - Energy grouping by delivery by chargeable quantity</t>
  </si>
  <si>
    <t>Residential customers energy deliveries</t>
  </si>
  <si>
    <t>Non residential customers not on demand tariffs energy deliveries</t>
  </si>
  <si>
    <t>Non-residential low voltage demand tariff customers energy deliveries</t>
  </si>
  <si>
    <t>Non-residential high voltage demand tariff customers energy deliveries</t>
  </si>
  <si>
    <t>Other Customer Class Energy Deliveries</t>
  </si>
  <si>
    <t>RIN Category (Table 3.4.1.4)</t>
  </si>
  <si>
    <t>Inputs - FY23 and FY24</t>
  </si>
  <si>
    <t>This sheet inputs actual and estimated prices and volumes for tariffs that apply in FY23 and FY24. This data is used to assess cross-period bill impacts and to populate RIN outputs for those years.</t>
  </si>
  <si>
    <t>FY23</t>
  </si>
  <si>
    <t>FY24</t>
  </si>
  <si>
    <t>Volume</t>
  </si>
  <si>
    <t>Anytime Demand</t>
  </si>
  <si>
    <t>This section inputs actual and estimated prices and volumes for tariffs that apply in FY23 and FY24.</t>
  </si>
  <si>
    <t>This section inputs assumptions relevant to FY23 and FY24</t>
  </si>
  <si>
    <t>Customer Type</t>
  </si>
  <si>
    <t>Non-Residential</t>
  </si>
  <si>
    <t>Real 2024 (End Period) to Nominal (End Period)</t>
  </si>
  <si>
    <t>Real 2024 (End Period) to Nominal (Mid Period)</t>
  </si>
  <si>
    <t>This sheet outputs the revenue and volume forecasts to be input to the Reset RIN.</t>
  </si>
  <si>
    <t>Table 3.1: Stand alone and avoidable costs in 2024-25 ($million, real 2023-24)</t>
  </si>
  <si>
    <t>LV 0&lt;750 MWh</t>
  </si>
  <si>
    <t>Stand alone cost</t>
  </si>
  <si>
    <t>Forecast 2024-25 revenue</t>
  </si>
  <si>
    <t>Proposed revenue lies between standalone and avoidable cost?</t>
  </si>
  <si>
    <t>Table 3.2: How different expenditures contributed to our long run marginal cost of peak demand at each voltage level ($/kVA, real 2023-24)</t>
  </si>
  <si>
    <t>LRMC at Voltage Level</t>
  </si>
  <si>
    <t>Growth Capital Expenditure</t>
  </si>
  <si>
    <t>Replacement Capital Expenditure</t>
  </si>
  <si>
    <t>Growth Operating Expenditure</t>
  </si>
  <si>
    <t>Total LRMC at voltage level</t>
  </si>
  <si>
    <t>Low Voltage</t>
  </si>
  <si>
    <t>High Voltage</t>
  </si>
  <si>
    <t>Figure 3.2: Residual cost recovery shares by tariff and tariff charging parameters for the 2024-25 year</t>
  </si>
  <si>
    <t>Figure 3.4: Residential customer bill impact analysis (%)</t>
  </si>
  <si>
    <t>Figure 3.5: Large user customer bill impact analysis (Tariff 5)</t>
  </si>
  <si>
    <t>Figure 3.6: Large user customer bill impact analysis (Tariff 6)</t>
  </si>
  <si>
    <t>Figure 3.7: Large user customer bill impact analysis (Tariff 7)</t>
  </si>
  <si>
    <t>Description</t>
  </si>
  <si>
    <t>2024/25 (Year 1)</t>
  </si>
  <si>
    <t>2028/29 (Year 5)</t>
  </si>
  <si>
    <t>Network bill ($)</t>
  </si>
  <si>
    <t>Network bill impact</t>
  </si>
  <si>
    <r>
      <t>Network component of residential bill</t>
    </r>
    <r>
      <rPr>
        <b/>
        <vertAlign val="superscript"/>
        <sz val="11"/>
        <color rgb="FFFFFFFF"/>
        <rFont val="Calibri"/>
        <family val="2"/>
      </rPr>
      <t>1</t>
    </r>
  </si>
  <si>
    <r>
      <t>Increase in total retail invoice</t>
    </r>
    <r>
      <rPr>
        <b/>
        <vertAlign val="superscript"/>
        <sz val="11"/>
        <color rgb="FFFFFFFF"/>
        <rFont val="Calibri"/>
        <family val="2"/>
      </rPr>
      <t>2</t>
    </r>
  </si>
  <si>
    <t>2023/24</t>
  </si>
  <si>
    <t>2024/25</t>
  </si>
  <si>
    <t>Residential accumulation</t>
  </si>
  <si>
    <r>
      <t>EPO</t>
    </r>
    <r>
      <rPr>
        <vertAlign val="superscript"/>
        <sz val="11"/>
        <color rgb="FF000000"/>
        <rFont val="Calibri"/>
        <family val="2"/>
      </rPr>
      <t>3</t>
    </r>
  </si>
  <si>
    <t>Non-residential accumulation</t>
  </si>
  <si>
    <r>
      <t>EPO</t>
    </r>
    <r>
      <rPr>
        <vertAlign val="superscript"/>
        <sz val="11"/>
        <color theme="1"/>
        <rFont val="Calibri"/>
        <family val="2"/>
      </rPr>
      <t>3</t>
    </r>
  </si>
  <si>
    <t>Residential 0-160MWh</t>
  </si>
  <si>
    <t>Non-residential 0-160MWh</t>
  </si>
  <si>
    <t>Smart meter 160-750MWh</t>
  </si>
  <si>
    <t>HV &lt;10,000MWh</t>
  </si>
  <si>
    <t>Super users</t>
  </si>
  <si>
    <t>Table A.1: Indicative prices (ex GST, Real 2024)</t>
  </si>
  <si>
    <t>Indicative rates</t>
  </si>
  <si>
    <t>2025/26</t>
  </si>
  <si>
    <t>2026/27</t>
  </si>
  <si>
    <t>2027/28</t>
  </si>
  <si>
    <t>2028/29</t>
  </si>
  <si>
    <t>SAC Price ($/NMI/day)</t>
  </si>
  <si>
    <t>Energy Price ($/kWh)</t>
  </si>
  <si>
    <t>Peak Price ($/kWh)</t>
  </si>
  <si>
    <t>Off-peak Price  ($/kWh)</t>
  </si>
  <si>
    <t>Super Off-peak Price  ($/kWh)</t>
  </si>
  <si>
    <t>LV Smart Meter - Large Comm</t>
  </si>
  <si>
    <t>Unmetered Supply</t>
  </si>
  <si>
    <t>On-Season Peak Period Price ($/kVA/month)</t>
  </si>
  <si>
    <t>Off-Season Peak Period Price  ($/kVA/month)</t>
  </si>
  <si>
    <t>HV Super Users</t>
  </si>
  <si>
    <t> Tariff</t>
  </si>
  <si>
    <t>LRMC target</t>
  </si>
  <si>
    <t>Peak kWh</t>
  </si>
  <si>
    <t>Wet MD</t>
  </si>
  <si>
    <t>Dry MD</t>
  </si>
  <si>
    <t>Anytime kWh</t>
  </si>
  <si>
    <t>Daily charge</t>
  </si>
  <si>
    <t>Compliant?</t>
  </si>
  <si>
    <t>Thousands_to_Millions</t>
  </si>
  <si>
    <t>Table 2.2 Tariffs reflect LRMC compliance check in 2024-25 ($million, real 2023-24)</t>
  </si>
  <si>
    <t>Note: the anytime kWh revenue for unmetered supply tariff is set to zero given that there is no daily charge</t>
  </si>
  <si>
    <t>Figure 5.2: Business customer bill impact analysis of Tariff 2 vs 3b</t>
  </si>
  <si>
    <t>This sheet inputs tariffs by tariff type.  The units vary across the types.  All tariffs are in $nominal.</t>
  </si>
  <si>
    <t>Tariff 1</t>
  </si>
  <si>
    <t>Tariff 2</t>
  </si>
  <si>
    <t>Tariff 3a</t>
  </si>
  <si>
    <t>Tariff 3b</t>
  </si>
  <si>
    <t>Tariff 3c</t>
  </si>
  <si>
    <t>Tariff 4</t>
  </si>
  <si>
    <t>Tariff 6</t>
  </si>
  <si>
    <t>Tariff 7</t>
  </si>
  <si>
    <t>Tariff 5</t>
  </si>
  <si>
    <t>FY24 Tariff</t>
  </si>
  <si>
    <t>FY25-29 Tariff</t>
  </si>
  <si>
    <t>Non-Residential Smart Meter (30,000 kWh pa)</t>
  </si>
  <si>
    <t xml:space="preserve">Non-Residential Smart Meter </t>
  </si>
  <si>
    <t>Non-Residential Smart Meter (LV)</t>
  </si>
  <si>
    <t>Small Industrial (HV)</t>
  </si>
  <si>
    <t>Medium Industrial (HV)</t>
  </si>
  <si>
    <t>Large Industrial (HV)</t>
  </si>
  <si>
    <t xml:space="preserve">Super User </t>
  </si>
  <si>
    <t>Days per year ►</t>
  </si>
  <si>
    <t>Assumed consumption (kWh)</t>
  </si>
  <si>
    <t>Energy Consumption Allocators</t>
  </si>
  <si>
    <t>Monthly Max Demand (kVA)</t>
  </si>
  <si>
    <t>Demand Allocators</t>
  </si>
  <si>
    <t>YoY % Impact</t>
  </si>
  <si>
    <t>Figure 3.3: Residential customer bill impact analysis ($ per year, Nominal)</t>
  </si>
  <si>
    <t>Table 3.3: Movement in customers’ network bills 2023-24 to 2024-25 (excluding GST, Nominal)</t>
  </si>
  <si>
    <t>Network component of residential bill</t>
  </si>
  <si>
    <t>Customer Number</t>
  </si>
  <si>
    <t>Bill Impact</t>
  </si>
  <si>
    <t>Revenue increase + CPI</t>
  </si>
  <si>
    <t>Figure 11.1: Major customer impact - All LV and HV above 750 MWh</t>
  </si>
  <si>
    <t>7.7.1 - Inputs to LRMC calculation - Standard control services - Capex</t>
  </si>
  <si>
    <t>7.7.2 - Inputs to LRMC calculation - Standard control services - Opex</t>
  </si>
  <si>
    <t>7.7.3 - Inputs to LRMC calculation - Standard control services - Demand</t>
  </si>
  <si>
    <t>Replacement expenditure</t>
  </si>
  <si>
    <t>Connections</t>
  </si>
  <si>
    <t>Augmentation Expenditure</t>
  </si>
  <si>
    <t>Non-network</t>
  </si>
  <si>
    <t>Export services</t>
  </si>
  <si>
    <t>Capitalised network overheads</t>
  </si>
  <si>
    <t>Capitalised corporate overheads</t>
  </si>
  <si>
    <t>High-voltage network</t>
  </si>
  <si>
    <t>Sub-transmission network</t>
  </si>
  <si>
    <t>Low-voltage network</t>
  </si>
  <si>
    <t>Total capital expenditure</t>
  </si>
  <si>
    <t>Total operating expenditure</t>
  </si>
  <si>
    <t>PWC / Energeia</t>
  </si>
  <si>
    <t>System Forecast (PoE 10%)</t>
  </si>
  <si>
    <t>This section calculates the incremental demand by voltage level.  The section starts with aggregate peak demand for the network, before disaggregating it across voltage levels and calculating the increment change in demand for each level.</t>
  </si>
  <si>
    <t>Darwin Katherine</t>
  </si>
  <si>
    <t>Alice Springs</t>
  </si>
  <si>
    <t>Tennant Creek</t>
  </si>
  <si>
    <t>System Peak Demand Allocation Factors</t>
  </si>
  <si>
    <t>Distribution Loss Factors</t>
  </si>
  <si>
    <t>Source: AEMO, Distribution Loss Factors for the 2020/21 Financial Year, 2020</t>
  </si>
  <si>
    <t>PWC / AEMO</t>
  </si>
  <si>
    <t>This section calculates the incremental capital and operating expenditure by voltage level.  The section starts with a summary, before looking through augmentation expenditure and replacement expenditure separately.</t>
  </si>
  <si>
    <t>Share Excluding Other</t>
  </si>
  <si>
    <t>Inflation - Actual and forecast</t>
  </si>
  <si>
    <t>Total LRMC Revenue</t>
  </si>
  <si>
    <t>Annual usage per customer</t>
  </si>
  <si>
    <t>Single Rate Tariff</t>
  </si>
  <si>
    <t>TOU Tariff</t>
  </si>
  <si>
    <t>Residential customer</t>
  </si>
  <si>
    <t>Small business customer</t>
  </si>
  <si>
    <t>Typical annual electricity bill</t>
  </si>
  <si>
    <t>C. Distribution costs as a proportion of a typical customer's electricity bill</t>
  </si>
  <si>
    <t>Note: have treated nominal in 2023-24 as Real 2023-24 for the purposes of populating the Reset RIN Workbook 5</t>
  </si>
  <si>
    <t>Table of contents</t>
  </si>
  <si>
    <t>Price inputs by tariff type</t>
  </si>
  <si>
    <t>System access charge</t>
  </si>
  <si>
    <t>Volume inputs by tariff type</t>
  </si>
  <si>
    <t>LRMC inputs</t>
  </si>
  <si>
    <t>Forecasting assumptions</t>
  </si>
  <si>
    <t>Augmentation expenditure</t>
  </si>
  <si>
    <t>Incremental system non-coincidental max. demand (Sum of region max. demands) (MW)</t>
  </si>
  <si>
    <t>System rorecast (PoE 10%) by region</t>
  </si>
  <si>
    <t>FY23 and FY24 inputs</t>
  </si>
  <si>
    <t>Prices and volumes</t>
  </si>
  <si>
    <t>Allocation of LV smart meter tariff across Residential and Non-Residential</t>
  </si>
  <si>
    <t>Unbilled energy delivered (used to populate RIN)</t>
  </si>
  <si>
    <t>Stand-alone cost inputs</t>
  </si>
  <si>
    <t>Other inputs</t>
  </si>
  <si>
    <t>Determination values</t>
  </si>
  <si>
    <t>Annual smoothed revenue requirement, X-factors, Real Vanilla WACC and side constraint</t>
  </si>
  <si>
    <t>Annual adjustments</t>
  </si>
  <si>
    <t>Unders and overs account inputs</t>
  </si>
  <si>
    <t>LRMC revenue inputs</t>
  </si>
  <si>
    <t>Voltage level and power factor by tariff</t>
  </si>
  <si>
    <t>Coincident demand</t>
  </si>
  <si>
    <t>Allocation of residual revenue</t>
  </si>
  <si>
    <t>Stand-alone and Avoidable cost inputs</t>
  </si>
  <si>
    <t>Avoidable cost inputs</t>
  </si>
  <si>
    <t>Calculation - Cost of supply - Revenue</t>
  </si>
  <si>
    <t>Forecast revenue by tariff type</t>
  </si>
  <si>
    <t>Calculation - Avoidable and stand-alone cost</t>
  </si>
  <si>
    <t>Avoidable and stand-alone cost</t>
  </si>
  <si>
    <t>Inflation adjustment</t>
  </si>
  <si>
    <t>Avoidable network cost</t>
  </si>
  <si>
    <t>Calculation - Long run marginal cost (LRMC)</t>
  </si>
  <si>
    <t>Long run marginal cost</t>
  </si>
  <si>
    <t>NPV by voltage level</t>
  </si>
  <si>
    <t>Incremental expenditure ($000's)</t>
  </si>
  <si>
    <t>Revenue allocators (%)</t>
  </si>
  <si>
    <t>Revenue allocation</t>
  </si>
  <si>
    <t>Incremental demand ($/MW)</t>
  </si>
  <si>
    <t>Incremental expenditure by voltage level</t>
  </si>
  <si>
    <t>Annualised capex</t>
  </si>
  <si>
    <t>Augmentation expenditure by voltage level</t>
  </si>
  <si>
    <t>Raw augex</t>
  </si>
  <si>
    <t>Re-allocated augex</t>
  </si>
  <si>
    <t>Annualised augex</t>
  </si>
  <si>
    <t>Replacement expenditure by voltage level</t>
  </si>
  <si>
    <t>Raw repex</t>
  </si>
  <si>
    <t>Re-allocated repex</t>
  </si>
  <si>
    <t>Growth repex</t>
  </si>
  <si>
    <t>Annualised growth repex</t>
  </si>
  <si>
    <t>Aggregate network demand</t>
  </si>
  <si>
    <t>Disaggregated network demand</t>
  </si>
  <si>
    <t>Incremental disaggregated network demand</t>
  </si>
  <si>
    <t>Share excluding other</t>
  </si>
  <si>
    <t>Calculation - LRMC by tariff</t>
  </si>
  <si>
    <t>LRMC by tariff</t>
  </si>
  <si>
    <t>Import prices</t>
  </si>
  <si>
    <t>Voltage level</t>
  </si>
  <si>
    <t>Power factor</t>
  </si>
  <si>
    <t>x Volumes (Coincident demand)</t>
  </si>
  <si>
    <t>Calculation - Residual cost</t>
  </si>
  <si>
    <t>Residual costs</t>
  </si>
  <si>
    <t>Residual costs by tariff type</t>
  </si>
  <si>
    <t>Residual costs by tariff and charging component</t>
  </si>
  <si>
    <t>Allocation across tariffs and tariff types</t>
  </si>
  <si>
    <t>Output - Forecast revenue</t>
  </si>
  <si>
    <t>Revenue by tariff type</t>
  </si>
  <si>
    <t>Revenue by tariff</t>
  </si>
  <si>
    <t>Output - AER compliance</t>
  </si>
  <si>
    <t>Compliance checks</t>
  </si>
  <si>
    <t>Tariff compliance year:</t>
  </si>
  <si>
    <t>Check 1: Maximum allowable revenue</t>
  </si>
  <si>
    <t>Formula inputs</t>
  </si>
  <si>
    <t>Maximum allowable revenue</t>
  </si>
  <si>
    <t>Maximum allowable revenue (MAR)</t>
  </si>
  <si>
    <t>Forecast revenue does not exceed maximum allowable revenue</t>
  </si>
  <si>
    <t>Check 2: Unders and overs account balance</t>
  </si>
  <si>
    <t>Under/Over recovery</t>
  </si>
  <si>
    <r>
      <rPr>
        <i/>
        <sz val="10"/>
        <rFont val="Helvetica"/>
      </rPr>
      <t>less</t>
    </r>
    <r>
      <rPr>
        <sz val="10"/>
        <rFont val="Helvetica"/>
      </rPr>
      <t xml:space="preserve"> (B) Allowable revenue for regulatory year</t>
    </r>
  </si>
  <si>
    <t>Account balance</t>
  </si>
  <si>
    <t>Closing balance</t>
  </si>
  <si>
    <t>Projected closing balance close to zero</t>
  </si>
  <si>
    <t>Check 3: Side constraint</t>
  </si>
  <si>
    <t>Tariff class</t>
  </si>
  <si>
    <t>Side constraint</t>
  </si>
  <si>
    <t>Check 4: Stand alone and avoidable costs</t>
  </si>
  <si>
    <t>Note: The side constraint only applies from year 2 of the regulatory period</t>
  </si>
  <si>
    <t>Comparison charts</t>
  </si>
  <si>
    <t>Residual cost charts</t>
  </si>
  <si>
    <t>Model title message</t>
  </si>
  <si>
    <t>Error message</t>
  </si>
  <si>
    <t>Alert message</t>
  </si>
  <si>
    <t>Model message</t>
  </si>
  <si>
    <t>Model checks</t>
  </si>
  <si>
    <t>Error checks</t>
  </si>
  <si>
    <t>Total errors</t>
  </si>
  <si>
    <t>Tariff names</t>
  </si>
  <si>
    <t>Tariff classes</t>
  </si>
  <si>
    <t>Revenue input type</t>
  </si>
  <si>
    <t>Model lookups</t>
  </si>
  <si>
    <t>Model settings</t>
  </si>
  <si>
    <t>Periodicity inputs</t>
  </si>
  <si>
    <t>Model start date</t>
  </si>
  <si>
    <t>Time series headings</t>
  </si>
  <si>
    <t>Period start date</t>
  </si>
  <si>
    <t>Period end date</t>
  </si>
  <si>
    <t>Period counter</t>
  </si>
  <si>
    <t>Output - Reset RIN</t>
  </si>
  <si>
    <t>Revenue tables</t>
  </si>
  <si>
    <t>Energy delivered tables</t>
  </si>
  <si>
    <t>Total energy delivered</t>
  </si>
  <si>
    <t>LRMC tables</t>
  </si>
  <si>
    <t>Bill impact tables</t>
  </si>
  <si>
    <t>7.6.1 - Indicative Impact of the Regulatory Proposal on the average electricity bills</t>
  </si>
  <si>
    <t>Output - Pricing components of Regulatory Proposal</t>
  </si>
  <si>
    <t>TSS charts and tables</t>
  </si>
  <si>
    <t>Additional TSES charts and tables</t>
  </si>
  <si>
    <t>Figure 2.1: Forward looking avoidable power system costs by tariff ($million)</t>
  </si>
  <si>
    <t>Additional TSS Overview charts and tables</t>
  </si>
  <si>
    <t>Working | Bill impacts ($Nominal)</t>
  </si>
  <si>
    <t>General bill impact</t>
  </si>
  <si>
    <t>Tariff 5 bill impact</t>
  </si>
  <si>
    <t>Tariff 6 bill impact</t>
  </si>
  <si>
    <t>Tariff 7 bill impact</t>
  </si>
  <si>
    <t>All major customers (Tariffs 5, 6 and 7)</t>
  </si>
  <si>
    <t>Tariff name</t>
  </si>
  <si>
    <t>Monthly max. demand (kVA)</t>
  </si>
  <si>
    <t>Anytime demand</t>
  </si>
  <si>
    <t>On-season demand</t>
  </si>
  <si>
    <t>Off-season demand</t>
  </si>
  <si>
    <t>Anytime energy</t>
  </si>
  <si>
    <t>Peak energy</t>
  </si>
  <si>
    <t>Off-peak energy</t>
  </si>
  <si>
    <t>Super off-peak energy</t>
  </si>
  <si>
    <t>Network bill ($ per year)</t>
  </si>
  <si>
    <t>Bill movement ($ per year)</t>
  </si>
  <si>
    <t>Raw Rank</t>
  </si>
  <si>
    <t>Adjusted Rank</t>
  </si>
  <si>
    <t>Customer count</t>
  </si>
  <si>
    <t>Bill impact (%)</t>
  </si>
  <si>
    <t>Note: check set so only looking at side constraint of pricing year.</t>
  </si>
  <si>
    <t>[c-i-c]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</si>
</sst>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quot;$&quot;#,##0_);\(&quot;$&quot;#,##0\);_(&quot;-&quot;_)"/>
    <numFmt numFmtId="176" formatCode="&quot;$&quot;#,##0.00"/>
    <numFmt numFmtId="177" formatCode="_(#,##0.000_);\(#,##0.000\);_(&quot;-&quot;_)"/>
    <numFmt numFmtId="178" formatCode="_(#,##0.00%_);\(#,##0.00%\);_(&quot;-&quot;_)"/>
    <numFmt numFmtId="179" formatCode="_(#,##0%_);\(#,##0%\);_(&quot;-&quot;_)"/>
    <numFmt numFmtId="180" formatCode="0.0%"/>
    <numFmt numFmtId="181" formatCode="mmm\-yyyy"/>
    <numFmt numFmtId="182" formatCode="#,##0,;[Red]\-#,##0,,"/>
    <numFmt numFmtId="183" formatCode="_(#,##0.00_);\(#,##0.00\);_(&quot;-&quot;_)"/>
    <numFmt numFmtId="184" formatCode="_(#,##0.0000_);\(#,##0.0000\);_(&quot;-&quot;_)"/>
    <numFmt numFmtId="185" formatCode="0.000%"/>
    <numFmt numFmtId="186" formatCode="_(#,##0.000000_);\(#,##0.000000\);_(&quot;-&quot;_)"/>
    <numFmt numFmtId="187" formatCode="&quot;$&quot;#,##0.0;[Red]\-&quot;$&quot;#,##0.0"/>
    <numFmt numFmtId="188" formatCode="_(&quot;$&quot;#,##0.000_);\(&quot;$&quot;#,##0.000\);_(&quot;-&quot;_)"/>
  </numFmts>
  <fonts count="70" x14ac:knownFonts="1">
    <font>
      <sz val="8"/>
      <color rgb="FFFF0066"/>
      <name val="Helvetica"/>
      <family val="2"/>
    </font>
    <font>
      <sz val="11"/>
      <color theme="1"/>
      <name val="Calibri"/>
      <family val="2"/>
      <scheme val="minor"/>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sz val="10"/>
      <name val="Helvetica"/>
    </font>
    <font>
      <sz val="8"/>
      <color rgb="FFFF0066"/>
      <name val="Helvetica"/>
    </font>
    <font>
      <sz val="10"/>
      <color theme="1"/>
      <name val="Helvetica"/>
    </font>
    <font>
      <i/>
      <sz val="10"/>
      <name val="Helvetica"/>
    </font>
    <font>
      <sz val="8"/>
      <color rgb="FFFF0066"/>
      <name val="Helvetica"/>
      <family val="2"/>
    </font>
    <font>
      <sz val="10"/>
      <color rgb="FFFF0066"/>
      <name val="Calibri"/>
      <family val="2"/>
      <scheme val="minor"/>
    </font>
    <font>
      <sz val="10"/>
      <color theme="0"/>
      <name val="Calibri"/>
      <family val="2"/>
      <scheme val="minor"/>
    </font>
    <font>
      <sz val="10"/>
      <color theme="0" tint="-0.249977111117893"/>
      <name val="Calibri"/>
      <family val="2"/>
      <scheme val="minor"/>
    </font>
    <font>
      <sz val="10"/>
      <color theme="0" tint="-0.249977111117893"/>
      <name val="Calibri"/>
      <family val="2"/>
    </font>
    <font>
      <b/>
      <sz val="10"/>
      <color theme="0" tint="-0.249977111117893"/>
      <name val="Calibri"/>
      <family val="2"/>
      <scheme val="minor"/>
    </font>
    <font>
      <b/>
      <sz val="10"/>
      <color theme="0" tint="-0.249977111117893"/>
      <name val="Calibri"/>
      <family val="2"/>
    </font>
    <font>
      <b/>
      <sz val="10"/>
      <color theme="0"/>
      <name val="Calibri"/>
      <family val="2"/>
      <scheme val="minor"/>
    </font>
    <font>
      <b/>
      <sz val="8"/>
      <color theme="4"/>
      <name val="Helvetica"/>
    </font>
    <font>
      <i/>
      <sz val="8"/>
      <color theme="4"/>
      <name val="Helvetica"/>
    </font>
    <font>
      <b/>
      <i/>
      <sz val="10"/>
      <name val="Helvetica"/>
    </font>
    <font>
      <i/>
      <sz val="10"/>
      <color theme="1"/>
      <name val="Helvetica"/>
    </font>
    <font>
      <u/>
      <sz val="11"/>
      <color theme="10"/>
      <name val="Calibri"/>
      <family val="2"/>
      <scheme val="minor"/>
    </font>
    <font>
      <b/>
      <sz val="16"/>
      <color theme="4"/>
      <name val="Calibri"/>
      <family val="2"/>
      <scheme val="minor"/>
    </font>
    <font>
      <b/>
      <sz val="10"/>
      <name val="Helvetica"/>
    </font>
    <font>
      <sz val="10"/>
      <color theme="0"/>
      <name val="Helvetica"/>
      <family val="2"/>
    </font>
    <font>
      <b/>
      <sz val="11"/>
      <color rgb="FFFFFFFF"/>
      <name val="Calibri"/>
      <family val="2"/>
    </font>
    <font>
      <b/>
      <sz val="11"/>
      <color theme="1"/>
      <name val="Calibri"/>
      <family val="2"/>
    </font>
    <font>
      <sz val="11"/>
      <color rgb="FF000000"/>
      <name val="Calibri"/>
      <family val="2"/>
    </font>
    <font>
      <b/>
      <sz val="11"/>
      <color rgb="FF000000"/>
      <name val="Calibri"/>
      <family val="2"/>
    </font>
    <font>
      <sz val="11"/>
      <color theme="1"/>
      <name val="Calibri"/>
      <family val="2"/>
    </font>
    <font>
      <b/>
      <vertAlign val="superscript"/>
      <sz val="11"/>
      <color rgb="FFFFFFFF"/>
      <name val="Calibri"/>
      <family val="2"/>
    </font>
    <font>
      <sz val="11"/>
      <color rgb="FFFFFFFF"/>
      <name val="Calibri"/>
      <family val="2"/>
    </font>
    <font>
      <vertAlign val="superscript"/>
      <sz val="11"/>
      <color rgb="FF000000"/>
      <name val="Calibri"/>
      <family val="2"/>
    </font>
    <font>
      <vertAlign val="superscript"/>
      <sz val="11"/>
      <color theme="1"/>
      <name val="Calibri"/>
      <family val="2"/>
    </font>
    <font>
      <i/>
      <sz val="10"/>
      <name val="Calibri"/>
      <family val="2"/>
      <scheme val="minor"/>
    </font>
    <font>
      <b/>
      <sz val="10"/>
      <color theme="0"/>
      <name val="Helvetica"/>
      <family val="2"/>
    </font>
    <font>
      <sz val="10"/>
      <color theme="0" tint="-0.34998626667073579"/>
      <name val="Helvetica"/>
      <family val="2"/>
    </font>
    <font>
      <sz val="10"/>
      <color rgb="FFFF0000"/>
      <name val="Helvetica"/>
      <family val="2"/>
    </font>
  </fonts>
  <fills count="28">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6" tint="0.59999389629810485"/>
        <bgColor indexed="64"/>
      </patternFill>
    </fill>
    <fill>
      <patternFill patternType="solid">
        <fgColor theme="0" tint="-0.249977111117893"/>
        <bgColor indexed="64"/>
      </patternFill>
    </fill>
    <fill>
      <patternFill patternType="solid">
        <fgColor rgb="FF2A3D6F"/>
        <bgColor indexed="64"/>
      </patternFill>
    </fill>
    <fill>
      <patternFill patternType="solid">
        <fgColor rgb="FFFFFFFF"/>
        <bgColor indexed="64"/>
      </patternFill>
    </fill>
    <fill>
      <patternFill patternType="solid">
        <fgColor rgb="FFFFFF00"/>
        <bgColor indexed="64"/>
      </patternFill>
    </fill>
    <fill>
      <patternFill patternType="solid">
        <fgColor rgb="FF131640"/>
        <bgColor indexed="64"/>
      </patternFill>
    </fill>
    <fill>
      <patternFill patternType="solid">
        <fgColor rgb="FFE7E7EC"/>
        <bgColor indexed="64"/>
      </patternFill>
    </fill>
    <fill>
      <patternFill patternType="solid">
        <fgColor theme="6"/>
        <bgColor indexed="64"/>
      </patternFill>
    </fill>
    <fill>
      <patternFill patternType="solid">
        <fgColor theme="9"/>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dotted">
        <color auto="1"/>
      </top>
      <bottom/>
      <diagonal/>
    </border>
    <border>
      <left style="thin">
        <color theme="0"/>
      </left>
      <right/>
      <top style="thin">
        <color theme="0"/>
      </top>
      <bottom style="thin">
        <color theme="0"/>
      </bottom>
      <diagonal/>
    </border>
    <border>
      <left/>
      <right style="dotted">
        <color auto="1"/>
      </right>
      <top/>
      <bottom/>
      <diagonal/>
    </border>
    <border>
      <left style="dotted">
        <color auto="1"/>
      </left>
      <right/>
      <top/>
      <bottom/>
      <diagonal/>
    </border>
    <border>
      <left style="dotted">
        <color auto="1"/>
      </left>
      <right style="dotted">
        <color auto="1"/>
      </right>
      <top style="dotted">
        <color auto="1"/>
      </top>
      <bottom style="dott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dotted">
        <color auto="1"/>
      </top>
      <bottom style="thin">
        <color theme="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dotted">
        <color auto="1"/>
      </right>
      <top/>
      <bottom style="dotted">
        <color auto="1"/>
      </bottom>
      <diagonal/>
    </border>
    <border>
      <left/>
      <right/>
      <top/>
      <bottom style="dotted">
        <color auto="1"/>
      </bottom>
      <diagonal/>
    </border>
    <border>
      <left style="medium">
        <color rgb="FF131640"/>
      </left>
      <right style="medium">
        <color rgb="FF131640"/>
      </right>
      <top style="medium">
        <color rgb="FF131640"/>
      </top>
      <bottom/>
      <diagonal/>
    </border>
    <border>
      <left/>
      <right style="medium">
        <color rgb="FF131640"/>
      </right>
      <top style="medium">
        <color rgb="FF131640"/>
      </top>
      <bottom/>
      <diagonal/>
    </border>
    <border>
      <left style="medium">
        <color rgb="FF131640"/>
      </left>
      <right style="medium">
        <color rgb="FF131640"/>
      </right>
      <top/>
      <bottom/>
      <diagonal/>
    </border>
    <border>
      <left/>
      <right style="medium">
        <color rgb="FF131640"/>
      </right>
      <top/>
      <bottom/>
      <diagonal/>
    </border>
    <border>
      <left style="medium">
        <color rgb="FF131640"/>
      </left>
      <right style="medium">
        <color rgb="FF131640"/>
      </right>
      <top/>
      <bottom style="medium">
        <color rgb="FF131640"/>
      </bottom>
      <diagonal/>
    </border>
    <border>
      <left/>
      <right style="medium">
        <color rgb="FF131640"/>
      </right>
      <top/>
      <bottom style="medium">
        <color rgb="FF131640"/>
      </bottom>
      <diagonal/>
    </border>
    <border>
      <left style="medium">
        <color rgb="FF131640"/>
      </left>
      <right/>
      <top style="medium">
        <color rgb="FF131640"/>
      </top>
      <bottom/>
      <diagonal/>
    </border>
    <border>
      <left/>
      <right/>
      <top style="medium">
        <color rgb="FF131640"/>
      </top>
      <bottom/>
      <diagonal/>
    </border>
    <border>
      <left style="medium">
        <color rgb="FF131640"/>
      </left>
      <right/>
      <top/>
      <bottom/>
      <diagonal/>
    </border>
    <border>
      <left style="medium">
        <color rgb="FF131640"/>
      </left>
      <right style="medium">
        <color rgb="FF131640"/>
      </right>
      <top style="medium">
        <color theme="0"/>
      </top>
      <bottom style="medium">
        <color theme="0"/>
      </bottom>
      <diagonal/>
    </border>
    <border>
      <left style="medium">
        <color indexed="64"/>
      </left>
      <right style="medium">
        <color indexed="64"/>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dotted">
        <color theme="1"/>
      </top>
      <bottom style="thin">
        <color theme="0"/>
      </bottom>
      <diagonal/>
    </border>
  </borders>
  <cellStyleXfs count="73">
    <xf numFmtId="0" fontId="0" fillId="0" borderId="0"/>
    <xf numFmtId="168" fontId="4" fillId="0" borderId="0" applyFill="0" applyBorder="0" applyProtection="0">
      <alignment vertical="center"/>
    </xf>
    <xf numFmtId="0" fontId="8" fillId="0" borderId="0" applyNumberFormat="0" applyFill="0" applyBorder="0" applyAlignment="0" applyProtection="0"/>
    <xf numFmtId="0" fontId="33" fillId="11" borderId="0" applyBorder="0">
      <alignment horizontal="left" vertical="center"/>
    </xf>
    <xf numFmtId="0" fontId="3" fillId="3" borderId="0" applyProtection="0">
      <alignment vertical="center"/>
    </xf>
    <xf numFmtId="0" fontId="5" fillId="0" borderId="0" applyFill="0" applyProtection="0">
      <alignment vertical="center"/>
    </xf>
    <xf numFmtId="0" fontId="4" fillId="0" borderId="0" applyFill="0" applyBorder="0" applyProtection="0">
      <alignment vertical="center"/>
    </xf>
    <xf numFmtId="0" fontId="6" fillId="0" borderId="5" applyNumberFormat="0" applyFill="0" applyAlignment="0" applyProtection="0"/>
    <xf numFmtId="0" fontId="29" fillId="12" borderId="4">
      <alignment horizontal="left" vertical="center"/>
      <protection locked="0"/>
    </xf>
    <xf numFmtId="164" fontId="28" fillId="0" borderId="0" applyFill="0" applyBorder="0">
      <alignment horizontal="center" vertical="center"/>
    </xf>
    <xf numFmtId="164" fontId="29" fillId="2" borderId="4">
      <alignment horizontal="center" vertical="center"/>
      <protection locked="0"/>
    </xf>
    <xf numFmtId="170" fontId="28" fillId="0" borderId="0" applyFill="0" applyBorder="0">
      <alignment horizontal="center" vertical="center"/>
    </xf>
    <xf numFmtId="170" fontId="29" fillId="12" borderId="4">
      <alignment horizontal="center" vertical="center"/>
      <protection locked="0"/>
    </xf>
    <xf numFmtId="165" fontId="28" fillId="0" borderId="0" applyFill="0" applyBorder="0">
      <alignment horizontal="right" vertical="center"/>
    </xf>
    <xf numFmtId="165" fontId="29" fillId="12" borderId="4">
      <alignment horizontal="right" vertical="center"/>
      <protection locked="0"/>
    </xf>
    <xf numFmtId="167" fontId="28" fillId="0" borderId="0" applyFill="0" applyBorder="0">
      <alignment horizontal="right" vertical="center"/>
    </xf>
    <xf numFmtId="167" fontId="29" fillId="12" borderId="4">
      <alignment horizontal="right" vertical="center"/>
      <protection locked="0"/>
    </xf>
    <xf numFmtId="166" fontId="28" fillId="0" borderId="0" applyFill="0" applyBorder="0">
      <alignment horizontal="right" vertical="center"/>
    </xf>
    <xf numFmtId="166" fontId="29" fillId="12" borderId="4">
      <alignment horizontal="right" vertical="center"/>
      <protection locked="0"/>
    </xf>
    <xf numFmtId="168" fontId="29" fillId="12" borderId="4">
      <alignment horizontal="right" vertical="center"/>
      <protection locked="0"/>
    </xf>
    <xf numFmtId="0" fontId="26" fillId="0" borderId="0" applyFill="0" applyBorder="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6" applyNumberFormat="0" applyAlignment="0" applyProtection="0"/>
    <xf numFmtId="0" fontId="13" fillId="8" borderId="7" applyNumberFormat="0" applyAlignment="0" applyProtection="0"/>
    <xf numFmtId="0" fontId="14" fillId="8" borderId="6" applyNumberFormat="0" applyAlignment="0" applyProtection="0"/>
    <xf numFmtId="0" fontId="15" fillId="0" borderId="8" applyNumberFormat="0" applyFill="0" applyAlignment="0" applyProtection="0"/>
    <xf numFmtId="0" fontId="16" fillId="9" borderId="9" applyNumberFormat="0" applyAlignment="0" applyProtection="0"/>
    <xf numFmtId="0" fontId="17" fillId="0" borderId="0" applyNumberFormat="0" applyFill="0" applyBorder="0" applyAlignment="0" applyProtection="0"/>
    <xf numFmtId="0" fontId="4"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lignment horizontal="left" vertical="center"/>
    </xf>
    <xf numFmtId="0" fontId="20" fillId="0" borderId="0" applyFill="0" applyBorder="0">
      <alignment vertical="center"/>
    </xf>
    <xf numFmtId="0" fontId="30" fillId="0" borderId="0" applyFill="0" applyBorder="0">
      <alignment horizontal="left" vertical="center"/>
    </xf>
    <xf numFmtId="0" fontId="36" fillId="0" borderId="0" applyFill="0" applyBorder="0">
      <alignment horizontal="left" vertical="center"/>
    </xf>
    <xf numFmtId="0" fontId="29" fillId="0" borderId="0" applyFill="0" applyBorder="0">
      <alignment horizontal="left" vertical="center"/>
    </xf>
    <xf numFmtId="0" fontId="28" fillId="0" borderId="0" applyFill="0" applyBorder="0">
      <alignment vertical="center"/>
    </xf>
    <xf numFmtId="0" fontId="32" fillId="15" borderId="0" applyBorder="0">
      <alignment horizontal="left" vertical="center"/>
    </xf>
    <xf numFmtId="0" fontId="31" fillId="15" borderId="0" applyBorder="0">
      <alignment horizontal="left" vertical="center"/>
    </xf>
    <xf numFmtId="171" fontId="28" fillId="0" borderId="0" applyFill="0" applyBorder="0">
      <alignment horizontal="right" vertical="center"/>
    </xf>
    <xf numFmtId="0" fontId="25" fillId="0" borderId="0">
      <alignment horizontal="right" vertical="center"/>
    </xf>
    <xf numFmtId="0" fontId="22" fillId="13" borderId="0">
      <alignment horizontal="left" indent="3"/>
    </xf>
    <xf numFmtId="0" fontId="22" fillId="14" borderId="0">
      <alignment horizontal="left" indent="3"/>
    </xf>
    <xf numFmtId="173" fontId="7" fillId="0" borderId="0">
      <alignment horizontal="center" vertical="center"/>
    </xf>
    <xf numFmtId="174" fontId="24" fillId="12" borderId="4">
      <alignment horizontal="center" vertical="center"/>
      <protection locked="0"/>
    </xf>
    <xf numFmtId="174" fontId="7" fillId="0" borderId="0"/>
    <xf numFmtId="165" fontId="29" fillId="0" borderId="0" applyFill="0" applyBorder="0">
      <alignment horizontal="right" vertical="center"/>
    </xf>
    <xf numFmtId="170" fontId="29" fillId="0" borderId="0" applyFill="0" applyBorder="0">
      <alignment horizontal="center" vertical="center"/>
    </xf>
    <xf numFmtId="171" fontId="29" fillId="0" borderId="0" applyFill="0" applyBorder="0">
      <alignment horizontal="right" vertical="center"/>
    </xf>
    <xf numFmtId="166" fontId="29" fillId="0" borderId="0" applyFill="0" applyBorder="0">
      <alignment horizontal="right" vertical="center"/>
    </xf>
    <xf numFmtId="167" fontId="29" fillId="0" borderId="0" applyFill="0" applyBorder="0">
      <alignment horizontal="right" vertical="center"/>
    </xf>
    <xf numFmtId="164" fontId="29" fillId="0" borderId="0" applyFill="0" applyBorder="0">
      <alignment horizontal="center" vertical="center"/>
    </xf>
    <xf numFmtId="0" fontId="29" fillId="16" borderId="4">
      <alignment horizontal="center" vertical="center"/>
      <protection locked="0"/>
    </xf>
    <xf numFmtId="0" fontId="7" fillId="17" borderId="0"/>
    <xf numFmtId="165" fontId="34" fillId="3" borderId="4">
      <alignment horizontal="right" vertical="center"/>
      <protection locked="0"/>
    </xf>
    <xf numFmtId="0" fontId="42"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8" fillId="20" borderId="0" applyBorder="0">
      <alignment horizontal="left" vertical="center"/>
    </xf>
    <xf numFmtId="0" fontId="2" fillId="0" borderId="0"/>
    <xf numFmtId="43" fontId="2" fillId="0" borderId="0" applyFont="0" applyFill="0" applyBorder="0" applyAlignment="0" applyProtection="0"/>
    <xf numFmtId="0" fontId="53" fillId="0" borderId="0" applyNumberFormat="0" applyFill="0" applyBorder="0" applyAlignment="0" applyProtection="0"/>
    <xf numFmtId="9" fontId="2" fillId="0" borderId="0" applyFont="0" applyFill="0" applyBorder="0" applyAlignment="0" applyProtection="0"/>
    <xf numFmtId="0" fontId="33" fillId="11" borderId="0" applyBorder="0">
      <alignment horizontal="left" vertical="center"/>
    </xf>
    <xf numFmtId="0" fontId="29" fillId="0" borderId="0" applyFill="0" applyBorder="0">
      <alignment horizontal="left" vertical="center"/>
    </xf>
    <xf numFmtId="0" fontId="19" fillId="0" borderId="0" applyNumberFormat="0" applyFill="0" applyBorder="0">
      <alignment horizontal="left" vertical="center"/>
    </xf>
    <xf numFmtId="0" fontId="28" fillId="0" borderId="0" applyFill="0" applyBorder="0">
      <alignment vertical="center"/>
    </xf>
    <xf numFmtId="0" fontId="54" fillId="0" borderId="0" applyFill="0" applyBorder="0">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98">
    <xf numFmtId="0" fontId="0" fillId="0" borderId="0" xfId="0"/>
    <xf numFmtId="0" fontId="0" fillId="0" borderId="0" xfId="0" applyAlignment="1">
      <alignment horizontal="left"/>
    </xf>
    <xf numFmtId="0" fontId="33" fillId="11" borderId="0" xfId="3">
      <alignment horizontal="left" vertical="center"/>
    </xf>
    <xf numFmtId="0" fontId="26" fillId="0" borderId="0" xfId="20">
      <alignment horizontal="left" vertical="center"/>
    </xf>
    <xf numFmtId="0" fontId="30" fillId="0" borderId="0" xfId="34">
      <alignment horizontal="left" vertical="center"/>
    </xf>
    <xf numFmtId="0" fontId="36" fillId="0" borderId="0" xfId="35" applyFill="1">
      <alignment horizontal="left" vertical="center"/>
    </xf>
    <xf numFmtId="0" fontId="29" fillId="0" borderId="0" xfId="36">
      <alignment horizontal="left" vertical="center"/>
    </xf>
    <xf numFmtId="0" fontId="28" fillId="0" borderId="0" xfId="37">
      <alignment vertical="center"/>
    </xf>
    <xf numFmtId="0" fontId="32" fillId="15" borderId="0" xfId="38">
      <alignment horizontal="left" vertical="center"/>
    </xf>
    <xf numFmtId="0" fontId="30" fillId="0" borderId="0" xfId="34" applyFill="1">
      <alignment horizontal="left" vertical="center"/>
    </xf>
    <xf numFmtId="0" fontId="28" fillId="0" borderId="0" xfId="37" applyFill="1">
      <alignment vertical="center"/>
    </xf>
    <xf numFmtId="0" fontId="29" fillId="0" borderId="0" xfId="36" applyFill="1">
      <alignment horizontal="left" vertical="center"/>
    </xf>
    <xf numFmtId="0" fontId="29" fillId="0" borderId="1" xfId="36" applyBorder="1" applyAlignment="1">
      <alignment horizontal="center" vertical="center"/>
    </xf>
    <xf numFmtId="0" fontId="21" fillId="0" borderId="0" xfId="37" applyFont="1" applyFill="1">
      <alignment vertical="center"/>
    </xf>
    <xf numFmtId="0" fontId="30" fillId="0" borderId="0" xfId="34" applyAlignment="1">
      <alignment horizontal="center" vertical="center"/>
    </xf>
    <xf numFmtId="0" fontId="0" fillId="0" borderId="0" xfId="0" applyAlignment="1">
      <alignment horizontal="center"/>
    </xf>
    <xf numFmtId="0" fontId="29" fillId="0" borderId="0" xfId="36" applyAlignment="1">
      <alignment horizontal="center" vertical="center"/>
    </xf>
    <xf numFmtId="4" fontId="0" fillId="0" borderId="0" xfId="0" applyNumberFormat="1"/>
    <xf numFmtId="172" fontId="0" fillId="0" borderId="0" xfId="0" applyNumberFormat="1"/>
    <xf numFmtId="0" fontId="28" fillId="0" borderId="0" xfId="37" applyAlignment="1">
      <alignment horizontal="left" vertical="center" indent="1"/>
    </xf>
    <xf numFmtId="0" fontId="29" fillId="0" borderId="0" xfId="36" applyAlignment="1">
      <alignment horizontal="left" vertical="center" indent="1"/>
    </xf>
    <xf numFmtId="169" fontId="28" fillId="0" borderId="0" xfId="13" applyNumberFormat="1">
      <alignment horizontal="right" vertical="center"/>
    </xf>
    <xf numFmtId="173" fontId="7" fillId="0" borderId="0" xfId="44" applyAlignment="1">
      <alignment horizontal="center"/>
    </xf>
    <xf numFmtId="173" fontId="7" fillId="0" borderId="3" xfId="44" applyBorder="1" applyAlignment="1">
      <alignment horizontal="center"/>
    </xf>
    <xf numFmtId="0" fontId="28"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11" xfId="0" applyBorder="1"/>
    <xf numFmtId="0" fontId="29" fillId="0" borderId="0" xfId="36" applyBorder="1">
      <alignment horizontal="left" vertical="center"/>
    </xf>
    <xf numFmtId="0" fontId="30" fillId="0" borderId="0" xfId="34" applyBorder="1" applyAlignment="1">
      <alignment horizontal="center" vertical="center"/>
    </xf>
    <xf numFmtId="0" fontId="36" fillId="0" borderId="0" xfId="35" applyBorder="1" applyAlignment="1">
      <alignment horizontal="center" vertical="center"/>
    </xf>
    <xf numFmtId="0" fontId="22" fillId="11" borderId="0" xfId="3" applyFont="1" applyBorder="1" applyAlignment="1">
      <alignment horizontal="center" vertical="center"/>
    </xf>
    <xf numFmtId="0" fontId="23" fillId="15"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9" fillId="12" borderId="4" xfId="8" applyAlignment="1">
      <alignment horizontal="center" vertical="center"/>
      <protection locked="0"/>
    </xf>
    <xf numFmtId="0" fontId="30" fillId="0" borderId="0" xfId="34" applyFill="1" applyBorder="1" applyAlignment="1">
      <alignment vertical="center"/>
    </xf>
    <xf numFmtId="0" fontId="27" fillId="0" borderId="0" xfId="3" applyFont="1" applyFill="1">
      <alignment horizontal="left" vertical="center"/>
    </xf>
    <xf numFmtId="0" fontId="19" fillId="0" borderId="0" xfId="32" applyBorder="1">
      <alignment horizontal="left" vertical="center"/>
    </xf>
    <xf numFmtId="0" fontId="19" fillId="0" borderId="0" xfId="32">
      <alignment horizontal="left" vertical="center"/>
    </xf>
    <xf numFmtId="0" fontId="19" fillId="0" borderId="0" xfId="32" applyAlignment="1">
      <alignment horizontal="center" vertical="center"/>
    </xf>
    <xf numFmtId="0" fontId="7" fillId="17" borderId="0" xfId="54"/>
    <xf numFmtId="165" fontId="29" fillId="3" borderId="4" xfId="14" applyFill="1">
      <alignment horizontal="right" vertical="center"/>
      <protection locked="0"/>
    </xf>
    <xf numFmtId="0" fontId="19" fillId="0" borderId="0" xfId="32" applyFill="1">
      <alignment horizontal="left" vertical="center"/>
    </xf>
    <xf numFmtId="170" fontId="29" fillId="0" borderId="1" xfId="48" applyBorder="1">
      <alignment horizontal="center" vertical="center"/>
    </xf>
    <xf numFmtId="170" fontId="28" fillId="0" borderId="0" xfId="11" applyAlignment="1">
      <alignment horizontal="right" vertical="center"/>
    </xf>
    <xf numFmtId="0" fontId="36" fillId="0" borderId="0" xfId="35" applyAlignment="1">
      <alignment horizontal="right" vertical="center"/>
    </xf>
    <xf numFmtId="0" fontId="36" fillId="0" borderId="0" xfId="35" applyAlignment="1">
      <alignment horizontal="center" vertical="center"/>
    </xf>
    <xf numFmtId="170" fontId="28" fillId="0" borderId="0" xfId="11">
      <alignment horizontal="center" vertical="center"/>
    </xf>
    <xf numFmtId="169" fontId="28" fillId="0" borderId="0" xfId="13" applyNumberFormat="1" applyAlignment="1">
      <alignment horizontal="center" vertical="center"/>
    </xf>
    <xf numFmtId="0" fontId="28" fillId="0" borderId="0" xfId="37" applyAlignment="1">
      <alignment horizontal="center" vertical="center"/>
    </xf>
    <xf numFmtId="0" fontId="36" fillId="0" borderId="2" xfId="35" applyBorder="1" applyAlignment="1">
      <alignment horizontal="center" vertical="center"/>
    </xf>
    <xf numFmtId="165" fontId="35" fillId="0" borderId="3" xfId="13" applyFont="1" applyFill="1" applyBorder="1" applyAlignment="1">
      <alignment horizontal="center" vertical="center"/>
    </xf>
    <xf numFmtId="0" fontId="36" fillId="0" borderId="3" xfId="35" applyFill="1" applyBorder="1" applyAlignment="1">
      <alignment horizontal="center" vertical="center"/>
    </xf>
    <xf numFmtId="167" fontId="29" fillId="12" borderId="4" xfId="16" applyAlignment="1">
      <alignment horizontal="center" vertical="center"/>
      <protection locked="0"/>
    </xf>
    <xf numFmtId="0" fontId="29" fillId="0" borderId="0" xfId="36" applyFill="1" applyAlignment="1">
      <alignment horizontal="center" vertical="center"/>
    </xf>
    <xf numFmtId="173" fontId="7" fillId="0" borderId="0" xfId="44">
      <alignment horizontal="center" vertical="center"/>
    </xf>
    <xf numFmtId="0" fontId="36" fillId="0" borderId="0" xfId="35" applyAlignment="1">
      <alignment horizontal="center" vertical="center" wrapText="1"/>
    </xf>
    <xf numFmtId="0" fontId="36" fillId="0" borderId="2" xfId="35" applyBorder="1" applyAlignment="1">
      <alignment horizontal="center" vertical="center" wrapText="1"/>
    </xf>
    <xf numFmtId="0" fontId="36" fillId="0" borderId="3" xfId="35" applyFill="1" applyBorder="1">
      <alignment horizontal="left" vertical="center"/>
    </xf>
    <xf numFmtId="0" fontId="28" fillId="0" borderId="0" xfId="37" applyFill="1" applyAlignment="1">
      <alignment horizontal="center" vertical="center"/>
    </xf>
    <xf numFmtId="169" fontId="29" fillId="12" borderId="4" xfId="14" applyNumberFormat="1" applyAlignment="1">
      <alignment horizontal="center" vertical="center"/>
      <protection locked="0"/>
    </xf>
    <xf numFmtId="169" fontId="35" fillId="0" borderId="3" xfId="13" applyNumberFormat="1" applyFont="1" applyFill="1" applyBorder="1" applyAlignment="1">
      <alignment horizontal="center" vertical="center"/>
    </xf>
    <xf numFmtId="175" fontId="28" fillId="0" borderId="0" xfId="40" applyNumberFormat="1" applyFill="1" applyAlignment="1">
      <alignment horizontal="center" vertical="center"/>
    </xf>
    <xf numFmtId="175" fontId="29" fillId="12" borderId="4" xfId="19" applyNumberFormat="1" applyAlignment="1">
      <alignment horizontal="center" vertical="center"/>
      <protection locked="0"/>
    </xf>
    <xf numFmtId="175" fontId="35" fillId="0" borderId="3" xfId="40" applyNumberFormat="1" applyFont="1" applyFill="1" applyBorder="1" applyAlignment="1">
      <alignment horizontal="center" vertical="center"/>
    </xf>
    <xf numFmtId="0" fontId="0" fillId="17" borderId="0" xfId="0" applyFill="1"/>
    <xf numFmtId="0" fontId="36" fillId="0" borderId="2" xfId="35" applyBorder="1">
      <alignment horizontal="left" vertical="center"/>
    </xf>
    <xf numFmtId="176" fontId="0" fillId="0" borderId="0" xfId="0" applyNumberFormat="1"/>
    <xf numFmtId="167" fontId="28" fillId="0" borderId="0" xfId="15" applyAlignment="1">
      <alignment horizontal="center" vertical="center"/>
    </xf>
    <xf numFmtId="167" fontId="35" fillId="0" borderId="3" xfId="15" applyFont="1" applyFill="1" applyBorder="1" applyAlignment="1">
      <alignment horizontal="center" vertical="center"/>
    </xf>
    <xf numFmtId="165" fontId="29" fillId="12" borderId="4" xfId="14" applyAlignment="1">
      <alignment horizontal="center" vertical="center"/>
      <protection locked="0"/>
    </xf>
    <xf numFmtId="0" fontId="28" fillId="0" borderId="0" xfId="37" applyAlignment="1">
      <alignment horizontal="left" vertical="center"/>
    </xf>
    <xf numFmtId="0" fontId="28" fillId="0" borderId="0" xfId="37" applyFill="1" applyAlignment="1">
      <alignment horizontal="left" vertical="center"/>
    </xf>
    <xf numFmtId="169" fontId="28" fillId="0" borderId="0" xfId="13" applyNumberFormat="1" applyFill="1" applyAlignment="1">
      <alignment horizontal="center" vertical="center"/>
    </xf>
    <xf numFmtId="0" fontId="29" fillId="0" borderId="4" xfId="53" applyFill="1">
      <alignment horizontal="center" vertical="center"/>
      <protection locked="0"/>
    </xf>
    <xf numFmtId="0" fontId="29" fillId="0" borderId="0" xfId="36" applyFill="1" applyBorder="1">
      <alignment horizontal="left" vertical="center"/>
    </xf>
    <xf numFmtId="0" fontId="34" fillId="0" borderId="0" xfId="36" applyFont="1" applyFill="1" applyAlignment="1">
      <alignment horizontal="center" vertical="center"/>
    </xf>
    <xf numFmtId="0" fontId="34" fillId="0" borderId="0" xfId="36" applyFont="1" applyFill="1">
      <alignment horizontal="left" vertical="center"/>
    </xf>
    <xf numFmtId="0" fontId="7" fillId="0" borderId="0" xfId="0" applyFont="1"/>
    <xf numFmtId="0" fontId="34" fillId="0" borderId="4" xfId="8" applyFont="1" applyFill="1" applyAlignment="1">
      <alignment horizontal="center" vertical="center"/>
      <protection locked="0"/>
    </xf>
    <xf numFmtId="0" fontId="34" fillId="0" borderId="4" xfId="53" applyFont="1" applyFill="1">
      <alignment horizontal="center" vertical="center"/>
      <protection locked="0"/>
    </xf>
    <xf numFmtId="0" fontId="34" fillId="0" borderId="4" xfId="53" applyFont="1" applyFill="1" applyAlignment="1">
      <alignment horizontal="left" vertical="center"/>
      <protection locked="0"/>
    </xf>
    <xf numFmtId="0" fontId="34" fillId="0" borderId="0" xfId="37" applyFont="1" applyFill="1" applyAlignment="1">
      <alignment horizontal="center" vertical="center"/>
    </xf>
    <xf numFmtId="168" fontId="28" fillId="0" borderId="0" xfId="40" applyNumberFormat="1" applyFill="1" applyAlignment="1">
      <alignment horizontal="center" vertical="center"/>
    </xf>
    <xf numFmtId="177" fontId="29" fillId="12" borderId="4" xfId="14" applyNumberFormat="1" applyAlignment="1">
      <alignment horizontal="center" vertical="center"/>
      <protection locked="0"/>
    </xf>
    <xf numFmtId="177" fontId="28" fillId="0" borderId="0" xfId="13" applyNumberFormat="1" applyFill="1" applyAlignment="1">
      <alignment horizontal="center" vertical="center"/>
    </xf>
    <xf numFmtId="0" fontId="37" fillId="0" borderId="3" xfId="35" applyFont="1" applyFill="1" applyBorder="1">
      <alignment horizontal="left" vertical="center"/>
    </xf>
    <xf numFmtId="0" fontId="38" fillId="0" borderId="0" xfId="0" applyFont="1"/>
    <xf numFmtId="0" fontId="37" fillId="0" borderId="3" xfId="35" applyFont="1" applyFill="1" applyBorder="1" applyAlignment="1">
      <alignment horizontal="center" vertical="center"/>
    </xf>
    <xf numFmtId="175" fontId="39" fillId="0" borderId="3" xfId="40" applyNumberFormat="1" applyFont="1" applyFill="1" applyBorder="1" applyAlignment="1">
      <alignment horizontal="center" vertical="center"/>
    </xf>
    <xf numFmtId="178" fontId="29" fillId="12" borderId="4" xfId="16" applyNumberFormat="1" applyAlignment="1">
      <alignment horizontal="center" vertical="center"/>
      <protection locked="0"/>
    </xf>
    <xf numFmtId="175" fontId="28" fillId="17" borderId="0" xfId="40" applyNumberFormat="1" applyFill="1" applyAlignment="1">
      <alignment horizontal="center" vertical="center"/>
    </xf>
    <xf numFmtId="175" fontId="28" fillId="0" borderId="19" xfId="40" applyNumberFormat="1" applyFill="1" applyBorder="1" applyAlignment="1">
      <alignment horizontal="center" vertical="center"/>
    </xf>
    <xf numFmtId="175" fontId="28" fillId="0" borderId="20" xfId="40" applyNumberFormat="1" applyFill="1" applyBorder="1" applyAlignment="1">
      <alignment horizontal="center" vertical="center"/>
    </xf>
    <xf numFmtId="175" fontId="28" fillId="0" borderId="21" xfId="40" applyNumberFormat="1" applyFill="1" applyBorder="1" applyAlignment="1">
      <alignment horizontal="center" vertical="center"/>
    </xf>
    <xf numFmtId="0" fontId="42" fillId="0" borderId="0" xfId="56"/>
    <xf numFmtId="0" fontId="43" fillId="19" borderId="22" xfId="57" applyFont="1" applyFill="1" applyBorder="1" applyAlignment="1">
      <alignment horizontal="center" vertical="center" wrapText="1"/>
    </xf>
    <xf numFmtId="0" fontId="44" fillId="0" borderId="22" xfId="57" applyFont="1" applyBorder="1" applyAlignment="1">
      <alignment horizontal="center" vertical="center"/>
    </xf>
    <xf numFmtId="9" fontId="45" fillId="0" borderId="22" xfId="58" applyFont="1" applyBorder="1" applyAlignment="1">
      <alignment horizontal="center" vertical="center" wrapText="1"/>
    </xf>
    <xf numFmtId="0" fontId="44" fillId="0" borderId="22" xfId="57" applyFont="1" applyBorder="1" applyAlignment="1">
      <alignment horizontal="center" vertical="center" wrapText="1"/>
    </xf>
    <xf numFmtId="179" fontId="47" fillId="0" borderId="22" xfId="57" applyNumberFormat="1" applyFont="1" applyBorder="1" applyAlignment="1">
      <alignment horizontal="center" vertical="center" wrapText="1"/>
    </xf>
    <xf numFmtId="0" fontId="24" fillId="0" borderId="0" xfId="0" applyFont="1"/>
    <xf numFmtId="0" fontId="24" fillId="18" borderId="18" xfId="53" applyFont="1" applyFill="1" applyBorder="1">
      <alignment horizontal="center" vertical="center"/>
      <protection locked="0"/>
    </xf>
    <xf numFmtId="0" fontId="50" fillId="0" borderId="0" xfId="0" applyFont="1" applyAlignment="1">
      <alignment horizontal="left" indent="1"/>
    </xf>
    <xf numFmtId="0" fontId="48" fillId="19" borderId="25" xfId="57" applyFont="1" applyFill="1" applyBorder="1" applyAlignment="1">
      <alignment vertical="center" wrapText="1"/>
    </xf>
    <xf numFmtId="0" fontId="43" fillId="19" borderId="22" xfId="57" applyFont="1" applyFill="1" applyBorder="1" applyAlignment="1">
      <alignment horizontal="left" vertical="center" wrapText="1"/>
    </xf>
    <xf numFmtId="0" fontId="48" fillId="19" borderId="22" xfId="57" applyFont="1" applyFill="1" applyBorder="1" applyAlignment="1">
      <alignment horizontal="left" vertical="center" wrapText="1"/>
    </xf>
    <xf numFmtId="180" fontId="29" fillId="12" borderId="4" xfId="59" applyNumberFormat="1" applyFont="1" applyFill="1" applyBorder="1" applyAlignment="1" applyProtection="1">
      <alignment horizontal="center" vertical="center"/>
      <protection locked="0"/>
    </xf>
    <xf numFmtId="0" fontId="32" fillId="15" borderId="0" xfId="38" quotePrefix="1">
      <alignment horizontal="left" vertical="center"/>
    </xf>
    <xf numFmtId="169" fontId="4" fillId="0" borderId="1" xfId="13" applyNumberFormat="1" applyFont="1" applyFill="1" applyBorder="1" applyAlignment="1">
      <alignment horizontal="center" vertical="center"/>
    </xf>
    <xf numFmtId="0" fontId="34" fillId="0" borderId="0" xfId="36" applyFont="1" applyFill="1" applyAlignment="1">
      <alignment horizontal="left" vertical="center" indent="1"/>
    </xf>
    <xf numFmtId="181" fontId="29" fillId="12" borderId="4" xfId="14" applyNumberFormat="1" applyAlignment="1">
      <alignment horizontal="center" vertical="center"/>
      <protection locked="0"/>
    </xf>
    <xf numFmtId="178" fontId="34" fillId="0" borderId="4" xfId="16" applyNumberFormat="1" applyFont="1" applyFill="1" applyAlignment="1">
      <alignment horizontal="center" vertical="center"/>
      <protection locked="0"/>
    </xf>
    <xf numFmtId="0" fontId="40" fillId="0" borderId="0" xfId="36" applyFont="1" applyFill="1">
      <alignment horizontal="left" vertical="center"/>
    </xf>
    <xf numFmtId="0" fontId="37" fillId="0" borderId="28" xfId="8" applyFont="1" applyFill="1" applyBorder="1" applyAlignment="1">
      <alignment horizontal="center" vertical="center"/>
      <protection locked="0"/>
    </xf>
    <xf numFmtId="0" fontId="37" fillId="0" borderId="28" xfId="53" applyFont="1" applyFill="1" applyBorder="1">
      <alignment horizontal="center" vertical="center"/>
      <protection locked="0"/>
    </xf>
    <xf numFmtId="0" fontId="37" fillId="0" borderId="17" xfId="36" applyFont="1" applyFill="1" applyBorder="1" applyAlignment="1">
      <alignment horizontal="left" vertical="center" indent="1"/>
    </xf>
    <xf numFmtId="178" fontId="37" fillId="0" borderId="28" xfId="16" applyNumberFormat="1" applyFont="1" applyFill="1" applyBorder="1" applyAlignment="1">
      <alignment horizontal="center" vertical="center"/>
      <protection locked="0"/>
    </xf>
    <xf numFmtId="0" fontId="37" fillId="0" borderId="17" xfId="36" applyFont="1" applyFill="1" applyBorder="1">
      <alignment horizontal="left" vertical="center"/>
    </xf>
    <xf numFmtId="0" fontId="39" fillId="0" borderId="0" xfId="37" applyFont="1">
      <alignment vertical="center"/>
    </xf>
    <xf numFmtId="0" fontId="52" fillId="0" borderId="0" xfId="37" applyFont="1">
      <alignment vertical="center"/>
    </xf>
    <xf numFmtId="0" fontId="34" fillId="0" borderId="4" xfId="53" applyFont="1" applyFill="1" applyAlignment="1">
      <alignment horizontal="left" vertical="center" indent="1"/>
      <protection locked="0"/>
    </xf>
    <xf numFmtId="178" fontId="28" fillId="0" borderId="0" xfId="59" applyNumberFormat="1" applyFont="1" applyFill="1" applyAlignment="1">
      <alignment horizontal="center" vertical="center"/>
    </xf>
    <xf numFmtId="0" fontId="24" fillId="0" borderId="0" xfId="0" applyFont="1" applyAlignment="1">
      <alignment horizontal="left" indent="1"/>
    </xf>
    <xf numFmtId="0" fontId="49" fillId="0" borderId="0" xfId="0" applyFont="1"/>
    <xf numFmtId="0" fontId="7" fillId="0" borderId="0" xfId="36" applyFont="1" applyFill="1" applyAlignment="1">
      <alignment horizontal="center" vertical="center"/>
    </xf>
    <xf numFmtId="182" fontId="34" fillId="0" borderId="0" xfId="0" applyNumberFormat="1" applyFont="1"/>
    <xf numFmtId="0" fontId="42" fillId="0" borderId="0" xfId="56" applyAlignment="1">
      <alignment vertical="center"/>
    </xf>
    <xf numFmtId="0" fontId="42" fillId="0" borderId="0" xfId="56" quotePrefix="1" applyAlignment="1">
      <alignment vertical="center"/>
    </xf>
    <xf numFmtId="0" fontId="41" fillId="0" borderId="0" xfId="57" applyAlignment="1">
      <alignment vertical="center"/>
    </xf>
    <xf numFmtId="0" fontId="27" fillId="0" borderId="0" xfId="65" applyFont="1" applyFill="1">
      <alignment horizontal="left" vertical="center"/>
    </xf>
    <xf numFmtId="0" fontId="29" fillId="0" borderId="0" xfId="66" applyFill="1">
      <alignment horizontal="left" vertical="center"/>
    </xf>
    <xf numFmtId="0" fontId="19" fillId="0" borderId="0" xfId="67" applyFill="1">
      <alignment horizontal="left" vertical="center"/>
    </xf>
    <xf numFmtId="0" fontId="21" fillId="0" borderId="0" xfId="68" applyFont="1" applyFill="1">
      <alignment vertical="center"/>
    </xf>
    <xf numFmtId="0" fontId="54" fillId="0" borderId="0" xfId="69">
      <alignment horizontal="left" vertical="center"/>
    </xf>
    <xf numFmtId="0" fontId="48" fillId="19" borderId="25" xfId="57" applyFont="1" applyFill="1" applyBorder="1" applyAlignment="1">
      <alignment horizontal="center" vertical="center" wrapText="1"/>
    </xf>
    <xf numFmtId="169" fontId="28" fillId="0" borderId="0" xfId="40" applyNumberFormat="1" applyFill="1" applyAlignment="1">
      <alignment horizontal="center" vertical="center"/>
    </xf>
    <xf numFmtId="179" fontId="28" fillId="0" borderId="0" xfId="15" applyNumberFormat="1" applyAlignment="1">
      <alignment horizontal="center" vertical="center"/>
    </xf>
    <xf numFmtId="184" fontId="28" fillId="0" borderId="0" xfId="13" applyNumberFormat="1" applyFill="1" applyAlignment="1">
      <alignment horizontal="center" vertical="center"/>
    </xf>
    <xf numFmtId="0" fontId="29" fillId="0" borderId="0" xfId="53" applyFill="1" applyBorder="1">
      <alignment horizontal="center" vertical="center"/>
      <protection locked="0"/>
    </xf>
    <xf numFmtId="0" fontId="48" fillId="19" borderId="22" xfId="57" applyFont="1" applyFill="1" applyBorder="1" applyAlignment="1">
      <alignment horizontal="center" vertical="center" wrapText="1"/>
    </xf>
    <xf numFmtId="175" fontId="0" fillId="0" borderId="0" xfId="0" applyNumberFormat="1"/>
    <xf numFmtId="0" fontId="50" fillId="12" borderId="0" xfId="0" applyFont="1" applyFill="1" applyAlignment="1">
      <alignment horizontal="center"/>
    </xf>
    <xf numFmtId="180" fontId="45" fillId="0" borderId="27" xfId="58" applyNumberFormat="1" applyFont="1" applyBorder="1" applyAlignment="1">
      <alignment horizontal="center" vertical="center" wrapText="1"/>
    </xf>
    <xf numFmtId="180" fontId="47" fillId="0" borderId="22" xfId="58" applyNumberFormat="1" applyFont="1" applyBorder="1" applyAlignment="1">
      <alignment horizontal="center" vertical="center" wrapText="1"/>
    </xf>
    <xf numFmtId="10" fontId="0" fillId="0" borderId="0" xfId="59" applyNumberFormat="1" applyFont="1" applyFill="1"/>
    <xf numFmtId="185" fontId="0" fillId="0" borderId="0" xfId="59" applyNumberFormat="1" applyFont="1" applyFill="1"/>
    <xf numFmtId="175" fontId="0" fillId="0" borderId="0" xfId="0" applyNumberFormat="1" applyAlignment="1">
      <alignment horizontal="center"/>
    </xf>
    <xf numFmtId="180" fontId="0" fillId="0" borderId="0" xfId="59" applyNumberFormat="1" applyFont="1" applyFill="1" applyAlignment="1">
      <alignment horizontal="center"/>
    </xf>
    <xf numFmtId="9" fontId="0" fillId="0" borderId="0" xfId="59" applyFont="1" applyFill="1" applyAlignment="1">
      <alignment horizontal="center"/>
    </xf>
    <xf numFmtId="0" fontId="44" fillId="0" borderId="26" xfId="57" applyFont="1" applyBorder="1" applyAlignment="1">
      <alignment wrapText="1"/>
    </xf>
    <xf numFmtId="0" fontId="44" fillId="0" borderId="27" xfId="57" applyFont="1" applyBorder="1" applyAlignment="1">
      <alignment wrapText="1"/>
    </xf>
    <xf numFmtId="0" fontId="51" fillId="0" borderId="2" xfId="35" applyFont="1" applyBorder="1" applyAlignment="1">
      <alignment horizontal="center" vertical="center"/>
    </xf>
    <xf numFmtId="167" fontId="34" fillId="0" borderId="4" xfId="16" applyFont="1" applyFill="1" applyAlignment="1">
      <alignment horizontal="center" vertical="center"/>
      <protection locked="0"/>
    </xf>
    <xf numFmtId="183" fontId="29" fillId="12" borderId="4" xfId="14" applyNumberFormat="1" applyAlignment="1">
      <alignment horizontal="center" vertical="center"/>
      <protection locked="0"/>
    </xf>
    <xf numFmtId="0" fontId="44" fillId="0" borderId="36" xfId="57" applyFont="1" applyBorder="1" applyAlignment="1">
      <alignment vertical="center"/>
    </xf>
    <xf numFmtId="0" fontId="44" fillId="0" borderId="36" xfId="57" applyFont="1" applyBorder="1" applyAlignment="1">
      <alignment horizontal="left" vertical="center"/>
    </xf>
    <xf numFmtId="0" fontId="42" fillId="0" borderId="36" xfId="56" applyBorder="1"/>
    <xf numFmtId="178" fontId="35" fillId="0" borderId="0" xfId="59" applyNumberFormat="1" applyFont="1" applyFill="1" applyAlignment="1">
      <alignment horizontal="center" vertical="center"/>
    </xf>
    <xf numFmtId="0" fontId="55" fillId="0" borderId="37" xfId="53" applyFont="1" applyFill="1" applyBorder="1">
      <alignment horizontal="center" vertical="center"/>
      <protection locked="0"/>
    </xf>
    <xf numFmtId="168" fontId="35" fillId="0" borderId="3" xfId="40" applyNumberFormat="1" applyFont="1" applyFill="1" applyBorder="1" applyAlignment="1">
      <alignment horizontal="center" vertical="center"/>
    </xf>
    <xf numFmtId="167" fontId="55" fillId="0" borderId="37" xfId="16" applyFont="1" applyFill="1" applyBorder="1" applyAlignment="1">
      <alignment horizontal="center" vertical="center"/>
      <protection locked="0"/>
    </xf>
    <xf numFmtId="167" fontId="28" fillId="0" borderId="0" xfId="59" applyNumberFormat="1" applyFont="1" applyFill="1" applyAlignment="1">
      <alignment horizontal="center" vertical="center"/>
    </xf>
    <xf numFmtId="167" fontId="28" fillId="17" borderId="0" xfId="40" applyNumberFormat="1" applyFill="1" applyAlignment="1">
      <alignment horizontal="center" vertical="center"/>
    </xf>
    <xf numFmtId="178" fontId="29" fillId="0" borderId="4" xfId="16" applyNumberFormat="1" applyFill="1" applyAlignment="1">
      <alignment horizontal="center" vertical="center"/>
      <protection locked="0"/>
    </xf>
    <xf numFmtId="178" fontId="0" fillId="0" borderId="0" xfId="0" applyNumberFormat="1"/>
    <xf numFmtId="168" fontId="28" fillId="0" borderId="19" xfId="40" applyNumberFormat="1" applyFill="1" applyBorder="1" applyAlignment="1">
      <alignment horizontal="center" vertical="center"/>
    </xf>
    <xf numFmtId="0" fontId="40" fillId="0" borderId="0" xfId="0" applyFont="1" applyAlignment="1">
      <alignment horizontal="right"/>
    </xf>
    <xf numFmtId="0" fontId="51" fillId="0" borderId="2" xfId="35" applyFont="1" applyBorder="1" applyAlignment="1">
      <alignment horizontal="right" vertical="center"/>
    </xf>
    <xf numFmtId="186" fontId="29" fillId="12" borderId="4" xfId="19" applyNumberFormat="1" applyAlignment="1">
      <alignment horizontal="center" vertical="center"/>
      <protection locked="0"/>
    </xf>
    <xf numFmtId="186" fontId="29" fillId="12" borderId="4" xfId="19" applyNumberFormat="1" applyAlignment="1">
      <alignment horizontal="left" vertical="center"/>
      <protection locked="0"/>
    </xf>
    <xf numFmtId="169" fontId="35" fillId="0" borderId="3" xfId="40" applyNumberFormat="1" applyFont="1" applyFill="1" applyBorder="1" applyAlignment="1">
      <alignment horizontal="center" vertical="center"/>
    </xf>
    <xf numFmtId="169" fontId="28" fillId="0" borderId="20" xfId="40" applyNumberFormat="1" applyFill="1" applyBorder="1" applyAlignment="1">
      <alignment horizontal="center" vertical="center"/>
    </xf>
    <xf numFmtId="175" fontId="28" fillId="0" borderId="0" xfId="40" applyNumberFormat="1" applyFill="1" applyBorder="1" applyAlignment="1">
      <alignment horizontal="center" vertical="center"/>
    </xf>
    <xf numFmtId="175" fontId="28" fillId="0" borderId="40" xfId="40" applyNumberFormat="1" applyFill="1" applyBorder="1" applyAlignment="1">
      <alignment horizontal="center" vertical="center"/>
    </xf>
    <xf numFmtId="175" fontId="28" fillId="0" borderId="39" xfId="40" applyNumberFormat="1" applyFill="1" applyBorder="1" applyAlignment="1">
      <alignment horizontal="center" vertical="center"/>
    </xf>
    <xf numFmtId="169" fontId="28" fillId="0" borderId="40" xfId="40" applyNumberFormat="1" applyFill="1" applyBorder="1" applyAlignment="1">
      <alignment horizontal="center" vertical="center"/>
    </xf>
    <xf numFmtId="169" fontId="28" fillId="0" borderId="39" xfId="40" applyNumberFormat="1" applyFill="1" applyBorder="1" applyAlignment="1">
      <alignment horizontal="center" vertical="center"/>
    </xf>
    <xf numFmtId="0" fontId="57" fillId="23" borderId="41" xfId="0" applyFont="1" applyFill="1" applyBorder="1" applyAlignment="1">
      <alignment vertical="center" wrapText="1"/>
    </xf>
    <xf numFmtId="0" fontId="57" fillId="23" borderId="42" xfId="0" applyFont="1" applyFill="1" applyBorder="1" applyAlignment="1">
      <alignment horizontal="right" vertical="center" wrapText="1"/>
    </xf>
    <xf numFmtId="0" fontId="58" fillId="0" borderId="43" xfId="0" applyFont="1" applyBorder="1" applyAlignment="1">
      <alignment vertical="center" wrapText="1"/>
    </xf>
    <xf numFmtId="187" fontId="59" fillId="21" borderId="44" xfId="0" applyNumberFormat="1" applyFont="1" applyFill="1" applyBorder="1" applyAlignment="1">
      <alignment horizontal="right" vertical="center" wrapText="1"/>
    </xf>
    <xf numFmtId="0" fontId="60" fillId="24" borderId="43" xfId="0" applyFont="1" applyFill="1" applyBorder="1" applyAlignment="1">
      <alignment vertical="center" wrapText="1"/>
    </xf>
    <xf numFmtId="187" fontId="59" fillId="24" borderId="44" xfId="0" applyNumberFormat="1" applyFont="1" applyFill="1" applyBorder="1" applyAlignment="1">
      <alignment horizontal="right" vertical="center" wrapText="1"/>
    </xf>
    <xf numFmtId="0" fontId="60" fillId="24" borderId="45" xfId="0" applyFont="1" applyFill="1" applyBorder="1" applyAlignment="1">
      <alignment vertical="center" wrapText="1"/>
    </xf>
    <xf numFmtId="0" fontId="59" fillId="24" borderId="46" xfId="0" applyFont="1" applyFill="1" applyBorder="1" applyAlignment="1">
      <alignment horizontal="right" vertical="center" wrapText="1"/>
    </xf>
    <xf numFmtId="0" fontId="57" fillId="23" borderId="42" xfId="0" applyFont="1" applyFill="1" applyBorder="1" applyAlignment="1">
      <alignment horizontal="center" vertical="center" wrapText="1"/>
    </xf>
    <xf numFmtId="0" fontId="61" fillId="0" borderId="44" xfId="0" applyFont="1" applyBorder="1" applyAlignment="1">
      <alignment horizontal="right" vertical="center" wrapText="1"/>
    </xf>
    <xf numFmtId="2" fontId="59" fillId="0" borderId="44" xfId="0" applyNumberFormat="1" applyFont="1" applyBorder="1" applyAlignment="1">
      <alignment horizontal="right" vertical="center" wrapText="1"/>
    </xf>
    <xf numFmtId="2" fontId="59" fillId="24" borderId="46" xfId="0" applyNumberFormat="1" applyFont="1" applyFill="1" applyBorder="1" applyAlignment="1">
      <alignment horizontal="right" vertical="center" wrapText="1"/>
    </xf>
    <xf numFmtId="0" fontId="57" fillId="23" borderId="42" xfId="0" applyFont="1" applyFill="1" applyBorder="1" applyAlignment="1">
      <alignment horizontal="left" vertical="center" wrapText="1"/>
    </xf>
    <xf numFmtId="0" fontId="57" fillId="23" borderId="47" xfId="0" applyFont="1" applyFill="1" applyBorder="1" applyAlignment="1">
      <alignment horizontal="center" vertical="center" wrapText="1"/>
    </xf>
    <xf numFmtId="0" fontId="57" fillId="23" borderId="47" xfId="0" applyFont="1" applyFill="1" applyBorder="1" applyAlignment="1">
      <alignment horizontal="right" vertical="center" wrapText="1"/>
    </xf>
    <xf numFmtId="0" fontId="57" fillId="23" borderId="41" xfId="0" applyFont="1" applyFill="1" applyBorder="1" applyAlignment="1">
      <alignment horizontal="right" vertical="center" wrapText="1"/>
    </xf>
    <xf numFmtId="0" fontId="63" fillId="23" borderId="43" xfId="0" applyFont="1" applyFill="1" applyBorder="1" applyAlignment="1">
      <alignment vertical="center" wrapText="1"/>
    </xf>
    <xf numFmtId="0" fontId="57" fillId="23" borderId="44" xfId="0" applyFont="1" applyFill="1" applyBorder="1" applyAlignment="1">
      <alignment horizontal="right" vertical="center" wrapText="1"/>
    </xf>
    <xf numFmtId="0" fontId="57" fillId="23" borderId="43" xfId="0" applyFont="1" applyFill="1" applyBorder="1" applyAlignment="1">
      <alignment horizontal="right" vertical="center" wrapText="1"/>
    </xf>
    <xf numFmtId="0" fontId="60" fillId="24" borderId="43" xfId="0" applyFont="1" applyFill="1" applyBorder="1" applyAlignment="1">
      <alignment horizontal="center" vertical="center" wrapText="1"/>
    </xf>
    <xf numFmtId="0" fontId="59" fillId="24" borderId="44" xfId="0" applyFont="1" applyFill="1" applyBorder="1" applyAlignment="1">
      <alignment horizontal="left" vertical="center" wrapText="1"/>
    </xf>
    <xf numFmtId="3" fontId="59" fillId="24" borderId="44" xfId="0" applyNumberFormat="1" applyFont="1" applyFill="1" applyBorder="1" applyAlignment="1">
      <alignment horizontal="right" vertical="center" wrapText="1"/>
    </xf>
    <xf numFmtId="0" fontId="58" fillId="0" borderId="43" xfId="0" applyFont="1" applyBorder="1" applyAlignment="1">
      <alignment horizontal="center" vertical="center" wrapText="1"/>
    </xf>
    <xf numFmtId="0" fontId="61" fillId="0" borderId="44" xfId="0" applyFont="1" applyBorder="1" applyAlignment="1">
      <alignment horizontal="left" vertical="center" wrapText="1"/>
    </xf>
    <xf numFmtId="3" fontId="61" fillId="0" borderId="44" xfId="0" applyNumberFormat="1" applyFont="1" applyBorder="1" applyAlignment="1">
      <alignment horizontal="right" vertical="center" wrapText="1"/>
    </xf>
    <xf numFmtId="0" fontId="58" fillId="0" borderId="45" xfId="0" applyFont="1" applyBorder="1" applyAlignment="1">
      <alignment horizontal="center" vertical="center" wrapText="1"/>
    </xf>
    <xf numFmtId="0" fontId="61" fillId="0" borderId="46" xfId="0" applyFont="1" applyBorder="1" applyAlignment="1">
      <alignment horizontal="left" vertical="center" wrapText="1"/>
    </xf>
    <xf numFmtId="3" fontId="61" fillId="0" borderId="46" xfId="0" applyNumberFormat="1" applyFont="1" applyBorder="1" applyAlignment="1">
      <alignment horizontal="right" vertical="center" wrapText="1"/>
    </xf>
    <xf numFmtId="0" fontId="57" fillId="23" borderId="42" xfId="0" applyFont="1" applyFill="1" applyBorder="1" applyAlignment="1">
      <alignment horizontal="center" vertical="center"/>
    </xf>
    <xf numFmtId="0" fontId="57" fillId="23" borderId="44" xfId="0" applyFont="1" applyFill="1" applyBorder="1" applyAlignment="1">
      <alignment horizontal="right" vertical="center"/>
    </xf>
    <xf numFmtId="0" fontId="58" fillId="0" borderId="43" xfId="0" applyFont="1" applyBorder="1" applyAlignment="1">
      <alignment horizontal="center" vertical="center"/>
    </xf>
    <xf numFmtId="0" fontId="58" fillId="0" borderId="44" xfId="0" applyFont="1" applyBorder="1" applyAlignment="1">
      <alignment vertical="center"/>
    </xf>
    <xf numFmtId="0" fontId="61" fillId="0" borderId="44" xfId="0" applyFont="1" applyBorder="1" applyAlignment="1">
      <alignment horizontal="right" vertical="center"/>
    </xf>
    <xf numFmtId="0" fontId="61" fillId="0" borderId="44" xfId="0" applyFont="1" applyBorder="1" applyAlignment="1">
      <alignment vertical="center"/>
    </xf>
    <xf numFmtId="0" fontId="60" fillId="24" borderId="43" xfId="0" applyFont="1" applyFill="1" applyBorder="1" applyAlignment="1">
      <alignment horizontal="center" vertical="center"/>
    </xf>
    <xf numFmtId="0" fontId="60" fillId="24" borderId="44" xfId="0" applyFont="1" applyFill="1" applyBorder="1" applyAlignment="1">
      <alignment vertical="center"/>
    </xf>
    <xf numFmtId="0" fontId="59" fillId="24" borderId="44" xfId="0" applyFont="1" applyFill="1" applyBorder="1" applyAlignment="1">
      <alignment vertical="center"/>
    </xf>
    <xf numFmtId="0" fontId="58" fillId="0" borderId="45" xfId="0" applyFont="1" applyBorder="1" applyAlignment="1">
      <alignment horizontal="center" vertical="center"/>
    </xf>
    <xf numFmtId="0" fontId="61" fillId="0" borderId="46" xfId="0" applyFont="1" applyBorder="1" applyAlignment="1">
      <alignment vertical="center"/>
    </xf>
    <xf numFmtId="0" fontId="57" fillId="23" borderId="41" xfId="0" applyFont="1" applyFill="1" applyBorder="1" applyAlignment="1">
      <alignment horizontal="left" vertical="center"/>
    </xf>
    <xf numFmtId="0" fontId="61" fillId="0" borderId="43" xfId="0" applyFont="1" applyBorder="1" applyAlignment="1">
      <alignment horizontal="left" vertical="center"/>
    </xf>
    <xf numFmtId="0" fontId="59" fillId="0" borderId="44" xfId="0" applyFont="1" applyBorder="1" applyAlignment="1">
      <alignment horizontal="center" vertical="center"/>
    </xf>
    <xf numFmtId="0" fontId="59" fillId="24" borderId="43" xfId="0" applyFont="1" applyFill="1" applyBorder="1" applyAlignment="1">
      <alignment horizontal="left" vertical="center"/>
    </xf>
    <xf numFmtId="0" fontId="59" fillId="24" borderId="44" xfId="0" applyFont="1" applyFill="1" applyBorder="1" applyAlignment="1">
      <alignment horizontal="center" vertical="center"/>
    </xf>
    <xf numFmtId="0" fontId="61" fillId="0" borderId="45" xfId="0" applyFont="1" applyBorder="1" applyAlignment="1">
      <alignment horizontal="left" vertical="center"/>
    </xf>
    <xf numFmtId="0" fontId="59" fillId="0" borderId="46" xfId="0" applyFont="1" applyBorder="1" applyAlignment="1">
      <alignment horizontal="center" vertical="center"/>
    </xf>
    <xf numFmtId="172" fontId="59" fillId="0" borderId="44" xfId="0" applyNumberFormat="1" applyFont="1" applyBorder="1" applyAlignment="1">
      <alignment horizontal="center" vertical="center"/>
    </xf>
    <xf numFmtId="172" fontId="59" fillId="24" borderId="44" xfId="0" applyNumberFormat="1" applyFont="1" applyFill="1" applyBorder="1" applyAlignment="1">
      <alignment horizontal="center" vertical="center"/>
    </xf>
    <xf numFmtId="172" fontId="59" fillId="0" borderId="46" xfId="0" applyNumberFormat="1" applyFont="1" applyBorder="1" applyAlignment="1">
      <alignment horizontal="center" vertical="center"/>
    </xf>
    <xf numFmtId="0" fontId="66" fillId="0" borderId="0" xfId="56" applyFont="1" applyAlignment="1">
      <alignment horizontal="center" vertical="center"/>
    </xf>
    <xf numFmtId="172" fontId="59" fillId="12" borderId="50" xfId="0" applyNumberFormat="1" applyFont="1" applyFill="1" applyBorder="1" applyAlignment="1">
      <alignment horizontal="center" vertical="center"/>
    </xf>
    <xf numFmtId="0" fontId="50" fillId="0" borderId="0" xfId="0" applyFont="1" applyAlignment="1">
      <alignment horizontal="left"/>
    </xf>
    <xf numFmtId="0" fontId="57" fillId="23" borderId="30" xfId="0" applyFont="1" applyFill="1" applyBorder="1" applyAlignment="1">
      <alignment horizontal="center" vertical="center"/>
    </xf>
    <xf numFmtId="172" fontId="59" fillId="0" borderId="51" xfId="0" applyNumberFormat="1" applyFont="1" applyBorder="1" applyAlignment="1">
      <alignment horizontal="center" vertical="center"/>
    </xf>
    <xf numFmtId="172" fontId="59" fillId="24" borderId="51" xfId="0" applyNumberFormat="1" applyFont="1" applyFill="1" applyBorder="1" applyAlignment="1">
      <alignment horizontal="center" vertical="center"/>
    </xf>
    <xf numFmtId="172" fontId="59" fillId="0" borderId="29" xfId="0" applyNumberFormat="1" applyFont="1" applyBorder="1" applyAlignment="1">
      <alignment horizontal="center" vertical="center"/>
    </xf>
    <xf numFmtId="0" fontId="48" fillId="19" borderId="0" xfId="57" applyFont="1" applyFill="1" applyAlignment="1">
      <alignment horizontal="center" vertical="center" wrapText="1"/>
    </xf>
    <xf numFmtId="0" fontId="46" fillId="0" borderId="22" xfId="57" applyFont="1" applyBorder="1" applyAlignment="1">
      <alignment horizontal="center"/>
    </xf>
    <xf numFmtId="172" fontId="44" fillId="0" borderId="27" xfId="57" applyNumberFormat="1" applyFont="1" applyBorder="1" applyAlignment="1">
      <alignment horizontal="center" wrapText="1"/>
    </xf>
    <xf numFmtId="175" fontId="42" fillId="0" borderId="0" xfId="56" applyNumberFormat="1" applyAlignment="1">
      <alignment vertical="center"/>
    </xf>
    <xf numFmtId="0" fontId="52" fillId="0" borderId="0" xfId="37" applyFont="1" applyAlignment="1">
      <alignment horizontal="right" vertical="center"/>
    </xf>
    <xf numFmtId="169" fontId="34" fillId="0" borderId="4" xfId="14" applyNumberFormat="1" applyFont="1" applyFill="1" applyAlignment="1">
      <alignment horizontal="center" vertical="center"/>
      <protection locked="0"/>
    </xf>
    <xf numFmtId="180" fontId="28" fillId="0" borderId="0" xfId="59" applyNumberFormat="1" applyFont="1" applyFill="1" applyBorder="1" applyAlignment="1">
      <alignment horizontal="center" vertical="center"/>
    </xf>
    <xf numFmtId="180" fontId="44" fillId="0" borderId="27" xfId="59" applyNumberFormat="1" applyFont="1" applyBorder="1" applyAlignment="1">
      <alignment horizontal="center" wrapText="1"/>
    </xf>
    <xf numFmtId="9" fontId="59" fillId="24" borderId="44" xfId="59" applyFont="1" applyFill="1" applyBorder="1" applyAlignment="1">
      <alignment horizontal="right" vertical="center" wrapText="1"/>
    </xf>
    <xf numFmtId="9" fontId="61" fillId="0" borderId="44" xfId="59" applyFont="1" applyBorder="1" applyAlignment="1">
      <alignment horizontal="right" vertical="center" wrapText="1"/>
    </xf>
    <xf numFmtId="9" fontId="61" fillId="0" borderId="46" xfId="59" applyFont="1" applyBorder="1" applyAlignment="1">
      <alignment horizontal="right" vertical="center" wrapText="1"/>
    </xf>
    <xf numFmtId="178" fontId="68" fillId="27" borderId="4" xfId="16" applyNumberFormat="1" applyFont="1" applyFill="1" applyAlignment="1">
      <alignment horizontal="center" vertical="center"/>
      <protection locked="0"/>
    </xf>
    <xf numFmtId="180" fontId="56" fillId="27" borderId="31" xfId="59" applyNumberFormat="1" applyFont="1" applyFill="1" applyBorder="1" applyAlignment="1">
      <alignment horizontal="center" vertical="center"/>
    </xf>
    <xf numFmtId="0" fontId="52" fillId="0" borderId="0" xfId="37" applyFont="1" applyAlignment="1">
      <alignment horizontal="center" vertical="center"/>
    </xf>
    <xf numFmtId="165" fontId="35" fillId="0" borderId="3" xfId="40" applyNumberFormat="1" applyFont="1" applyFill="1" applyBorder="1" applyAlignment="1">
      <alignment horizontal="center" vertical="center"/>
    </xf>
    <xf numFmtId="165" fontId="28" fillId="0" borderId="0" xfId="40" applyNumberFormat="1" applyFill="1" applyAlignment="1">
      <alignment horizontal="center" vertical="center"/>
    </xf>
    <xf numFmtId="165" fontId="28" fillId="0" borderId="20" xfId="40" applyNumberFormat="1" applyFill="1" applyBorder="1" applyAlignment="1">
      <alignment horizontal="center" vertical="center"/>
    </xf>
    <xf numFmtId="169" fontId="69" fillId="22" borderId="4" xfId="14" applyNumberFormat="1" applyFont="1" applyFill="1" applyAlignment="1">
      <alignment horizontal="center" vertical="center"/>
      <protection locked="0"/>
    </xf>
    <xf numFmtId="175" fontId="69" fillId="22" borderId="19" xfId="40" applyNumberFormat="1" applyFont="1" applyFill="1" applyBorder="1" applyAlignment="1">
      <alignment horizontal="center" vertical="center"/>
    </xf>
    <xf numFmtId="175" fontId="69" fillId="22" borderId="20" xfId="40" applyNumberFormat="1" applyFont="1" applyFill="1" applyBorder="1" applyAlignment="1">
      <alignment horizontal="center" vertical="center"/>
    </xf>
    <xf numFmtId="175" fontId="69" fillId="22" borderId="0" xfId="40" applyNumberFormat="1" applyFont="1" applyFill="1" applyBorder="1" applyAlignment="1">
      <alignment horizontal="center" vertical="center"/>
    </xf>
    <xf numFmtId="0" fontId="28" fillId="0" borderId="4" xfId="37" applyFill="1" applyBorder="1" applyAlignment="1">
      <alignment horizontal="center" vertical="center"/>
    </xf>
    <xf numFmtId="0" fontId="36" fillId="0" borderId="0" xfId="35">
      <alignment horizontal="left" vertical="center"/>
    </xf>
    <xf numFmtId="188" fontId="28" fillId="0" borderId="44" xfId="40" applyNumberFormat="1" applyBorder="1">
      <alignment horizontal="right" vertical="center"/>
    </xf>
    <xf numFmtId="188" fontId="28" fillId="24" borderId="44" xfId="40" applyNumberFormat="1" applyFill="1" applyBorder="1">
      <alignment horizontal="right" vertical="center"/>
    </xf>
    <xf numFmtId="188" fontId="28" fillId="0" borderId="46" xfId="40" applyNumberFormat="1" applyBorder="1">
      <alignment horizontal="right" vertical="center"/>
    </xf>
    <xf numFmtId="0" fontId="29" fillId="0" borderId="1" xfId="36" applyFill="1" applyBorder="1" applyAlignment="1">
      <alignment horizontal="center" vertical="center"/>
    </xf>
    <xf numFmtId="169" fontId="28" fillId="0" borderId="0" xfId="13" applyNumberFormat="1" applyAlignment="1">
      <alignment vertical="center"/>
    </xf>
    <xf numFmtId="167" fontId="28" fillId="0" borderId="0" xfId="15">
      <alignment horizontal="right" vertical="center"/>
    </xf>
    <xf numFmtId="0" fontId="28" fillId="0" borderId="17" xfId="37" applyBorder="1" applyAlignment="1">
      <alignment horizontal="left" vertical="center"/>
    </xf>
    <xf numFmtId="0" fontId="34" fillId="0" borderId="17" xfId="36" applyFont="1" applyFill="1" applyBorder="1" applyAlignment="1">
      <alignment horizontal="center" vertical="center"/>
    </xf>
    <xf numFmtId="169" fontId="69" fillId="22" borderId="53" xfId="14" applyNumberFormat="1" applyFont="1" applyFill="1" applyBorder="1" applyAlignment="1">
      <alignment horizontal="center" vertical="center"/>
      <protection locked="0"/>
    </xf>
    <xf numFmtId="169" fontId="69" fillId="22" borderId="54" xfId="14" applyNumberFormat="1" applyFont="1" applyFill="1" applyBorder="1" applyAlignment="1">
      <alignment horizontal="center" vertical="center"/>
      <protection locked="0"/>
    </xf>
    <xf numFmtId="169" fontId="69" fillId="22" borderId="28" xfId="14" applyNumberFormat="1" applyFont="1" applyFill="1" applyBorder="1" applyAlignment="1">
      <alignment horizontal="center" vertical="center"/>
      <protection locked="0"/>
    </xf>
    <xf numFmtId="0" fontId="29" fillId="0" borderId="0" xfId="36" applyFill="1" applyAlignment="1">
      <alignment horizontal="left" vertical="center" wrapText="1"/>
    </xf>
    <xf numFmtId="0" fontId="36" fillId="0" borderId="0" xfId="35" applyBorder="1" applyAlignment="1">
      <alignment horizontal="center" vertical="center" wrapText="1"/>
    </xf>
    <xf numFmtId="0" fontId="34" fillId="0" borderId="38" xfId="53" applyFont="1" applyFill="1" applyBorder="1">
      <alignment horizontal="center" vertical="center"/>
      <protection locked="0"/>
    </xf>
    <xf numFmtId="0" fontId="34" fillId="0" borderId="0" xfId="53" applyFont="1" applyFill="1" applyBorder="1">
      <alignment horizontal="center" vertical="center"/>
      <protection locked="0"/>
    </xf>
    <xf numFmtId="0" fontId="44" fillId="0" borderId="33" xfId="57" applyFont="1" applyBorder="1" applyAlignment="1">
      <alignment horizontal="center" vertical="center" wrapText="1"/>
    </xf>
    <xf numFmtId="0" fontId="44" fillId="0" borderId="34" xfId="57" applyFont="1" applyBorder="1" applyAlignment="1">
      <alignment horizontal="center" vertical="center" wrapText="1"/>
    </xf>
    <xf numFmtId="0" fontId="44" fillId="0" borderId="35" xfId="57" applyFont="1" applyBorder="1" applyAlignment="1">
      <alignment horizontal="center" vertical="center" wrapText="1"/>
    </xf>
    <xf numFmtId="0" fontId="46" fillId="0" borderId="23" xfId="57" applyFont="1" applyBorder="1" applyAlignment="1">
      <alignment horizontal="right" vertical="center"/>
    </xf>
    <xf numFmtId="0" fontId="46" fillId="0" borderId="24" xfId="57" applyFont="1" applyBorder="1" applyAlignment="1">
      <alignment horizontal="right" vertical="center"/>
    </xf>
    <xf numFmtId="0" fontId="46" fillId="0" borderId="23" xfId="57" applyFont="1" applyBorder="1" applyAlignment="1">
      <alignment horizontal="center" vertical="center"/>
    </xf>
    <xf numFmtId="0" fontId="46" fillId="0" borderId="24" xfId="57" applyFont="1" applyBorder="1" applyAlignment="1">
      <alignment horizontal="center" vertical="center"/>
    </xf>
    <xf numFmtId="0" fontId="44" fillId="0" borderId="22" xfId="57" applyFont="1" applyBorder="1" applyAlignment="1">
      <alignment horizontal="center" vertical="center" wrapText="1"/>
    </xf>
    <xf numFmtId="0" fontId="36" fillId="0" borderId="0" xfId="35" applyBorder="1" applyAlignment="1">
      <alignment horizontal="center" vertical="center"/>
    </xf>
    <xf numFmtId="0" fontId="57" fillId="23" borderId="47" xfId="0" applyFont="1" applyFill="1" applyBorder="1" applyAlignment="1">
      <alignment vertical="center" wrapText="1"/>
    </xf>
    <xf numFmtId="0" fontId="57" fillId="23" borderId="42" xfId="0" applyFont="1" applyFill="1" applyBorder="1" applyAlignment="1">
      <alignment vertical="center" wrapText="1"/>
    </xf>
    <xf numFmtId="0" fontId="57" fillId="23" borderId="49" xfId="0" applyFont="1" applyFill="1" applyBorder="1" applyAlignment="1">
      <alignment vertical="center" wrapText="1"/>
    </xf>
    <xf numFmtId="0" fontId="57" fillId="23" borderId="44" xfId="0" applyFont="1" applyFill="1" applyBorder="1" applyAlignment="1">
      <alignment vertical="center" wrapText="1"/>
    </xf>
    <xf numFmtId="0" fontId="57" fillId="23" borderId="47" xfId="0" applyFont="1" applyFill="1" applyBorder="1" applyAlignment="1">
      <alignment horizontal="center" vertical="center"/>
    </xf>
    <xf numFmtId="0" fontId="57" fillId="23" borderId="48" xfId="0" applyFont="1" applyFill="1" applyBorder="1" applyAlignment="1">
      <alignment horizontal="center" vertical="center"/>
    </xf>
    <xf numFmtId="0" fontId="57" fillId="23" borderId="42" xfId="0" applyFont="1" applyFill="1" applyBorder="1" applyAlignment="1">
      <alignment horizontal="center" vertical="center"/>
    </xf>
    <xf numFmtId="0" fontId="52" fillId="0" borderId="52" xfId="37" applyFont="1" applyBorder="1" applyAlignment="1">
      <alignment horizontal="center" vertical="center"/>
    </xf>
    <xf numFmtId="0" fontId="67" fillId="25" borderId="0" xfId="35" applyFont="1" applyFill="1" applyBorder="1" applyAlignment="1">
      <alignment horizontal="center" vertical="center"/>
    </xf>
    <xf numFmtId="0" fontId="67" fillId="26" borderId="0" xfId="35" applyFont="1" applyFill="1" applyBorder="1" applyAlignment="1">
      <alignment horizontal="center" vertical="center"/>
    </xf>
    <xf numFmtId="0" fontId="48" fillId="19" borderId="53" xfId="57" applyFont="1" applyFill="1" applyBorder="1" applyAlignment="1">
      <alignment horizontal="center" vertical="center" wrapText="1"/>
    </xf>
    <xf numFmtId="0" fontId="48" fillId="19" borderId="32" xfId="57" applyFont="1" applyFill="1" applyBorder="1" applyAlignment="1">
      <alignment horizontal="center" vertical="center" wrapText="1"/>
    </xf>
    <xf numFmtId="0" fontId="67" fillId="11" borderId="0" xfId="35" applyFont="1" applyFill="1" applyBorder="1" applyAlignment="1">
      <alignment horizontal="center" vertical="center"/>
    </xf>
  </cellXfs>
  <cellStyles count="73">
    <cellStyle name="Bad" xfId="22" builtinId="27" hidden="1"/>
    <cellStyle name="Calculation" xfId="26" builtinId="22" hidden="1"/>
    <cellStyle name="Check Cell" xfId="28" builtinId="23" hidden="1"/>
    <cellStyle name="Check RedRedGreen" xfId="44" xr:uid="{00000000-0005-0000-0000-000003000000}"/>
    <cellStyle name="Comma 2" xfId="62" xr:uid="{00000000-0005-0000-0000-000005000000}"/>
    <cellStyle name="Comma 2 2" xfId="71" xr:uid="{00000000-0005-0000-0000-000006000000}"/>
    <cellStyle name="Currency" xfId="1" builtinId="4" hidden="1" customBuiltin="1"/>
    <cellStyle name="Currency" xfId="40" xr:uid="{00000000-0005-0000-0000-000008000000}"/>
    <cellStyle name="Currency Assumptions" xfId="19" xr:uid="{00000000-0005-0000-0000-000009000000}"/>
    <cellStyle name="Currency Input" xfId="49" xr:uid="{00000000-0005-0000-0000-00000A000000}"/>
    <cellStyle name="Date" xfId="11" xr:uid="{00000000-0005-0000-0000-00000B000000}"/>
    <cellStyle name="Date Assumptions" xfId="12" xr:uid="{00000000-0005-0000-0000-00000C000000}"/>
    <cellStyle name="Date Input" xfId="48" xr:uid="{00000000-0005-0000-0000-00000D000000}"/>
    <cellStyle name="Dropdown" xfId="53" xr:uid="{00000000-0005-0000-0000-00000E000000}"/>
    <cellStyle name="Explanatory Text" xfId="31" builtinId="53" hidden="1"/>
    <cellStyle name="External Link" xfId="55" xr:uid="{00000000-0005-0000-0000-000010000000}"/>
    <cellStyle name="Good" xfId="21" builtinId="26" hidden="1"/>
    <cellStyle name="Heading 1" xfId="3" builtinId="16" customBuiltin="1"/>
    <cellStyle name="Heading 1 2 4" xfId="60" xr:uid="{00000000-0005-0000-0000-000013000000}"/>
    <cellStyle name="Heading 1 4" xfId="65" xr:uid="{00000000-0005-0000-0000-000014000000}"/>
    <cellStyle name="Heading 2" xfId="4" builtinId="17" hidden="1" customBuiltin="1"/>
    <cellStyle name="Heading 2 Input" xfId="38" xr:uid="{00000000-0005-0000-0000-000016000000}"/>
    <cellStyle name="Heading 2 Output" xfId="39" xr:uid="{00000000-0005-0000-0000-000017000000}"/>
    <cellStyle name="Heading 3" xfId="5" builtinId="18" hidden="1" customBuiltin="1"/>
    <cellStyle name="Heading 3 Input" xfId="34" xr:uid="{00000000-0005-0000-0000-000019000000}"/>
    <cellStyle name="Heading 3 Output" xfId="35" xr:uid="{00000000-0005-0000-0000-00001A000000}"/>
    <cellStyle name="Heading 4" xfId="6" builtinId="19" hidden="1" customBuiltin="1"/>
    <cellStyle name="Heading 4 Assumptions" xfId="8" xr:uid="{00000000-0005-0000-0000-00001C000000}"/>
    <cellStyle name="Heading 4 Input" xfId="36" xr:uid="{00000000-0005-0000-0000-00001D000000}"/>
    <cellStyle name="Heading 4 Input 2" xfId="66" xr:uid="{00000000-0005-0000-0000-00001E000000}"/>
    <cellStyle name="Heading 4 Output" xfId="37" xr:uid="{00000000-0005-0000-0000-00001F000000}"/>
    <cellStyle name="Heading 4 Output 2" xfId="68" xr:uid="{00000000-0005-0000-0000-000020000000}"/>
    <cellStyle name="Hyperlink" xfId="32" builtinId="8" customBuiltin="1"/>
    <cellStyle name="Hyperlink 2" xfId="63" xr:uid="{00000000-0005-0000-0000-000022000000}"/>
    <cellStyle name="Hyperlink 5" xfId="67" xr:uid="{00000000-0005-0000-0000-000023000000}"/>
    <cellStyle name="Input" xfId="24" builtinId="20" hidden="1"/>
    <cellStyle name="Line Item Modifier" xfId="41" xr:uid="{00000000-0005-0000-0000-000025000000}"/>
    <cellStyle name="Linked Cell" xfId="27" builtinId="24" hidden="1"/>
    <cellStyle name="Multiple" xfId="17" xr:uid="{00000000-0005-0000-0000-000027000000}"/>
    <cellStyle name="Multiple Assumptions" xfId="18" xr:uid="{00000000-0005-0000-0000-000028000000}"/>
    <cellStyle name="Multiple Input" xfId="50" xr:uid="{00000000-0005-0000-0000-000029000000}"/>
    <cellStyle name="Neutral" xfId="23" builtinId="28" hidden="1"/>
    <cellStyle name="Normal" xfId="0" builtinId="0" customBuiltin="1"/>
    <cellStyle name="Normal 2" xfId="61" xr:uid="{00000000-0005-0000-0000-00002C000000}"/>
    <cellStyle name="Normal 2 2" xfId="70" xr:uid="{00000000-0005-0000-0000-00002D000000}"/>
    <cellStyle name="Normal 4 8" xfId="56" xr:uid="{00000000-0005-0000-0000-00002E000000}"/>
    <cellStyle name="Normal 45" xfId="57" xr:uid="{00000000-0005-0000-0000-00002F000000}"/>
    <cellStyle name="Not Applicable" xfId="54" xr:uid="{00000000-0005-0000-0000-000030000000}"/>
    <cellStyle name="Note" xfId="30" builtinId="10" hidden="1"/>
    <cellStyle name="Number" xfId="13" xr:uid="{00000000-0005-0000-0000-000032000000}"/>
    <cellStyle name="Number Assumptions" xfId="14" xr:uid="{00000000-0005-0000-0000-000033000000}"/>
    <cellStyle name="Number Input" xfId="47" xr:uid="{00000000-0005-0000-0000-000034000000}"/>
    <cellStyle name="Output" xfId="25" builtinId="21" hidden="1"/>
    <cellStyle name="Percent" xfId="59" builtinId="5"/>
    <cellStyle name="Percent 2" xfId="64" xr:uid="{00000000-0005-0000-0000-000037000000}"/>
    <cellStyle name="Percent 2 2" xfId="72" xr:uid="{00000000-0005-0000-0000-000038000000}"/>
    <cellStyle name="Percent 50" xfId="58" xr:uid="{00000000-0005-0000-0000-000039000000}"/>
    <cellStyle name="Percentage" xfId="15" xr:uid="{00000000-0005-0000-0000-00003A000000}"/>
    <cellStyle name="Percentage Assumptions" xfId="16" xr:uid="{00000000-0005-0000-0000-00003B000000}"/>
    <cellStyle name="Percentage Input" xfId="51" xr:uid="{00000000-0005-0000-0000-00003C000000}"/>
    <cellStyle name="Sheet Title Input" xfId="20" xr:uid="{00000000-0005-0000-0000-00003D000000}"/>
    <cellStyle name="Sheet Title Input 2 2" xfId="69" xr:uid="{00000000-0005-0000-0000-00003E000000}"/>
    <cellStyle name="Sheet Title Output" xfId="33" xr:uid="{00000000-0005-0000-0000-00003F000000}"/>
    <cellStyle name="Table Header 1" xfId="42" xr:uid="{00000000-0005-0000-0000-000040000000}"/>
    <cellStyle name="Table Header 2" xfId="43" xr:uid="{00000000-0005-0000-0000-000041000000}"/>
    <cellStyle name="Title" xfId="2" builtinId="15" hidden="1"/>
    <cellStyle name="Total" xfId="7" builtinId="25" hidden="1"/>
    <cellStyle name="Trigger Assumption GreenRedGrey" xfId="45" xr:uid="{00000000-0005-0000-0000-000044000000}"/>
    <cellStyle name="Trigger GreenRedGrey" xfId="46" xr:uid="{00000000-0005-0000-0000-000045000000}"/>
    <cellStyle name="Warning Text" xfId="29" builtinId="11" hidden="1"/>
    <cellStyle name="Year" xfId="9" xr:uid="{00000000-0005-0000-0000-000047000000}"/>
    <cellStyle name="Year Assumptions" xfId="10" xr:uid="{00000000-0005-0000-0000-000048000000}"/>
    <cellStyle name="Year Input" xfId="52" xr:uid="{00000000-0005-0000-0000-000049000000}"/>
  </cellStyles>
  <dxfs count="36">
    <dxf>
      <font>
        <b/>
        <i val="0"/>
        <color rgb="FFFF0000"/>
      </font>
    </dxf>
    <dxf>
      <font>
        <b/>
        <i val="0"/>
        <color rgb="FFFF0000"/>
      </font>
    </dxf>
    <dxf>
      <font>
        <b/>
        <i val="0"/>
        <color rgb="FFFF0000"/>
      </font>
    </dxf>
    <dxf>
      <font>
        <b/>
        <i val="0"/>
        <color rgb="FFFF0000"/>
      </font>
    </dxf>
    <dxf>
      <font>
        <b/>
        <i val="0"/>
        <color rgb="FFFF0000"/>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00B050"/>
      </font>
    </dxf>
    <dxf>
      <font>
        <b/>
        <i val="0"/>
        <color theme="5"/>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39C00"/>
      <color rgb="FF131640"/>
      <color rgb="FFD14900"/>
      <color rgb="FFF2F8EF"/>
      <color rgb="FFB3D8EB"/>
      <color rgb="FFB8B9C5"/>
      <color rgb="FFF1C8B2"/>
      <color rgb="FFC5DBB4"/>
      <color rgb="FF3D8704"/>
      <color rgb="FF037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Output_Charts!$S$41</c:f>
              <c:strCache>
                <c:ptCount val="1"/>
                <c:pt idx="0">
                  <c:v>FY25</c:v>
                </c:pt>
              </c:strCache>
            </c:strRef>
          </c:tx>
          <c:spPr>
            <a:solidFill>
              <a:schemeClr val="tx2"/>
            </a:solidFill>
          </c:spPr>
          <c:invertIfNegative val="0"/>
          <c:dLbls>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13-404F-B5B0-E2E10DC0D286}"/>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F2-4CA2-94C7-81C32A76C8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Output_Charts!$P$42:$Q$68</c:f>
              <c:multiLvlStrCache>
                <c:ptCount val="27"/>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pt idx="25">
                    <c:v>SAC</c:v>
                  </c:pt>
                  <c:pt idx="26">
                    <c:v>Anytime Energy</c:v>
                  </c:pt>
                </c:lvl>
                <c:lvl>
                  <c:pt idx="0">
                    <c:v>T1</c:v>
                  </c:pt>
                  <c:pt idx="2">
                    <c:v>T2</c:v>
                  </c:pt>
                  <c:pt idx="4">
                    <c:v>T3a</c:v>
                  </c:pt>
                  <c:pt idx="8">
                    <c:v>T3b</c:v>
                  </c:pt>
                  <c:pt idx="12">
                    <c:v>T3c</c:v>
                  </c:pt>
                  <c:pt idx="16">
                    <c:v>T4</c:v>
                  </c:pt>
                  <c:pt idx="17">
                    <c:v>T5</c:v>
                  </c:pt>
                  <c:pt idx="21">
                    <c:v>T6</c:v>
                  </c:pt>
                  <c:pt idx="25">
                    <c:v>T7</c:v>
                  </c:pt>
                </c:lvl>
              </c:multiLvlStrCache>
            </c:multiLvlStrRef>
          </c:cat>
          <c:val>
            <c:numRef>
              <c:f>Output_Charts!$S$42:$S$68</c:f>
              <c:numCache>
                <c:formatCode>0%</c:formatCode>
                <c:ptCount val="27"/>
                <c:pt idx="0">
                  <c:v>0.25812168171845984</c:v>
                </c:pt>
                <c:pt idx="1">
                  <c:v>0.11062357787933993</c:v>
                </c:pt>
                <c:pt idx="2">
                  <c:v>4.8459303447310805E-3</c:v>
                </c:pt>
                <c:pt idx="3">
                  <c:v>1.1945235090927549E-2</c:v>
                </c:pt>
                <c:pt idx="4">
                  <c:v>0.18460871780265881</c:v>
                </c:pt>
                <c:pt idx="5">
                  <c:v>0</c:v>
                </c:pt>
                <c:pt idx="6">
                  <c:v>2.0512079755850975E-2</c:v>
                </c:pt>
                <c:pt idx="7">
                  <c:v>0</c:v>
                </c:pt>
                <c:pt idx="8">
                  <c:v>2.7871788223380538E-2</c:v>
                </c:pt>
                <c:pt idx="9">
                  <c:v>0</c:v>
                </c:pt>
                <c:pt idx="10">
                  <c:v>0.11148715289352215</c:v>
                </c:pt>
                <c:pt idx="11">
                  <c:v>0</c:v>
                </c:pt>
                <c:pt idx="12">
                  <c:v>2.1743282701138313E-2</c:v>
                </c:pt>
                <c:pt idx="13">
                  <c:v>0</c:v>
                </c:pt>
                <c:pt idx="14">
                  <c:v>4.4145452756856572E-2</c:v>
                </c:pt>
                <c:pt idx="15">
                  <c:v>0</c:v>
                </c:pt>
                <c:pt idx="16">
                  <c:v>1.5917363902836778E-2</c:v>
                </c:pt>
                <c:pt idx="17">
                  <c:v>7.1805182885880059E-2</c:v>
                </c:pt>
                <c:pt idx="18">
                  <c:v>1.0257883269411438E-2</c:v>
                </c:pt>
                <c:pt idx="19">
                  <c:v>0</c:v>
                </c:pt>
                <c:pt idx="20">
                  <c:v>0</c:v>
                </c:pt>
                <c:pt idx="21">
                  <c:v>1.3718117498399459E-2</c:v>
                </c:pt>
                <c:pt idx="22">
                  <c:v>4.1154352495198374E-2</c:v>
                </c:pt>
                <c:pt idx="23">
                  <c:v>0</c:v>
                </c:pt>
                <c:pt idx="24">
                  <c:v>0</c:v>
                </c:pt>
                <c:pt idx="25">
                  <c:v>1.7934770273492953E-2</c:v>
                </c:pt>
                <c:pt idx="26">
                  <c:v>3.3307430507915486E-2</c:v>
                </c:pt>
              </c:numCache>
            </c:numRef>
          </c:val>
          <c:extLst>
            <c:ext xmlns:c16="http://schemas.microsoft.com/office/drawing/2014/chart" uri="{C3380CC4-5D6E-409C-BE32-E72D297353CC}">
              <c16:uniqueId val="{00000000-3F7B-4FCB-AB7A-0B7B17C1CEF8}"/>
            </c:ext>
          </c:extLst>
        </c:ser>
        <c:dLbls>
          <c:showLegendKey val="0"/>
          <c:showVal val="0"/>
          <c:showCatName val="0"/>
          <c:showSerName val="0"/>
          <c:showPercent val="0"/>
          <c:showBubbleSize val="0"/>
        </c:dLbls>
        <c:gapWidth val="75"/>
        <c:axId val="97039872"/>
        <c:axId val="97041408"/>
        <c:extLst>
          <c:ext xmlns:c15="http://schemas.microsoft.com/office/drawing/2012/chart" uri="{02D57815-91ED-43cb-92C2-25804820EDAC}">
            <c15:filteredBarSeries>
              <c15:ser>
                <c:idx val="0"/>
                <c:order val="0"/>
                <c:tx>
                  <c:strRef>
                    <c:extLst>
                      <c:ext uri="{02D57815-91ED-43cb-92C2-25804820EDAC}">
                        <c15:formulaRef>
                          <c15:sqref>Output_Charts!$R$41</c15:sqref>
                        </c15:formulaRef>
                      </c:ext>
                    </c:extLst>
                    <c:strCache>
                      <c:ptCount val="1"/>
                      <c:pt idx="0">
                        <c:v>FY24</c:v>
                      </c:pt>
                    </c:strCache>
                  </c:strRef>
                </c:tx>
                <c:spPr>
                  <a:solidFill>
                    <a:schemeClr val="accent3">
                      <a:lumMod val="40000"/>
                      <a:lumOff val="60000"/>
                    </a:schemeClr>
                  </a:solidFill>
                  <a:ln>
                    <a:noFill/>
                  </a:ln>
                  <a:effectLst/>
                </c:spPr>
                <c:invertIfNegative val="0"/>
                <c:dLbls>
                  <c:dLbl>
                    <c:idx val="13"/>
                    <c:layout>
                      <c:manualLayout>
                        <c:x val="-4.4792833146697622E-3"/>
                        <c:y val="0.161725350368939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513-404F-B5B0-E2E10DC0D286}"/>
                      </c:ext>
                    </c:extLst>
                  </c:dLbl>
                  <c:dLbl>
                    <c:idx val="16"/>
                    <c:layout>
                      <c:manualLayout>
                        <c:x val="-4.4792833146696529E-3"/>
                        <c:y val="3.593890386343216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513-404F-B5B0-E2E10DC0D286}"/>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Output_Charts!$P$42:$Q$68</c15:sqref>
                        </c15:formulaRef>
                      </c:ext>
                    </c:extLst>
                    <c:multiLvlStrCache>
                      <c:ptCount val="27"/>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pt idx="25">
                          <c:v>SAC</c:v>
                        </c:pt>
                        <c:pt idx="26">
                          <c:v>Anytime Energy</c:v>
                        </c:pt>
                      </c:lvl>
                      <c:lvl>
                        <c:pt idx="0">
                          <c:v>T1</c:v>
                        </c:pt>
                        <c:pt idx="2">
                          <c:v>T2</c:v>
                        </c:pt>
                        <c:pt idx="4">
                          <c:v>T3a</c:v>
                        </c:pt>
                        <c:pt idx="8">
                          <c:v>T3b</c:v>
                        </c:pt>
                        <c:pt idx="12">
                          <c:v>T3c</c:v>
                        </c:pt>
                        <c:pt idx="16">
                          <c:v>T4</c:v>
                        </c:pt>
                        <c:pt idx="17">
                          <c:v>T5</c:v>
                        </c:pt>
                        <c:pt idx="21">
                          <c:v>T6</c:v>
                        </c:pt>
                        <c:pt idx="25">
                          <c:v>T7</c:v>
                        </c:pt>
                      </c:lvl>
                    </c:multiLvlStrCache>
                  </c:multiLvlStrRef>
                </c:cat>
                <c:val>
                  <c:numRef>
                    <c:extLst>
                      <c:ext uri="{02D57815-91ED-43cb-92C2-25804820EDAC}">
                        <c15:formulaRef>
                          <c15:sqref>Output_Charts!$R$42:$R$68</c15:sqref>
                        </c15:formulaRef>
                      </c:ext>
                    </c:extLst>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7-3256-4863-BA5D-66EC01DE22BA}"/>
                  </c:ext>
                </c:extLst>
              </c15:ser>
            </c15:filteredBarSeries>
          </c:ext>
        </c:extLst>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Output_Charts!$S$20</c:f>
              <c:strCache>
                <c:ptCount val="1"/>
                <c:pt idx="0">
                  <c:v>FY25</c:v>
                </c:pt>
              </c:strCache>
            </c:strRef>
          </c:tx>
          <c:spPr>
            <a:solidFill>
              <a:schemeClr val="tx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Output_Charts!$P$21:$Q$29</c:f>
              <c:strCache>
                <c:ptCount val="9"/>
                <c:pt idx="0">
                  <c:v>T1: Residential Accumulation</c:v>
                </c:pt>
                <c:pt idx="1">
                  <c:v>T2: Non-Residential Accumulation</c:v>
                </c:pt>
                <c:pt idx="2">
                  <c:v>T3a: LV Smart Meter - Res</c:v>
                </c:pt>
                <c:pt idx="3">
                  <c:v>T3b: LV Smart Meter - Small Comm</c:v>
                </c:pt>
                <c:pt idx="4">
                  <c:v>T3c: LV Smart Meter - Med Comm</c:v>
                </c:pt>
                <c:pt idx="5">
                  <c:v>T4: Unmetered</c:v>
                </c:pt>
                <c:pt idx="6">
                  <c:v>T5: LV Majors</c:v>
                </c:pt>
                <c:pt idx="7">
                  <c:v>T6: HV Smart Meters</c:v>
                </c:pt>
                <c:pt idx="8">
                  <c:v>T7: Super Users</c:v>
                </c:pt>
              </c:strCache>
            </c:strRef>
          </c:cat>
          <c:val>
            <c:numRef>
              <c:f>Output_Charts!$S$21:$S$29</c:f>
              <c:numCache>
                <c:formatCode>0.0%</c:formatCode>
                <c:ptCount val="9"/>
                <c:pt idx="0">
                  <c:v>0.36874525959779969</c:v>
                </c:pt>
                <c:pt idx="1">
                  <c:v>1.6791165435658627E-2</c:v>
                </c:pt>
                <c:pt idx="2">
                  <c:v>0.20512079755850979</c:v>
                </c:pt>
                <c:pt idx="3">
                  <c:v>0.13935894111690267</c:v>
                </c:pt>
                <c:pt idx="4">
                  <c:v>6.5888735457994882E-2</c:v>
                </c:pt>
                <c:pt idx="5">
                  <c:v>1.5917363902836774E-2</c:v>
                </c:pt>
                <c:pt idx="6">
                  <c:v>8.2063066155291492E-2</c:v>
                </c:pt>
                <c:pt idx="7">
                  <c:v>5.4872469993597829E-2</c:v>
                </c:pt>
                <c:pt idx="8">
                  <c:v>5.1242200781408433E-2</c:v>
                </c:pt>
              </c:numCache>
            </c:numRef>
          </c:val>
          <c:extLst>
            <c:ext xmlns:c16="http://schemas.microsoft.com/office/drawing/2014/chart" uri="{C3380CC4-5D6E-409C-BE32-E72D297353CC}">
              <c16:uniqueId val="{00000000-EF8B-4800-844E-AD7B375CE654}"/>
            </c:ext>
          </c:extLst>
        </c:ser>
        <c:dLbls>
          <c:showLegendKey val="0"/>
          <c:showVal val="0"/>
          <c:showCatName val="0"/>
          <c:showSerName val="0"/>
          <c:showPercent val="0"/>
          <c:showBubbleSize val="0"/>
        </c:dLbls>
        <c:gapWidth val="100"/>
        <c:axId val="106600704"/>
        <c:axId val="106610688"/>
        <c:extLst>
          <c:ext xmlns:c15="http://schemas.microsoft.com/office/drawing/2012/chart" uri="{02D57815-91ED-43cb-92C2-25804820EDAC}">
            <c15:filteredBarSeries>
              <c15:ser>
                <c:idx val="0"/>
                <c:order val="0"/>
                <c:tx>
                  <c:strRef>
                    <c:extLst>
                      <c:ext uri="{02D57815-91ED-43cb-92C2-25804820EDAC}">
                        <c15:formulaRef>
                          <c15:sqref>Output_Charts!$R$20</c15:sqref>
                        </c15:formulaRef>
                      </c:ext>
                    </c:extLst>
                    <c:strCache>
                      <c:ptCount val="1"/>
                      <c:pt idx="0">
                        <c:v>FY24</c:v>
                      </c:pt>
                    </c:strCache>
                  </c:strRef>
                </c:tx>
                <c:spPr>
                  <a:solidFill>
                    <a:schemeClr val="accent3">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Output_Charts!$P$21:$Q$29</c15:sqref>
                        </c15:formulaRef>
                      </c:ext>
                    </c:extLst>
                    <c:strCache>
                      <c:ptCount val="9"/>
                      <c:pt idx="0">
                        <c:v>T1: Residential Accumulation</c:v>
                      </c:pt>
                      <c:pt idx="1">
                        <c:v>T2: Non-Residential Accumulation</c:v>
                      </c:pt>
                      <c:pt idx="2">
                        <c:v>T3a: LV Smart Meter - Res</c:v>
                      </c:pt>
                      <c:pt idx="3">
                        <c:v>T3b: LV Smart Meter - Small Comm</c:v>
                      </c:pt>
                      <c:pt idx="4">
                        <c:v>T3c: LV Smart Meter - Med Comm</c:v>
                      </c:pt>
                      <c:pt idx="5">
                        <c:v>T4: Unmetered</c:v>
                      </c:pt>
                      <c:pt idx="6">
                        <c:v>T5: LV Majors</c:v>
                      </c:pt>
                      <c:pt idx="7">
                        <c:v>T6: HV Smart Meters</c:v>
                      </c:pt>
                      <c:pt idx="8">
                        <c:v>T7: Super Users</c:v>
                      </c:pt>
                    </c:strCache>
                  </c:strRef>
                </c:cat>
                <c:val>
                  <c:numRef>
                    <c:extLst>
                      <c:ext uri="{02D57815-91ED-43cb-92C2-25804820EDAC}">
                        <c15:formulaRef>
                          <c15:sqref>Output_Charts!$R$21:$R$29</c15:sqref>
                        </c15:formulaRef>
                      </c:ext>
                    </c:extLst>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21D-47E4-8469-D701B72CEEA2}"/>
                  </c:ext>
                </c:extLst>
              </c15:ser>
            </c15:filteredBarSeries>
          </c:ext>
        </c:extLst>
      </c:barChart>
      <c:catAx>
        <c:axId val="106600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0688"/>
        <c:crosses val="autoZero"/>
        <c:auto val="1"/>
        <c:lblAlgn val="ctr"/>
        <c:lblOffset val="100"/>
        <c:noMultiLvlLbl val="0"/>
      </c:catAx>
      <c:valAx>
        <c:axId val="106610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070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Output_Pricing_Proposal!$K$27</c:f>
              <c:strCache>
                <c:ptCount val="1"/>
                <c:pt idx="0">
                  <c:v>FY25</c:v>
                </c:pt>
              </c:strCache>
            </c:strRef>
          </c:tx>
          <c:spPr>
            <a:solidFill>
              <a:schemeClr val="tx2"/>
            </a:solidFill>
            <a:ln>
              <a:solidFill>
                <a:schemeClr val="bg1"/>
              </a:solidFill>
            </a:ln>
          </c:spPr>
          <c:invertIfNegative val="0"/>
          <c:dLbls>
            <c:dLbl>
              <c:idx val="1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33-415C-9CC4-2218246D0924}"/>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33-415C-9CC4-2218246D09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Output_Pricing_Proposal!$I$28:$J$54</c:f>
              <c:multiLvlStrCache>
                <c:ptCount val="27"/>
                <c:lvl>
                  <c:pt idx="0">
                    <c:v>SAC</c:v>
                  </c:pt>
                  <c:pt idx="1">
                    <c:v>Anytime Energy</c:v>
                  </c:pt>
                  <c:pt idx="2">
                    <c:v>SAC</c:v>
                  </c:pt>
                  <c:pt idx="3">
                    <c:v>Anytime Energy</c:v>
                  </c:pt>
                  <c:pt idx="4">
                    <c:v>SAC</c:v>
                  </c:pt>
                  <c:pt idx="5">
                    <c:v>Peak Energy</c:v>
                  </c:pt>
                  <c:pt idx="6">
                    <c:v>Off-peak Energy</c:v>
                  </c:pt>
                  <c:pt idx="7">
                    <c:v>Super Off-peak Energy</c:v>
                  </c:pt>
                  <c:pt idx="8">
                    <c:v>SAC</c:v>
                  </c:pt>
                  <c:pt idx="9">
                    <c:v>Peak Energy</c:v>
                  </c:pt>
                  <c:pt idx="10">
                    <c:v>Off-peak Energy</c:v>
                  </c:pt>
                  <c:pt idx="11">
                    <c:v>Super Off-peak Energy</c:v>
                  </c:pt>
                  <c:pt idx="12">
                    <c:v>SAC</c:v>
                  </c:pt>
                  <c:pt idx="13">
                    <c:v>Peak Energy</c:v>
                  </c:pt>
                  <c:pt idx="14">
                    <c:v>Off-peak Energy</c:v>
                  </c:pt>
                  <c:pt idx="15">
                    <c:v>Super Off-peak Energy</c:v>
                  </c:pt>
                  <c:pt idx="16">
                    <c:v>Anytime Energy</c:v>
                  </c:pt>
                  <c:pt idx="17">
                    <c:v>SAC</c:v>
                  </c:pt>
                  <c:pt idx="18">
                    <c:v>Anytime Energy Price</c:v>
                  </c:pt>
                  <c:pt idx="19">
                    <c:v>On-Season Demand</c:v>
                  </c:pt>
                  <c:pt idx="20">
                    <c:v>Off-Season Demand</c:v>
                  </c:pt>
                  <c:pt idx="21">
                    <c:v>SAC</c:v>
                  </c:pt>
                  <c:pt idx="22">
                    <c:v>Anytime Energy Price</c:v>
                  </c:pt>
                  <c:pt idx="23">
                    <c:v>On-Season Demand</c:v>
                  </c:pt>
                  <c:pt idx="24">
                    <c:v>Off-Season Demand</c:v>
                  </c:pt>
                  <c:pt idx="25">
                    <c:v>SAC</c:v>
                  </c:pt>
                  <c:pt idx="26">
                    <c:v>Anytime Energy</c:v>
                  </c:pt>
                </c:lvl>
                <c:lvl>
                  <c:pt idx="0">
                    <c:v>T1</c:v>
                  </c:pt>
                  <c:pt idx="2">
                    <c:v>T2</c:v>
                  </c:pt>
                  <c:pt idx="4">
                    <c:v>T3a</c:v>
                  </c:pt>
                  <c:pt idx="8">
                    <c:v>T3b</c:v>
                  </c:pt>
                  <c:pt idx="12">
                    <c:v>T3c</c:v>
                  </c:pt>
                  <c:pt idx="16">
                    <c:v>T4</c:v>
                  </c:pt>
                  <c:pt idx="17">
                    <c:v>T5</c:v>
                  </c:pt>
                  <c:pt idx="21">
                    <c:v>T6</c:v>
                  </c:pt>
                  <c:pt idx="25">
                    <c:v>T7</c:v>
                  </c:pt>
                </c:lvl>
              </c:multiLvlStrCache>
            </c:multiLvlStrRef>
          </c:cat>
          <c:val>
            <c:numRef>
              <c:f>Output_Pricing_Proposal!$K$28:$K$54</c:f>
              <c:numCache>
                <c:formatCode>0%</c:formatCode>
                <c:ptCount val="27"/>
                <c:pt idx="0">
                  <c:v>0.25812168171845984</c:v>
                </c:pt>
                <c:pt idx="1">
                  <c:v>0.11062357787933993</c:v>
                </c:pt>
                <c:pt idx="2">
                  <c:v>4.8459303447310805E-3</c:v>
                </c:pt>
                <c:pt idx="3">
                  <c:v>1.1945235090927549E-2</c:v>
                </c:pt>
                <c:pt idx="4">
                  <c:v>0.18460871780265881</c:v>
                </c:pt>
                <c:pt idx="5">
                  <c:v>0</c:v>
                </c:pt>
                <c:pt idx="6">
                  <c:v>2.0512079755850975E-2</c:v>
                </c:pt>
                <c:pt idx="7">
                  <c:v>0</c:v>
                </c:pt>
                <c:pt idx="8">
                  <c:v>2.7871788223380538E-2</c:v>
                </c:pt>
                <c:pt idx="9">
                  <c:v>0</c:v>
                </c:pt>
                <c:pt idx="10">
                  <c:v>0.11148715289352215</c:v>
                </c:pt>
                <c:pt idx="11">
                  <c:v>0</c:v>
                </c:pt>
                <c:pt idx="12">
                  <c:v>2.1743282701138313E-2</c:v>
                </c:pt>
                <c:pt idx="13">
                  <c:v>0</c:v>
                </c:pt>
                <c:pt idx="14">
                  <c:v>4.4145452756856572E-2</c:v>
                </c:pt>
                <c:pt idx="15">
                  <c:v>0</c:v>
                </c:pt>
                <c:pt idx="16">
                  <c:v>1.5917363902836778E-2</c:v>
                </c:pt>
                <c:pt idx="17">
                  <c:v>7.1805182885880059E-2</c:v>
                </c:pt>
                <c:pt idx="18">
                  <c:v>1.0257883269411438E-2</c:v>
                </c:pt>
                <c:pt idx="19">
                  <c:v>0</c:v>
                </c:pt>
                <c:pt idx="20">
                  <c:v>0</c:v>
                </c:pt>
                <c:pt idx="21">
                  <c:v>1.3718117498399459E-2</c:v>
                </c:pt>
                <c:pt idx="22">
                  <c:v>4.1154352495198374E-2</c:v>
                </c:pt>
                <c:pt idx="23">
                  <c:v>0</c:v>
                </c:pt>
                <c:pt idx="24">
                  <c:v>0</c:v>
                </c:pt>
                <c:pt idx="25">
                  <c:v>1.7934770273492953E-2</c:v>
                </c:pt>
                <c:pt idx="26">
                  <c:v>3.3307430507915486E-2</c:v>
                </c:pt>
              </c:numCache>
            </c:numRef>
          </c:val>
          <c:extLst>
            <c:ext xmlns:c16="http://schemas.microsoft.com/office/drawing/2014/chart" uri="{C3380CC4-5D6E-409C-BE32-E72D297353CC}">
              <c16:uniqueId val="{00000002-2533-415C-9CC4-2218246D0924}"/>
            </c:ext>
          </c:extLst>
        </c:ser>
        <c:dLbls>
          <c:showLegendKey val="0"/>
          <c:showVal val="0"/>
          <c:showCatName val="0"/>
          <c:showSerName val="0"/>
          <c:showPercent val="0"/>
          <c:showBubbleSize val="0"/>
        </c:dLbls>
        <c:gapWidth val="50"/>
        <c:axId val="97039872"/>
        <c:axId val="97041408"/>
        <c:extLst/>
      </c:barChart>
      <c:catAx>
        <c:axId val="97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97041408"/>
        <c:crosses val="autoZero"/>
        <c:auto val="1"/>
        <c:lblAlgn val="ctr"/>
        <c:lblOffset val="100"/>
        <c:noMultiLvlLbl val="0"/>
      </c:catAx>
      <c:valAx>
        <c:axId val="97041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Residual Costs</a:t>
                </a:r>
              </a:p>
            </c:rich>
          </c:tx>
          <c:layout>
            <c:manualLayout>
              <c:xMode val="edge"/>
              <c:yMode val="edge"/>
              <c:x val="7.0175438596491229E-3"/>
              <c:y val="6.7796640329480989E-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39872"/>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Output_Pricing_Proposal!$L$218</c:f>
              <c:strCache>
                <c:ptCount val="1"/>
                <c:pt idx="0">
                  <c:v>Tariff 1</c:v>
                </c:pt>
              </c:strCache>
            </c:strRef>
          </c:tx>
          <c:spPr>
            <a:ln w="28575" cap="rnd">
              <a:solidFill>
                <a:srgbClr val="131640"/>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Output_Pricing_Proposal!$M$218:$Q$218</c:f>
              <c:numCache>
                <c:formatCode>0.0</c:formatCode>
                <c:ptCount val="5"/>
                <c:pt idx="0">
                  <c:v>19.922709000439603</c:v>
                </c:pt>
                <c:pt idx="1">
                  <c:v>19.912021263877485</c:v>
                </c:pt>
                <c:pt idx="2">
                  <c:v>19.7322847875039</c:v>
                </c:pt>
                <c:pt idx="3">
                  <c:v>19.646785783259226</c:v>
                </c:pt>
                <c:pt idx="4">
                  <c:v>19.603442344470448</c:v>
                </c:pt>
              </c:numCache>
            </c:numRef>
          </c:val>
          <c:smooth val="0"/>
          <c:extLst>
            <c:ext xmlns:c16="http://schemas.microsoft.com/office/drawing/2014/chart" uri="{C3380CC4-5D6E-409C-BE32-E72D297353CC}">
              <c16:uniqueId val="{00000000-56AD-42F9-9B1D-ACAE49B96B70}"/>
            </c:ext>
          </c:extLst>
        </c:ser>
        <c:ser>
          <c:idx val="1"/>
          <c:order val="1"/>
          <c:tx>
            <c:strRef>
              <c:f>Output_Pricing_Proposal!$L$219</c:f>
              <c:strCache>
                <c:ptCount val="1"/>
                <c:pt idx="0">
                  <c:v>Tariff 2</c:v>
                </c:pt>
              </c:strCache>
            </c:strRef>
          </c:tx>
          <c:spPr>
            <a:ln w="28575" cap="rnd">
              <a:solidFill>
                <a:srgbClr val="131640"/>
              </a:solidFill>
              <a:prstDash val="sysDot"/>
              <a:round/>
            </a:ln>
            <a:effectLst/>
          </c:spPr>
          <c:marker>
            <c:symbol val="none"/>
          </c:marker>
          <c:dLbls>
            <c:dLbl>
              <c:idx val="4"/>
              <c:layout>
                <c:manualLayout>
                  <c:x val="1.212121019307864E-2"/>
                  <c:y val="1.62107396149949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Output_Pricing_Proposal!$M$219:$Q$219</c:f>
              <c:numCache>
                <c:formatCode>0.0</c:formatCode>
                <c:ptCount val="5"/>
                <c:pt idx="0">
                  <c:v>1.5174024524326877</c:v>
                </c:pt>
                <c:pt idx="1">
                  <c:v>0.8484505113539561</c:v>
                </c:pt>
                <c:pt idx="2">
                  <c:v>0.13105196226350344</c:v>
                </c:pt>
                <c:pt idx="3">
                  <c:v>0</c:v>
                </c:pt>
                <c:pt idx="4">
                  <c:v>0</c:v>
                </c:pt>
              </c:numCache>
            </c:numRef>
          </c:val>
          <c:smooth val="0"/>
          <c:extLst>
            <c:ext xmlns:c16="http://schemas.microsoft.com/office/drawing/2014/chart" uri="{C3380CC4-5D6E-409C-BE32-E72D297353CC}">
              <c16:uniqueId val="{00000001-56AD-42F9-9B1D-ACAE49B96B70}"/>
            </c:ext>
          </c:extLst>
        </c:ser>
        <c:ser>
          <c:idx val="2"/>
          <c:order val="2"/>
          <c:tx>
            <c:strRef>
              <c:f>Output_Pricing_Proposal!$L$220</c:f>
              <c:strCache>
                <c:ptCount val="1"/>
                <c:pt idx="0">
                  <c:v>Tariff 3a</c:v>
                </c:pt>
              </c:strCache>
            </c:strRef>
          </c:tx>
          <c:spPr>
            <a:ln w="28575" cap="rnd">
              <a:solidFill>
                <a:srgbClr val="037DBB"/>
              </a:solidFill>
              <a:round/>
            </a:ln>
            <a:effectLst/>
          </c:spPr>
          <c:marker>
            <c:symbol val="none"/>
          </c:marker>
          <c:dLbls>
            <c:dLbl>
              <c:idx val="4"/>
              <c:layout>
                <c:manualLayout>
                  <c:x val="2.0202016988463169E-3"/>
                  <c:y val="-2.836879432624113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Output_Pricing_Proposal!$M$220:$Q$220</c:f>
              <c:numCache>
                <c:formatCode>0.0</c:formatCode>
                <c:ptCount val="5"/>
                <c:pt idx="0">
                  <c:v>10.071831410650375</c:v>
                </c:pt>
                <c:pt idx="1">
                  <c:v>10.787093008932729</c:v>
                </c:pt>
                <c:pt idx="2">
                  <c:v>11.483796462646414</c:v>
                </c:pt>
                <c:pt idx="3">
                  <c:v>12.112417005597955</c:v>
                </c:pt>
                <c:pt idx="4">
                  <c:v>12.582293810999733</c:v>
                </c:pt>
              </c:numCache>
            </c:numRef>
          </c:val>
          <c:smooth val="0"/>
          <c:extLst>
            <c:ext xmlns:c16="http://schemas.microsoft.com/office/drawing/2014/chart" uri="{C3380CC4-5D6E-409C-BE32-E72D297353CC}">
              <c16:uniqueId val="{00000002-56AD-42F9-9B1D-ACAE49B96B70}"/>
            </c:ext>
          </c:extLst>
        </c:ser>
        <c:ser>
          <c:idx val="3"/>
          <c:order val="3"/>
          <c:tx>
            <c:strRef>
              <c:f>Output_Pricing_Proposal!$L$221</c:f>
              <c:strCache>
                <c:ptCount val="1"/>
                <c:pt idx="0">
                  <c:v>Tariff 3b</c:v>
                </c:pt>
              </c:strCache>
            </c:strRef>
          </c:tx>
          <c:spPr>
            <a:ln w="28575" cap="rnd">
              <a:solidFill>
                <a:srgbClr val="D14900"/>
              </a:solidFill>
              <a:round/>
            </a:ln>
            <a:effectLst/>
          </c:spPr>
          <c:marker>
            <c:symbol val="none"/>
          </c:marker>
          <c:dLbls>
            <c:dLbl>
              <c:idx val="4"/>
              <c:layout>
                <c:manualLayout>
                  <c:x val="6.0606050965393947E-3"/>
                  <c:y val="2.026342451874366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Output_Pricing_Proposal!$M$221:$Q$221</c:f>
              <c:numCache>
                <c:formatCode>0.0</c:formatCode>
                <c:ptCount val="5"/>
                <c:pt idx="0">
                  <c:v>9.8357401816415209</c:v>
                </c:pt>
                <c:pt idx="1">
                  <c:v>10.84135170344204</c:v>
                </c:pt>
                <c:pt idx="2">
                  <c:v>11.795999059280932</c:v>
                </c:pt>
                <c:pt idx="3">
                  <c:v>12.02139956352668</c:v>
                </c:pt>
                <c:pt idx="4">
                  <c:v>12.047579336893897</c:v>
                </c:pt>
              </c:numCache>
            </c:numRef>
          </c:val>
          <c:smooth val="0"/>
          <c:extLst>
            <c:ext xmlns:c16="http://schemas.microsoft.com/office/drawing/2014/chart" uri="{C3380CC4-5D6E-409C-BE32-E72D297353CC}">
              <c16:uniqueId val="{00000003-56AD-42F9-9B1D-ACAE49B96B70}"/>
            </c:ext>
          </c:extLst>
        </c:ser>
        <c:ser>
          <c:idx val="4"/>
          <c:order val="4"/>
          <c:tx>
            <c:strRef>
              <c:f>Output_Pricing_Proposal!$L$222</c:f>
              <c:strCache>
                <c:ptCount val="1"/>
                <c:pt idx="0">
                  <c:v>Tariff 3c</c:v>
                </c:pt>
              </c:strCache>
            </c:strRef>
          </c:tx>
          <c:spPr>
            <a:ln w="28575" cap="rnd">
              <a:solidFill>
                <a:srgbClr val="3D8704"/>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Output_Pricing_Proposal!$M$222:$Q$222</c:f>
              <c:numCache>
                <c:formatCode>0.0</c:formatCode>
                <c:ptCount val="5"/>
                <c:pt idx="0">
                  <c:v>8.5580880023103152</c:v>
                </c:pt>
                <c:pt idx="1">
                  <c:v>8.6891446282316824</c:v>
                </c:pt>
                <c:pt idx="2">
                  <c:v>8.7950732323098944</c:v>
                </c:pt>
                <c:pt idx="3">
                  <c:v>9.0612642442786751</c:v>
                </c:pt>
                <c:pt idx="4">
                  <c:v>9.3182294739802476</c:v>
                </c:pt>
              </c:numCache>
            </c:numRef>
          </c:val>
          <c:smooth val="0"/>
          <c:extLst>
            <c:ext xmlns:c16="http://schemas.microsoft.com/office/drawing/2014/chart" uri="{C3380CC4-5D6E-409C-BE32-E72D297353CC}">
              <c16:uniqueId val="{00000004-56AD-42F9-9B1D-ACAE49B96B70}"/>
            </c:ext>
          </c:extLst>
        </c:ser>
        <c:ser>
          <c:idx val="5"/>
          <c:order val="5"/>
          <c:tx>
            <c:strRef>
              <c:f>Output_Pricing_Proposal!$L$223</c:f>
              <c:strCache>
                <c:ptCount val="1"/>
                <c:pt idx="0">
                  <c:v>Tariff 4</c:v>
                </c:pt>
              </c:strCache>
            </c:strRef>
          </c:tx>
          <c:spPr>
            <a:ln w="28575" cap="rnd">
              <a:solidFill>
                <a:srgbClr val="B3D8EB"/>
              </a:solidFill>
              <a:round/>
            </a:ln>
            <a:effectLst/>
          </c:spPr>
          <c:marker>
            <c:symbol val="none"/>
          </c:marker>
          <c:dLbls>
            <c:dLbl>
              <c:idx val="4"/>
              <c:layout>
                <c:manualLayout>
                  <c:x val="4.0404033976927812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Output_Pricing_Proposal!$M$223:$Q$223</c:f>
              <c:numCache>
                <c:formatCode>0.0</c:formatCode>
                <c:ptCount val="5"/>
                <c:pt idx="0">
                  <c:v>0.73536055870480299</c:v>
                </c:pt>
                <c:pt idx="1">
                  <c:v>0.75263422989637208</c:v>
                </c:pt>
                <c:pt idx="2">
                  <c:v>0.76530844060533798</c:v>
                </c:pt>
                <c:pt idx="3">
                  <c:v>0.77862386910246617</c:v>
                </c:pt>
                <c:pt idx="4">
                  <c:v>0.78908096597676292</c:v>
                </c:pt>
              </c:numCache>
            </c:numRef>
          </c:val>
          <c:smooth val="0"/>
          <c:extLst>
            <c:ext xmlns:c16="http://schemas.microsoft.com/office/drawing/2014/chart" uri="{C3380CC4-5D6E-409C-BE32-E72D297353CC}">
              <c16:uniqueId val="{00000005-56AD-42F9-9B1D-ACAE49B96B70}"/>
            </c:ext>
          </c:extLst>
        </c:ser>
        <c:ser>
          <c:idx val="6"/>
          <c:order val="6"/>
          <c:tx>
            <c:strRef>
              <c:f>Output_Pricing_Proposal!$L$224</c:f>
              <c:strCache>
                <c:ptCount val="1"/>
                <c:pt idx="0">
                  <c:v>Tariff 5</c:v>
                </c:pt>
              </c:strCache>
            </c:strRef>
          </c:tx>
          <c:spPr>
            <a:ln w="28575" cap="rnd">
              <a:solidFill>
                <a:srgbClr val="B8B9C5"/>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Output_Pricing_Proposal!$M$224:$Q$224</c:f>
              <c:numCache>
                <c:formatCode>0.0</c:formatCode>
                <c:ptCount val="5"/>
                <c:pt idx="0">
                  <c:v>6.9393431904732426</c:v>
                </c:pt>
                <c:pt idx="1">
                  <c:v>7.1023488495866607</c:v>
                </c:pt>
                <c:pt idx="2">
                  <c:v>7.2219509913343698</c:v>
                </c:pt>
                <c:pt idx="3">
                  <c:v>7.3476040835161482</c:v>
                </c:pt>
                <c:pt idx="4">
                  <c:v>7.4462840890287927</c:v>
                </c:pt>
              </c:numCache>
            </c:numRef>
          </c:val>
          <c:smooth val="0"/>
          <c:extLst>
            <c:ext xmlns:c16="http://schemas.microsoft.com/office/drawing/2014/chart" uri="{C3380CC4-5D6E-409C-BE32-E72D297353CC}">
              <c16:uniqueId val="{00000006-56AD-42F9-9B1D-ACAE49B96B70}"/>
            </c:ext>
          </c:extLst>
        </c:ser>
        <c:ser>
          <c:idx val="7"/>
          <c:order val="7"/>
          <c:tx>
            <c:strRef>
              <c:f>Output_Pricing_Proposal!$L$225</c:f>
              <c:strCache>
                <c:ptCount val="1"/>
                <c:pt idx="0">
                  <c:v>Tariff 6</c:v>
                </c:pt>
              </c:strCache>
            </c:strRef>
          </c:tx>
          <c:spPr>
            <a:ln w="28575" cap="rnd">
              <a:solidFill>
                <a:srgbClr val="C5DBB4"/>
              </a:solidFill>
              <a:round/>
            </a:ln>
            <a:effectLst/>
          </c:spPr>
          <c:marker>
            <c:symbol val="none"/>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Output_Pricing_Proposal!$M$225:$Q$225</c:f>
              <c:numCache>
                <c:formatCode>0.0</c:formatCode>
                <c:ptCount val="5"/>
                <c:pt idx="0">
                  <c:v>4.4278459554628764</c:v>
                </c:pt>
                <c:pt idx="1">
                  <c:v>4.531856368064143</c:v>
                </c:pt>
                <c:pt idx="2">
                  <c:v>4.6081719277743662</c:v>
                </c:pt>
                <c:pt idx="3">
                  <c:v>4.6883484690891581</c:v>
                </c:pt>
                <c:pt idx="4">
                  <c:v>4.7513140627052897</c:v>
                </c:pt>
              </c:numCache>
            </c:numRef>
          </c:val>
          <c:smooth val="0"/>
          <c:extLst>
            <c:ext xmlns:c16="http://schemas.microsoft.com/office/drawing/2014/chart" uri="{C3380CC4-5D6E-409C-BE32-E72D297353CC}">
              <c16:uniqueId val="{00000007-56AD-42F9-9B1D-ACAE49B96B70}"/>
            </c:ext>
          </c:extLst>
        </c:ser>
        <c:ser>
          <c:idx val="8"/>
          <c:order val="8"/>
          <c:tx>
            <c:strRef>
              <c:f>Output_Pricing_Proposal!$L$226</c:f>
              <c:strCache>
                <c:ptCount val="1"/>
                <c:pt idx="0">
                  <c:v>Tariff 7</c:v>
                </c:pt>
              </c:strCache>
            </c:strRef>
          </c:tx>
          <c:spPr>
            <a:ln w="28575" cap="rnd">
              <a:solidFill>
                <a:srgbClr val="F1C8B2"/>
              </a:solidFill>
              <a:round/>
            </a:ln>
            <a:effectLst/>
          </c:spPr>
          <c:marker>
            <c:symbol val="none"/>
          </c:marker>
          <c:dLbls>
            <c:dLbl>
              <c:idx val="4"/>
              <c:layout>
                <c:manualLayout>
                  <c:x val="6.0606050965393947E-3"/>
                  <c:y val="-1.62107396149949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56AD-42F9-9B1D-ACAE49B96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Output_Pricing_Proposal!$M$217:$Q$217</c:f>
              <c:strCache>
                <c:ptCount val="5"/>
                <c:pt idx="0">
                  <c:v>FY25</c:v>
                </c:pt>
                <c:pt idx="1">
                  <c:v>FY26</c:v>
                </c:pt>
                <c:pt idx="2">
                  <c:v>FY27</c:v>
                </c:pt>
                <c:pt idx="3">
                  <c:v>FY28</c:v>
                </c:pt>
                <c:pt idx="4">
                  <c:v>FY29</c:v>
                </c:pt>
              </c:strCache>
            </c:strRef>
          </c:cat>
          <c:val>
            <c:numRef>
              <c:f>Output_Pricing_Proposal!$M$226:$Q$226</c:f>
              <c:numCache>
                <c:formatCode>0.0</c:formatCode>
                <c:ptCount val="5"/>
                <c:pt idx="0">
                  <c:v>1.5531084425071155</c:v>
                </c:pt>
                <c:pt idx="1">
                  <c:v>1.5895910689454573</c:v>
                </c:pt>
                <c:pt idx="2">
                  <c:v>1.6163594663271168</c:v>
                </c:pt>
                <c:pt idx="3">
                  <c:v>1.644482139170645</c:v>
                </c:pt>
                <c:pt idx="4">
                  <c:v>1.6665679109017137</c:v>
                </c:pt>
              </c:numCache>
            </c:numRef>
          </c:val>
          <c:smooth val="0"/>
          <c:extLst>
            <c:ext xmlns:c16="http://schemas.microsoft.com/office/drawing/2014/chart" uri="{C3380CC4-5D6E-409C-BE32-E72D297353CC}">
              <c16:uniqueId val="{00000008-56AD-42F9-9B1D-ACAE49B96B70}"/>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Output_Pricing_Proposal!$L$61</c:f>
              <c:strCache>
                <c:ptCount val="1"/>
                <c:pt idx="0">
                  <c:v>Tariff 1</c:v>
                </c:pt>
              </c:strCache>
            </c:strRef>
          </c:tx>
          <c:spPr>
            <a:ln w="28575" cap="rnd">
              <a:solidFill>
                <a:srgbClr val="D14900"/>
              </a:solidFill>
              <a:round/>
            </a:ln>
            <a:effectLst/>
          </c:spPr>
          <c:marker>
            <c:symbol val="none"/>
          </c:marker>
          <c:dLbls>
            <c:dLbl>
              <c:idx val="0"/>
              <c:layout>
                <c:manualLayout>
                  <c:x val="-8.2828269652705053E-2"/>
                  <c:y val="1.53256643333577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D342-47E7-BDD8-3243EF3DEB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Output_Pricing_Proposal!$M$60:$R$60</c:f>
              <c:strCache>
                <c:ptCount val="6"/>
                <c:pt idx="0">
                  <c:v>FY24</c:v>
                </c:pt>
                <c:pt idx="1">
                  <c:v>FY25</c:v>
                </c:pt>
                <c:pt idx="2">
                  <c:v>FY26</c:v>
                </c:pt>
                <c:pt idx="3">
                  <c:v>FY27</c:v>
                </c:pt>
                <c:pt idx="4">
                  <c:v>FY28</c:v>
                </c:pt>
                <c:pt idx="5">
                  <c:v>FY29</c:v>
                </c:pt>
              </c:strCache>
            </c:strRef>
          </c:cat>
          <c:val>
            <c:numRef>
              <c:f>Output_Pricing_Proposal!$M$61:$R$61</c:f>
              <c:numCache>
                <c:formatCode>0.0</c:formatCode>
                <c:ptCount val="6"/>
                <c:pt idx="0">
                  <c:v>1079.3</c:v>
                </c:pt>
                <c:pt idx="1">
                  <c:v>1346.7771860558994</c:v>
                </c:pt>
                <c:pt idx="2">
                  <c:v>1524.0030511067621</c:v>
                </c:pt>
                <c:pt idx="3">
                  <c:v>1696.4080643980567</c:v>
                </c:pt>
                <c:pt idx="4">
                  <c:v>1903.1991652781203</c:v>
                </c:pt>
                <c:pt idx="5">
                  <c:v>2022.9609092996379</c:v>
                </c:pt>
              </c:numCache>
            </c:numRef>
          </c:val>
          <c:smooth val="0"/>
          <c:extLst>
            <c:ext xmlns:c16="http://schemas.microsoft.com/office/drawing/2014/chart" uri="{C3380CC4-5D6E-409C-BE32-E72D297353CC}">
              <c16:uniqueId val="{00000012-D342-47E7-BDD8-3243EF3DEB7F}"/>
            </c:ext>
          </c:extLst>
        </c:ser>
        <c:ser>
          <c:idx val="1"/>
          <c:order val="1"/>
          <c:tx>
            <c:strRef>
              <c:f>Output_Pricing_Proposal!$L$62</c:f>
              <c:strCache>
                <c:ptCount val="1"/>
                <c:pt idx="0">
                  <c:v>Tariff 3a</c:v>
                </c:pt>
              </c:strCache>
            </c:strRef>
          </c:tx>
          <c:spPr>
            <a:ln w="28575" cap="rnd">
              <a:solidFill>
                <a:srgbClr val="139C00"/>
              </a:solidFill>
              <a:round/>
            </a:ln>
            <a:effectLst/>
          </c:spPr>
          <c:marker>
            <c:symbol val="none"/>
          </c:marker>
          <c:dLbls>
            <c:dLbl>
              <c:idx val="0"/>
              <c:layout>
                <c:manualLayout>
                  <c:x val="-8.6868673050397985E-2"/>
                  <c:y val="-5.108554777786006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342-47E7-BDD8-3243EF3DEB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Output_Pricing_Proposal!$M$60:$R$60</c:f>
              <c:strCache>
                <c:ptCount val="6"/>
                <c:pt idx="0">
                  <c:v>FY24</c:v>
                </c:pt>
                <c:pt idx="1">
                  <c:v>FY25</c:v>
                </c:pt>
                <c:pt idx="2">
                  <c:v>FY26</c:v>
                </c:pt>
                <c:pt idx="3">
                  <c:v>FY27</c:v>
                </c:pt>
                <c:pt idx="4">
                  <c:v>FY28</c:v>
                </c:pt>
                <c:pt idx="5">
                  <c:v>FY29</c:v>
                </c:pt>
              </c:strCache>
            </c:strRef>
          </c:cat>
          <c:val>
            <c:numRef>
              <c:f>Output_Pricing_Proposal!$M$62:$R$62</c:f>
              <c:numCache>
                <c:formatCode>0.0</c:formatCode>
                <c:ptCount val="6"/>
                <c:pt idx="0">
                  <c:v>1258.25</c:v>
                </c:pt>
                <c:pt idx="1">
                  <c:v>1339.8552514951921</c:v>
                </c:pt>
                <c:pt idx="2">
                  <c:v>1503.6254990824584</c:v>
                </c:pt>
                <c:pt idx="3">
                  <c:v>1676.2370128185889</c:v>
                </c:pt>
                <c:pt idx="4">
                  <c:v>1882.0551238279199</c:v>
                </c:pt>
                <c:pt idx="5">
                  <c:v>2010.3304782247847</c:v>
                </c:pt>
              </c:numCache>
            </c:numRef>
          </c:val>
          <c:smooth val="0"/>
          <c:extLst>
            <c:ext xmlns:c16="http://schemas.microsoft.com/office/drawing/2014/chart" uri="{C3380CC4-5D6E-409C-BE32-E72D297353CC}">
              <c16:uniqueId val="{00000013-D342-47E7-BDD8-3243EF3DEB7F}"/>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Output_Pricing_Proposal!$L$79</c:f>
              <c:strCache>
                <c:ptCount val="1"/>
                <c:pt idx="0">
                  <c:v>Tariff 1</c:v>
                </c:pt>
              </c:strCache>
            </c:strRef>
          </c:tx>
          <c:spPr>
            <a:ln w="28575" cap="rnd">
              <a:solidFill>
                <a:srgbClr val="D14900"/>
              </a:solidFill>
              <a:round/>
            </a:ln>
            <a:effectLst/>
          </c:spPr>
          <c:marker>
            <c:symbol val="none"/>
          </c:marker>
          <c:dLbls>
            <c:dLbl>
              <c:idx val="0"/>
              <c:layout>
                <c:manualLayout>
                  <c:x val="-7.6767664556165682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586-4B6B-8030-88F6308B23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Output_Pricing_Proposal!$M$78:$Q$78</c:f>
              <c:strCache>
                <c:ptCount val="5"/>
                <c:pt idx="0">
                  <c:v>FY25</c:v>
                </c:pt>
                <c:pt idx="1">
                  <c:v>FY26</c:v>
                </c:pt>
                <c:pt idx="2">
                  <c:v>FY27</c:v>
                </c:pt>
                <c:pt idx="3">
                  <c:v>FY28</c:v>
                </c:pt>
                <c:pt idx="4">
                  <c:v>FY29</c:v>
                </c:pt>
              </c:strCache>
            </c:strRef>
          </c:cat>
          <c:val>
            <c:numRef>
              <c:f>Output_Pricing_Proposal!$M$79:$Q$79</c:f>
              <c:numCache>
                <c:formatCode>0.0%</c:formatCode>
                <c:ptCount val="5"/>
                <c:pt idx="0">
                  <c:v>0.24782468827564111</c:v>
                </c:pt>
                <c:pt idx="1">
                  <c:v>0.13159256548581508</c:v>
                </c:pt>
                <c:pt idx="2">
                  <c:v>0.11312642265780937</c:v>
                </c:pt>
                <c:pt idx="3">
                  <c:v>0.12189938566074909</c:v>
                </c:pt>
                <c:pt idx="4">
                  <c:v>6.2926542952753184E-2</c:v>
                </c:pt>
              </c:numCache>
            </c:numRef>
          </c:val>
          <c:smooth val="0"/>
          <c:extLst>
            <c:ext xmlns:c16="http://schemas.microsoft.com/office/drawing/2014/chart" uri="{C3380CC4-5D6E-409C-BE32-E72D297353CC}">
              <c16:uniqueId val="{00000001-7586-4B6B-8030-88F6308B2365}"/>
            </c:ext>
          </c:extLst>
        </c:ser>
        <c:ser>
          <c:idx val="1"/>
          <c:order val="1"/>
          <c:tx>
            <c:strRef>
              <c:f>Output_Pricing_Proposal!$L$80</c:f>
              <c:strCache>
                <c:ptCount val="1"/>
                <c:pt idx="0">
                  <c:v>Tariff 3a</c:v>
                </c:pt>
              </c:strCache>
            </c:strRef>
          </c:tx>
          <c:spPr>
            <a:ln w="28575" cap="rnd">
              <a:solidFill>
                <a:srgbClr val="139C00"/>
              </a:solidFill>
              <a:round/>
            </a:ln>
            <a:effectLst/>
          </c:spPr>
          <c:marker>
            <c:symbol val="none"/>
          </c:marker>
          <c:dLbls>
            <c:dLbl>
              <c:idx val="0"/>
              <c:layout>
                <c:manualLayout>
                  <c:x val="-8.4848471351551519E-2"/>
                  <c:y val="5.1085547777859125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586-4B6B-8030-88F6308B23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Output_Pricing_Proposal!$M$78:$Q$78</c:f>
              <c:strCache>
                <c:ptCount val="5"/>
                <c:pt idx="0">
                  <c:v>FY25</c:v>
                </c:pt>
                <c:pt idx="1">
                  <c:v>FY26</c:v>
                </c:pt>
                <c:pt idx="2">
                  <c:v>FY27</c:v>
                </c:pt>
                <c:pt idx="3">
                  <c:v>FY28</c:v>
                </c:pt>
                <c:pt idx="4">
                  <c:v>FY29</c:v>
                </c:pt>
              </c:strCache>
            </c:strRef>
          </c:cat>
          <c:val>
            <c:numRef>
              <c:f>Output_Pricing_Proposal!$M$80:$Q$80</c:f>
              <c:numCache>
                <c:formatCode>0.0%</c:formatCode>
                <c:ptCount val="5"/>
                <c:pt idx="0">
                  <c:v>6.485615060217928E-2</c:v>
                </c:pt>
                <c:pt idx="1">
                  <c:v>0.12222980609622518</c:v>
                </c:pt>
                <c:pt idx="2">
                  <c:v>0.11479687850562618</c:v>
                </c:pt>
                <c:pt idx="3">
                  <c:v>0.12278580501169599</c:v>
                </c:pt>
                <c:pt idx="4">
                  <c:v>6.8157065525246099E-2</c:v>
                </c:pt>
              </c:numCache>
            </c:numRef>
          </c:val>
          <c:smooth val="0"/>
          <c:extLst>
            <c:ext xmlns:c16="http://schemas.microsoft.com/office/drawing/2014/chart" uri="{C3380CC4-5D6E-409C-BE32-E72D297353CC}">
              <c16:uniqueId val="{00000003-7586-4B6B-8030-88F6308B2365}"/>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Output_Pricing_Proposal!$L$252</c:f>
              <c:strCache>
                <c:ptCount val="1"/>
                <c:pt idx="0">
                  <c:v>Tariff 2</c:v>
                </c:pt>
              </c:strCache>
            </c:strRef>
          </c:tx>
          <c:spPr>
            <a:ln w="28575" cap="rnd">
              <a:solidFill>
                <a:srgbClr val="D14900"/>
              </a:solidFill>
              <a:round/>
            </a:ln>
            <a:effectLst/>
          </c:spPr>
          <c:marker>
            <c:symbol val="none"/>
          </c:marker>
          <c:dLbls>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D17-468F-9010-BDC4D239C1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Output_Pricing_Proposal!$M$251:$R$251</c:f>
              <c:strCache>
                <c:ptCount val="6"/>
                <c:pt idx="0">
                  <c:v>FY24</c:v>
                </c:pt>
                <c:pt idx="1">
                  <c:v>FY25</c:v>
                </c:pt>
                <c:pt idx="2">
                  <c:v>FY26</c:v>
                </c:pt>
                <c:pt idx="3">
                  <c:v>FY27</c:v>
                </c:pt>
                <c:pt idx="4">
                  <c:v>FY28</c:v>
                </c:pt>
                <c:pt idx="5">
                  <c:v>FY29</c:v>
                </c:pt>
              </c:strCache>
            </c:strRef>
          </c:cat>
          <c:val>
            <c:numRef>
              <c:f>Output_Pricing_Proposal!$M$252:$R$252</c:f>
              <c:numCache>
                <c:formatCode>0.0</c:formatCode>
                <c:ptCount val="6"/>
                <c:pt idx="0">
                  <c:v>2605.8000000000002</c:v>
                </c:pt>
                <c:pt idx="1">
                  <c:v>3179.4678791028537</c:v>
                </c:pt>
                <c:pt idx="2">
                  <c:v>3563.6336915123575</c:v>
                </c:pt>
                <c:pt idx="3">
                  <c:v>4014.26296448108</c:v>
                </c:pt>
                <c:pt idx="4">
                  <c:v>0</c:v>
                </c:pt>
                <c:pt idx="5">
                  <c:v>0</c:v>
                </c:pt>
              </c:numCache>
            </c:numRef>
          </c:val>
          <c:smooth val="0"/>
          <c:extLst>
            <c:ext xmlns:c16="http://schemas.microsoft.com/office/drawing/2014/chart" uri="{C3380CC4-5D6E-409C-BE32-E72D297353CC}">
              <c16:uniqueId val="{00000001-ED17-468F-9010-BDC4D239C10B}"/>
            </c:ext>
          </c:extLst>
        </c:ser>
        <c:ser>
          <c:idx val="1"/>
          <c:order val="1"/>
          <c:tx>
            <c:strRef>
              <c:f>Output_Pricing_Proposal!$L$253</c:f>
              <c:strCache>
                <c:ptCount val="1"/>
                <c:pt idx="0">
                  <c:v>Tariff 3b</c:v>
                </c:pt>
              </c:strCache>
            </c:strRef>
          </c:tx>
          <c:spPr>
            <a:ln w="28575" cap="rnd">
              <a:solidFill>
                <a:srgbClr val="139C00"/>
              </a:solidFill>
              <a:round/>
            </a:ln>
            <a:effectLst/>
          </c:spPr>
          <c:marker>
            <c:symbol val="none"/>
          </c:marker>
          <c:dLbls>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D17-468F-9010-BDC4D239C1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Output_Pricing_Proposal!$M$251:$R$251</c:f>
              <c:strCache>
                <c:ptCount val="6"/>
                <c:pt idx="0">
                  <c:v>FY24</c:v>
                </c:pt>
                <c:pt idx="1">
                  <c:v>FY25</c:v>
                </c:pt>
                <c:pt idx="2">
                  <c:v>FY26</c:v>
                </c:pt>
                <c:pt idx="3">
                  <c:v>FY27</c:v>
                </c:pt>
                <c:pt idx="4">
                  <c:v>FY28</c:v>
                </c:pt>
                <c:pt idx="5">
                  <c:v>FY29</c:v>
                </c:pt>
              </c:strCache>
            </c:strRef>
          </c:cat>
          <c:val>
            <c:numRef>
              <c:f>Output_Pricing_Proposal!$M$253:$R$253</c:f>
              <c:numCache>
                <c:formatCode>0.0</c:formatCode>
                <c:ptCount val="6"/>
                <c:pt idx="0">
                  <c:v>2605.8000000000002</c:v>
                </c:pt>
                <c:pt idx="1">
                  <c:v>3175.06394968217</c:v>
                </c:pt>
                <c:pt idx="2">
                  <c:v>3563.9114772949251</c:v>
                </c:pt>
                <c:pt idx="3">
                  <c:v>4083.8862881070909</c:v>
                </c:pt>
                <c:pt idx="4">
                  <c:v>4865.2951536432329</c:v>
                </c:pt>
                <c:pt idx="5">
                  <c:v>5422.7848265078119</c:v>
                </c:pt>
              </c:numCache>
            </c:numRef>
          </c:val>
          <c:smooth val="0"/>
          <c:extLst>
            <c:ext xmlns:c16="http://schemas.microsoft.com/office/drawing/2014/chart" uri="{C3380CC4-5D6E-409C-BE32-E72D297353CC}">
              <c16:uniqueId val="{00000003-ED17-468F-9010-BDC4D239C10B}"/>
            </c:ext>
          </c:extLst>
        </c:ser>
        <c:dLbls>
          <c:showLegendKey val="0"/>
          <c:showVal val="0"/>
          <c:showCatName val="0"/>
          <c:showSerName val="0"/>
          <c:showPercent val="0"/>
          <c:showBubbleSize val="0"/>
        </c:dLbls>
        <c:smooth val="0"/>
        <c:axId val="1289239152"/>
        <c:axId val="1289237072"/>
      </c:lineChart>
      <c:catAx>
        <c:axId val="128923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9237072"/>
        <c:crosses val="autoZero"/>
        <c:auto val="1"/>
        <c:lblAlgn val="ctr"/>
        <c:lblOffset val="100"/>
        <c:noMultiLvlLbl val="0"/>
      </c:catAx>
      <c:valAx>
        <c:axId val="1289237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23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Output_Pricing_Proposal!$AD$328</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Output_Pricing_Proposal!$AD$329:$AD$486</c:f>
              <c:numCache>
                <c:formatCode>_(#,##0.0%_);\(#,##0.0%\);_("-"_)</c:formatCode>
                <c:ptCount val="158"/>
                <c:pt idx="0">
                  <c:v>-0.22441450661883894</c:v>
                </c:pt>
                <c:pt idx="1">
                  <c:v>-0.19227436363521677</c:v>
                </c:pt>
                <c:pt idx="2">
                  <c:v>-0.16448151981791803</c:v>
                </c:pt>
                <c:pt idx="3">
                  <c:v>-0.15763606033285743</c:v>
                </c:pt>
                <c:pt idx="4">
                  <c:v>-0.15141641701395764</c:v>
                </c:pt>
                <c:pt idx="5">
                  <c:v>-0.14863243398706838</c:v>
                </c:pt>
                <c:pt idx="6">
                  <c:v>-0.14393247785367674</c:v>
                </c:pt>
                <c:pt idx="7">
                  <c:v>-0.13138062146069082</c:v>
                </c:pt>
                <c:pt idx="8">
                  <c:v>-0.12509108091478224</c:v>
                </c:pt>
                <c:pt idx="9">
                  <c:v>-0.1227313567002094</c:v>
                </c:pt>
                <c:pt idx="10">
                  <c:v>-0.1186986839601533</c:v>
                </c:pt>
                <c:pt idx="11">
                  <c:v>-0.11772874898046201</c:v>
                </c:pt>
                <c:pt idx="12">
                  <c:v>-0.11726894206136552</c:v>
                </c:pt>
                <c:pt idx="13">
                  <c:v>-0.11373195685483052</c:v>
                </c:pt>
                <c:pt idx="14">
                  <c:v>-0.11137678706769641</c:v>
                </c:pt>
                <c:pt idx="15">
                  <c:v>-0.10526394111123549</c:v>
                </c:pt>
                <c:pt idx="16">
                  <c:v>-0.10525341730786156</c:v>
                </c:pt>
                <c:pt idx="17">
                  <c:v>-0.10411181511139733</c:v>
                </c:pt>
                <c:pt idx="18">
                  <c:v>-9.9634445267190591E-2</c:v>
                </c:pt>
                <c:pt idx="19">
                  <c:v>-9.5681996499977218E-2</c:v>
                </c:pt>
                <c:pt idx="20">
                  <c:v>-9.223484181311338E-2</c:v>
                </c:pt>
                <c:pt idx="21">
                  <c:v>-8.9660084795690459E-2</c:v>
                </c:pt>
                <c:pt idx="22">
                  <c:v>-8.4809747230217364E-2</c:v>
                </c:pt>
                <c:pt idx="23">
                  <c:v>-8.472186294134576E-2</c:v>
                </c:pt>
                <c:pt idx="24">
                  <c:v>-8.2106543515569938E-2</c:v>
                </c:pt>
                <c:pt idx="25">
                  <c:v>-8.1069705683312343E-2</c:v>
                </c:pt>
                <c:pt idx="26">
                  <c:v>-7.2438933130804087E-2</c:v>
                </c:pt>
                <c:pt idx="27">
                  <c:v>-7.1920410619782257E-2</c:v>
                </c:pt>
                <c:pt idx="28">
                  <c:v>-7.1769539785662681E-2</c:v>
                </c:pt>
                <c:pt idx="29">
                  <c:v>-6.9255378736661877E-2</c:v>
                </c:pt>
                <c:pt idx="30">
                  <c:v>-6.5329027420038516E-2</c:v>
                </c:pt>
                <c:pt idx="31">
                  <c:v>-6.3562004929106991E-2</c:v>
                </c:pt>
                <c:pt idx="32">
                  <c:v>-6.3272292005069133E-2</c:v>
                </c:pt>
                <c:pt idx="33">
                  <c:v>-6.2191158789817728E-2</c:v>
                </c:pt>
                <c:pt idx="34">
                  <c:v>-5.9218657809632105E-2</c:v>
                </c:pt>
                <c:pt idx="35">
                  <c:v>-5.3253876585445718E-2</c:v>
                </c:pt>
                <c:pt idx="36">
                  <c:v>-4.9607509122129904E-2</c:v>
                </c:pt>
                <c:pt idx="37">
                  <c:v>-4.7402103427027685E-2</c:v>
                </c:pt>
                <c:pt idx="38">
                  <c:v>-4.7087231673442503E-2</c:v>
                </c:pt>
                <c:pt idx="39">
                  <c:v>-4.4940755498595331E-2</c:v>
                </c:pt>
                <c:pt idx="40">
                  <c:v>-4.4611158526148061E-2</c:v>
                </c:pt>
                <c:pt idx="41">
                  <c:v>-4.3852939668428063E-2</c:v>
                </c:pt>
                <c:pt idx="42">
                  <c:v>-4.2047310142843075E-2</c:v>
                </c:pt>
                <c:pt idx="43">
                  <c:v>-4.0736651251998879E-2</c:v>
                </c:pt>
                <c:pt idx="44">
                  <c:v>-3.6626915217873646E-2</c:v>
                </c:pt>
                <c:pt idx="45">
                  <c:v>-3.4887083670808512E-2</c:v>
                </c:pt>
                <c:pt idx="46">
                  <c:v>-3.3483607980522828E-2</c:v>
                </c:pt>
                <c:pt idx="47">
                  <c:v>-3.330828577416859E-2</c:v>
                </c:pt>
                <c:pt idx="48">
                  <c:v>-3.112478119762856E-2</c:v>
                </c:pt>
                <c:pt idx="49">
                  <c:v>-3.0294142280736538E-2</c:v>
                </c:pt>
                <c:pt idx="50">
                  <c:v>-2.7201591124848802E-2</c:v>
                </c:pt>
                <c:pt idx="51">
                  <c:v>-2.6896346808407343E-2</c:v>
                </c:pt>
                <c:pt idx="52">
                  <c:v>-2.247511750638459E-2</c:v>
                </c:pt>
                <c:pt idx="53">
                  <c:v>-1.58900526468954E-2</c:v>
                </c:pt>
                <c:pt idx="54">
                  <c:v>-1.452150894020196E-2</c:v>
                </c:pt>
                <c:pt idx="55">
                  <c:v>-1.2578500886566524E-2</c:v>
                </c:pt>
                <c:pt idx="56">
                  <c:v>-1.1713688930624187E-2</c:v>
                </c:pt>
                <c:pt idx="57">
                  <c:v>-9.3276525627858705E-3</c:v>
                </c:pt>
                <c:pt idx="58">
                  <c:v>-9.0379521189552971E-3</c:v>
                </c:pt>
                <c:pt idx="59">
                  <c:v>-7.936987281057635E-3</c:v>
                </c:pt>
                <c:pt idx="60">
                  <c:v>-5.2005381955685702E-3</c:v>
                </c:pt>
                <c:pt idx="61">
                  <c:v>-4.667514716659645E-3</c:v>
                </c:pt>
                <c:pt idx="62">
                  <c:v>-3.7970451743065937E-3</c:v>
                </c:pt>
                <c:pt idx="63">
                  <c:v>1.4064650052991307E-5</c:v>
                </c:pt>
                <c:pt idx="64">
                  <c:v>2.2049903530659923E-4</c:v>
                </c:pt>
                <c:pt idx="65">
                  <c:v>5.3664732561161212E-4</c:v>
                </c:pt>
                <c:pt idx="66">
                  <c:v>1.2831885153929167E-3</c:v>
                </c:pt>
                <c:pt idx="67">
                  <c:v>4.6635641140920728E-3</c:v>
                </c:pt>
                <c:pt idx="68">
                  <c:v>1.0686352633096889E-2</c:v>
                </c:pt>
                <c:pt idx="69">
                  <c:v>1.1671128013990392E-2</c:v>
                </c:pt>
                <c:pt idx="70">
                  <c:v>1.3241937653156323E-2</c:v>
                </c:pt>
                <c:pt idx="71">
                  <c:v>1.6943560795133709E-2</c:v>
                </c:pt>
                <c:pt idx="72">
                  <c:v>2.0938396259061194E-2</c:v>
                </c:pt>
                <c:pt idx="73">
                  <c:v>2.2206376691830339E-2</c:v>
                </c:pt>
                <c:pt idx="74">
                  <c:v>2.3308783165211261E-2</c:v>
                </c:pt>
                <c:pt idx="75">
                  <c:v>2.5157266949742685E-2</c:v>
                </c:pt>
                <c:pt idx="76">
                  <c:v>2.7284773773475546E-2</c:v>
                </c:pt>
                <c:pt idx="77">
                  <c:v>2.7442865669852108E-2</c:v>
                </c:pt>
                <c:pt idx="78">
                  <c:v>2.9541595021452784E-2</c:v>
                </c:pt>
                <c:pt idx="79">
                  <c:v>3.1189258160179024E-2</c:v>
                </c:pt>
                <c:pt idx="80">
                  <c:v>3.152160231928889E-2</c:v>
                </c:pt>
                <c:pt idx="81">
                  <c:v>3.3529833886779971E-2</c:v>
                </c:pt>
                <c:pt idx="82">
                  <c:v>3.4347345732725347E-2</c:v>
                </c:pt>
                <c:pt idx="83">
                  <c:v>3.5038448195152262E-2</c:v>
                </c:pt>
                <c:pt idx="84">
                  <c:v>3.525553081002529E-2</c:v>
                </c:pt>
                <c:pt idx="85">
                  <c:v>3.5329467761317658E-2</c:v>
                </c:pt>
                <c:pt idx="86">
                  <c:v>3.5666250616141454E-2</c:v>
                </c:pt>
                <c:pt idx="87">
                  <c:v>3.7324785856360877E-2</c:v>
                </c:pt>
                <c:pt idx="88">
                  <c:v>3.7729922581455251E-2</c:v>
                </c:pt>
                <c:pt idx="89">
                  <c:v>3.9062220739340674E-2</c:v>
                </c:pt>
                <c:pt idx="90">
                  <c:v>4.1191999169572523E-2</c:v>
                </c:pt>
                <c:pt idx="91">
                  <c:v>4.2111219235924702E-2</c:v>
                </c:pt>
                <c:pt idx="92">
                  <c:v>4.2375355448881317E-2</c:v>
                </c:pt>
                <c:pt idx="93">
                  <c:v>4.322102990744723E-2</c:v>
                </c:pt>
                <c:pt idx="94">
                  <c:v>4.5624495307510483E-2</c:v>
                </c:pt>
                <c:pt idx="95">
                  <c:v>4.571996738660971E-2</c:v>
                </c:pt>
                <c:pt idx="96">
                  <c:v>4.6264880164325256E-2</c:v>
                </c:pt>
                <c:pt idx="97">
                  <c:v>5.2155756400303642E-2</c:v>
                </c:pt>
                <c:pt idx="98">
                  <c:v>5.3020024070746422E-2</c:v>
                </c:pt>
                <c:pt idx="99">
                  <c:v>5.4794954109204534E-2</c:v>
                </c:pt>
                <c:pt idx="100">
                  <c:v>5.5026092062042835E-2</c:v>
                </c:pt>
                <c:pt idx="101">
                  <c:v>5.5582825312942293E-2</c:v>
                </c:pt>
                <c:pt idx="102">
                  <c:v>5.7546674255886471E-2</c:v>
                </c:pt>
                <c:pt idx="103">
                  <c:v>5.7888949781448949E-2</c:v>
                </c:pt>
                <c:pt idx="104">
                  <c:v>5.8062030732116174E-2</c:v>
                </c:pt>
                <c:pt idx="105">
                  <c:v>6.7231938202584954E-2</c:v>
                </c:pt>
                <c:pt idx="106">
                  <c:v>7.0044109534084825E-2</c:v>
                </c:pt>
                <c:pt idx="107">
                  <c:v>7.2417126943409543E-2</c:v>
                </c:pt>
                <c:pt idx="108">
                  <c:v>7.3512801862011257E-2</c:v>
                </c:pt>
                <c:pt idx="109">
                  <c:v>7.673033214823817E-2</c:v>
                </c:pt>
                <c:pt idx="110">
                  <c:v>7.7587411020339045E-2</c:v>
                </c:pt>
                <c:pt idx="111">
                  <c:v>7.7790216059860973E-2</c:v>
                </c:pt>
                <c:pt idx="112">
                  <c:v>7.8780185667815542E-2</c:v>
                </c:pt>
                <c:pt idx="113">
                  <c:v>8.3584281264386565E-2</c:v>
                </c:pt>
                <c:pt idx="114">
                  <c:v>8.548248831931432E-2</c:v>
                </c:pt>
                <c:pt idx="115">
                  <c:v>8.6552544357564445E-2</c:v>
                </c:pt>
                <c:pt idx="116">
                  <c:v>8.7154654765092307E-2</c:v>
                </c:pt>
                <c:pt idx="117">
                  <c:v>8.8032782354571432E-2</c:v>
                </c:pt>
                <c:pt idx="118">
                  <c:v>9.0371799543248421E-2</c:v>
                </c:pt>
                <c:pt idx="119">
                  <c:v>9.1448337686800649E-2</c:v>
                </c:pt>
                <c:pt idx="120">
                  <c:v>9.4483785812517415E-2</c:v>
                </c:pt>
                <c:pt idx="121">
                  <c:v>9.7205561113490144E-2</c:v>
                </c:pt>
                <c:pt idx="122">
                  <c:v>9.7475559187301483E-2</c:v>
                </c:pt>
                <c:pt idx="123">
                  <c:v>9.7762962733456193E-2</c:v>
                </c:pt>
                <c:pt idx="124">
                  <c:v>9.8337760531475804E-2</c:v>
                </c:pt>
                <c:pt idx="125">
                  <c:v>9.8724947229460569E-2</c:v>
                </c:pt>
                <c:pt idx="126">
                  <c:v>9.8785788514976436E-2</c:v>
                </c:pt>
                <c:pt idx="127">
                  <c:v>9.9083528727888129E-2</c:v>
                </c:pt>
                <c:pt idx="128">
                  <c:v>0.10419928517141396</c:v>
                </c:pt>
                <c:pt idx="129">
                  <c:v>0.10428636402736267</c:v>
                </c:pt>
                <c:pt idx="130">
                  <c:v>0.1047611458736354</c:v>
                </c:pt>
                <c:pt idx="131">
                  <c:v>0.10686706608017511</c:v>
                </c:pt>
                <c:pt idx="132">
                  <c:v>0.10792535792414985</c:v>
                </c:pt>
                <c:pt idx="133">
                  <c:v>0.10956414965487932</c:v>
                </c:pt>
                <c:pt idx="134">
                  <c:v>0.10960112993469406</c:v>
                </c:pt>
                <c:pt idx="135">
                  <c:v>0.11222585865677707</c:v>
                </c:pt>
                <c:pt idx="136">
                  <c:v>0.11629753848340627</c:v>
                </c:pt>
                <c:pt idx="137">
                  <c:v>0.11641888680371618</c:v>
                </c:pt>
                <c:pt idx="138">
                  <c:v>0.1183477291261559</c:v>
                </c:pt>
                <c:pt idx="139">
                  <c:v>0.11920060135667322</c:v>
                </c:pt>
                <c:pt idx="140">
                  <c:v>0.12152599874119938</c:v>
                </c:pt>
                <c:pt idx="141">
                  <c:v>0.1223740276355535</c:v>
                </c:pt>
                <c:pt idx="142">
                  <c:v>0.12255590920424046</c:v>
                </c:pt>
                <c:pt idx="143">
                  <c:v>0.12779145997458369</c:v>
                </c:pt>
                <c:pt idx="144">
                  <c:v>0.13212133784513935</c:v>
                </c:pt>
                <c:pt idx="145">
                  <c:v>0.13600207644099793</c:v>
                </c:pt>
                <c:pt idx="146">
                  <c:v>0.13723414992268385</c:v>
                </c:pt>
                <c:pt idx="147">
                  <c:v>0.13843169137907832</c:v>
                </c:pt>
                <c:pt idx="148">
                  <c:v>0.14267233675040533</c:v>
                </c:pt>
                <c:pt idx="149">
                  <c:v>0.1481098464494946</c:v>
                </c:pt>
                <c:pt idx="150">
                  <c:v>0.14905020976594638</c:v>
                </c:pt>
                <c:pt idx="151">
                  <c:v>0.15042909044187461</c:v>
                </c:pt>
                <c:pt idx="152">
                  <c:v>0.15244057897123928</c:v>
                </c:pt>
                <c:pt idx="153">
                  <c:v>0.15285410395298502</c:v>
                </c:pt>
                <c:pt idx="154">
                  <c:v>0.15578734032871708</c:v>
                </c:pt>
                <c:pt idx="155">
                  <c:v>0.15817316694797981</c:v>
                </c:pt>
                <c:pt idx="156">
                  <c:v>0.1638476894120138</c:v>
                </c:pt>
                <c:pt idx="157">
                  <c:v>0.17234468931752367</c:v>
                </c:pt>
              </c:numCache>
            </c:numRef>
          </c:yVal>
          <c:smooth val="0"/>
          <c:extLst>
            <c:ext xmlns:c16="http://schemas.microsoft.com/office/drawing/2014/chart" uri="{C3380CC4-5D6E-409C-BE32-E72D297353CC}">
              <c16:uniqueId val="{00000000-6772-445F-8493-186274B8B10E}"/>
            </c:ext>
          </c:extLst>
        </c:ser>
        <c:ser>
          <c:idx val="1"/>
          <c:order val="1"/>
          <c:tx>
            <c:strRef>
              <c:f>Output_Pricing_Proposal!$AE$328</c:f>
              <c:strCache>
                <c:ptCount val="1"/>
                <c:pt idx="0">
                  <c:v>Revenue Increase + CPI = 11.6%</c:v>
                </c:pt>
              </c:strCache>
            </c:strRef>
          </c:tx>
          <c:spPr>
            <a:ln w="38100" cap="rnd">
              <a:solidFill>
                <a:srgbClr val="139C00"/>
              </a:solidFill>
              <a:round/>
            </a:ln>
            <a:effectLst/>
          </c:spPr>
          <c:marker>
            <c:symbol val="none"/>
          </c:marker>
          <c:dLbls>
            <c:dLbl>
              <c:idx val="21"/>
              <c:layout>
                <c:manualLayout>
                  <c:x val="-0.10028592132054608"/>
                  <c:y val="-4.854130212890055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2-6772-445F-8493-186274B8B1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Output_Pricing_Proposal!$AE$329:$AE$486</c:f>
              <c:numCache>
                <c:formatCode>0.0%</c:formatCode>
                <c:ptCount val="158"/>
                <c:pt idx="0">
                  <c:v>0.11616126557759388</c:v>
                </c:pt>
                <c:pt idx="1">
                  <c:v>0.11616126557759388</c:v>
                </c:pt>
                <c:pt idx="2">
                  <c:v>0.11616126557759388</c:v>
                </c:pt>
                <c:pt idx="3">
                  <c:v>0.11616126557759388</c:v>
                </c:pt>
                <c:pt idx="4">
                  <c:v>0.11616126557759388</c:v>
                </c:pt>
                <c:pt idx="5">
                  <c:v>0.11616126557759388</c:v>
                </c:pt>
                <c:pt idx="6">
                  <c:v>0.11616126557759388</c:v>
                </c:pt>
                <c:pt idx="7">
                  <c:v>0.11616126557759388</c:v>
                </c:pt>
                <c:pt idx="8">
                  <c:v>0.11616126557759388</c:v>
                </c:pt>
                <c:pt idx="9">
                  <c:v>0.11616126557759388</c:v>
                </c:pt>
                <c:pt idx="10">
                  <c:v>0.11616126557759388</c:v>
                </c:pt>
                <c:pt idx="11">
                  <c:v>0.11616126557759388</c:v>
                </c:pt>
                <c:pt idx="12">
                  <c:v>0.11616126557759388</c:v>
                </c:pt>
                <c:pt idx="13">
                  <c:v>0.11616126557759388</c:v>
                </c:pt>
                <c:pt idx="14">
                  <c:v>0.11616126557759388</c:v>
                </c:pt>
                <c:pt idx="15">
                  <c:v>0.11616126557759388</c:v>
                </c:pt>
                <c:pt idx="16">
                  <c:v>0.11616126557759388</c:v>
                </c:pt>
                <c:pt idx="17">
                  <c:v>0.11616126557759388</c:v>
                </c:pt>
                <c:pt idx="18">
                  <c:v>0.11616126557759388</c:v>
                </c:pt>
                <c:pt idx="19">
                  <c:v>0.11616126557759388</c:v>
                </c:pt>
                <c:pt idx="20">
                  <c:v>0.11616126557759388</c:v>
                </c:pt>
                <c:pt idx="21">
                  <c:v>0.11616126557759388</c:v>
                </c:pt>
                <c:pt idx="22">
                  <c:v>0.11616126557759388</c:v>
                </c:pt>
                <c:pt idx="23">
                  <c:v>0.11616126557759388</c:v>
                </c:pt>
                <c:pt idx="24">
                  <c:v>0.11616126557759388</c:v>
                </c:pt>
                <c:pt idx="25">
                  <c:v>0.11616126557759388</c:v>
                </c:pt>
                <c:pt idx="26">
                  <c:v>0.11616126557759388</c:v>
                </c:pt>
                <c:pt idx="27">
                  <c:v>0.11616126557759388</c:v>
                </c:pt>
                <c:pt idx="28">
                  <c:v>0.11616126557759388</c:v>
                </c:pt>
                <c:pt idx="29">
                  <c:v>0.11616126557759388</c:v>
                </c:pt>
                <c:pt idx="30">
                  <c:v>0.11616126557759388</c:v>
                </c:pt>
                <c:pt idx="31">
                  <c:v>0.11616126557759388</c:v>
                </c:pt>
                <c:pt idx="32">
                  <c:v>0.11616126557759388</c:v>
                </c:pt>
                <c:pt idx="33">
                  <c:v>0.11616126557759388</c:v>
                </c:pt>
                <c:pt idx="34">
                  <c:v>0.11616126557759388</c:v>
                </c:pt>
                <c:pt idx="35">
                  <c:v>0.11616126557759388</c:v>
                </c:pt>
                <c:pt idx="36">
                  <c:v>0.11616126557759388</c:v>
                </c:pt>
                <c:pt idx="37">
                  <c:v>0.11616126557759388</c:v>
                </c:pt>
                <c:pt idx="38">
                  <c:v>0.11616126557759388</c:v>
                </c:pt>
                <c:pt idx="39">
                  <c:v>0.11616126557759388</c:v>
                </c:pt>
                <c:pt idx="40">
                  <c:v>0.11616126557759388</c:v>
                </c:pt>
                <c:pt idx="41">
                  <c:v>0.11616126557759388</c:v>
                </c:pt>
                <c:pt idx="42">
                  <c:v>0.11616126557759388</c:v>
                </c:pt>
                <c:pt idx="43">
                  <c:v>0.11616126557759388</c:v>
                </c:pt>
                <c:pt idx="44">
                  <c:v>0.11616126557759388</c:v>
                </c:pt>
                <c:pt idx="45">
                  <c:v>0.11616126557759388</c:v>
                </c:pt>
                <c:pt idx="46">
                  <c:v>0.11616126557759388</c:v>
                </c:pt>
                <c:pt idx="47">
                  <c:v>0.11616126557759388</c:v>
                </c:pt>
                <c:pt idx="48">
                  <c:v>0.11616126557759388</c:v>
                </c:pt>
                <c:pt idx="49">
                  <c:v>0.11616126557759388</c:v>
                </c:pt>
                <c:pt idx="50">
                  <c:v>0.11616126557759388</c:v>
                </c:pt>
                <c:pt idx="51">
                  <c:v>0.11616126557759388</c:v>
                </c:pt>
                <c:pt idx="52">
                  <c:v>0.11616126557759388</c:v>
                </c:pt>
                <c:pt idx="53">
                  <c:v>0.11616126557759388</c:v>
                </c:pt>
                <c:pt idx="54">
                  <c:v>0.11616126557759388</c:v>
                </c:pt>
                <c:pt idx="55">
                  <c:v>0.11616126557759388</c:v>
                </c:pt>
                <c:pt idx="56">
                  <c:v>0.11616126557759388</c:v>
                </c:pt>
                <c:pt idx="57">
                  <c:v>0.11616126557759388</c:v>
                </c:pt>
                <c:pt idx="58">
                  <c:v>0.11616126557759388</c:v>
                </c:pt>
                <c:pt idx="59">
                  <c:v>0.11616126557759388</c:v>
                </c:pt>
                <c:pt idx="60">
                  <c:v>0.11616126557759388</c:v>
                </c:pt>
                <c:pt idx="61">
                  <c:v>0.11616126557759388</c:v>
                </c:pt>
                <c:pt idx="62">
                  <c:v>0.11616126557759388</c:v>
                </c:pt>
                <c:pt idx="63">
                  <c:v>0.11616126557759388</c:v>
                </c:pt>
                <c:pt idx="64">
                  <c:v>0.11616126557759388</c:v>
                </c:pt>
                <c:pt idx="65">
                  <c:v>0.11616126557759388</c:v>
                </c:pt>
                <c:pt idx="66">
                  <c:v>0.11616126557759388</c:v>
                </c:pt>
                <c:pt idx="67">
                  <c:v>0.11616126557759388</c:v>
                </c:pt>
                <c:pt idx="68">
                  <c:v>0.11616126557759388</c:v>
                </c:pt>
                <c:pt idx="69">
                  <c:v>0.11616126557759388</c:v>
                </c:pt>
                <c:pt idx="70">
                  <c:v>0.11616126557759388</c:v>
                </c:pt>
                <c:pt idx="71">
                  <c:v>0.11616126557759388</c:v>
                </c:pt>
                <c:pt idx="72">
                  <c:v>0.11616126557759388</c:v>
                </c:pt>
                <c:pt idx="73">
                  <c:v>0.11616126557759388</c:v>
                </c:pt>
                <c:pt idx="74">
                  <c:v>0.11616126557759388</c:v>
                </c:pt>
                <c:pt idx="75">
                  <c:v>0.11616126557759388</c:v>
                </c:pt>
                <c:pt idx="76">
                  <c:v>0.11616126557759388</c:v>
                </c:pt>
                <c:pt idx="77">
                  <c:v>0.11616126557759388</c:v>
                </c:pt>
                <c:pt idx="78">
                  <c:v>0.11616126557759388</c:v>
                </c:pt>
                <c:pt idx="79">
                  <c:v>0.11616126557759388</c:v>
                </c:pt>
                <c:pt idx="80">
                  <c:v>0.11616126557759388</c:v>
                </c:pt>
                <c:pt idx="81">
                  <c:v>0.11616126557759388</c:v>
                </c:pt>
                <c:pt idx="82">
                  <c:v>0.11616126557759388</c:v>
                </c:pt>
                <c:pt idx="83">
                  <c:v>0.11616126557759388</c:v>
                </c:pt>
                <c:pt idx="84">
                  <c:v>0.11616126557759388</c:v>
                </c:pt>
                <c:pt idx="85">
                  <c:v>0.11616126557759388</c:v>
                </c:pt>
                <c:pt idx="86">
                  <c:v>0.11616126557759388</c:v>
                </c:pt>
                <c:pt idx="87">
                  <c:v>0.11616126557759388</c:v>
                </c:pt>
                <c:pt idx="88">
                  <c:v>0.11616126557759388</c:v>
                </c:pt>
                <c:pt idx="89">
                  <c:v>0.11616126557759388</c:v>
                </c:pt>
                <c:pt idx="90">
                  <c:v>0.11616126557759388</c:v>
                </c:pt>
                <c:pt idx="91">
                  <c:v>0.11616126557759388</c:v>
                </c:pt>
                <c:pt idx="92">
                  <c:v>0.11616126557759388</c:v>
                </c:pt>
                <c:pt idx="93">
                  <c:v>0.11616126557759388</c:v>
                </c:pt>
                <c:pt idx="94">
                  <c:v>0.11616126557759388</c:v>
                </c:pt>
                <c:pt idx="95">
                  <c:v>0.11616126557759388</c:v>
                </c:pt>
                <c:pt idx="96">
                  <c:v>0.11616126557759388</c:v>
                </c:pt>
                <c:pt idx="97">
                  <c:v>0.11616126557759388</c:v>
                </c:pt>
                <c:pt idx="98">
                  <c:v>0.11616126557759388</c:v>
                </c:pt>
                <c:pt idx="99">
                  <c:v>0.11616126557759388</c:v>
                </c:pt>
                <c:pt idx="100">
                  <c:v>0.11616126557759388</c:v>
                </c:pt>
                <c:pt idx="101">
                  <c:v>0.11616126557759388</c:v>
                </c:pt>
                <c:pt idx="102">
                  <c:v>0.11616126557759388</c:v>
                </c:pt>
                <c:pt idx="103">
                  <c:v>0.11616126557759388</c:v>
                </c:pt>
                <c:pt idx="104">
                  <c:v>0.11616126557759388</c:v>
                </c:pt>
                <c:pt idx="105">
                  <c:v>0.11616126557759388</c:v>
                </c:pt>
                <c:pt idx="106">
                  <c:v>0.11616126557759388</c:v>
                </c:pt>
                <c:pt idx="107">
                  <c:v>0.11616126557759388</c:v>
                </c:pt>
                <c:pt idx="108">
                  <c:v>0.11616126557759388</c:v>
                </c:pt>
                <c:pt idx="109">
                  <c:v>0.11616126557759388</c:v>
                </c:pt>
                <c:pt idx="110">
                  <c:v>0.11616126557759388</c:v>
                </c:pt>
                <c:pt idx="111">
                  <c:v>0.11616126557759388</c:v>
                </c:pt>
                <c:pt idx="112">
                  <c:v>0.11616126557759388</c:v>
                </c:pt>
                <c:pt idx="113">
                  <c:v>0.11616126557759388</c:v>
                </c:pt>
                <c:pt idx="114">
                  <c:v>0.11616126557759388</c:v>
                </c:pt>
                <c:pt idx="115">
                  <c:v>0.11616126557759388</c:v>
                </c:pt>
                <c:pt idx="116">
                  <c:v>0.11616126557759388</c:v>
                </c:pt>
                <c:pt idx="117">
                  <c:v>0.11616126557759388</c:v>
                </c:pt>
                <c:pt idx="118">
                  <c:v>0.11616126557759388</c:v>
                </c:pt>
                <c:pt idx="119">
                  <c:v>0.11616126557759388</c:v>
                </c:pt>
                <c:pt idx="120">
                  <c:v>0.11616126557759388</c:v>
                </c:pt>
                <c:pt idx="121">
                  <c:v>0.11616126557759388</c:v>
                </c:pt>
                <c:pt idx="122">
                  <c:v>0.11616126557759388</c:v>
                </c:pt>
                <c:pt idx="123">
                  <c:v>0.11616126557759388</c:v>
                </c:pt>
                <c:pt idx="124">
                  <c:v>0.11616126557759388</c:v>
                </c:pt>
                <c:pt idx="125">
                  <c:v>0.11616126557759388</c:v>
                </c:pt>
                <c:pt idx="126">
                  <c:v>0.11616126557759388</c:v>
                </c:pt>
                <c:pt idx="127">
                  <c:v>0.11616126557759388</c:v>
                </c:pt>
                <c:pt idx="128">
                  <c:v>0.11616126557759388</c:v>
                </c:pt>
                <c:pt idx="129">
                  <c:v>0.11616126557759388</c:v>
                </c:pt>
                <c:pt idx="130">
                  <c:v>0.11616126557759388</c:v>
                </c:pt>
                <c:pt idx="131">
                  <c:v>0.11616126557759388</c:v>
                </c:pt>
                <c:pt idx="132">
                  <c:v>0.11616126557759388</c:v>
                </c:pt>
                <c:pt idx="133">
                  <c:v>0.11616126557759388</c:v>
                </c:pt>
                <c:pt idx="134">
                  <c:v>0.11616126557759388</c:v>
                </c:pt>
                <c:pt idx="135">
                  <c:v>0.11616126557759388</c:v>
                </c:pt>
                <c:pt idx="136">
                  <c:v>0.11616126557759388</c:v>
                </c:pt>
                <c:pt idx="137">
                  <c:v>0.11616126557759388</c:v>
                </c:pt>
                <c:pt idx="138">
                  <c:v>0.11616126557759388</c:v>
                </c:pt>
                <c:pt idx="139">
                  <c:v>0.11616126557759388</c:v>
                </c:pt>
                <c:pt idx="140">
                  <c:v>0.11616126557759388</c:v>
                </c:pt>
                <c:pt idx="141">
                  <c:v>0.11616126557759388</c:v>
                </c:pt>
                <c:pt idx="142">
                  <c:v>0.11616126557759388</c:v>
                </c:pt>
                <c:pt idx="143">
                  <c:v>0.11616126557759388</c:v>
                </c:pt>
                <c:pt idx="144">
                  <c:v>0.11616126557759388</c:v>
                </c:pt>
                <c:pt idx="145">
                  <c:v>0.11616126557759388</c:v>
                </c:pt>
                <c:pt idx="146">
                  <c:v>0.11616126557759388</c:v>
                </c:pt>
                <c:pt idx="147">
                  <c:v>0.11616126557759388</c:v>
                </c:pt>
                <c:pt idx="148">
                  <c:v>0.11616126557759388</c:v>
                </c:pt>
                <c:pt idx="149">
                  <c:v>0.11616126557759388</c:v>
                </c:pt>
                <c:pt idx="150">
                  <c:v>0.11616126557759388</c:v>
                </c:pt>
                <c:pt idx="151">
                  <c:v>0.11616126557759388</c:v>
                </c:pt>
                <c:pt idx="152">
                  <c:v>0.11616126557759388</c:v>
                </c:pt>
                <c:pt idx="153">
                  <c:v>0.11616126557759388</c:v>
                </c:pt>
                <c:pt idx="154">
                  <c:v>0.11616126557759388</c:v>
                </c:pt>
                <c:pt idx="155">
                  <c:v>0.11616126557759388</c:v>
                </c:pt>
                <c:pt idx="156">
                  <c:v>0.11616126557759388</c:v>
                </c:pt>
                <c:pt idx="157">
                  <c:v>0.11616126557759388</c:v>
                </c:pt>
              </c:numCache>
            </c:numRef>
          </c:yVal>
          <c:smooth val="0"/>
          <c:extLst>
            <c:ext xmlns:c16="http://schemas.microsoft.com/office/drawing/2014/chart" uri="{C3380CC4-5D6E-409C-BE32-E72D297353CC}">
              <c16:uniqueId val="{00000001-6772-445F-8493-186274B8B10E}"/>
            </c:ext>
          </c:extLst>
        </c:ser>
        <c:dLbls>
          <c:showLegendKey val="0"/>
          <c:showVal val="0"/>
          <c:showCatName val="0"/>
          <c:showSerName val="0"/>
          <c:showPercent val="0"/>
          <c:showBubbleSize val="0"/>
        </c:dLbls>
        <c:axId val="296140975"/>
        <c:axId val="296141391"/>
      </c:scatterChart>
      <c:valAx>
        <c:axId val="296140975"/>
        <c:scaling>
          <c:orientation val="minMax"/>
          <c:max val="160"/>
        </c:scaling>
        <c:delete val="0"/>
        <c:axPos val="b"/>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20"/>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Output_Pricing_Proposal!$AD$494</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Output_Pricing_Proposal!$AD$495:$AD$543</c:f>
              <c:numCache>
                <c:formatCode>_(#,##0.0%_);\(#,##0.0%\);_("-"_)</c:formatCode>
                <c:ptCount val="49"/>
                <c:pt idx="0">
                  <c:v>-0.17280601050106661</c:v>
                </c:pt>
                <c:pt idx="1">
                  <c:v>-0.13179638824765125</c:v>
                </c:pt>
                <c:pt idx="2">
                  <c:v>-0.10554251039328044</c:v>
                </c:pt>
                <c:pt idx="3">
                  <c:v>-9.0247180077385233E-2</c:v>
                </c:pt>
                <c:pt idx="4">
                  <c:v>-7.4661490448540299E-2</c:v>
                </c:pt>
                <c:pt idx="5">
                  <c:v>-3.4131253989903576E-2</c:v>
                </c:pt>
                <c:pt idx="6">
                  <c:v>-2.7363385291005474E-2</c:v>
                </c:pt>
                <c:pt idx="7">
                  <c:v>-1.601595927071962E-2</c:v>
                </c:pt>
                <c:pt idx="8">
                  <c:v>-5.4536078410963645E-3</c:v>
                </c:pt>
                <c:pt idx="9">
                  <c:v>1.678223011344495E-2</c:v>
                </c:pt>
                <c:pt idx="10">
                  <c:v>1.9648015269856194E-2</c:v>
                </c:pt>
                <c:pt idx="11">
                  <c:v>2.9379747871155968E-2</c:v>
                </c:pt>
                <c:pt idx="12">
                  <c:v>3.0035861016941987E-2</c:v>
                </c:pt>
                <c:pt idx="13">
                  <c:v>3.5360555661647419E-2</c:v>
                </c:pt>
                <c:pt idx="14">
                  <c:v>4.9771306002441486E-2</c:v>
                </c:pt>
                <c:pt idx="15">
                  <c:v>5.3114782296595463E-2</c:v>
                </c:pt>
                <c:pt idx="16">
                  <c:v>5.326115912692507E-2</c:v>
                </c:pt>
                <c:pt idx="17">
                  <c:v>6.0185164065146179E-2</c:v>
                </c:pt>
                <c:pt idx="18">
                  <c:v>6.0825839954853474E-2</c:v>
                </c:pt>
                <c:pt idx="19">
                  <c:v>6.3514308364772745E-2</c:v>
                </c:pt>
                <c:pt idx="20">
                  <c:v>7.0006671483474434E-2</c:v>
                </c:pt>
                <c:pt idx="21">
                  <c:v>7.8541890970325698E-2</c:v>
                </c:pt>
                <c:pt idx="22">
                  <c:v>8.1049357520792412E-2</c:v>
                </c:pt>
                <c:pt idx="23">
                  <c:v>8.2227298766753332E-2</c:v>
                </c:pt>
                <c:pt idx="24">
                  <c:v>8.6305911043154826E-2</c:v>
                </c:pt>
                <c:pt idx="25">
                  <c:v>9.0664618415056325E-2</c:v>
                </c:pt>
                <c:pt idx="26">
                  <c:v>9.4246444645849581E-2</c:v>
                </c:pt>
                <c:pt idx="27">
                  <c:v>9.8074211639931061E-2</c:v>
                </c:pt>
                <c:pt idx="28">
                  <c:v>0.10217976210858322</c:v>
                </c:pt>
                <c:pt idx="29">
                  <c:v>0.11668829175367633</c:v>
                </c:pt>
                <c:pt idx="30">
                  <c:v>0.13123249751064886</c:v>
                </c:pt>
                <c:pt idx="31">
                  <c:v>0.1319577321921396</c:v>
                </c:pt>
                <c:pt idx="32">
                  <c:v>0.13557722983272869</c:v>
                </c:pt>
                <c:pt idx="33">
                  <c:v>0.1462584649204666</c:v>
                </c:pt>
                <c:pt idx="34">
                  <c:v>0.15071772477716794</c:v>
                </c:pt>
                <c:pt idx="35">
                  <c:v>0.15401217339063772</c:v>
                </c:pt>
                <c:pt idx="36">
                  <c:v>0.1593899967494983</c:v>
                </c:pt>
                <c:pt idx="37">
                  <c:v>0.16276845131569817</c:v>
                </c:pt>
                <c:pt idx="38">
                  <c:v>0.17104299860484973</c:v>
                </c:pt>
                <c:pt idx="39">
                  <c:v>0.17566236680211295</c:v>
                </c:pt>
                <c:pt idx="40">
                  <c:v>0.17886473555129598</c:v>
                </c:pt>
                <c:pt idx="41">
                  <c:v>0.19129431490742066</c:v>
                </c:pt>
                <c:pt idx="42">
                  <c:v>0.2002224677091223</c:v>
                </c:pt>
                <c:pt idx="43">
                  <c:v>0.20153812866405096</c:v>
                </c:pt>
                <c:pt idx="44">
                  <c:v>0.20499721568304399</c:v>
                </c:pt>
                <c:pt idx="45">
                  <c:v>0.22367933164742496</c:v>
                </c:pt>
                <c:pt idx="46">
                  <c:v>0.22367933164742496</c:v>
                </c:pt>
                <c:pt idx="47">
                  <c:v>0.22367933164742496</c:v>
                </c:pt>
                <c:pt idx="48">
                  <c:v>0.22367933164742496</c:v>
                </c:pt>
              </c:numCache>
            </c:numRef>
          </c:yVal>
          <c:smooth val="0"/>
          <c:extLst>
            <c:ext xmlns:c16="http://schemas.microsoft.com/office/drawing/2014/chart" uri="{C3380CC4-5D6E-409C-BE32-E72D297353CC}">
              <c16:uniqueId val="{00000000-CF48-44A7-B605-C374FB400A9E}"/>
            </c:ext>
          </c:extLst>
        </c:ser>
        <c:ser>
          <c:idx val="1"/>
          <c:order val="1"/>
          <c:tx>
            <c:strRef>
              <c:f>Output_Pricing_Proposal!$AE$494</c:f>
              <c:strCache>
                <c:ptCount val="1"/>
                <c:pt idx="0">
                  <c:v>Revenue Increase + CPI = 11.6%</c:v>
                </c:pt>
              </c:strCache>
            </c:strRef>
          </c:tx>
          <c:spPr>
            <a:ln w="38100" cap="rnd">
              <a:solidFill>
                <a:srgbClr val="139C00"/>
              </a:solidFill>
              <a:round/>
            </a:ln>
            <a:effectLst/>
          </c:spPr>
          <c:marker>
            <c:symbol val="none"/>
          </c:marker>
          <c:dLbls>
            <c:dLbl>
              <c:idx val="21"/>
              <c:layout>
                <c:manualLayout>
                  <c:x val="-0.3485989906299008"/>
                  <c:y val="-3.928204286964129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CF48-44A7-B605-C374FB400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yVal>
            <c:numRef>
              <c:f>Output_Pricing_Proposal!$AE$495:$AE$543</c:f>
              <c:numCache>
                <c:formatCode>0.0%</c:formatCode>
                <c:ptCount val="49"/>
                <c:pt idx="0">
                  <c:v>0.11616126557759388</c:v>
                </c:pt>
                <c:pt idx="1">
                  <c:v>0.11616126557759388</c:v>
                </c:pt>
                <c:pt idx="2">
                  <c:v>0.11616126557759388</c:v>
                </c:pt>
                <c:pt idx="3">
                  <c:v>0.11616126557759388</c:v>
                </c:pt>
                <c:pt idx="4">
                  <c:v>0.11616126557759388</c:v>
                </c:pt>
                <c:pt idx="5">
                  <c:v>0.11616126557759388</c:v>
                </c:pt>
                <c:pt idx="6">
                  <c:v>0.11616126557759388</c:v>
                </c:pt>
                <c:pt idx="7">
                  <c:v>0.11616126557759388</c:v>
                </c:pt>
                <c:pt idx="8">
                  <c:v>0.11616126557759388</c:v>
                </c:pt>
                <c:pt idx="9">
                  <c:v>0.11616126557759388</c:v>
                </c:pt>
                <c:pt idx="10">
                  <c:v>0.11616126557759388</c:v>
                </c:pt>
                <c:pt idx="11">
                  <c:v>0.11616126557759388</c:v>
                </c:pt>
                <c:pt idx="12">
                  <c:v>0.11616126557759388</c:v>
                </c:pt>
                <c:pt idx="13">
                  <c:v>0.11616126557759388</c:v>
                </c:pt>
                <c:pt idx="14">
                  <c:v>0.11616126557759388</c:v>
                </c:pt>
                <c:pt idx="15">
                  <c:v>0.11616126557759388</c:v>
                </c:pt>
                <c:pt idx="16">
                  <c:v>0.11616126557759388</c:v>
                </c:pt>
                <c:pt idx="17">
                  <c:v>0.11616126557759388</c:v>
                </c:pt>
                <c:pt idx="18">
                  <c:v>0.11616126557759388</c:v>
                </c:pt>
                <c:pt idx="19">
                  <c:v>0.11616126557759388</c:v>
                </c:pt>
                <c:pt idx="20">
                  <c:v>0.11616126557759388</c:v>
                </c:pt>
                <c:pt idx="21">
                  <c:v>0.11616126557759388</c:v>
                </c:pt>
                <c:pt idx="22">
                  <c:v>0.11616126557759388</c:v>
                </c:pt>
                <c:pt idx="23">
                  <c:v>0.11616126557759388</c:v>
                </c:pt>
                <c:pt idx="24">
                  <c:v>0.11616126557759388</c:v>
                </c:pt>
                <c:pt idx="25">
                  <c:v>0.11616126557759388</c:v>
                </c:pt>
                <c:pt idx="26">
                  <c:v>0.11616126557759388</c:v>
                </c:pt>
                <c:pt idx="27">
                  <c:v>0.11616126557759388</c:v>
                </c:pt>
                <c:pt idx="28">
                  <c:v>0.11616126557759388</c:v>
                </c:pt>
                <c:pt idx="29">
                  <c:v>0.11616126557759388</c:v>
                </c:pt>
                <c:pt idx="30">
                  <c:v>0.11616126557759388</c:v>
                </c:pt>
                <c:pt idx="31">
                  <c:v>0.11616126557759388</c:v>
                </c:pt>
                <c:pt idx="32">
                  <c:v>0.11616126557759388</c:v>
                </c:pt>
                <c:pt idx="33">
                  <c:v>0.11616126557759388</c:v>
                </c:pt>
                <c:pt idx="34">
                  <c:v>0.11616126557759388</c:v>
                </c:pt>
                <c:pt idx="35">
                  <c:v>0.11616126557759388</c:v>
                </c:pt>
                <c:pt idx="36">
                  <c:v>0.11616126557759388</c:v>
                </c:pt>
                <c:pt idx="37">
                  <c:v>0.11616126557759388</c:v>
                </c:pt>
                <c:pt idx="38">
                  <c:v>0.11616126557759388</c:v>
                </c:pt>
                <c:pt idx="39">
                  <c:v>0.11616126557759388</c:v>
                </c:pt>
                <c:pt idx="40">
                  <c:v>0.11616126557759388</c:v>
                </c:pt>
                <c:pt idx="41">
                  <c:v>0.11616126557759388</c:v>
                </c:pt>
                <c:pt idx="42">
                  <c:v>0.11616126557759388</c:v>
                </c:pt>
                <c:pt idx="43">
                  <c:v>0.11616126557759388</c:v>
                </c:pt>
                <c:pt idx="44">
                  <c:v>0.11616126557759388</c:v>
                </c:pt>
                <c:pt idx="45">
                  <c:v>0.11616126557759388</c:v>
                </c:pt>
                <c:pt idx="46">
                  <c:v>0.11616126557759388</c:v>
                </c:pt>
                <c:pt idx="47">
                  <c:v>0.11616126557759388</c:v>
                </c:pt>
                <c:pt idx="48">
                  <c:v>0.11616126557759388</c:v>
                </c:pt>
              </c:numCache>
            </c:numRef>
          </c:yVal>
          <c:smooth val="0"/>
          <c:extLst>
            <c:ext xmlns:c16="http://schemas.microsoft.com/office/drawing/2014/chart" uri="{C3380CC4-5D6E-409C-BE32-E72D297353CC}">
              <c16:uniqueId val="{00000002-CF48-44A7-B605-C374FB400A9E}"/>
            </c:ext>
          </c:extLst>
        </c:ser>
        <c:dLbls>
          <c:showLegendKey val="0"/>
          <c:showVal val="0"/>
          <c:showCatName val="0"/>
          <c:showSerName val="0"/>
          <c:showPercent val="0"/>
          <c:showBubbleSize val="0"/>
        </c:dLbls>
        <c:axId val="296140975"/>
        <c:axId val="296141391"/>
      </c:scatterChart>
      <c:valAx>
        <c:axId val="296140975"/>
        <c:scaling>
          <c:orientation val="minMax"/>
          <c:max val="45"/>
          <c:min val="0"/>
        </c:scaling>
        <c:delete val="0"/>
        <c:axPos val="b"/>
        <c:numFmt formatCode="General" sourceLinked="1"/>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Output_Pricing_Proposal!$AD$550</c:f>
              <c:strCache>
                <c:ptCount val="1"/>
                <c:pt idx="0">
                  <c:v>Bill impact (%)</c:v>
                </c:pt>
              </c:strCache>
            </c:strRef>
          </c:tx>
          <c:spPr>
            <a:ln w="25400" cap="rnd">
              <a:noFill/>
              <a:round/>
            </a:ln>
            <a:effectLst/>
          </c:spPr>
          <c:marker>
            <c:symbol val="circle"/>
            <c:size val="7"/>
            <c:spPr>
              <a:solidFill>
                <a:srgbClr val="D14900"/>
              </a:solidFill>
              <a:ln w="38100">
                <a:noFill/>
                <a:prstDash val="sysDot"/>
              </a:ln>
              <a:effectLst/>
            </c:spPr>
          </c:marker>
          <c:yVal>
            <c:numRef>
              <c:f>Output_Pricing_Proposal!$AD$551:$AD$563</c:f>
              <c:numCache>
                <c:formatCode>_(#,##0.0%_);\(#,##0.0%\);_("-"_)</c:formatCode>
                <c:ptCount val="13"/>
                <c:pt idx="0">
                  <c:v>-0.23699215777922741</c:v>
                </c:pt>
                <c:pt idx="1">
                  <c:v>-0.19718600326143251</c:v>
                </c:pt>
                <c:pt idx="2">
                  <c:v>-0.1913849067413913</c:v>
                </c:pt>
                <c:pt idx="3">
                  <c:v>-0.10363053284994754</c:v>
                </c:pt>
                <c:pt idx="4">
                  <c:v>-9.5067337146032757E-2</c:v>
                </c:pt>
                <c:pt idx="5">
                  <c:v>-7.2256183232926555E-2</c:v>
                </c:pt>
                <c:pt idx="6">
                  <c:v>-6.4041484173759586E-2</c:v>
                </c:pt>
                <c:pt idx="7">
                  <c:v>-5.3049629031404734E-2</c:v>
                </c:pt>
                <c:pt idx="8">
                  <c:v>-3.9903728512467818E-2</c:v>
                </c:pt>
                <c:pt idx="9">
                  <c:v>1.7542731472315342E-2</c:v>
                </c:pt>
                <c:pt idx="10">
                  <c:v>4.8677934630558022E-2</c:v>
                </c:pt>
                <c:pt idx="11">
                  <c:v>5.4342770110578371E-2</c:v>
                </c:pt>
                <c:pt idx="12">
                  <c:v>0.10520863836039179</c:v>
                </c:pt>
              </c:numCache>
            </c:numRef>
          </c:yVal>
          <c:smooth val="0"/>
          <c:extLst>
            <c:ext xmlns:c16="http://schemas.microsoft.com/office/drawing/2014/chart" uri="{C3380CC4-5D6E-409C-BE32-E72D297353CC}">
              <c16:uniqueId val="{00000000-3B5B-4C99-AC33-1486AF913031}"/>
            </c:ext>
          </c:extLst>
        </c:ser>
        <c:ser>
          <c:idx val="1"/>
          <c:order val="1"/>
          <c:tx>
            <c:strRef>
              <c:f>Output_Pricing_Proposal!$AE$550</c:f>
              <c:strCache>
                <c:ptCount val="1"/>
                <c:pt idx="0">
                  <c:v>Revenue Increase + CPI = 11.6%</c:v>
                </c:pt>
              </c:strCache>
            </c:strRef>
          </c:tx>
          <c:spPr>
            <a:ln w="38100" cap="rnd">
              <a:solidFill>
                <a:srgbClr val="139C00"/>
              </a:solidFill>
              <a:round/>
            </a:ln>
            <a:effectLst/>
          </c:spPr>
          <c:marker>
            <c:symbol val="none"/>
          </c:marker>
          <c:dLbls>
            <c:dLbl>
              <c:idx val="1"/>
              <c:layout>
                <c:manualLayout>
                  <c:x val="-7.2215748268184235E-2"/>
                  <c:y val="5.085648148148148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8046421367471375"/>
                      <c:h val="5.0787037037037026E-2"/>
                    </c:manualLayout>
                  </c15:layout>
                </c:ext>
                <c:ext xmlns:c16="http://schemas.microsoft.com/office/drawing/2014/chart" uri="{C3380CC4-5D6E-409C-BE32-E72D297353CC}">
                  <c16:uniqueId val="{00000003-3B5B-4C99-AC33-1486AF913031}"/>
                </c:ext>
              </c:extLst>
            </c:dLbl>
            <c:dLbl>
              <c:idx val="21"/>
              <c:layout>
                <c:manualLayout>
                  <c:x val="-0.3485989906299008"/>
                  <c:y val="-3.9282042869641293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3B5B-4C99-AC33-1486AF9130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yVal>
            <c:numRef>
              <c:f>Output_Pricing_Proposal!$AE$551:$AE$563</c:f>
              <c:numCache>
                <c:formatCode>0.0%</c:formatCode>
                <c:ptCount val="13"/>
                <c:pt idx="0">
                  <c:v>0.11616126557759388</c:v>
                </c:pt>
                <c:pt idx="1">
                  <c:v>0.11616126557759388</c:v>
                </c:pt>
                <c:pt idx="2">
                  <c:v>0.11616126557759388</c:v>
                </c:pt>
                <c:pt idx="3">
                  <c:v>0.11616126557759388</c:v>
                </c:pt>
                <c:pt idx="4">
                  <c:v>0.11616126557759388</c:v>
                </c:pt>
                <c:pt idx="5">
                  <c:v>0.11616126557759388</c:v>
                </c:pt>
                <c:pt idx="6">
                  <c:v>0.11616126557759388</c:v>
                </c:pt>
                <c:pt idx="7">
                  <c:v>0.11616126557759388</c:v>
                </c:pt>
                <c:pt idx="8">
                  <c:v>0.11616126557759388</c:v>
                </c:pt>
                <c:pt idx="9">
                  <c:v>0.11616126557759388</c:v>
                </c:pt>
                <c:pt idx="10">
                  <c:v>0.11616126557759388</c:v>
                </c:pt>
                <c:pt idx="11">
                  <c:v>0.11616126557759388</c:v>
                </c:pt>
                <c:pt idx="12">
                  <c:v>0.11616126557759388</c:v>
                </c:pt>
              </c:numCache>
            </c:numRef>
          </c:yVal>
          <c:smooth val="0"/>
          <c:extLst>
            <c:ext xmlns:c16="http://schemas.microsoft.com/office/drawing/2014/chart" uri="{C3380CC4-5D6E-409C-BE32-E72D297353CC}">
              <c16:uniqueId val="{00000002-3B5B-4C99-AC33-1486AF913031}"/>
            </c:ext>
          </c:extLst>
        </c:ser>
        <c:dLbls>
          <c:showLegendKey val="0"/>
          <c:showVal val="0"/>
          <c:showCatName val="0"/>
          <c:showSerName val="0"/>
          <c:showPercent val="0"/>
          <c:showBubbleSize val="0"/>
        </c:dLbls>
        <c:axId val="296140975"/>
        <c:axId val="296141391"/>
      </c:scatterChart>
      <c:valAx>
        <c:axId val="296140975"/>
        <c:scaling>
          <c:orientation val="minMax"/>
          <c:max val="13"/>
          <c:min val="1"/>
        </c:scaling>
        <c:delete val="0"/>
        <c:axPos val="b"/>
        <c:numFmt formatCode="General" sourceLinked="1"/>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1"/>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Output_Pricing_Proposal!$AD$570</c:f>
              <c:strCache>
                <c:ptCount val="1"/>
                <c:pt idx="0">
                  <c:v>Bill impact (%)</c:v>
                </c:pt>
              </c:strCache>
            </c:strRef>
          </c:tx>
          <c:spPr>
            <a:ln w="25400" cap="rnd">
              <a:noFill/>
              <a:round/>
            </a:ln>
            <a:effectLst/>
          </c:spPr>
          <c:marker>
            <c:symbol val="circle"/>
            <c:size val="5"/>
            <c:spPr>
              <a:solidFill>
                <a:srgbClr val="D14900"/>
              </a:solidFill>
              <a:ln w="38100">
                <a:noFill/>
                <a:prstDash val="sysDot"/>
              </a:ln>
              <a:effectLst/>
            </c:spPr>
          </c:marker>
          <c:yVal>
            <c:numRef>
              <c:f>Output_Pricing_Proposal!$AD$571:$AD$790</c:f>
              <c:numCache>
                <c:formatCode>_(#,##0.0%_);\(#,##0.0%\);_("-"_)</c:formatCode>
                <c:ptCount val="220"/>
                <c:pt idx="0">
                  <c:v>-0.23699215777922741</c:v>
                </c:pt>
                <c:pt idx="1">
                  <c:v>-0.22441450661883894</c:v>
                </c:pt>
                <c:pt idx="2">
                  <c:v>-0.19718600326143251</c:v>
                </c:pt>
                <c:pt idx="3">
                  <c:v>-0.19227436363521677</c:v>
                </c:pt>
                <c:pt idx="4">
                  <c:v>-0.1913849067413913</c:v>
                </c:pt>
                <c:pt idx="5">
                  <c:v>-0.17280601050106661</c:v>
                </c:pt>
                <c:pt idx="6">
                  <c:v>-0.16448151981791803</c:v>
                </c:pt>
                <c:pt idx="7">
                  <c:v>-0.15763606033285743</c:v>
                </c:pt>
                <c:pt idx="8">
                  <c:v>-0.15141641701395764</c:v>
                </c:pt>
                <c:pt idx="9">
                  <c:v>-0.14863243398706838</c:v>
                </c:pt>
                <c:pt idx="10">
                  <c:v>-0.14393247785367674</c:v>
                </c:pt>
                <c:pt idx="11">
                  <c:v>-0.13179638824765125</c:v>
                </c:pt>
                <c:pt idx="12">
                  <c:v>-0.13138062146069082</c:v>
                </c:pt>
                <c:pt idx="13">
                  <c:v>-0.12509108091478224</c:v>
                </c:pt>
                <c:pt idx="14">
                  <c:v>-0.1227313567002094</c:v>
                </c:pt>
                <c:pt idx="15">
                  <c:v>-0.1186986839601533</c:v>
                </c:pt>
                <c:pt idx="16">
                  <c:v>-0.11772874898046201</c:v>
                </c:pt>
                <c:pt idx="17">
                  <c:v>-0.11726894206136552</c:v>
                </c:pt>
                <c:pt idx="18">
                  <c:v>-0.11373195685483052</c:v>
                </c:pt>
                <c:pt idx="19">
                  <c:v>-0.11137678706769641</c:v>
                </c:pt>
                <c:pt idx="20">
                  <c:v>-0.10554251039328044</c:v>
                </c:pt>
                <c:pt idx="21">
                  <c:v>-0.10526394111123549</c:v>
                </c:pt>
                <c:pt idx="22">
                  <c:v>-0.10525341730786156</c:v>
                </c:pt>
                <c:pt idx="23">
                  <c:v>-0.10411181511139733</c:v>
                </c:pt>
                <c:pt idx="24">
                  <c:v>-0.10363053284994754</c:v>
                </c:pt>
                <c:pt idx="25">
                  <c:v>-9.9634445267190591E-2</c:v>
                </c:pt>
                <c:pt idx="26">
                  <c:v>-9.5681996499977218E-2</c:v>
                </c:pt>
                <c:pt idx="27">
                  <c:v>-9.5067337146032757E-2</c:v>
                </c:pt>
                <c:pt idx="28">
                  <c:v>-9.223484181311338E-2</c:v>
                </c:pt>
                <c:pt idx="29">
                  <c:v>-9.0247180077385233E-2</c:v>
                </c:pt>
                <c:pt idx="30">
                  <c:v>-8.9660084795690459E-2</c:v>
                </c:pt>
                <c:pt idx="31">
                  <c:v>-8.4809747230217364E-2</c:v>
                </c:pt>
                <c:pt idx="32">
                  <c:v>-8.472186294134576E-2</c:v>
                </c:pt>
                <c:pt idx="33">
                  <c:v>-8.2106543515569938E-2</c:v>
                </c:pt>
                <c:pt idx="34">
                  <c:v>-8.1069705683312343E-2</c:v>
                </c:pt>
                <c:pt idx="35">
                  <c:v>-7.4661490448540299E-2</c:v>
                </c:pt>
                <c:pt idx="36">
                  <c:v>-7.2438933130804087E-2</c:v>
                </c:pt>
                <c:pt idx="37">
                  <c:v>-7.2256183232926555E-2</c:v>
                </c:pt>
                <c:pt idx="38">
                  <c:v>-7.1920410619782257E-2</c:v>
                </c:pt>
                <c:pt idx="39">
                  <c:v>-7.1769539785662681E-2</c:v>
                </c:pt>
                <c:pt idx="40">
                  <c:v>-6.9255378736661877E-2</c:v>
                </c:pt>
                <c:pt idx="41">
                  <c:v>-6.5329027420038516E-2</c:v>
                </c:pt>
                <c:pt idx="42">
                  <c:v>-6.4041484173759586E-2</c:v>
                </c:pt>
                <c:pt idx="43">
                  <c:v>-6.3562004929106991E-2</c:v>
                </c:pt>
                <c:pt idx="44">
                  <c:v>-6.3272292005069133E-2</c:v>
                </c:pt>
                <c:pt idx="45">
                  <c:v>-6.2191158789817728E-2</c:v>
                </c:pt>
                <c:pt idx="46">
                  <c:v>-5.9218657809632105E-2</c:v>
                </c:pt>
                <c:pt idx="47">
                  <c:v>-5.3253876585445718E-2</c:v>
                </c:pt>
                <c:pt idx="48">
                  <c:v>-5.3049629031404734E-2</c:v>
                </c:pt>
                <c:pt idx="49">
                  <c:v>-4.9607509122129904E-2</c:v>
                </c:pt>
                <c:pt idx="50">
                  <c:v>-4.7402103427027685E-2</c:v>
                </c:pt>
                <c:pt idx="51">
                  <c:v>-4.7087231673442503E-2</c:v>
                </c:pt>
                <c:pt idx="52">
                  <c:v>-4.4940755498595331E-2</c:v>
                </c:pt>
                <c:pt idx="53">
                  <c:v>-4.4611158526148061E-2</c:v>
                </c:pt>
                <c:pt idx="54">
                  <c:v>-4.3852939668428063E-2</c:v>
                </c:pt>
                <c:pt idx="55">
                  <c:v>-4.2047310142843075E-2</c:v>
                </c:pt>
                <c:pt idx="56">
                  <c:v>-4.0736651251998879E-2</c:v>
                </c:pt>
                <c:pt idx="57">
                  <c:v>-3.9903728512467818E-2</c:v>
                </c:pt>
                <c:pt idx="58">
                  <c:v>-3.6626915217873646E-2</c:v>
                </c:pt>
                <c:pt idx="59">
                  <c:v>-3.4887083670808512E-2</c:v>
                </c:pt>
                <c:pt idx="60">
                  <c:v>-3.4131253989903576E-2</c:v>
                </c:pt>
                <c:pt idx="61">
                  <c:v>-3.3483607980522828E-2</c:v>
                </c:pt>
                <c:pt idx="62">
                  <c:v>-3.330828577416859E-2</c:v>
                </c:pt>
                <c:pt idx="63">
                  <c:v>-3.112478119762856E-2</c:v>
                </c:pt>
                <c:pt idx="64">
                  <c:v>-3.0294142280736538E-2</c:v>
                </c:pt>
                <c:pt idx="65">
                  <c:v>-2.7363385291005474E-2</c:v>
                </c:pt>
                <c:pt idx="66">
                  <c:v>-2.7201591124848802E-2</c:v>
                </c:pt>
                <c:pt idx="67">
                  <c:v>-2.6896346808407343E-2</c:v>
                </c:pt>
                <c:pt idx="68">
                  <c:v>-2.247511750638459E-2</c:v>
                </c:pt>
                <c:pt idx="69">
                  <c:v>-1.601595927071962E-2</c:v>
                </c:pt>
                <c:pt idx="70">
                  <c:v>-1.58900526468954E-2</c:v>
                </c:pt>
                <c:pt idx="71">
                  <c:v>-1.452150894020196E-2</c:v>
                </c:pt>
                <c:pt idx="72">
                  <c:v>-1.2578500886566524E-2</c:v>
                </c:pt>
                <c:pt idx="73">
                  <c:v>-1.1713688930624187E-2</c:v>
                </c:pt>
                <c:pt idx="74">
                  <c:v>-9.3276525627858705E-3</c:v>
                </c:pt>
                <c:pt idx="75">
                  <c:v>-9.0379521189552971E-3</c:v>
                </c:pt>
                <c:pt idx="76">
                  <c:v>-7.936987281057635E-3</c:v>
                </c:pt>
                <c:pt idx="77">
                  <c:v>-5.4536078410963645E-3</c:v>
                </c:pt>
                <c:pt idx="78">
                  <c:v>-5.2005381955685702E-3</c:v>
                </c:pt>
                <c:pt idx="79">
                  <c:v>-4.667514716659645E-3</c:v>
                </c:pt>
                <c:pt idx="80">
                  <c:v>-3.7970451743065937E-3</c:v>
                </c:pt>
                <c:pt idx="81">
                  <c:v>1.4064650052991307E-5</c:v>
                </c:pt>
                <c:pt idx="82">
                  <c:v>2.2049903530659923E-4</c:v>
                </c:pt>
                <c:pt idx="83">
                  <c:v>5.3664732561161212E-4</c:v>
                </c:pt>
                <c:pt idx="84">
                  <c:v>1.2831885153929167E-3</c:v>
                </c:pt>
                <c:pt idx="85">
                  <c:v>4.6635641140920728E-3</c:v>
                </c:pt>
                <c:pt idx="86">
                  <c:v>1.0686352633096889E-2</c:v>
                </c:pt>
                <c:pt idx="87">
                  <c:v>1.1671128013990392E-2</c:v>
                </c:pt>
                <c:pt idx="88">
                  <c:v>1.3241937653156323E-2</c:v>
                </c:pt>
                <c:pt idx="89">
                  <c:v>1.678223011344495E-2</c:v>
                </c:pt>
                <c:pt idx="90">
                  <c:v>1.6943560795133709E-2</c:v>
                </c:pt>
                <c:pt idx="91">
                  <c:v>1.7542731472315342E-2</c:v>
                </c:pt>
                <c:pt idx="92">
                  <c:v>1.9648015269856194E-2</c:v>
                </c:pt>
                <c:pt idx="93">
                  <c:v>2.0938396259061194E-2</c:v>
                </c:pt>
                <c:pt idx="94">
                  <c:v>2.2206376691830339E-2</c:v>
                </c:pt>
                <c:pt idx="95">
                  <c:v>2.3308783165211261E-2</c:v>
                </c:pt>
                <c:pt idx="96">
                  <c:v>2.5157266949742685E-2</c:v>
                </c:pt>
                <c:pt idx="97">
                  <c:v>2.7284773773475546E-2</c:v>
                </c:pt>
                <c:pt idx="98">
                  <c:v>2.7442865669852108E-2</c:v>
                </c:pt>
                <c:pt idx="99">
                  <c:v>2.9379747871155968E-2</c:v>
                </c:pt>
                <c:pt idx="100">
                  <c:v>2.9541595021452784E-2</c:v>
                </c:pt>
                <c:pt idx="101">
                  <c:v>3.0035861016941987E-2</c:v>
                </c:pt>
                <c:pt idx="102">
                  <c:v>3.1189258160179024E-2</c:v>
                </c:pt>
                <c:pt idx="103">
                  <c:v>3.152160231928889E-2</c:v>
                </c:pt>
                <c:pt idx="104">
                  <c:v>3.3529833886779971E-2</c:v>
                </c:pt>
                <c:pt idx="105">
                  <c:v>3.4347345732725347E-2</c:v>
                </c:pt>
                <c:pt idx="106">
                  <c:v>3.5038448195152262E-2</c:v>
                </c:pt>
                <c:pt idx="107">
                  <c:v>3.525553081002529E-2</c:v>
                </c:pt>
                <c:pt idx="108">
                  <c:v>3.5329467761317658E-2</c:v>
                </c:pt>
                <c:pt idx="109">
                  <c:v>3.5360555661647419E-2</c:v>
                </c:pt>
                <c:pt idx="110">
                  <c:v>3.5666250616141454E-2</c:v>
                </c:pt>
                <c:pt idx="111">
                  <c:v>3.7324785856360877E-2</c:v>
                </c:pt>
                <c:pt idx="112">
                  <c:v>3.7729922581455251E-2</c:v>
                </c:pt>
                <c:pt idx="113">
                  <c:v>3.9062220739340674E-2</c:v>
                </c:pt>
                <c:pt idx="114">
                  <c:v>4.1191999169572523E-2</c:v>
                </c:pt>
                <c:pt idx="115">
                  <c:v>4.2111219235924702E-2</c:v>
                </c:pt>
                <c:pt idx="116">
                  <c:v>4.2375355448881317E-2</c:v>
                </c:pt>
                <c:pt idx="117">
                  <c:v>4.322102990744723E-2</c:v>
                </c:pt>
                <c:pt idx="118">
                  <c:v>4.5624495307510483E-2</c:v>
                </c:pt>
                <c:pt idx="119">
                  <c:v>4.571996738660971E-2</c:v>
                </c:pt>
                <c:pt idx="120">
                  <c:v>4.6264880164325256E-2</c:v>
                </c:pt>
                <c:pt idx="121">
                  <c:v>4.8677934630558022E-2</c:v>
                </c:pt>
                <c:pt idx="122">
                  <c:v>4.9771306002441486E-2</c:v>
                </c:pt>
                <c:pt idx="123">
                  <c:v>5.2155756400303642E-2</c:v>
                </c:pt>
                <c:pt idx="124">
                  <c:v>5.3020024070746422E-2</c:v>
                </c:pt>
                <c:pt idx="125">
                  <c:v>5.3114782296595463E-2</c:v>
                </c:pt>
                <c:pt idx="126">
                  <c:v>5.326115912692507E-2</c:v>
                </c:pt>
                <c:pt idx="127">
                  <c:v>5.4342770110578371E-2</c:v>
                </c:pt>
                <c:pt idx="128">
                  <c:v>5.4794954109204534E-2</c:v>
                </c:pt>
                <c:pt idx="129">
                  <c:v>5.5026092062042835E-2</c:v>
                </c:pt>
                <c:pt idx="130">
                  <c:v>5.5582825312942293E-2</c:v>
                </c:pt>
                <c:pt idx="131">
                  <c:v>5.7546674255886471E-2</c:v>
                </c:pt>
                <c:pt idx="132">
                  <c:v>5.7888949781448949E-2</c:v>
                </c:pt>
                <c:pt idx="133">
                  <c:v>5.8062030732116174E-2</c:v>
                </c:pt>
                <c:pt idx="134">
                  <c:v>6.0185164065146179E-2</c:v>
                </c:pt>
                <c:pt idx="135">
                  <c:v>6.0825839954853474E-2</c:v>
                </c:pt>
                <c:pt idx="136">
                  <c:v>6.3514308364772745E-2</c:v>
                </c:pt>
                <c:pt idx="137">
                  <c:v>6.7231938202584954E-2</c:v>
                </c:pt>
                <c:pt idx="138">
                  <c:v>7.0006671483474434E-2</c:v>
                </c:pt>
                <c:pt idx="139">
                  <c:v>7.0044109534084825E-2</c:v>
                </c:pt>
                <c:pt idx="140">
                  <c:v>7.2417126943409543E-2</c:v>
                </c:pt>
                <c:pt idx="141">
                  <c:v>7.3512801862011257E-2</c:v>
                </c:pt>
                <c:pt idx="142">
                  <c:v>7.673033214823817E-2</c:v>
                </c:pt>
                <c:pt idx="143">
                  <c:v>7.7587411020339045E-2</c:v>
                </c:pt>
                <c:pt idx="144">
                  <c:v>7.7790216059860973E-2</c:v>
                </c:pt>
                <c:pt idx="145">
                  <c:v>7.8541890970325698E-2</c:v>
                </c:pt>
                <c:pt idx="146">
                  <c:v>7.8780185667815542E-2</c:v>
                </c:pt>
                <c:pt idx="147">
                  <c:v>8.1049357520792412E-2</c:v>
                </c:pt>
                <c:pt idx="148">
                  <c:v>8.2227298766753332E-2</c:v>
                </c:pt>
                <c:pt idx="149">
                  <c:v>8.3584281264386565E-2</c:v>
                </c:pt>
                <c:pt idx="150">
                  <c:v>8.548248831931432E-2</c:v>
                </c:pt>
                <c:pt idx="151">
                  <c:v>8.6305911043154826E-2</c:v>
                </c:pt>
                <c:pt idx="152">
                  <c:v>8.6552544357564445E-2</c:v>
                </c:pt>
                <c:pt idx="153">
                  <c:v>8.7154654765092307E-2</c:v>
                </c:pt>
                <c:pt idx="154">
                  <c:v>8.8032782354571432E-2</c:v>
                </c:pt>
                <c:pt idx="155">
                  <c:v>9.0371799543248421E-2</c:v>
                </c:pt>
                <c:pt idx="156">
                  <c:v>9.0664618415056325E-2</c:v>
                </c:pt>
                <c:pt idx="157">
                  <c:v>9.1448337686800649E-2</c:v>
                </c:pt>
                <c:pt idx="158">
                  <c:v>9.4246444645849581E-2</c:v>
                </c:pt>
                <c:pt idx="159">
                  <c:v>9.4483785812517415E-2</c:v>
                </c:pt>
                <c:pt idx="160">
                  <c:v>9.7205561113490144E-2</c:v>
                </c:pt>
                <c:pt idx="161">
                  <c:v>9.7475559187301483E-2</c:v>
                </c:pt>
                <c:pt idx="162">
                  <c:v>9.7762962733456193E-2</c:v>
                </c:pt>
                <c:pt idx="163">
                  <c:v>9.8074211639931061E-2</c:v>
                </c:pt>
                <c:pt idx="164">
                  <c:v>9.8337760531475804E-2</c:v>
                </c:pt>
                <c:pt idx="165">
                  <c:v>9.8724947229460569E-2</c:v>
                </c:pt>
                <c:pt idx="166">
                  <c:v>9.8785788514976436E-2</c:v>
                </c:pt>
                <c:pt idx="167">
                  <c:v>9.9083528727888129E-2</c:v>
                </c:pt>
                <c:pt idx="168">
                  <c:v>0.10217976210858322</c:v>
                </c:pt>
                <c:pt idx="169">
                  <c:v>0.10419928517141396</c:v>
                </c:pt>
                <c:pt idx="170">
                  <c:v>0.10428636402736267</c:v>
                </c:pt>
                <c:pt idx="171">
                  <c:v>0.1047611458736354</c:v>
                </c:pt>
                <c:pt idx="172">
                  <c:v>0.10520863836039179</c:v>
                </c:pt>
                <c:pt idx="173">
                  <c:v>0.10686706608017511</c:v>
                </c:pt>
                <c:pt idx="174">
                  <c:v>0.10792535792414985</c:v>
                </c:pt>
                <c:pt idx="175">
                  <c:v>0.10956414965487932</c:v>
                </c:pt>
                <c:pt idx="176">
                  <c:v>0.10960112993469406</c:v>
                </c:pt>
                <c:pt idx="177">
                  <c:v>0.11222585865677707</c:v>
                </c:pt>
                <c:pt idx="178">
                  <c:v>0.11629753848340627</c:v>
                </c:pt>
                <c:pt idx="179">
                  <c:v>0.11641888680371618</c:v>
                </c:pt>
                <c:pt idx="180">
                  <c:v>0.11668829175367633</c:v>
                </c:pt>
                <c:pt idx="181">
                  <c:v>0.1183477291261559</c:v>
                </c:pt>
                <c:pt idx="182">
                  <c:v>0.11920060135667322</c:v>
                </c:pt>
                <c:pt idx="183">
                  <c:v>0.12152599874119938</c:v>
                </c:pt>
                <c:pt idx="184">
                  <c:v>0.1223740276355535</c:v>
                </c:pt>
                <c:pt idx="185">
                  <c:v>0.12255590920424046</c:v>
                </c:pt>
                <c:pt idx="186">
                  <c:v>0.12779145997458369</c:v>
                </c:pt>
                <c:pt idx="187">
                  <c:v>0.13123249751064886</c:v>
                </c:pt>
                <c:pt idx="188">
                  <c:v>0.1319577321921396</c:v>
                </c:pt>
                <c:pt idx="189">
                  <c:v>0.13212133784513935</c:v>
                </c:pt>
                <c:pt idx="190">
                  <c:v>0.13557722983272869</c:v>
                </c:pt>
                <c:pt idx="191">
                  <c:v>0.13600207644099793</c:v>
                </c:pt>
                <c:pt idx="192">
                  <c:v>0.13723414992268385</c:v>
                </c:pt>
                <c:pt idx="193">
                  <c:v>0.13843169137907832</c:v>
                </c:pt>
                <c:pt idx="194">
                  <c:v>0.14267233675040533</c:v>
                </c:pt>
                <c:pt idx="195">
                  <c:v>0.1462584649204666</c:v>
                </c:pt>
                <c:pt idx="196">
                  <c:v>0.1481098464494946</c:v>
                </c:pt>
                <c:pt idx="197">
                  <c:v>0.14905020976594638</c:v>
                </c:pt>
                <c:pt idx="198">
                  <c:v>0.15042909044187461</c:v>
                </c:pt>
                <c:pt idx="199">
                  <c:v>0.15071772477716794</c:v>
                </c:pt>
                <c:pt idx="200">
                  <c:v>0.15244057897123928</c:v>
                </c:pt>
                <c:pt idx="201">
                  <c:v>0.15285410395298502</c:v>
                </c:pt>
                <c:pt idx="202">
                  <c:v>0.15401217339063772</c:v>
                </c:pt>
                <c:pt idx="203">
                  <c:v>0.15578734032871708</c:v>
                </c:pt>
                <c:pt idx="204">
                  <c:v>0.15817316694797981</c:v>
                </c:pt>
                <c:pt idx="205">
                  <c:v>0.1593899967494983</c:v>
                </c:pt>
                <c:pt idx="206">
                  <c:v>0.16276845131569817</c:v>
                </c:pt>
                <c:pt idx="207">
                  <c:v>0.1638476894120138</c:v>
                </c:pt>
                <c:pt idx="208">
                  <c:v>0.17104299860484973</c:v>
                </c:pt>
                <c:pt idx="209">
                  <c:v>0.17234468931752367</c:v>
                </c:pt>
                <c:pt idx="210">
                  <c:v>0.17566236680211295</c:v>
                </c:pt>
                <c:pt idx="211">
                  <c:v>0.17886473555129598</c:v>
                </c:pt>
                <c:pt idx="212">
                  <c:v>0.19129431490742066</c:v>
                </c:pt>
                <c:pt idx="213">
                  <c:v>0.2002224677091223</c:v>
                </c:pt>
                <c:pt idx="214">
                  <c:v>0.20153812866405096</c:v>
                </c:pt>
                <c:pt idx="215">
                  <c:v>0.20499721568304399</c:v>
                </c:pt>
                <c:pt idx="216">
                  <c:v>0.22367933164742496</c:v>
                </c:pt>
                <c:pt idx="217">
                  <c:v>0.22367933164742496</c:v>
                </c:pt>
                <c:pt idx="218">
                  <c:v>0.22367933164742496</c:v>
                </c:pt>
                <c:pt idx="219">
                  <c:v>0.22367933164742496</c:v>
                </c:pt>
              </c:numCache>
            </c:numRef>
          </c:yVal>
          <c:smooth val="0"/>
          <c:extLst>
            <c:ext xmlns:c16="http://schemas.microsoft.com/office/drawing/2014/chart" uri="{C3380CC4-5D6E-409C-BE32-E72D297353CC}">
              <c16:uniqueId val="{00000000-6732-416A-9F66-648E3D5037DF}"/>
            </c:ext>
          </c:extLst>
        </c:ser>
        <c:ser>
          <c:idx val="1"/>
          <c:order val="1"/>
          <c:tx>
            <c:strRef>
              <c:f>Output_Pricing_Proposal!$AE$570</c:f>
              <c:strCache>
                <c:ptCount val="1"/>
                <c:pt idx="0">
                  <c:v>Revenue Increase + CPI = 11.6%</c:v>
                </c:pt>
              </c:strCache>
            </c:strRef>
          </c:tx>
          <c:spPr>
            <a:ln w="38100" cap="rnd">
              <a:solidFill>
                <a:srgbClr val="139C00"/>
              </a:solidFill>
              <a:round/>
            </a:ln>
            <a:effectLst/>
          </c:spPr>
          <c:marker>
            <c:symbol val="none"/>
          </c:marker>
          <c:dLbls>
            <c:dLbl>
              <c:idx val="21"/>
              <c:layout>
                <c:manualLayout>
                  <c:x val="-0.10028592132054608"/>
                  <c:y val="-4.8541302128900551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9773816632232103"/>
                      <c:h val="7.3935185185185173E-2"/>
                    </c:manualLayout>
                  </c15:layout>
                </c:ext>
                <c:ext xmlns:c16="http://schemas.microsoft.com/office/drawing/2014/chart" uri="{C3380CC4-5D6E-409C-BE32-E72D297353CC}">
                  <c16:uniqueId val="{00000001-6732-416A-9F66-648E3D5037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Output_Pricing_Proposal!$AE$571:$AE$790</c:f>
              <c:numCache>
                <c:formatCode>0.0%</c:formatCode>
                <c:ptCount val="220"/>
                <c:pt idx="0">
                  <c:v>0.11616126557759388</c:v>
                </c:pt>
                <c:pt idx="1">
                  <c:v>0.11616126557759388</c:v>
                </c:pt>
                <c:pt idx="2">
                  <c:v>0.11616126557759388</c:v>
                </c:pt>
                <c:pt idx="3">
                  <c:v>0.11616126557759388</c:v>
                </c:pt>
                <c:pt idx="4">
                  <c:v>0.11616126557759388</c:v>
                </c:pt>
                <c:pt idx="5">
                  <c:v>0.11616126557759388</c:v>
                </c:pt>
                <c:pt idx="6">
                  <c:v>0.11616126557759388</c:v>
                </c:pt>
                <c:pt idx="7">
                  <c:v>0.11616126557759388</c:v>
                </c:pt>
                <c:pt idx="8">
                  <c:v>0.11616126557759388</c:v>
                </c:pt>
                <c:pt idx="9">
                  <c:v>0.11616126557759388</c:v>
                </c:pt>
                <c:pt idx="10">
                  <c:v>0.11616126557759388</c:v>
                </c:pt>
                <c:pt idx="11">
                  <c:v>0.11616126557759388</c:v>
                </c:pt>
                <c:pt idx="12">
                  <c:v>0.11616126557759388</c:v>
                </c:pt>
                <c:pt idx="13">
                  <c:v>0.11616126557759388</c:v>
                </c:pt>
                <c:pt idx="14">
                  <c:v>0.11616126557759388</c:v>
                </c:pt>
                <c:pt idx="15">
                  <c:v>0.11616126557759388</c:v>
                </c:pt>
                <c:pt idx="16">
                  <c:v>0.11616126557759388</c:v>
                </c:pt>
                <c:pt idx="17">
                  <c:v>0.11616126557759388</c:v>
                </c:pt>
                <c:pt idx="18">
                  <c:v>0.11616126557759388</c:v>
                </c:pt>
                <c:pt idx="19">
                  <c:v>0.11616126557759388</c:v>
                </c:pt>
                <c:pt idx="20">
                  <c:v>0.11616126557759388</c:v>
                </c:pt>
                <c:pt idx="21">
                  <c:v>0.11616126557759388</c:v>
                </c:pt>
                <c:pt idx="22">
                  <c:v>0.11616126557759388</c:v>
                </c:pt>
                <c:pt idx="23">
                  <c:v>0.11616126557759388</c:v>
                </c:pt>
                <c:pt idx="24">
                  <c:v>0.11616126557759388</c:v>
                </c:pt>
                <c:pt idx="25">
                  <c:v>0.11616126557759388</c:v>
                </c:pt>
                <c:pt idx="26">
                  <c:v>0.11616126557759388</c:v>
                </c:pt>
                <c:pt idx="27">
                  <c:v>0.11616126557759388</c:v>
                </c:pt>
                <c:pt idx="28">
                  <c:v>0.11616126557759388</c:v>
                </c:pt>
                <c:pt idx="29">
                  <c:v>0.11616126557759388</c:v>
                </c:pt>
                <c:pt idx="30">
                  <c:v>0.11616126557759388</c:v>
                </c:pt>
                <c:pt idx="31">
                  <c:v>0.11616126557759388</c:v>
                </c:pt>
                <c:pt idx="32">
                  <c:v>0.11616126557759388</c:v>
                </c:pt>
                <c:pt idx="33">
                  <c:v>0.11616126557759388</c:v>
                </c:pt>
                <c:pt idx="34">
                  <c:v>0.11616126557759388</c:v>
                </c:pt>
                <c:pt idx="35">
                  <c:v>0.11616126557759388</c:v>
                </c:pt>
                <c:pt idx="36">
                  <c:v>0.11616126557759388</c:v>
                </c:pt>
                <c:pt idx="37">
                  <c:v>0.11616126557759388</c:v>
                </c:pt>
                <c:pt idx="38">
                  <c:v>0.11616126557759388</c:v>
                </c:pt>
                <c:pt idx="39">
                  <c:v>0.11616126557759388</c:v>
                </c:pt>
                <c:pt idx="40">
                  <c:v>0.11616126557759388</c:v>
                </c:pt>
                <c:pt idx="41">
                  <c:v>0.11616126557759388</c:v>
                </c:pt>
                <c:pt idx="42">
                  <c:v>0.11616126557759388</c:v>
                </c:pt>
                <c:pt idx="43">
                  <c:v>0.11616126557759388</c:v>
                </c:pt>
                <c:pt idx="44">
                  <c:v>0.11616126557759388</c:v>
                </c:pt>
                <c:pt idx="45">
                  <c:v>0.11616126557759388</c:v>
                </c:pt>
                <c:pt idx="46">
                  <c:v>0.11616126557759388</c:v>
                </c:pt>
                <c:pt idx="47">
                  <c:v>0.11616126557759388</c:v>
                </c:pt>
                <c:pt idx="48">
                  <c:v>0.11616126557759388</c:v>
                </c:pt>
                <c:pt idx="49">
                  <c:v>0.11616126557759388</c:v>
                </c:pt>
                <c:pt idx="50">
                  <c:v>0.11616126557759388</c:v>
                </c:pt>
                <c:pt idx="51">
                  <c:v>0.11616126557759388</c:v>
                </c:pt>
                <c:pt idx="52">
                  <c:v>0.11616126557759388</c:v>
                </c:pt>
                <c:pt idx="53">
                  <c:v>0.11616126557759388</c:v>
                </c:pt>
                <c:pt idx="54">
                  <c:v>0.11616126557759388</c:v>
                </c:pt>
                <c:pt idx="55">
                  <c:v>0.11616126557759388</c:v>
                </c:pt>
                <c:pt idx="56">
                  <c:v>0.11616126557759388</c:v>
                </c:pt>
                <c:pt idx="57">
                  <c:v>0.11616126557759388</c:v>
                </c:pt>
                <c:pt idx="58">
                  <c:v>0.11616126557759388</c:v>
                </c:pt>
                <c:pt idx="59">
                  <c:v>0.11616126557759388</c:v>
                </c:pt>
                <c:pt idx="60">
                  <c:v>0.11616126557759388</c:v>
                </c:pt>
                <c:pt idx="61">
                  <c:v>0.11616126557759388</c:v>
                </c:pt>
                <c:pt idx="62">
                  <c:v>0.11616126557759388</c:v>
                </c:pt>
                <c:pt idx="63">
                  <c:v>0.11616126557759388</c:v>
                </c:pt>
                <c:pt idx="64">
                  <c:v>0.11616126557759388</c:v>
                </c:pt>
                <c:pt idx="65">
                  <c:v>0.11616126557759388</c:v>
                </c:pt>
                <c:pt idx="66">
                  <c:v>0.11616126557759388</c:v>
                </c:pt>
                <c:pt idx="67">
                  <c:v>0.11616126557759388</c:v>
                </c:pt>
                <c:pt idx="68">
                  <c:v>0.11616126557759388</c:v>
                </c:pt>
                <c:pt idx="69">
                  <c:v>0.11616126557759388</c:v>
                </c:pt>
                <c:pt idx="70">
                  <c:v>0.11616126557759388</c:v>
                </c:pt>
                <c:pt idx="71">
                  <c:v>0.11616126557759388</c:v>
                </c:pt>
                <c:pt idx="72">
                  <c:v>0.11616126557759388</c:v>
                </c:pt>
                <c:pt idx="73">
                  <c:v>0.11616126557759388</c:v>
                </c:pt>
                <c:pt idx="74">
                  <c:v>0.11616126557759388</c:v>
                </c:pt>
                <c:pt idx="75">
                  <c:v>0.11616126557759388</c:v>
                </c:pt>
                <c:pt idx="76">
                  <c:v>0.11616126557759388</c:v>
                </c:pt>
                <c:pt idx="77">
                  <c:v>0.11616126557759388</c:v>
                </c:pt>
                <c:pt idx="78">
                  <c:v>0.11616126557759388</c:v>
                </c:pt>
                <c:pt idx="79">
                  <c:v>0.11616126557759388</c:v>
                </c:pt>
                <c:pt idx="80">
                  <c:v>0.11616126557759388</c:v>
                </c:pt>
                <c:pt idx="81">
                  <c:v>0.11616126557759388</c:v>
                </c:pt>
                <c:pt idx="82">
                  <c:v>0.11616126557759388</c:v>
                </c:pt>
                <c:pt idx="83">
                  <c:v>0.11616126557759388</c:v>
                </c:pt>
                <c:pt idx="84">
                  <c:v>0.11616126557759388</c:v>
                </c:pt>
                <c:pt idx="85">
                  <c:v>0.11616126557759388</c:v>
                </c:pt>
                <c:pt idx="86">
                  <c:v>0.11616126557759388</c:v>
                </c:pt>
                <c:pt idx="87">
                  <c:v>0.11616126557759388</c:v>
                </c:pt>
                <c:pt idx="88">
                  <c:v>0.11616126557759388</c:v>
                </c:pt>
                <c:pt idx="89">
                  <c:v>0.11616126557759388</c:v>
                </c:pt>
                <c:pt idx="90">
                  <c:v>0.11616126557759388</c:v>
                </c:pt>
                <c:pt idx="91">
                  <c:v>0.11616126557759388</c:v>
                </c:pt>
                <c:pt idx="92">
                  <c:v>0.11616126557759388</c:v>
                </c:pt>
                <c:pt idx="93">
                  <c:v>0.11616126557759388</c:v>
                </c:pt>
                <c:pt idx="94">
                  <c:v>0.11616126557759388</c:v>
                </c:pt>
                <c:pt idx="95">
                  <c:v>0.11616126557759388</c:v>
                </c:pt>
                <c:pt idx="96">
                  <c:v>0.11616126557759388</c:v>
                </c:pt>
                <c:pt idx="97">
                  <c:v>0.11616126557759388</c:v>
                </c:pt>
                <c:pt idx="98">
                  <c:v>0.11616126557759388</c:v>
                </c:pt>
                <c:pt idx="99">
                  <c:v>0.11616126557759388</c:v>
                </c:pt>
                <c:pt idx="100">
                  <c:v>0.11616126557759388</c:v>
                </c:pt>
                <c:pt idx="101">
                  <c:v>0.11616126557759388</c:v>
                </c:pt>
                <c:pt idx="102">
                  <c:v>0.11616126557759388</c:v>
                </c:pt>
                <c:pt idx="103">
                  <c:v>0.11616126557759388</c:v>
                </c:pt>
                <c:pt idx="104">
                  <c:v>0.11616126557759388</c:v>
                </c:pt>
                <c:pt idx="105">
                  <c:v>0.11616126557759388</c:v>
                </c:pt>
                <c:pt idx="106">
                  <c:v>0.11616126557759388</c:v>
                </c:pt>
                <c:pt idx="107">
                  <c:v>0.11616126557759388</c:v>
                </c:pt>
                <c:pt idx="108">
                  <c:v>0.11616126557759388</c:v>
                </c:pt>
                <c:pt idx="109">
                  <c:v>0.11616126557759388</c:v>
                </c:pt>
                <c:pt idx="110">
                  <c:v>0.11616126557759388</c:v>
                </c:pt>
                <c:pt idx="111">
                  <c:v>0.11616126557759388</c:v>
                </c:pt>
                <c:pt idx="112">
                  <c:v>0.11616126557759388</c:v>
                </c:pt>
                <c:pt idx="113">
                  <c:v>0.11616126557759388</c:v>
                </c:pt>
                <c:pt idx="114">
                  <c:v>0.11616126557759388</c:v>
                </c:pt>
                <c:pt idx="115">
                  <c:v>0.11616126557759388</c:v>
                </c:pt>
                <c:pt idx="116">
                  <c:v>0.11616126557759388</c:v>
                </c:pt>
                <c:pt idx="117">
                  <c:v>0.11616126557759388</c:v>
                </c:pt>
                <c:pt idx="118">
                  <c:v>0.11616126557759388</c:v>
                </c:pt>
                <c:pt idx="119">
                  <c:v>0.11616126557759388</c:v>
                </c:pt>
                <c:pt idx="120">
                  <c:v>0.11616126557759388</c:v>
                </c:pt>
                <c:pt idx="121">
                  <c:v>0.11616126557759388</c:v>
                </c:pt>
                <c:pt idx="122">
                  <c:v>0.11616126557759388</c:v>
                </c:pt>
                <c:pt idx="123">
                  <c:v>0.11616126557759388</c:v>
                </c:pt>
                <c:pt idx="124">
                  <c:v>0.11616126557759388</c:v>
                </c:pt>
                <c:pt idx="125">
                  <c:v>0.11616126557759388</c:v>
                </c:pt>
                <c:pt idx="126">
                  <c:v>0.11616126557759388</c:v>
                </c:pt>
                <c:pt idx="127">
                  <c:v>0.11616126557759388</c:v>
                </c:pt>
                <c:pt idx="128">
                  <c:v>0.11616126557759388</c:v>
                </c:pt>
                <c:pt idx="129">
                  <c:v>0.11616126557759388</c:v>
                </c:pt>
                <c:pt idx="130">
                  <c:v>0.11616126557759388</c:v>
                </c:pt>
                <c:pt idx="131">
                  <c:v>0.11616126557759388</c:v>
                </c:pt>
                <c:pt idx="132">
                  <c:v>0.11616126557759388</c:v>
                </c:pt>
                <c:pt idx="133">
                  <c:v>0.11616126557759388</c:v>
                </c:pt>
                <c:pt idx="134">
                  <c:v>0.11616126557759388</c:v>
                </c:pt>
                <c:pt idx="135">
                  <c:v>0.11616126557759388</c:v>
                </c:pt>
                <c:pt idx="136">
                  <c:v>0.11616126557759388</c:v>
                </c:pt>
                <c:pt idx="137">
                  <c:v>0.11616126557759388</c:v>
                </c:pt>
                <c:pt idx="138">
                  <c:v>0.11616126557759388</c:v>
                </c:pt>
                <c:pt idx="139">
                  <c:v>0.11616126557759388</c:v>
                </c:pt>
                <c:pt idx="140">
                  <c:v>0.11616126557759388</c:v>
                </c:pt>
                <c:pt idx="141">
                  <c:v>0.11616126557759388</c:v>
                </c:pt>
                <c:pt idx="142">
                  <c:v>0.11616126557759388</c:v>
                </c:pt>
                <c:pt idx="143">
                  <c:v>0.11616126557759388</c:v>
                </c:pt>
                <c:pt idx="144">
                  <c:v>0.11616126557759388</c:v>
                </c:pt>
                <c:pt idx="145">
                  <c:v>0.11616126557759388</c:v>
                </c:pt>
                <c:pt idx="146">
                  <c:v>0.11616126557759388</c:v>
                </c:pt>
                <c:pt idx="147">
                  <c:v>0.11616126557759388</c:v>
                </c:pt>
                <c:pt idx="148">
                  <c:v>0.11616126557759388</c:v>
                </c:pt>
                <c:pt idx="149">
                  <c:v>0.11616126557759388</c:v>
                </c:pt>
                <c:pt idx="150">
                  <c:v>0.11616126557759388</c:v>
                </c:pt>
                <c:pt idx="151">
                  <c:v>0.11616126557759388</c:v>
                </c:pt>
                <c:pt idx="152">
                  <c:v>0.11616126557759388</c:v>
                </c:pt>
                <c:pt idx="153">
                  <c:v>0.11616126557759388</c:v>
                </c:pt>
                <c:pt idx="154">
                  <c:v>0.11616126557759388</c:v>
                </c:pt>
                <c:pt idx="155">
                  <c:v>0.11616126557759388</c:v>
                </c:pt>
                <c:pt idx="156">
                  <c:v>0.11616126557759388</c:v>
                </c:pt>
                <c:pt idx="157">
                  <c:v>0.11616126557759388</c:v>
                </c:pt>
                <c:pt idx="158">
                  <c:v>0.11616126557759388</c:v>
                </c:pt>
                <c:pt idx="159">
                  <c:v>0.11616126557759388</c:v>
                </c:pt>
                <c:pt idx="160">
                  <c:v>0.11616126557759388</c:v>
                </c:pt>
                <c:pt idx="161">
                  <c:v>0.11616126557759388</c:v>
                </c:pt>
                <c:pt idx="162">
                  <c:v>0.11616126557759388</c:v>
                </c:pt>
                <c:pt idx="163">
                  <c:v>0.11616126557759388</c:v>
                </c:pt>
                <c:pt idx="164">
                  <c:v>0.11616126557759388</c:v>
                </c:pt>
                <c:pt idx="165">
                  <c:v>0.11616126557759388</c:v>
                </c:pt>
                <c:pt idx="166">
                  <c:v>0.11616126557759388</c:v>
                </c:pt>
                <c:pt idx="167">
                  <c:v>0.11616126557759388</c:v>
                </c:pt>
                <c:pt idx="168">
                  <c:v>0.11616126557759388</c:v>
                </c:pt>
                <c:pt idx="169">
                  <c:v>0.11616126557759388</c:v>
                </c:pt>
                <c:pt idx="170">
                  <c:v>0.11616126557759388</c:v>
                </c:pt>
                <c:pt idx="171">
                  <c:v>0.11616126557759388</c:v>
                </c:pt>
                <c:pt idx="172">
                  <c:v>0.11616126557759388</c:v>
                </c:pt>
                <c:pt idx="173">
                  <c:v>0.11616126557759388</c:v>
                </c:pt>
                <c:pt idx="174">
                  <c:v>0.11616126557759388</c:v>
                </c:pt>
                <c:pt idx="175">
                  <c:v>0.11616126557759388</c:v>
                </c:pt>
                <c:pt idx="176">
                  <c:v>0.11616126557759388</c:v>
                </c:pt>
                <c:pt idx="177">
                  <c:v>0.11616126557759388</c:v>
                </c:pt>
                <c:pt idx="178">
                  <c:v>0.11616126557759388</c:v>
                </c:pt>
                <c:pt idx="179">
                  <c:v>0.11616126557759388</c:v>
                </c:pt>
                <c:pt idx="180">
                  <c:v>0.11616126557759388</c:v>
                </c:pt>
                <c:pt idx="181">
                  <c:v>0.11616126557759388</c:v>
                </c:pt>
                <c:pt idx="182">
                  <c:v>0.11616126557759388</c:v>
                </c:pt>
                <c:pt idx="183">
                  <c:v>0.11616126557759388</c:v>
                </c:pt>
                <c:pt idx="184">
                  <c:v>0.11616126557759388</c:v>
                </c:pt>
                <c:pt idx="185">
                  <c:v>0.11616126557759388</c:v>
                </c:pt>
                <c:pt idx="186">
                  <c:v>0.11616126557759388</c:v>
                </c:pt>
                <c:pt idx="187">
                  <c:v>0.11616126557759388</c:v>
                </c:pt>
                <c:pt idx="188">
                  <c:v>0.11616126557759388</c:v>
                </c:pt>
                <c:pt idx="189">
                  <c:v>0.11616126557759388</c:v>
                </c:pt>
                <c:pt idx="190">
                  <c:v>0.11616126557759388</c:v>
                </c:pt>
                <c:pt idx="191">
                  <c:v>0.11616126557759388</c:v>
                </c:pt>
                <c:pt idx="192">
                  <c:v>0.11616126557759388</c:v>
                </c:pt>
                <c:pt idx="193">
                  <c:v>0.11616126557759388</c:v>
                </c:pt>
                <c:pt idx="194">
                  <c:v>0.11616126557759388</c:v>
                </c:pt>
                <c:pt idx="195">
                  <c:v>0.11616126557759388</c:v>
                </c:pt>
                <c:pt idx="196">
                  <c:v>0.11616126557759388</c:v>
                </c:pt>
                <c:pt idx="197">
                  <c:v>0.11616126557759388</c:v>
                </c:pt>
                <c:pt idx="198">
                  <c:v>0.11616126557759388</c:v>
                </c:pt>
                <c:pt idx="199">
                  <c:v>0.11616126557759388</c:v>
                </c:pt>
                <c:pt idx="200">
                  <c:v>0.11616126557759388</c:v>
                </c:pt>
                <c:pt idx="201">
                  <c:v>0.11616126557759388</c:v>
                </c:pt>
                <c:pt idx="202">
                  <c:v>0.11616126557759388</c:v>
                </c:pt>
                <c:pt idx="203">
                  <c:v>0.11616126557759388</c:v>
                </c:pt>
                <c:pt idx="204">
                  <c:v>0.11616126557759388</c:v>
                </c:pt>
                <c:pt idx="205">
                  <c:v>0.11616126557759388</c:v>
                </c:pt>
                <c:pt idx="206">
                  <c:v>0.11616126557759388</c:v>
                </c:pt>
                <c:pt idx="207">
                  <c:v>0.11616126557759388</c:v>
                </c:pt>
                <c:pt idx="208">
                  <c:v>0.11616126557759388</c:v>
                </c:pt>
                <c:pt idx="209">
                  <c:v>0.11616126557759388</c:v>
                </c:pt>
                <c:pt idx="210">
                  <c:v>0.11616126557759388</c:v>
                </c:pt>
                <c:pt idx="211">
                  <c:v>0.11616126557759388</c:v>
                </c:pt>
                <c:pt idx="212">
                  <c:v>0.11616126557759388</c:v>
                </c:pt>
                <c:pt idx="213">
                  <c:v>0.11616126557759388</c:v>
                </c:pt>
                <c:pt idx="214">
                  <c:v>0.11616126557759388</c:v>
                </c:pt>
                <c:pt idx="215">
                  <c:v>0.11616126557759388</c:v>
                </c:pt>
                <c:pt idx="216">
                  <c:v>0.11616126557759388</c:v>
                </c:pt>
                <c:pt idx="217">
                  <c:v>0.11616126557759388</c:v>
                </c:pt>
                <c:pt idx="218">
                  <c:v>0.11616126557759388</c:v>
                </c:pt>
                <c:pt idx="219">
                  <c:v>0.11616126557759388</c:v>
                </c:pt>
              </c:numCache>
            </c:numRef>
          </c:yVal>
          <c:smooth val="0"/>
          <c:extLst>
            <c:ext xmlns:c16="http://schemas.microsoft.com/office/drawing/2014/chart" uri="{C3380CC4-5D6E-409C-BE32-E72D297353CC}">
              <c16:uniqueId val="{00000002-6732-416A-9F66-648E3D5037DF}"/>
            </c:ext>
          </c:extLst>
        </c:ser>
        <c:dLbls>
          <c:showLegendKey val="0"/>
          <c:showVal val="0"/>
          <c:showCatName val="0"/>
          <c:showSerName val="0"/>
          <c:showPercent val="0"/>
          <c:showBubbleSize val="0"/>
        </c:dLbls>
        <c:axId val="296140975"/>
        <c:axId val="296141391"/>
      </c:scatterChart>
      <c:valAx>
        <c:axId val="296140975"/>
        <c:scaling>
          <c:orientation val="minMax"/>
          <c:max val="220"/>
        </c:scaling>
        <c:delete val="0"/>
        <c:axPos val="b"/>
        <c:majorTickMark val="out"/>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1391"/>
        <c:crosses val="autoZero"/>
        <c:crossBetween val="midCat"/>
        <c:majorUnit val="20"/>
        <c:minorUnit val="10"/>
      </c:valAx>
      <c:valAx>
        <c:axId val="296141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FY25% Bill Change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614097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39</xdr:row>
      <xdr:rowOff>142874</xdr:rowOff>
    </xdr:from>
    <xdr:to>
      <xdr:col>13</xdr:col>
      <xdr:colOff>590550</xdr:colOff>
      <xdr:row>63</xdr:row>
      <xdr:rowOff>133349</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xdr:colOff>
      <xdr:row>16</xdr:row>
      <xdr:rowOff>0</xdr:rowOff>
    </xdr:from>
    <xdr:to>
      <xdr:col>13</xdr:col>
      <xdr:colOff>561975</xdr:colOff>
      <xdr:row>37</xdr:row>
      <xdr:rowOff>9525</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25</xdr:row>
      <xdr:rowOff>0</xdr:rowOff>
    </xdr:from>
    <xdr:to>
      <xdr:col>6</xdr:col>
      <xdr:colOff>718765</xdr:colOff>
      <xdr:row>41</xdr:row>
      <xdr:rowOff>96073</xdr:rowOff>
    </xdr:to>
    <xdr:graphicFrame macro="">
      <xdr:nvGraphicFramePr>
        <xdr:cNvPr id="3" name="Chart 2">
          <a:extLst>
            <a:ext uri="{FF2B5EF4-FFF2-40B4-BE49-F238E27FC236}">
              <a16:creationId xmlns:a16="http://schemas.microsoft.com/office/drawing/2014/main" id="{3EE82D4F-A03C-4B60-9DD9-7026EBCA9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209549</xdr:colOff>
      <xdr:row>215</xdr:row>
      <xdr:rowOff>142875</xdr:rowOff>
    </xdr:from>
    <xdr:to>
      <xdr:col>6</xdr:col>
      <xdr:colOff>485775</xdr:colOff>
      <xdr:row>230</xdr:row>
      <xdr:rowOff>57151</xdr:rowOff>
    </xdr:to>
    <xdr:graphicFrame macro="">
      <xdr:nvGraphicFramePr>
        <xdr:cNvPr id="17" name="Chart 16">
          <a:extLst>
            <a:ext uri="{FF2B5EF4-FFF2-40B4-BE49-F238E27FC236}">
              <a16:creationId xmlns:a16="http://schemas.microsoft.com/office/drawing/2014/main" id="{1CC590FC-E1AA-41AE-8EE4-08AB5CF36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209549</xdr:colOff>
      <xdr:row>58</xdr:row>
      <xdr:rowOff>142875</xdr:rowOff>
    </xdr:from>
    <xdr:to>
      <xdr:col>6</xdr:col>
      <xdr:colOff>485775</xdr:colOff>
      <xdr:row>73</xdr:row>
      <xdr:rowOff>57151</xdr:rowOff>
    </xdr:to>
    <xdr:graphicFrame macro="">
      <xdr:nvGraphicFramePr>
        <xdr:cNvPr id="21" name="Chart 20">
          <a:extLst>
            <a:ext uri="{FF2B5EF4-FFF2-40B4-BE49-F238E27FC236}">
              <a16:creationId xmlns:a16="http://schemas.microsoft.com/office/drawing/2014/main" id="{38F4EA5A-BDE8-4B88-AC10-09DE4B85E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209549</xdr:colOff>
      <xdr:row>76</xdr:row>
      <xdr:rowOff>142875</xdr:rowOff>
    </xdr:from>
    <xdr:to>
      <xdr:col>6</xdr:col>
      <xdr:colOff>485775</xdr:colOff>
      <xdr:row>91</xdr:row>
      <xdr:rowOff>57151</xdr:rowOff>
    </xdr:to>
    <xdr:graphicFrame macro="">
      <xdr:nvGraphicFramePr>
        <xdr:cNvPr id="22" name="Chart 21">
          <a:extLst>
            <a:ext uri="{FF2B5EF4-FFF2-40B4-BE49-F238E27FC236}">
              <a16:creationId xmlns:a16="http://schemas.microsoft.com/office/drawing/2014/main" id="{01DB538D-1387-4630-88F0-2863DAB71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209549</xdr:colOff>
      <xdr:row>249</xdr:row>
      <xdr:rowOff>142875</xdr:rowOff>
    </xdr:from>
    <xdr:to>
      <xdr:col>6</xdr:col>
      <xdr:colOff>485775</xdr:colOff>
      <xdr:row>264</xdr:row>
      <xdr:rowOff>57151</xdr:rowOff>
    </xdr:to>
    <xdr:graphicFrame macro="">
      <xdr:nvGraphicFramePr>
        <xdr:cNvPr id="23" name="Chart 22">
          <a:extLst>
            <a:ext uri="{FF2B5EF4-FFF2-40B4-BE49-F238E27FC236}">
              <a16:creationId xmlns:a16="http://schemas.microsoft.com/office/drawing/2014/main" id="{E2C960D8-B35D-4536-B480-3937C8CB2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95</xdr:row>
      <xdr:rowOff>0</xdr:rowOff>
    </xdr:from>
    <xdr:to>
      <xdr:col>6</xdr:col>
      <xdr:colOff>347663</xdr:colOff>
      <xdr:row>111</xdr:row>
      <xdr:rowOff>76200</xdr:rowOff>
    </xdr:to>
    <xdr:graphicFrame macro="">
      <xdr:nvGraphicFramePr>
        <xdr:cNvPr id="25" name="Chart 24">
          <a:extLst>
            <a:ext uri="{FF2B5EF4-FFF2-40B4-BE49-F238E27FC236}">
              <a16:creationId xmlns:a16="http://schemas.microsoft.com/office/drawing/2014/main" id="{A84C6443-324D-4ADC-A81E-239B729A4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117</xdr:row>
      <xdr:rowOff>0</xdr:rowOff>
    </xdr:from>
    <xdr:to>
      <xdr:col>6</xdr:col>
      <xdr:colOff>347663</xdr:colOff>
      <xdr:row>133</xdr:row>
      <xdr:rowOff>76200</xdr:rowOff>
    </xdr:to>
    <xdr:graphicFrame macro="">
      <xdr:nvGraphicFramePr>
        <xdr:cNvPr id="26" name="Chart 25">
          <a:extLst>
            <a:ext uri="{FF2B5EF4-FFF2-40B4-BE49-F238E27FC236}">
              <a16:creationId xmlns:a16="http://schemas.microsoft.com/office/drawing/2014/main" id="{CDB2738B-B442-4C99-83A8-83C469A96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138</xdr:row>
      <xdr:rowOff>0</xdr:rowOff>
    </xdr:from>
    <xdr:to>
      <xdr:col>6</xdr:col>
      <xdr:colOff>347663</xdr:colOff>
      <xdr:row>154</xdr:row>
      <xdr:rowOff>76200</xdr:rowOff>
    </xdr:to>
    <xdr:graphicFrame macro="">
      <xdr:nvGraphicFramePr>
        <xdr:cNvPr id="27" name="Chart 26">
          <a:extLst>
            <a:ext uri="{FF2B5EF4-FFF2-40B4-BE49-F238E27FC236}">
              <a16:creationId xmlns:a16="http://schemas.microsoft.com/office/drawing/2014/main" id="{CFA5DCA7-6EAD-4165-8E00-FA392A35B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270</xdr:row>
      <xdr:rowOff>0</xdr:rowOff>
    </xdr:from>
    <xdr:to>
      <xdr:col>6</xdr:col>
      <xdr:colOff>347663</xdr:colOff>
      <xdr:row>286</xdr:row>
      <xdr:rowOff>76200</xdr:rowOff>
    </xdr:to>
    <xdr:graphicFrame macro="">
      <xdr:nvGraphicFramePr>
        <xdr:cNvPr id="28" name="Chart 27">
          <a:extLst>
            <a:ext uri="{FF2B5EF4-FFF2-40B4-BE49-F238E27FC236}">
              <a16:creationId xmlns:a16="http://schemas.microsoft.com/office/drawing/2014/main" id="{B8ED7D78-7343-4B93-8F92-16E49F9E3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484_PWC_Modelling_WACC/03.%20Working/Pricing/2020-21%20Pricing%20Proposal/ACS/Power%20and%20Water%20Corporation%20-%202020-21%20ACS%20Pricing%20Model%20-%2031%20March%202020%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Diagram"/>
      <sheetName val="Inputs_Prices"/>
      <sheetName val="Calculations_Price_Caps"/>
      <sheetName val="Output_Compliance"/>
      <sheetName val="Output_Pricing_Proposal"/>
      <sheetName val="Lookup"/>
      <sheetName val="Checks"/>
    </sheetNames>
    <sheetDataSet>
      <sheetData sheetId="0"/>
      <sheetData sheetId="1"/>
      <sheetData sheetId="2"/>
      <sheetData sheetId="3">
        <row r="29">
          <cell r="P29">
            <v>64.66</v>
          </cell>
        </row>
      </sheetData>
      <sheetData sheetId="4"/>
      <sheetData sheetId="5"/>
      <sheetData sheetId="6">
        <row r="17">
          <cell r="E17">
            <v>1.8404907975460238E-2</v>
          </cell>
        </row>
      </sheetData>
      <sheetData sheetId="7">
        <row r="102">
          <cell r="D102" t="str">
            <v>Disconnection (and final read)</v>
          </cell>
        </row>
        <row r="103">
          <cell r="D103" t="str">
            <v>Reconnection</v>
          </cell>
        </row>
        <row r="104">
          <cell r="D104" t="str">
            <v>Reconnection - after hours</v>
          </cell>
        </row>
        <row r="105">
          <cell r="D105" t="str">
            <v>Temporary disconnection and reconnection - physical dismantling</v>
          </cell>
        </row>
        <row r="106">
          <cell r="D106" t="str">
            <v>Provision of 3 phase service</v>
          </cell>
        </row>
        <row r="107">
          <cell r="D107" t="str">
            <v>Standard temporary builder’s connection</v>
          </cell>
        </row>
        <row r="108">
          <cell r="D108" t="str">
            <v>Temporary disconnection and reconnection - no dismantling</v>
          </cell>
        </row>
        <row r="109">
          <cell r="D109" t="str">
            <v>Complex disconnection</v>
          </cell>
        </row>
        <row r="110">
          <cell r="D110" t="str">
            <v>Wasted visit fee</v>
          </cell>
        </row>
        <row r="111">
          <cell r="D111" t="str">
            <v>Special meter test</v>
          </cell>
        </row>
        <row r="112">
          <cell r="D112" t="str">
            <v>Exchange or replace meter – three phase</v>
          </cell>
        </row>
        <row r="113">
          <cell r="D113" t="str">
            <v>Exchange or replace meter - single phase</v>
          </cell>
        </row>
        <row r="114">
          <cell r="D114" t="str">
            <v>Relocation of meter</v>
          </cell>
        </row>
        <row r="115">
          <cell r="D115" t="str">
            <v>Remove meter</v>
          </cell>
        </row>
        <row r="116">
          <cell r="D116" t="str">
            <v>General meter inspection</v>
          </cell>
        </row>
        <row r="117">
          <cell r="D117" t="str">
            <v>Special meter read - no appointment</v>
          </cell>
        </row>
        <row r="118">
          <cell r="D118" t="str">
            <v>Special meter read - appointment</v>
          </cell>
        </row>
        <row r="119">
          <cell r="D119" t="str">
            <v>Class 3 PV Assessment</v>
          </cell>
        </row>
        <row r="120">
          <cell r="D120" t="str">
            <v>Meter program change</v>
          </cell>
        </row>
        <row r="121">
          <cell r="D121" t="str">
            <v>Historical data requests</v>
          </cell>
        </row>
        <row r="122">
          <cell r="D122" t="str">
            <v>Standing data requests</v>
          </cell>
        </row>
        <row r="123">
          <cell r="D123" t="str">
            <v>Customer transfers</v>
          </cell>
        </row>
        <row r="124">
          <cell r="D124" t="str">
            <v>Network tariff change request</v>
          </cell>
        </row>
        <row r="125">
          <cell r="D125" t="str">
            <v>Prepayment Vending Charge</v>
          </cell>
        </row>
        <row r="126">
          <cell r="D126" t="str">
            <v>Prepayment Meter Support Charge</v>
          </cell>
        </row>
        <row r="127">
          <cell r="D127" t="str">
            <v xml:space="preserve">Installation of Minor Apparatus </v>
          </cell>
        </row>
        <row r="128">
          <cell r="D128" t="str">
            <v>Class 1 &amp; 2 PV service</v>
          </cell>
        </row>
        <row r="133">
          <cell r="D133" t="str">
            <v>Design related services</v>
          </cell>
        </row>
        <row r="134">
          <cell r="D134" t="str">
            <v>Connection applications</v>
          </cell>
        </row>
        <row r="135">
          <cell r="D135" t="str">
            <v>Access permits, oversights and facilitation</v>
          </cell>
        </row>
        <row r="136">
          <cell r="D136" t="str">
            <v>Notices of arrangement and completion notices</v>
          </cell>
        </row>
        <row r="137">
          <cell r="D137" t="str">
            <v>Network related property services</v>
          </cell>
        </row>
        <row r="138">
          <cell r="D138" t="str">
            <v>Site establishment services</v>
          </cell>
        </row>
        <row r="139">
          <cell r="D139" t="str">
            <v>Network safety services</v>
          </cell>
        </row>
        <row r="140">
          <cell r="D140" t="str">
            <v>Network tariff change request</v>
          </cell>
        </row>
        <row r="141">
          <cell r="D141" t="str">
            <v>Planned interruption - customer request</v>
          </cell>
        </row>
        <row r="142">
          <cell r="D142" t="str">
            <v>Performance of a statutory right (access prevented)</v>
          </cell>
        </row>
        <row r="143">
          <cell r="D143" t="str">
            <v>Provision of network related training to third parties</v>
          </cell>
        </row>
        <row r="144">
          <cell r="D144" t="str">
            <v>Non-standard reporting services</v>
          </cell>
        </row>
        <row r="145">
          <cell r="D145" t="str">
            <v xml:space="preserve">Services provided for retailer of last resort event </v>
          </cell>
        </row>
        <row r="146">
          <cell r="D146" t="str">
            <v>Rectification of illegal connections service</v>
          </cell>
        </row>
        <row r="147">
          <cell r="D147" t="str">
            <v>Network changes at customer or retailer's request</v>
          </cell>
        </row>
        <row r="148">
          <cell r="D148" t="str">
            <v>Annual prepayment meter licensing fee *</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2"/>
  <sheetViews>
    <sheetView showGridLines="0" tabSelected="1" zoomScaleNormal="100" workbookViewId="0"/>
  </sheetViews>
  <sheetFormatPr defaultColWidth="9.33203125" defaultRowHeight="10.15" x14ac:dyDescent="0.3"/>
  <cols>
    <col min="2" max="3" width="5.83203125" customWidth="1"/>
    <col min="4" max="4" width="12.83203125" customWidth="1"/>
    <col min="6" max="13" width="10.83203125" customWidth="1"/>
  </cols>
  <sheetData>
    <row r="1" spans="2:6" ht="11.25" customHeight="1" x14ac:dyDescent="0.3"/>
    <row r="2" spans="2:6" ht="11.25" customHeight="1" x14ac:dyDescent="0.3"/>
    <row r="3" spans="2:6" ht="18.75" x14ac:dyDescent="0.3">
      <c r="B3" s="3" t="s">
        <v>121</v>
      </c>
    </row>
    <row r="4" spans="2:6" ht="11.25" customHeight="1" x14ac:dyDescent="0.3"/>
    <row r="5" spans="2:6" ht="11.25" customHeight="1" x14ac:dyDescent="0.3"/>
    <row r="6" spans="2:6" ht="11.25" customHeight="1" x14ac:dyDescent="0.3"/>
    <row r="7" spans="2:6" ht="11.25" customHeight="1" x14ac:dyDescent="0.3"/>
    <row r="8" spans="2:6" ht="11.25" customHeight="1" x14ac:dyDescent="0.3"/>
    <row r="11" spans="2:6" ht="13.15" x14ac:dyDescent="0.3">
      <c r="C11" s="39" t="s">
        <v>18</v>
      </c>
      <c r="F11" s="79" t="s">
        <v>120</v>
      </c>
    </row>
    <row r="13" spans="2:6" ht="13.15" x14ac:dyDescent="0.3">
      <c r="C13" s="9" t="s">
        <v>19</v>
      </c>
    </row>
    <row r="14" spans="2:6" ht="12.75" x14ac:dyDescent="0.3">
      <c r="C14" s="11" t="s">
        <v>215</v>
      </c>
    </row>
    <row r="16" spans="2:6" ht="13.15" x14ac:dyDescent="0.3">
      <c r="C16" s="9" t="s">
        <v>23</v>
      </c>
    </row>
    <row r="18" spans="3:24" x14ac:dyDescent="0.3">
      <c r="C18" s="25"/>
      <c r="D18" s="26"/>
      <c r="E18" s="26"/>
      <c r="F18" s="26"/>
      <c r="G18" s="26"/>
      <c r="H18" s="26"/>
      <c r="I18" s="26"/>
      <c r="J18" s="26"/>
      <c r="K18" s="26"/>
      <c r="L18" s="26"/>
      <c r="M18" s="27"/>
    </row>
    <row r="19" spans="3:24" ht="12.75" x14ac:dyDescent="0.3">
      <c r="C19" s="28"/>
      <c r="D19" s="38" t="s">
        <v>8</v>
      </c>
      <c r="F19" s="30" t="s">
        <v>15</v>
      </c>
      <c r="M19" s="29"/>
    </row>
    <row r="20" spans="3:24" ht="13.15" x14ac:dyDescent="0.3">
      <c r="C20" s="28"/>
      <c r="D20" s="31" t="s">
        <v>10</v>
      </c>
      <c r="F20" s="30" t="s">
        <v>12</v>
      </c>
      <c r="M20" s="29"/>
    </row>
    <row r="21" spans="3:24" ht="13.15" x14ac:dyDescent="0.3">
      <c r="C21" s="28"/>
      <c r="D21" s="32" t="s">
        <v>11</v>
      </c>
      <c r="F21" s="30" t="s">
        <v>13</v>
      </c>
      <c r="M21" s="29"/>
    </row>
    <row r="22" spans="3:24" ht="12.75" x14ac:dyDescent="0.3">
      <c r="C22" s="28"/>
      <c r="D22" s="33" t="s">
        <v>3</v>
      </c>
      <c r="F22" s="30" t="s">
        <v>16</v>
      </c>
      <c r="M22" s="29"/>
    </row>
    <row r="23" spans="3:24" ht="12.75" x14ac:dyDescent="0.3">
      <c r="C23" s="28"/>
      <c r="D23" s="34" t="s">
        <v>14</v>
      </c>
      <c r="F23" s="30" t="s">
        <v>17</v>
      </c>
      <c r="M23" s="29"/>
    </row>
    <row r="24" spans="3:24" ht="12.75" x14ac:dyDescent="0.3">
      <c r="C24" s="28"/>
      <c r="D24" s="44"/>
      <c r="F24" s="30" t="s">
        <v>24</v>
      </c>
      <c r="M24" s="29"/>
    </row>
    <row r="25" spans="3:24" ht="12.75" x14ac:dyDescent="0.3">
      <c r="C25" s="28"/>
      <c r="D25" s="43" t="s">
        <v>29</v>
      </c>
      <c r="F25" s="30" t="s">
        <v>25</v>
      </c>
      <c r="M25" s="29"/>
    </row>
    <row r="26" spans="3:24" ht="12.75" x14ac:dyDescent="0.3">
      <c r="C26" s="28"/>
      <c r="D26" s="59">
        <v>1</v>
      </c>
      <c r="F26" s="30" t="s">
        <v>26</v>
      </c>
      <c r="M26" s="29"/>
    </row>
    <row r="27" spans="3:24" ht="12.75" x14ac:dyDescent="0.3">
      <c r="C27" s="28"/>
      <c r="D27" s="59">
        <v>0</v>
      </c>
      <c r="F27" s="30" t="s">
        <v>27</v>
      </c>
      <c r="M27" s="29"/>
    </row>
    <row r="28" spans="3:24" ht="12.75" x14ac:dyDescent="0.3">
      <c r="C28" s="28"/>
      <c r="D28" s="45"/>
      <c r="F28" s="30" t="s">
        <v>28</v>
      </c>
      <c r="M28" s="29"/>
    </row>
    <row r="29" spans="3:24" x14ac:dyDescent="0.3">
      <c r="C29" s="35"/>
      <c r="D29" s="36"/>
      <c r="E29" s="36"/>
      <c r="F29" s="36"/>
      <c r="G29" s="36"/>
      <c r="H29" s="36"/>
      <c r="I29" s="36"/>
      <c r="J29" s="36"/>
      <c r="K29" s="36"/>
      <c r="L29" s="36"/>
      <c r="M29" s="37"/>
    </row>
    <row r="31" spans="3:24" ht="13.15" x14ac:dyDescent="0.3">
      <c r="C31" s="9" t="s">
        <v>58</v>
      </c>
      <c r="D31" s="41"/>
    </row>
    <row r="32" spans="3:24" ht="84" customHeight="1" x14ac:dyDescent="0.3">
      <c r="C32" s="272" t="s">
        <v>59</v>
      </c>
      <c r="D32" s="272"/>
      <c r="E32" s="272"/>
      <c r="F32" s="272"/>
      <c r="G32" s="272"/>
      <c r="H32" s="272"/>
      <c r="I32" s="272"/>
      <c r="J32" s="272"/>
      <c r="K32" s="272"/>
      <c r="L32" s="272"/>
      <c r="M32" s="272"/>
      <c r="N32" s="272"/>
      <c r="O32" s="272"/>
      <c r="P32" s="272"/>
      <c r="Q32" s="272"/>
      <c r="R32" s="272"/>
      <c r="S32" s="272"/>
      <c r="T32" s="272"/>
      <c r="U32" s="272"/>
      <c r="V32" s="272"/>
      <c r="W32" s="272"/>
      <c r="X32" s="272"/>
    </row>
  </sheetData>
  <mergeCells count="1">
    <mergeCell ref="C32:X32"/>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7"/>
  <sheetViews>
    <sheetView showGridLines="0" zoomScaleNormal="100" workbookViewId="0"/>
  </sheetViews>
  <sheetFormatPr defaultColWidth="0" defaultRowHeight="10.15" x14ac:dyDescent="0.3"/>
  <cols>
    <col min="1" max="3" width="2.83203125" customWidth="1"/>
    <col min="4" max="4" width="45.83203125" customWidth="1"/>
    <col min="5" max="6" width="10.83203125" customWidth="1"/>
    <col min="7" max="15" width="10.83203125" hidden="1" customWidth="1"/>
    <col min="16" max="16384" width="9.33203125" hidden="1"/>
  </cols>
  <sheetData>
    <row r="1" spans="2:5" ht="18.75" x14ac:dyDescent="0.3">
      <c r="B1" s="3" t="s">
        <v>685</v>
      </c>
    </row>
    <row r="2" spans="2:5" x14ac:dyDescent="0.3">
      <c r="B2" s="13" t="str">
        <f ca="1">Title_Msg</f>
        <v>No Errors Found</v>
      </c>
    </row>
    <row r="3" spans="2:5" ht="12.75" x14ac:dyDescent="0.3">
      <c r="B3" s="46" t="s">
        <v>33</v>
      </c>
      <c r="C3" s="46"/>
      <c r="D3" s="46"/>
      <c r="E3" s="11"/>
    </row>
    <row r="4" spans="2:5" ht="13.15" x14ac:dyDescent="0.3">
      <c r="B4" s="40" t="str">
        <f>Model_Name</f>
        <v>Pricing Model - Power and Water Corporation</v>
      </c>
    </row>
    <row r="6" spans="2:5" s="2" customFormat="1" ht="15" x14ac:dyDescent="0.3">
      <c r="B6" s="2" t="str">
        <f>B1</f>
        <v>Table of contents</v>
      </c>
    </row>
    <row r="7" spans="2:5" ht="4.5" customHeight="1" x14ac:dyDescent="0.3"/>
    <row r="8" spans="2:5" s="8" customFormat="1" ht="13.9" x14ac:dyDescent="0.3">
      <c r="C8" s="8" t="s">
        <v>30</v>
      </c>
    </row>
    <row r="9" spans="2:5" ht="11.25" customHeight="1" x14ac:dyDescent="0.3"/>
    <row r="10" spans="2:5" ht="11.25" customHeight="1" x14ac:dyDescent="0.3">
      <c r="D10" s="46" t="str">
        <f>Inputs_Prices!$B$1</f>
        <v>Inputs - Prices</v>
      </c>
    </row>
    <row r="11" spans="2:5" ht="11.25" customHeight="1" x14ac:dyDescent="0.3">
      <c r="D11" s="46" t="str">
        <f>Inputs_Volumes!$B$1</f>
        <v>Inputs - Volumes</v>
      </c>
    </row>
    <row r="12" spans="2:5" ht="11.25" customHeight="1" x14ac:dyDescent="0.3">
      <c r="D12" s="46" t="str">
        <f>Inputs_LRMC!$B$1</f>
        <v>Inputs - LRMC</v>
      </c>
    </row>
    <row r="13" spans="2:5" ht="11.25" customHeight="1" x14ac:dyDescent="0.3">
      <c r="D13" s="46" t="str">
        <f>Inputs_FY23_FY24!$B$1</f>
        <v>Inputs - FY23 and FY24</v>
      </c>
    </row>
    <row r="14" spans="2:5" ht="11.25" customHeight="1" x14ac:dyDescent="0.3">
      <c r="D14" s="46" t="str">
        <f>Inputs_Other!$B$1</f>
        <v>Inputs - Other</v>
      </c>
    </row>
    <row r="15" spans="2:5" ht="11.25" customHeight="1" x14ac:dyDescent="0.3"/>
    <row r="16" spans="2:5" s="8" customFormat="1" ht="13.9" x14ac:dyDescent="0.3">
      <c r="C16" s="8" t="s">
        <v>7</v>
      </c>
    </row>
    <row r="18" spans="3:4" x14ac:dyDescent="0.3">
      <c r="D18" s="46" t="str">
        <f>Calc_Revenue!$B$1</f>
        <v>Calculation - Cost of supply - Revenue</v>
      </c>
    </row>
    <row r="19" spans="3:4" x14ac:dyDescent="0.3">
      <c r="D19" s="46" t="str">
        <f>Calc_A_SA_Cost!$B$1</f>
        <v>Calculation - Avoidable and stand-alone cost</v>
      </c>
    </row>
    <row r="20" spans="3:4" x14ac:dyDescent="0.3">
      <c r="D20" s="46" t="str">
        <f>Calc_LRMC!$B$1</f>
        <v>Calculation - Long run marginal cost (LRMC)</v>
      </c>
    </row>
    <row r="21" spans="3:4" x14ac:dyDescent="0.3">
      <c r="D21" s="46" t="str">
        <f>Calc_LRMC_Tariff!$B$1</f>
        <v>Calculation - LRMC by tariff</v>
      </c>
    </row>
    <row r="22" spans="3:4" x14ac:dyDescent="0.3">
      <c r="D22" s="46" t="str">
        <f>Calc_Residual_Tariff!$B$1</f>
        <v>Calculation - Residual cost</v>
      </c>
    </row>
    <row r="24" spans="3:4" s="8" customFormat="1" ht="13.9" x14ac:dyDescent="0.3">
      <c r="C24" s="8" t="s">
        <v>31</v>
      </c>
    </row>
    <row r="26" spans="3:4" x14ac:dyDescent="0.3">
      <c r="D26" s="46" t="str">
        <f>Output_Revenue!$B$1</f>
        <v>Output - Forecast revenue</v>
      </c>
    </row>
    <row r="27" spans="3:4" x14ac:dyDescent="0.3">
      <c r="D27" s="46" t="str">
        <f>Output_AER_Compliance!$B$1</f>
        <v>Output - AER compliance</v>
      </c>
    </row>
    <row r="28" spans="3:4" x14ac:dyDescent="0.3">
      <c r="D28" s="46" t="str">
        <f>Output_Charts!$B$1</f>
        <v>Output - Charts</v>
      </c>
    </row>
    <row r="29" spans="3:4" x14ac:dyDescent="0.3">
      <c r="D29" s="46" t="str">
        <f>Output_Pricing_Proposal!B1</f>
        <v>Output - Pricing components of Regulatory Proposal</v>
      </c>
    </row>
    <row r="30" spans="3:4" x14ac:dyDescent="0.3">
      <c r="D30" s="46" t="str">
        <f>Output_RIN!$B$1</f>
        <v>Output - Reset RIN</v>
      </c>
    </row>
    <row r="32" spans="3:4" s="8" customFormat="1" ht="13.9" x14ac:dyDescent="0.3">
      <c r="C32" s="8" t="s">
        <v>32</v>
      </c>
    </row>
    <row r="34" spans="2:4" x14ac:dyDescent="0.3">
      <c r="D34" s="46" t="str">
        <f>Lookup!B1</f>
        <v>Model lookups</v>
      </c>
    </row>
    <row r="35" spans="2:4" x14ac:dyDescent="0.3">
      <c r="D35" s="46" t="str">
        <f>Checks!B1</f>
        <v>Checks</v>
      </c>
    </row>
    <row r="37" spans="2:4" s="2" customFormat="1" ht="15" x14ac:dyDescent="0.3">
      <c r="B37" s="2" t="s">
        <v>20</v>
      </c>
    </row>
  </sheetData>
  <conditionalFormatting sqref="B2">
    <cfRule type="cellIs" dxfId="35" priority="1" operator="notEqual">
      <formula>"No Errors Found"</formula>
    </cfRule>
  </conditionalFormatting>
  <hyperlinks>
    <hyperlink ref="D34" location="Lookup!A1" display="Lookup!A1" xr:uid="{00000000-0004-0000-0100-000000000000}"/>
    <hyperlink ref="D35" location="Checks!A1" display="Checks!A1" xr:uid="{00000000-0004-0000-0100-000001000000}"/>
    <hyperlink ref="B3:D3" location="Cover!A1" display="Go to Cover Sheet" xr:uid="{00000000-0004-0000-0100-000002000000}"/>
    <hyperlink ref="D10" location="Inputs_Prices!A1" display="Inputs_Prices!A1" xr:uid="{00000000-0004-0000-0100-000003000000}"/>
    <hyperlink ref="D11" location="Inputs_Volumes!A1" display="Inputs_Volumes!A1" xr:uid="{00000000-0004-0000-0100-000004000000}"/>
    <hyperlink ref="D14" location="Inputs_Other!A1" display="Inputs_Other!A1" xr:uid="{00000000-0004-0000-0100-000005000000}"/>
    <hyperlink ref="D18" location="Calc_Revenue!A1" display="Calc_Revenue!A1" xr:uid="{00000000-0004-0000-0100-000006000000}"/>
    <hyperlink ref="D19" location="Calc_A_SA_Cost!A1" display="Calc_A_SA_Cost!A1" xr:uid="{00000000-0004-0000-0100-000007000000}"/>
    <hyperlink ref="D21" location="Calc_LRMC_Tariff!A1" display="Calc_LRMC_Tariff!A1" xr:uid="{00000000-0004-0000-0100-000008000000}"/>
    <hyperlink ref="D22" location="Calc_Residual_Tariff!A1" display="Calc_Residual_Tariff!A1" xr:uid="{00000000-0004-0000-0100-000009000000}"/>
    <hyperlink ref="D26" location="Output_Revenue!A1" display="Output_Revenue!A1" xr:uid="{00000000-0004-0000-0100-00000A000000}"/>
    <hyperlink ref="D27" location="Output_AER_Compliance!A1" display="Output_AER_Compliance!A1" xr:uid="{00000000-0004-0000-0100-00000C000000}"/>
    <hyperlink ref="D28" location="Output_Charts!A1" display="Output_Charts!A1" xr:uid="{00000000-0004-0000-0100-00000D000000}"/>
    <hyperlink ref="D29" location="Output_Pricing_Proposal!A1" display="Output_Pricing_Proposal!A1" xr:uid="{00000000-0004-0000-0100-00000F000000}"/>
    <hyperlink ref="D12" location="Inputs_LRMC!A1" display="Inputs_LRMC!A1" xr:uid="{FDC02940-17B9-427E-B001-FA631856BD95}"/>
    <hyperlink ref="D20" location="Calc_LRMC!A1" display="Calc_LRMC!A1" xr:uid="{A78727D3-92F0-4B3E-A8BB-C584C5DD3D82}"/>
    <hyperlink ref="D30" location="Output_RIN!A1" display="Output_RIN!A1" xr:uid="{960DA31B-6D30-46E9-BCE1-BD8AC2D44221}"/>
    <hyperlink ref="D13" location="Inputs_FY23_FY24!A1" display="Inputs_FY23_FY24!A1" xr:uid="{64346280-50F2-425B-A755-B376AC57FCE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59999389629810485"/>
  </sheetPr>
  <dimension ref="A1:X62"/>
  <sheetViews>
    <sheetView showGridLines="0" zoomScaleNormal="100" workbookViewId="0">
      <pane xSplit="4" ySplit="9" topLeftCell="T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6640625" bestFit="1" customWidth="1"/>
    <col min="2" max="3" width="2.83203125" customWidth="1"/>
    <col min="4" max="4" width="36.33203125" customWidth="1"/>
    <col min="5" max="5" width="23.33203125" bestFit="1" customWidth="1"/>
    <col min="6" max="6" width="14.6640625" bestFit="1" customWidth="1"/>
    <col min="7" max="7" width="2.5" customWidth="1"/>
    <col min="8" max="8" width="8.6640625" bestFit="1" customWidth="1"/>
    <col min="9" max="9" width="11" bestFit="1" customWidth="1"/>
    <col min="10" max="10" width="3.5" customWidth="1"/>
    <col min="11" max="11" width="3.5" hidden="1" customWidth="1"/>
    <col min="12" max="12" width="2.5" hidden="1" customWidth="1"/>
    <col min="13" max="14" width="14.5" hidden="1" customWidth="1"/>
    <col min="15" max="19" width="14.5" customWidth="1"/>
    <col min="20" max="20" width="4" customWidth="1"/>
    <col min="21" max="21" width="81.83203125" customWidth="1"/>
    <col min="22" max="22" width="4" customWidth="1"/>
    <col min="23" max="23" width="70" customWidth="1"/>
    <col min="24" max="24" width="5.83203125" customWidth="1"/>
    <col min="26" max="26" width="13.33203125" bestFit="1" customWidth="1"/>
    <col min="43" max="43" width="16.75" bestFit="1" customWidth="1"/>
    <col min="44" max="44" width="9.4140625" bestFit="1" customWidth="1"/>
  </cols>
  <sheetData>
    <row r="1" spans="1:21" ht="18.75" x14ac:dyDescent="0.3">
      <c r="A1" s="59">
        <f>IF(SUM($A11:$A62)&gt;0,1,0)</f>
        <v>0</v>
      </c>
      <c r="B1" s="3" t="s">
        <v>60</v>
      </c>
    </row>
    <row r="2" spans="1:21" x14ac:dyDescent="0.3">
      <c r="B2" s="13" t="str">
        <f ca="1">Title_Msg</f>
        <v>No Errors Found</v>
      </c>
    </row>
    <row r="3" spans="1:21" x14ac:dyDescent="0.3">
      <c r="B3" s="46" t="str">
        <f>TOC!B1</f>
        <v>Table of contents</v>
      </c>
      <c r="C3" s="42"/>
      <c r="D3" s="42"/>
      <c r="E3" s="42"/>
    </row>
    <row r="4" spans="1:21" ht="13.15" x14ac:dyDescent="0.3">
      <c r="B4" s="40" t="str">
        <f>Model_Name</f>
        <v>Pricing Model - Power and Water Corporation</v>
      </c>
    </row>
    <row r="5" spans="1:21" ht="12.75" hidden="1" outlineLevel="1" x14ac:dyDescent="0.3">
      <c r="B5" s="10"/>
      <c r="J5" s="51"/>
      <c r="K5" s="51"/>
      <c r="L5" s="51"/>
      <c r="M5" s="51"/>
      <c r="N5" s="51"/>
      <c r="O5" s="51"/>
      <c r="P5" s="51"/>
      <c r="Q5" s="51"/>
      <c r="R5" s="51"/>
      <c r="S5" s="51"/>
    </row>
    <row r="6" spans="1:21" ht="12.75" hidden="1" outlineLevel="1" x14ac:dyDescent="0.3">
      <c r="B6" s="10"/>
      <c r="J6" s="51"/>
      <c r="K6" s="51"/>
      <c r="L6" s="51"/>
      <c r="M6" s="51"/>
      <c r="N6" s="51"/>
      <c r="O6" s="51"/>
      <c r="P6" s="51"/>
      <c r="Q6" s="51"/>
      <c r="R6" s="51"/>
      <c r="S6" s="51"/>
    </row>
    <row r="7" spans="1:21" ht="12.75" hidden="1" outlineLevel="1" x14ac:dyDescent="0.3">
      <c r="B7" s="10"/>
      <c r="J7" s="52"/>
      <c r="K7" s="52"/>
      <c r="L7" s="52"/>
      <c r="M7" s="52"/>
      <c r="N7" s="52"/>
      <c r="O7" s="52"/>
      <c r="P7" s="52"/>
      <c r="Q7" s="52"/>
      <c r="R7" s="52"/>
      <c r="S7" s="52"/>
    </row>
    <row r="8" spans="1:21" ht="12.75" hidden="1" outlineLevel="1" x14ac:dyDescent="0.3">
      <c r="B8" s="10"/>
      <c r="J8" s="53"/>
      <c r="K8" s="53"/>
      <c r="L8" s="53"/>
      <c r="M8" s="53"/>
      <c r="N8" s="53"/>
      <c r="O8" s="53"/>
      <c r="P8" s="53"/>
      <c r="Q8" s="53"/>
      <c r="R8" s="53"/>
      <c r="S8" s="53"/>
    </row>
    <row r="9" spans="1:21" ht="13.15" collapsed="1" x14ac:dyDescent="0.3">
      <c r="B9" s="5" t="str">
        <f>Lookup!B19</f>
        <v>FY</v>
      </c>
      <c r="D9" s="260" t="s">
        <v>118</v>
      </c>
      <c r="E9" s="50" t="s">
        <v>61</v>
      </c>
      <c r="F9" s="50" t="s">
        <v>62</v>
      </c>
      <c r="H9" s="50" t="str">
        <f>Lookup!E19</f>
        <v>Source</v>
      </c>
      <c r="I9" s="50" t="str">
        <f>Lookup!F19</f>
        <v>Unit</v>
      </c>
      <c r="J9" s="50"/>
      <c r="K9" s="50"/>
      <c r="L9" s="50"/>
      <c r="M9" s="50"/>
      <c r="N9" s="50"/>
      <c r="O9" s="50" t="str">
        <f>Lookup!O19</f>
        <v>FY25</v>
      </c>
      <c r="P9" s="50" t="str">
        <f>Lookup!P19</f>
        <v>FY26</v>
      </c>
      <c r="Q9" s="50" t="str">
        <f>Lookup!Q19</f>
        <v>FY27</v>
      </c>
      <c r="R9" s="50" t="str">
        <f>Lookup!R19</f>
        <v>FY28</v>
      </c>
      <c r="S9" s="50" t="str">
        <f>Lookup!S19</f>
        <v>FY29</v>
      </c>
      <c r="U9" s="60"/>
    </row>
    <row r="11" spans="1:21" s="2" customFormat="1" ht="15" x14ac:dyDescent="0.3">
      <c r="B11" s="2" t="s">
        <v>686</v>
      </c>
    </row>
    <row r="12" spans="1:21" ht="11.25" customHeight="1" x14ac:dyDescent="0.3"/>
    <row r="13" spans="1:21" ht="11.25" customHeight="1" x14ac:dyDescent="0.3">
      <c r="D13" s="105" t="s">
        <v>616</v>
      </c>
    </row>
    <row r="14" spans="1:21" ht="11.25" customHeight="1" x14ac:dyDescent="0.3"/>
    <row r="15" spans="1:21" ht="11.25" customHeight="1" x14ac:dyDescent="0.3"/>
    <row r="16" spans="1:21" s="8" customFormat="1" ht="13.9" x14ac:dyDescent="0.3">
      <c r="C16" s="8" t="s">
        <v>687</v>
      </c>
    </row>
    <row r="17" spans="3:23" ht="11.25" customHeight="1" x14ac:dyDescent="0.3"/>
    <row r="18" spans="3:23" ht="11.25" customHeight="1" x14ac:dyDescent="0.3">
      <c r="C18" s="172" t="s">
        <v>5</v>
      </c>
      <c r="D18" s="70" t="str">
        <f>D$9</f>
        <v>Tariff</v>
      </c>
      <c r="E18" s="54" t="str">
        <f>E$9</f>
        <v>Tariff Components</v>
      </c>
      <c r="F18" s="54" t="str">
        <f>F$9</f>
        <v>Tariff Class</v>
      </c>
      <c r="H18" s="54" t="str">
        <f>Lookup!E$19</f>
        <v>Source</v>
      </c>
      <c r="I18" s="54" t="str">
        <f>Lookup!F$19</f>
        <v>Unit</v>
      </c>
      <c r="O18" s="54" t="str">
        <f>O$9</f>
        <v>FY25</v>
      </c>
      <c r="P18" s="54" t="str">
        <f>P$9</f>
        <v>FY26</v>
      </c>
      <c r="Q18" s="54" t="str">
        <f>Q$9</f>
        <v>FY27</v>
      </c>
      <c r="R18" s="54" t="str">
        <f>R$9</f>
        <v>FY28</v>
      </c>
      <c r="S18" s="54" t="str">
        <f>S$9</f>
        <v>FY29</v>
      </c>
      <c r="U18" s="70" t="s">
        <v>513</v>
      </c>
      <c r="W18" s="70" t="s">
        <v>520</v>
      </c>
    </row>
    <row r="19" spans="3:23" ht="11.25" customHeight="1" x14ac:dyDescent="0.3">
      <c r="D19" s="1"/>
      <c r="U19" s="1"/>
      <c r="W19" s="1"/>
    </row>
    <row r="20" spans="3:23" ht="12.75" x14ac:dyDescent="0.35">
      <c r="C20" s="171">
        <v>1</v>
      </c>
      <c r="D20" s="85" t="str">
        <f>Lookup!D90</f>
        <v>Residential Accumulation</v>
      </c>
      <c r="E20" s="259" t="s">
        <v>105</v>
      </c>
      <c r="F20" s="259" t="s">
        <v>64</v>
      </c>
      <c r="G20" s="259"/>
      <c r="H20" s="259" t="s">
        <v>79</v>
      </c>
      <c r="I20" s="259" t="s">
        <v>497</v>
      </c>
      <c r="O20" s="173">
        <v>2.6382734681883413</v>
      </c>
      <c r="P20" s="173">
        <v>2.9768813710158986</v>
      </c>
      <c r="Q20" s="173">
        <v>3.3040657089205232</v>
      </c>
      <c r="R20" s="173">
        <v>3.6859378214737881</v>
      </c>
      <c r="S20" s="173">
        <v>3.9170946348519098</v>
      </c>
      <c r="U20" s="174" t="s">
        <v>498</v>
      </c>
      <c r="W20" s="174" t="s">
        <v>515</v>
      </c>
    </row>
    <row r="21" spans="3:23" ht="12.75" x14ac:dyDescent="0.35">
      <c r="C21" s="171">
        <v>2</v>
      </c>
      <c r="D21" s="85" t="str">
        <f>Lookup!D91</f>
        <v>Non-Residential Accumulation</v>
      </c>
      <c r="E21" s="259" t="s">
        <v>105</v>
      </c>
      <c r="F21" s="259" t="s">
        <v>64</v>
      </c>
      <c r="G21" s="259"/>
      <c r="H21" s="259" t="s">
        <v>79</v>
      </c>
      <c r="I21" s="259" t="s">
        <v>497</v>
      </c>
      <c r="O21" s="173">
        <v>1.5673351773065287</v>
      </c>
      <c r="P21" s="173">
        <v>1.7422794492238289</v>
      </c>
      <c r="Q21" s="173">
        <v>1.9464419847839636</v>
      </c>
      <c r="R21" s="173">
        <v>0</v>
      </c>
      <c r="S21" s="173">
        <v>0</v>
      </c>
      <c r="U21" s="174" t="s">
        <v>498</v>
      </c>
      <c r="W21" s="174" t="s">
        <v>516</v>
      </c>
    </row>
    <row r="22" spans="3:23" ht="12.75" x14ac:dyDescent="0.35">
      <c r="C22" s="171" t="s">
        <v>494</v>
      </c>
      <c r="D22" s="85" t="str">
        <f>Lookup!D92</f>
        <v>LV Smart Meter - Res</v>
      </c>
      <c r="E22" s="259" t="s">
        <v>105</v>
      </c>
      <c r="F22" s="259" t="s">
        <v>64</v>
      </c>
      <c r="G22" s="259"/>
      <c r="H22" s="259" t="s">
        <v>79</v>
      </c>
      <c r="I22" s="259" t="s">
        <v>497</v>
      </c>
      <c r="O22" s="173">
        <v>1.9133130890513923</v>
      </c>
      <c r="P22" s="173">
        <v>2.1511388571398746</v>
      </c>
      <c r="Q22" s="173">
        <v>2.4101557217663587</v>
      </c>
      <c r="R22" s="173">
        <v>2.6969403237447116</v>
      </c>
      <c r="S22" s="173">
        <v>2.7628277058475001</v>
      </c>
      <c r="U22" s="174" t="s">
        <v>498</v>
      </c>
      <c r="W22" s="174" t="s">
        <v>515</v>
      </c>
    </row>
    <row r="23" spans="3:23" ht="12.75" x14ac:dyDescent="0.35">
      <c r="C23" s="171" t="s">
        <v>495</v>
      </c>
      <c r="D23" s="85" t="str">
        <f>Lookup!D93</f>
        <v>LV Smart Meter - Small Comm</v>
      </c>
      <c r="E23" s="259" t="s">
        <v>105</v>
      </c>
      <c r="F23" s="259" t="s">
        <v>64</v>
      </c>
      <c r="G23" s="259"/>
      <c r="H23" s="259" t="s">
        <v>79</v>
      </c>
      <c r="I23" s="259" t="s">
        <v>497</v>
      </c>
      <c r="O23" s="173">
        <v>1.0164269032889046</v>
      </c>
      <c r="P23" s="173">
        <v>1.8929379557932977</v>
      </c>
      <c r="Q23" s="173">
        <v>2.138624956302245</v>
      </c>
      <c r="R23" s="173">
        <v>2.5105077789215713</v>
      </c>
      <c r="S23" s="173">
        <v>2.626483946277391</v>
      </c>
      <c r="U23" s="174" t="s">
        <v>498</v>
      </c>
      <c r="W23" s="174" t="s">
        <v>516</v>
      </c>
    </row>
    <row r="24" spans="3:23" ht="12.75" x14ac:dyDescent="0.35">
      <c r="C24" s="171" t="s">
        <v>496</v>
      </c>
      <c r="D24" s="85" t="str">
        <f>Lookup!D94</f>
        <v>LV Smart Meter - Med Comm</v>
      </c>
      <c r="E24" s="259" t="s">
        <v>105</v>
      </c>
      <c r="F24" s="259" t="s">
        <v>64</v>
      </c>
      <c r="G24" s="259"/>
      <c r="H24" s="259" t="s">
        <v>79</v>
      </c>
      <c r="I24" s="259" t="s">
        <v>497</v>
      </c>
      <c r="O24" s="173">
        <v>8.7348950936114118</v>
      </c>
      <c r="P24" s="173">
        <v>10.005069942843006</v>
      </c>
      <c r="Q24" s="173">
        <v>12.639364077172592</v>
      </c>
      <c r="R24" s="173">
        <v>14.749052788551491</v>
      </c>
      <c r="S24" s="173">
        <v>15.015867392145614</v>
      </c>
      <c r="U24" s="174" t="s">
        <v>498</v>
      </c>
      <c r="W24" s="174" t="s">
        <v>516</v>
      </c>
    </row>
    <row r="25" spans="3:23" ht="12.75" x14ac:dyDescent="0.35">
      <c r="C25" s="171">
        <v>4</v>
      </c>
      <c r="D25" s="85" t="str">
        <f>Lookup!D95</f>
        <v>Unmetered</v>
      </c>
      <c r="E25" s="259" t="s">
        <v>105</v>
      </c>
      <c r="F25" s="259" t="s">
        <v>64</v>
      </c>
      <c r="G25" s="259"/>
      <c r="H25" s="259" t="s">
        <v>79</v>
      </c>
      <c r="I25" s="259" t="s">
        <v>497</v>
      </c>
      <c r="J25" s="143"/>
      <c r="K25" s="143"/>
      <c r="O25" s="173">
        <v>0</v>
      </c>
      <c r="P25" s="173">
        <v>0</v>
      </c>
      <c r="Q25" s="173">
        <v>0</v>
      </c>
      <c r="R25" s="173">
        <v>0</v>
      </c>
      <c r="S25" s="173">
        <v>0</v>
      </c>
      <c r="U25" s="174" t="s">
        <v>498</v>
      </c>
      <c r="W25" s="174" t="s">
        <v>504</v>
      </c>
    </row>
    <row r="26" spans="3:23" ht="12.75" x14ac:dyDescent="0.35">
      <c r="C26" s="171">
        <v>5</v>
      </c>
      <c r="D26" s="85" t="str">
        <f>Lookup!D96</f>
        <v>LV Majors</v>
      </c>
      <c r="E26" s="259" t="s">
        <v>105</v>
      </c>
      <c r="F26" s="259" t="s">
        <v>70</v>
      </c>
      <c r="G26" s="259"/>
      <c r="H26" s="259" t="s">
        <v>79</v>
      </c>
      <c r="I26" s="259" t="s">
        <v>497</v>
      </c>
      <c r="J26" s="143"/>
      <c r="K26" s="143"/>
      <c r="O26" s="173">
        <v>137.69854364615458</v>
      </c>
      <c r="P26" s="173">
        <v>155.51008297224402</v>
      </c>
      <c r="Q26" s="173">
        <v>180.70446156699379</v>
      </c>
      <c r="R26" s="173">
        <v>208.33784617272394</v>
      </c>
      <c r="S26" s="173">
        <v>215.69219777715026</v>
      </c>
      <c r="U26" s="174" t="s">
        <v>498</v>
      </c>
      <c r="W26" s="174" t="s">
        <v>517</v>
      </c>
    </row>
    <row r="27" spans="3:23" ht="12.75" x14ac:dyDescent="0.35">
      <c r="C27" s="171">
        <v>6</v>
      </c>
      <c r="D27" s="85" t="str">
        <f>Lookup!D97</f>
        <v>HV Smart Meters</v>
      </c>
      <c r="E27" s="259" t="s">
        <v>105</v>
      </c>
      <c r="F27" s="259" t="s">
        <v>69</v>
      </c>
      <c r="G27" s="259"/>
      <c r="H27" s="259" t="s">
        <v>79</v>
      </c>
      <c r="I27" s="259" t="s">
        <v>497</v>
      </c>
      <c r="J27" s="143"/>
      <c r="K27" s="143"/>
      <c r="O27" s="173">
        <v>110.43286899853747</v>
      </c>
      <c r="P27" s="173">
        <v>110.0619786515136</v>
      </c>
      <c r="Q27" s="173">
        <v>111.26383283474762</v>
      </c>
      <c r="R27" s="173">
        <v>112.07304966366701</v>
      </c>
      <c r="S27" s="173">
        <v>104.03729169946286</v>
      </c>
      <c r="U27" s="174" t="s">
        <v>498</v>
      </c>
      <c r="W27" s="174" t="s">
        <v>518</v>
      </c>
    </row>
    <row r="28" spans="3:23" ht="12.75" x14ac:dyDescent="0.35">
      <c r="C28" s="171">
        <v>7</v>
      </c>
      <c r="D28" s="85" t="str">
        <f>Lookup!D98</f>
        <v>Super Users</v>
      </c>
      <c r="E28" s="259" t="s">
        <v>105</v>
      </c>
      <c r="F28" s="259" t="s">
        <v>69</v>
      </c>
      <c r="G28" s="259"/>
      <c r="H28" s="259" t="s">
        <v>79</v>
      </c>
      <c r="I28" s="259" t="s">
        <v>497</v>
      </c>
      <c r="J28" s="143"/>
      <c r="K28" s="143"/>
      <c r="O28" s="173">
        <v>727.76063662788385</v>
      </c>
      <c r="P28" s="173">
        <v>808.8066511067608</v>
      </c>
      <c r="Q28" s="173">
        <v>886.27163992277031</v>
      </c>
      <c r="R28" s="173">
        <v>964.22700687036888</v>
      </c>
      <c r="S28" s="173">
        <v>980.7172298407628</v>
      </c>
      <c r="U28" s="174" t="s">
        <v>498</v>
      </c>
      <c r="W28" s="174" t="s">
        <v>516</v>
      </c>
    </row>
    <row r="29" spans="3:23" ht="11.25" customHeight="1" x14ac:dyDescent="0.3">
      <c r="R29" t="s">
        <v>234</v>
      </c>
    </row>
    <row r="30" spans="3:23" ht="11.25" customHeight="1" x14ac:dyDescent="0.3"/>
    <row r="31" spans="3:23" s="8" customFormat="1" ht="13.9" x14ac:dyDescent="0.3">
      <c r="C31" s="8" t="s">
        <v>74</v>
      </c>
    </row>
    <row r="32" spans="3:23" ht="11.25" customHeight="1" x14ac:dyDescent="0.3"/>
    <row r="33" spans="3:24" ht="11.25" customHeight="1" x14ac:dyDescent="0.3">
      <c r="C33" s="172" t="s">
        <v>5</v>
      </c>
      <c r="D33" s="70" t="str">
        <f>D$9</f>
        <v>Tariff</v>
      </c>
      <c r="E33" s="54" t="str">
        <f>E$9</f>
        <v>Tariff Components</v>
      </c>
      <c r="F33" s="54" t="str">
        <f>F$9</f>
        <v>Tariff Class</v>
      </c>
      <c r="H33" s="54" t="str">
        <f>Lookup!E$19</f>
        <v>Source</v>
      </c>
      <c r="I33" s="54" t="str">
        <f>Lookup!F$19</f>
        <v>Unit</v>
      </c>
      <c r="N33" t="s">
        <v>229</v>
      </c>
      <c r="O33" s="54" t="str">
        <f>O$9</f>
        <v>FY25</v>
      </c>
      <c r="P33" s="54" t="str">
        <f>P$9</f>
        <v>FY26</v>
      </c>
      <c r="Q33" s="54" t="str">
        <f>Q$9</f>
        <v>FY27</v>
      </c>
      <c r="R33" s="54" t="str">
        <f>R$9</f>
        <v>FY28</v>
      </c>
      <c r="S33" s="54" t="str">
        <f>S$9</f>
        <v>FY29</v>
      </c>
      <c r="U33" s="70" t="s">
        <v>513</v>
      </c>
      <c r="W33" s="70" t="s">
        <v>520</v>
      </c>
    </row>
    <row r="34" spans="3:24" ht="11.25" customHeight="1" x14ac:dyDescent="0.3">
      <c r="D34" s="1"/>
      <c r="U34" s="1"/>
    </row>
    <row r="35" spans="3:24" ht="12.75" x14ac:dyDescent="0.35">
      <c r="C35" s="171">
        <v>1</v>
      </c>
      <c r="D35" s="85" t="s">
        <v>243</v>
      </c>
      <c r="E35" s="259" t="s">
        <v>277</v>
      </c>
      <c r="F35" s="259" t="s">
        <v>64</v>
      </c>
      <c r="G35" s="82"/>
      <c r="H35" s="259" t="s">
        <v>79</v>
      </c>
      <c r="I35" s="259" t="s">
        <v>193</v>
      </c>
      <c r="O35" s="173">
        <v>4.5153808254959377E-2</v>
      </c>
      <c r="P35" s="173">
        <v>5.1463688315995203E-2</v>
      </c>
      <c r="Q35" s="173">
        <v>5.7696950663772451E-2</v>
      </c>
      <c r="R35" s="173">
        <v>6.5193637955142825E-2</v>
      </c>
      <c r="S35" s="173">
        <v>6.9790749126904791E-2</v>
      </c>
      <c r="U35" s="174" t="s">
        <v>499</v>
      </c>
      <c r="W35" s="174" t="s">
        <v>515</v>
      </c>
      <c r="X35" s="150"/>
    </row>
    <row r="36" spans="3:24" ht="12.75" x14ac:dyDescent="0.35">
      <c r="C36" s="171">
        <v>2</v>
      </c>
      <c r="D36" s="85" t="s">
        <v>244</v>
      </c>
      <c r="E36" s="259" t="s">
        <v>277</v>
      </c>
      <c r="F36" s="259" t="s">
        <v>64</v>
      </c>
      <c r="G36" s="82"/>
      <c r="H36" s="259" t="s">
        <v>79</v>
      </c>
      <c r="I36" s="259" t="s">
        <v>193</v>
      </c>
      <c r="O36" s="173">
        <v>8.6913017979532353E-2</v>
      </c>
      <c r="P36" s="173">
        <v>9.7590056418188673E-2</v>
      </c>
      <c r="Q36" s="173">
        <v>0.11012705466783111</v>
      </c>
      <c r="R36" s="173">
        <v>0</v>
      </c>
      <c r="S36" s="173">
        <v>0</v>
      </c>
      <c r="U36" s="174" t="s">
        <v>499</v>
      </c>
      <c r="W36" s="174" t="s">
        <v>516</v>
      </c>
      <c r="X36" s="150"/>
    </row>
    <row r="37" spans="3:24" ht="12.75" x14ac:dyDescent="0.35">
      <c r="C37" s="171" t="s">
        <v>494</v>
      </c>
      <c r="D37" s="85" t="s">
        <v>245</v>
      </c>
      <c r="E37" s="259" t="s">
        <v>274</v>
      </c>
      <c r="F37" s="259" t="s">
        <v>64</v>
      </c>
      <c r="G37" s="82"/>
      <c r="H37" s="259" t="s">
        <v>79</v>
      </c>
      <c r="I37" s="259" t="s">
        <v>193</v>
      </c>
      <c r="O37" s="173">
        <v>0.46448424001371241</v>
      </c>
      <c r="P37" s="173">
        <v>0.51385841434247059</v>
      </c>
      <c r="Q37" s="173">
        <v>0.56199175455382744</v>
      </c>
      <c r="R37" s="173">
        <v>0.62212822703061244</v>
      </c>
      <c r="S37" s="173">
        <v>0.69709987221877601</v>
      </c>
      <c r="U37" s="174" t="s">
        <v>500</v>
      </c>
      <c r="W37" s="174" t="s">
        <v>515</v>
      </c>
      <c r="X37" s="150"/>
    </row>
    <row r="38" spans="3:24" ht="12.75" x14ac:dyDescent="0.35">
      <c r="C38" s="171" t="s">
        <v>494</v>
      </c>
      <c r="D38" s="85" t="s">
        <v>245</v>
      </c>
      <c r="E38" s="259" t="s">
        <v>275</v>
      </c>
      <c r="F38" s="259" t="s">
        <v>64</v>
      </c>
      <c r="G38" s="82"/>
      <c r="H38" s="259" t="s">
        <v>79</v>
      </c>
      <c r="I38" s="259" t="s">
        <v>193</v>
      </c>
      <c r="O38" s="173">
        <v>1.7141933225629565E-2</v>
      </c>
      <c r="P38" s="173">
        <v>2.0543615472717706E-2</v>
      </c>
      <c r="Q38" s="173">
        <v>2.4407234942386804E-2</v>
      </c>
      <c r="R38" s="173">
        <v>2.9397413539379975E-2</v>
      </c>
      <c r="S38" s="173">
        <v>3.277287767898978E-2</v>
      </c>
      <c r="U38" s="174" t="s">
        <v>501</v>
      </c>
      <c r="W38" s="174" t="s">
        <v>515</v>
      </c>
      <c r="X38" s="150"/>
    </row>
    <row r="39" spans="3:24" ht="12.75" x14ac:dyDescent="0.35">
      <c r="C39" s="171" t="s">
        <v>494</v>
      </c>
      <c r="D39" s="85" t="s">
        <v>245</v>
      </c>
      <c r="E39" s="259" t="s">
        <v>276</v>
      </c>
      <c r="F39" s="259" t="s">
        <v>64</v>
      </c>
      <c r="G39" s="82"/>
      <c r="H39" s="259" t="s">
        <v>79</v>
      </c>
      <c r="I39" s="259" t="s">
        <v>193</v>
      </c>
      <c r="O39" s="173">
        <v>0</v>
      </c>
      <c r="P39" s="173">
        <v>0</v>
      </c>
      <c r="Q39" s="173">
        <v>0</v>
      </c>
      <c r="R39" s="173">
        <v>0</v>
      </c>
      <c r="S39" s="173">
        <v>0</v>
      </c>
      <c r="U39" s="174" t="s">
        <v>502</v>
      </c>
      <c r="W39" s="174" t="s">
        <v>515</v>
      </c>
      <c r="X39" s="150"/>
    </row>
    <row r="40" spans="3:24" ht="12.75" x14ac:dyDescent="0.35">
      <c r="C40" s="171" t="s">
        <v>495</v>
      </c>
      <c r="D40" s="85" t="s">
        <v>246</v>
      </c>
      <c r="E40" s="259" t="s">
        <v>274</v>
      </c>
      <c r="F40" s="259" t="s">
        <v>64</v>
      </c>
      <c r="G40" s="82"/>
      <c r="H40" s="259" t="s">
        <v>79</v>
      </c>
      <c r="I40" s="259" t="s">
        <v>193</v>
      </c>
      <c r="O40" s="173">
        <v>0.29919315128337026</v>
      </c>
      <c r="P40" s="173">
        <v>0.33099706094669817</v>
      </c>
      <c r="Q40" s="173">
        <v>0.36200169899255574</v>
      </c>
      <c r="R40" s="173">
        <v>0.40073804170864846</v>
      </c>
      <c r="S40" s="173">
        <v>0.44903032129187626</v>
      </c>
      <c r="U40" s="174" t="s">
        <v>500</v>
      </c>
      <c r="W40" s="174" t="s">
        <v>516</v>
      </c>
      <c r="X40" s="150"/>
    </row>
    <row r="41" spans="3:24" ht="12.75" x14ac:dyDescent="0.35">
      <c r="C41" s="171" t="s">
        <v>495</v>
      </c>
      <c r="D41" s="85" t="s">
        <v>246</v>
      </c>
      <c r="E41" s="259" t="s">
        <v>275</v>
      </c>
      <c r="F41" s="259" t="s">
        <v>64</v>
      </c>
      <c r="G41" s="82"/>
      <c r="H41" s="259" t="s">
        <v>79</v>
      </c>
      <c r="I41" s="259" t="s">
        <v>193</v>
      </c>
      <c r="O41" s="173">
        <v>9.8817513728094511E-2</v>
      </c>
      <c r="P41" s="173">
        <v>9.5199321591090569E-2</v>
      </c>
      <c r="Q41" s="173">
        <v>0.11405048864535605</v>
      </c>
      <c r="R41" s="173">
        <v>0.14410810196219964</v>
      </c>
      <c r="S41" s="173">
        <v>0.16406825798546049</v>
      </c>
      <c r="U41" s="174" t="s">
        <v>501</v>
      </c>
      <c r="W41" s="174" t="s">
        <v>516</v>
      </c>
    </row>
    <row r="42" spans="3:24" ht="12.75" x14ac:dyDescent="0.35">
      <c r="C42" s="171" t="s">
        <v>495</v>
      </c>
      <c r="D42" s="85" t="s">
        <v>246</v>
      </c>
      <c r="E42" s="259" t="s">
        <v>276</v>
      </c>
      <c r="F42" s="259" t="s">
        <v>64</v>
      </c>
      <c r="G42" s="82"/>
      <c r="H42" s="259" t="s">
        <v>79</v>
      </c>
      <c r="I42" s="259" t="s">
        <v>193</v>
      </c>
      <c r="O42" s="173">
        <v>0</v>
      </c>
      <c r="P42" s="173">
        <v>0</v>
      </c>
      <c r="Q42" s="173">
        <v>0</v>
      </c>
      <c r="R42" s="173">
        <v>0</v>
      </c>
      <c r="S42" s="173">
        <v>0</v>
      </c>
      <c r="U42" s="174" t="s">
        <v>502</v>
      </c>
      <c r="W42" s="174" t="s">
        <v>516</v>
      </c>
    </row>
    <row r="43" spans="3:24" ht="12.75" x14ac:dyDescent="0.35">
      <c r="C43" s="171" t="s">
        <v>496</v>
      </c>
      <c r="D43" s="85" t="s">
        <v>247</v>
      </c>
      <c r="E43" s="259" t="s">
        <v>274</v>
      </c>
      <c r="F43" s="259" t="s">
        <v>64</v>
      </c>
      <c r="G43" s="82"/>
      <c r="H43" s="259" t="s">
        <v>79</v>
      </c>
      <c r="I43" s="259" t="s">
        <v>193</v>
      </c>
      <c r="O43" s="173">
        <v>0.27038821425880993</v>
      </c>
      <c r="P43" s="173">
        <v>0.29913019014772702</v>
      </c>
      <c r="Q43" s="173">
        <v>0.32714984460505875</v>
      </c>
      <c r="R43" s="173">
        <v>0.36215683085790129</v>
      </c>
      <c r="S43" s="173">
        <v>0.40579975243877997</v>
      </c>
      <c r="U43" s="174" t="s">
        <v>500</v>
      </c>
      <c r="W43" s="174" t="s">
        <v>516</v>
      </c>
    </row>
    <row r="44" spans="3:24" ht="12.75" x14ac:dyDescent="0.35">
      <c r="C44" s="171" t="s">
        <v>496</v>
      </c>
      <c r="D44" s="85" t="s">
        <v>247</v>
      </c>
      <c r="E44" s="259" t="s">
        <v>275</v>
      </c>
      <c r="F44" s="259" t="s">
        <v>64</v>
      </c>
      <c r="G44" s="82"/>
      <c r="H44" s="259" t="s">
        <v>79</v>
      </c>
      <c r="I44" s="259" t="s">
        <v>193</v>
      </c>
      <c r="O44" s="173">
        <v>4.0853570624088661E-2</v>
      </c>
      <c r="P44" s="173">
        <v>4.9880078864493256E-2</v>
      </c>
      <c r="Q44" s="173">
        <v>6.6818584647662022E-2</v>
      </c>
      <c r="R44" s="173">
        <v>8.3926765352029142E-2</v>
      </c>
      <c r="S44" s="173">
        <v>9.298433061817854E-2</v>
      </c>
      <c r="U44" s="174" t="s">
        <v>501</v>
      </c>
      <c r="W44" s="174" t="s">
        <v>516</v>
      </c>
    </row>
    <row r="45" spans="3:24" ht="12.75" x14ac:dyDescent="0.35">
      <c r="C45" s="171" t="s">
        <v>496</v>
      </c>
      <c r="D45" s="85" t="s">
        <v>247</v>
      </c>
      <c r="E45" s="259" t="s">
        <v>276</v>
      </c>
      <c r="F45" s="259" t="s">
        <v>64</v>
      </c>
      <c r="G45" s="82"/>
      <c r="H45" s="259" t="s">
        <v>79</v>
      </c>
      <c r="I45" s="259" t="s">
        <v>193</v>
      </c>
      <c r="O45" s="173">
        <v>0</v>
      </c>
      <c r="P45" s="173">
        <v>0</v>
      </c>
      <c r="Q45" s="173">
        <v>0</v>
      </c>
      <c r="R45" s="173">
        <v>0</v>
      </c>
      <c r="S45" s="173">
        <v>0</v>
      </c>
      <c r="U45" s="174" t="s">
        <v>502</v>
      </c>
      <c r="W45" s="174" t="s">
        <v>516</v>
      </c>
    </row>
    <row r="46" spans="3:24" ht="12.75" x14ac:dyDescent="0.35">
      <c r="C46" s="171">
        <v>4</v>
      </c>
      <c r="D46" s="85" t="s">
        <v>248</v>
      </c>
      <c r="E46" s="259" t="s">
        <v>277</v>
      </c>
      <c r="F46" s="259" t="s">
        <v>64</v>
      </c>
      <c r="G46" s="82"/>
      <c r="H46" s="259" t="s">
        <v>79</v>
      </c>
      <c r="I46" s="259" t="s">
        <v>193</v>
      </c>
      <c r="O46" s="173">
        <v>0.10786314777733896</v>
      </c>
      <c r="P46" s="173">
        <v>0.11803202699248795</v>
      </c>
      <c r="Q46" s="173">
        <v>0.12915958492806284</v>
      </c>
      <c r="R46" s="173">
        <v>0.14133620173998368</v>
      </c>
      <c r="S46" s="173">
        <v>0.14428151008534668</v>
      </c>
      <c r="U46" s="174" t="s">
        <v>504</v>
      </c>
      <c r="W46" s="174" t="s">
        <v>504</v>
      </c>
    </row>
    <row r="47" spans="3:24" ht="12.75" x14ac:dyDescent="0.35">
      <c r="C47" s="171">
        <v>5</v>
      </c>
      <c r="D47" s="85" t="s">
        <v>249</v>
      </c>
      <c r="E47" s="259" t="s">
        <v>277</v>
      </c>
      <c r="F47" s="259" t="s">
        <v>70</v>
      </c>
      <c r="G47" s="82"/>
      <c r="H47" s="259" t="s">
        <v>79</v>
      </c>
      <c r="I47" s="259" t="s">
        <v>193</v>
      </c>
      <c r="O47" s="173">
        <v>4.6118609117465747E-3</v>
      </c>
      <c r="P47" s="173">
        <v>6.4989109450785546E-3</v>
      </c>
      <c r="Q47" s="173">
        <v>7.6280883330887986E-3</v>
      </c>
      <c r="R47" s="173">
        <v>8.9077503012512521E-3</v>
      </c>
      <c r="S47" s="173">
        <v>9.2898966958289957E-3</v>
      </c>
      <c r="U47" s="174" t="s">
        <v>499</v>
      </c>
      <c r="W47" s="174" t="s">
        <v>517</v>
      </c>
    </row>
    <row r="48" spans="3:24" ht="12.75" x14ac:dyDescent="0.35">
      <c r="C48" s="171">
        <v>6</v>
      </c>
      <c r="D48" s="85" t="s">
        <v>250</v>
      </c>
      <c r="E48" s="259" t="s">
        <v>277</v>
      </c>
      <c r="F48" s="259" t="s">
        <v>69</v>
      </c>
      <c r="G48" s="82"/>
      <c r="H48" s="259" t="s">
        <v>79</v>
      </c>
      <c r="I48" s="259" t="s">
        <v>193</v>
      </c>
      <c r="O48" s="173">
        <v>3.3441545616498349E-2</v>
      </c>
      <c r="P48" s="173">
        <v>3.3665890620408694E-2</v>
      </c>
      <c r="Q48" s="173">
        <v>3.4377288106906212E-2</v>
      </c>
      <c r="R48" s="173">
        <v>3.5072911029827236E-2</v>
      </c>
      <c r="S48" s="173">
        <v>3.2797160584149568E-2</v>
      </c>
      <c r="U48" s="174" t="s">
        <v>499</v>
      </c>
      <c r="W48" s="174" t="s">
        <v>518</v>
      </c>
    </row>
    <row r="49" spans="2:23" ht="12.75" x14ac:dyDescent="0.35">
      <c r="C49" s="171">
        <v>7</v>
      </c>
      <c r="D49" s="85" t="s">
        <v>251</v>
      </c>
      <c r="E49" s="259" t="s">
        <v>277</v>
      </c>
      <c r="F49" s="259" t="s">
        <v>69</v>
      </c>
      <c r="G49" s="82"/>
      <c r="H49" s="259" t="s">
        <v>79</v>
      </c>
      <c r="I49" s="259" t="s">
        <v>193</v>
      </c>
      <c r="O49" s="173">
        <v>2.3282508099094743E-2</v>
      </c>
      <c r="P49" s="173">
        <v>2.3047269322448004E-2</v>
      </c>
      <c r="Q49" s="173">
        <v>2.3400141118191099E-2</v>
      </c>
      <c r="R49" s="173">
        <v>2.3684093525079254E-2</v>
      </c>
      <c r="S49" s="173">
        <v>2.230052747738202E-2</v>
      </c>
      <c r="U49" s="174" t="s">
        <v>499</v>
      </c>
      <c r="W49" s="174" t="s">
        <v>516</v>
      </c>
    </row>
    <row r="50" spans="2:23" ht="11.25" customHeight="1" x14ac:dyDescent="0.3"/>
    <row r="51" spans="2:23" ht="11.25" customHeight="1" x14ac:dyDescent="0.3"/>
    <row r="52" spans="2:23" s="8" customFormat="1" ht="13.9" x14ac:dyDescent="0.3">
      <c r="C52" s="8" t="s">
        <v>76</v>
      </c>
    </row>
    <row r="53" spans="2:23" ht="11.25" customHeight="1" x14ac:dyDescent="0.3"/>
    <row r="54" spans="2:23" ht="11.25" customHeight="1" x14ac:dyDescent="0.3">
      <c r="C54" s="172" t="s">
        <v>5</v>
      </c>
      <c r="D54" s="70" t="str">
        <f>D$9</f>
        <v>Tariff</v>
      </c>
      <c r="E54" s="54" t="str">
        <f>E$9</f>
        <v>Tariff Components</v>
      </c>
      <c r="F54" s="54" t="str">
        <f>F$9</f>
        <v>Tariff Class</v>
      </c>
      <c r="H54" s="54" t="str">
        <f>Lookup!E$19</f>
        <v>Source</v>
      </c>
      <c r="I54" s="54" t="str">
        <f>Lookup!F$19</f>
        <v>Unit</v>
      </c>
      <c r="O54" s="54" t="str">
        <f>O$9</f>
        <v>FY25</v>
      </c>
      <c r="P54" s="54" t="str">
        <f>P$9</f>
        <v>FY26</v>
      </c>
      <c r="Q54" s="54" t="str">
        <f>Q$9</f>
        <v>FY27</v>
      </c>
      <c r="R54" s="54" t="str">
        <f>R$9</f>
        <v>FY28</v>
      </c>
      <c r="S54" s="54" t="str">
        <f>S$9</f>
        <v>FY29</v>
      </c>
      <c r="U54" s="70" t="s">
        <v>513</v>
      </c>
      <c r="W54" s="70" t="s">
        <v>520</v>
      </c>
    </row>
    <row r="55" spans="2:23" ht="11.25" customHeight="1" x14ac:dyDescent="0.3">
      <c r="D55" s="1"/>
    </row>
    <row r="56" spans="2:23" ht="12.75" x14ac:dyDescent="0.35">
      <c r="C56" s="171">
        <v>5</v>
      </c>
      <c r="D56" s="85" t="s">
        <v>249</v>
      </c>
      <c r="E56" s="259" t="s">
        <v>278</v>
      </c>
      <c r="F56" s="259" t="s">
        <v>70</v>
      </c>
      <c r="G56" s="82"/>
      <c r="H56" s="259" t="s">
        <v>79</v>
      </c>
      <c r="I56" s="259" t="s">
        <v>77</v>
      </c>
      <c r="O56" s="173">
        <v>16.698613171254635</v>
      </c>
      <c r="P56" s="173">
        <v>17.663787401309456</v>
      </c>
      <c r="Q56" s="173">
        <v>18.56236814960236</v>
      </c>
      <c r="R56" s="173">
        <v>19.498539735058909</v>
      </c>
      <c r="S56" s="173">
        <v>20.387851834722618</v>
      </c>
      <c r="U56" s="174" t="s">
        <v>506</v>
      </c>
      <c r="W56" s="174" t="s">
        <v>517</v>
      </c>
    </row>
    <row r="57" spans="2:23" ht="12.75" x14ac:dyDescent="0.35">
      <c r="C57" s="171">
        <v>5</v>
      </c>
      <c r="D57" s="85" t="s">
        <v>249</v>
      </c>
      <c r="E57" s="259" t="s">
        <v>279</v>
      </c>
      <c r="F57" s="259" t="s">
        <v>70</v>
      </c>
      <c r="G57" s="82"/>
      <c r="H57" s="259" t="s">
        <v>79</v>
      </c>
      <c r="I57" s="259" t="s">
        <v>77</v>
      </c>
      <c r="O57" s="173">
        <v>6.1022661908951985</v>
      </c>
      <c r="P57" s="173">
        <v>6.4549751261812496</v>
      </c>
      <c r="Q57" s="173">
        <v>6.7833484386151417</v>
      </c>
      <c r="R57" s="173">
        <v>7.1254587777325451</v>
      </c>
      <c r="S57" s="173">
        <v>7.4504449968440651</v>
      </c>
      <c r="U57" s="174" t="s">
        <v>506</v>
      </c>
      <c r="W57" s="174" t="s">
        <v>517</v>
      </c>
    </row>
    <row r="58" spans="2:23" ht="12.75" x14ac:dyDescent="0.35">
      <c r="C58" s="171">
        <v>6</v>
      </c>
      <c r="D58" s="85" t="s">
        <v>250</v>
      </c>
      <c r="E58" s="259" t="s">
        <v>278</v>
      </c>
      <c r="F58" s="259" t="s">
        <v>69</v>
      </c>
      <c r="G58" s="82"/>
      <c r="H58" s="259" t="s">
        <v>79</v>
      </c>
      <c r="I58" s="259" t="s">
        <v>77</v>
      </c>
      <c r="O58" s="173">
        <v>7.7663432305681681</v>
      </c>
      <c r="P58" s="173">
        <v>8.7681867710579571</v>
      </c>
      <c r="Q58" s="173">
        <v>9.8503541598646827</v>
      </c>
      <c r="R58" s="173">
        <v>9.8896650531548396</v>
      </c>
      <c r="S58" s="173">
        <v>10.9005001019767</v>
      </c>
      <c r="U58" s="174" t="s">
        <v>506</v>
      </c>
      <c r="W58" s="174" t="s">
        <v>518</v>
      </c>
    </row>
    <row r="59" spans="2:23" ht="12.75" x14ac:dyDescent="0.35">
      <c r="C59" s="171">
        <v>6</v>
      </c>
      <c r="D59" s="85" t="s">
        <v>250</v>
      </c>
      <c r="E59" s="259" t="s">
        <v>279</v>
      </c>
      <c r="F59" s="259" t="s">
        <v>69</v>
      </c>
      <c r="G59" s="82"/>
      <c r="H59" s="259" t="s">
        <v>79</v>
      </c>
      <c r="I59" s="259" t="s">
        <v>77</v>
      </c>
      <c r="O59" s="173">
        <v>2.6913662416781245</v>
      </c>
      <c r="P59" s="173">
        <v>3.0385473801198071</v>
      </c>
      <c r="Q59" s="173">
        <v>3.4135641275918753</v>
      </c>
      <c r="R59" s="173">
        <v>5.0640524534262692</v>
      </c>
      <c r="S59" s="173">
        <v>5.8379299574555219</v>
      </c>
      <c r="U59" s="174" t="s">
        <v>506</v>
      </c>
      <c r="W59" s="174" t="s">
        <v>518</v>
      </c>
    </row>
    <row r="60" spans="2:23" ht="11.25" customHeight="1" x14ac:dyDescent="0.3"/>
    <row r="61" spans="2:23" ht="11.25" customHeight="1" x14ac:dyDescent="0.3"/>
    <row r="62" spans="2:23" s="2" customFormat="1" ht="15" x14ac:dyDescent="0.3">
      <c r="B62" s="2" t="s">
        <v>20</v>
      </c>
    </row>
  </sheetData>
  <conditionalFormatting sqref="B2">
    <cfRule type="cellIs" dxfId="34" priority="1" operator="notEqual">
      <formula>"No Errors Found"</formula>
    </cfRule>
  </conditionalFormatting>
  <dataValidations count="5">
    <dataValidation type="list" allowBlank="1" showInputMessage="1" showErrorMessage="1" sqref="I20:I28 I56:I59 I35:I49" xr:uid="{00000000-0002-0000-0300-000000000000}">
      <formula1>LU_Units</formula1>
    </dataValidation>
    <dataValidation type="list" allowBlank="1" showInputMessage="1" showErrorMessage="1" sqref="D56:D59 D20:D28 D35:D49" xr:uid="{00000000-0002-0000-0300-000001000000}">
      <formula1>LU_Tariffs</formula1>
    </dataValidation>
    <dataValidation type="list" allowBlank="1" showInputMessage="1" showErrorMessage="1" sqref="F20:F28 F56:F59 F35:F49" xr:uid="{00000000-0002-0000-0300-000002000000}">
      <formula1>LU_Tariff_Classes</formula1>
    </dataValidation>
    <dataValidation type="list" allowBlank="1" showInputMessage="1" showErrorMessage="1" sqref="K25:K28" xr:uid="{00000000-0002-0000-0300-000003000000}">
      <formula1>LU_Timing</formula1>
    </dataValidation>
    <dataValidation type="list" allowBlank="1" showInputMessage="1" showErrorMessage="1" sqref="J25:J28" xr:uid="{00000000-0002-0000-0300-000004000000}">
      <formula1>LU_Basis</formula1>
    </dataValidation>
  </dataValidations>
  <hyperlinks>
    <hyperlink ref="B3:E3" location="TOC!A1" display="TOC!A1"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EC933B7-9275-4F5C-9EC3-774B49D6E96B}">
          <x14:formula1>
            <xm:f>Output_RIN!$D$28:$D$40</xm:f>
          </x14:formula1>
          <xm:sqref>U35:U49 U56:U59 U20:U28</xm:sqref>
        </x14:dataValidation>
        <x14:dataValidation type="list" allowBlank="1" showInputMessage="1" showErrorMessage="1" xr:uid="{CB7DCA2E-9528-4A1F-A51D-E821FEAF4732}">
          <x14:formula1>
            <xm:f>Output_RIN!$D$51:$D$56</xm:f>
          </x14:formula1>
          <xm:sqref>W20:W28 W56:W59 W35:W49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A1:W62"/>
  <sheetViews>
    <sheetView showGridLines="0" zoomScaleNormal="100" workbookViewId="0">
      <pane xSplit="4" ySplit="9" topLeftCell="E10" activePane="bottomRight" state="frozen"/>
      <selection pane="topRight" activeCell="E1" sqref="E1"/>
      <selection pane="bottomLeft" activeCell="A10" sqref="A10"/>
      <selection pane="bottomRight" activeCell="U48" sqref="U48"/>
    </sheetView>
  </sheetViews>
  <sheetFormatPr defaultColWidth="9.33203125" defaultRowHeight="10.15" outlineLevelRow="1" x14ac:dyDescent="0.3"/>
  <cols>
    <col min="1" max="1" width="3.6640625" bestFit="1" customWidth="1"/>
    <col min="2" max="3" width="2.83203125" customWidth="1"/>
    <col min="4" max="4" width="34.33203125" bestFit="1" customWidth="1"/>
    <col min="5" max="5" width="23.33203125" bestFit="1" customWidth="1"/>
    <col min="6" max="6" width="14.6640625" bestFit="1" customWidth="1"/>
    <col min="7" max="7" width="2.5" customWidth="1"/>
    <col min="8" max="8" width="8.6640625" bestFit="1" customWidth="1"/>
    <col min="9" max="9" width="10.33203125" bestFit="1" customWidth="1"/>
    <col min="10" max="10" width="3.5" customWidth="1"/>
    <col min="11" max="11" width="10.5" customWidth="1"/>
    <col min="12" max="12" width="2.5" customWidth="1"/>
    <col min="13" max="14" width="2.58203125" customWidth="1"/>
    <col min="15" max="19" width="16.5" customWidth="1"/>
    <col min="20" max="20" width="4" customWidth="1"/>
    <col min="21" max="21" width="55.4140625" bestFit="1" customWidth="1"/>
    <col min="22" max="22" width="4" customWidth="1"/>
    <col min="23" max="23" width="70.25" bestFit="1" customWidth="1"/>
    <col min="24" max="24" width="10.83203125" customWidth="1"/>
  </cols>
  <sheetData>
    <row r="1" spans="1:21" ht="18.75" x14ac:dyDescent="0.3">
      <c r="A1" s="59">
        <f>IF(SUM($A6:$A62)&gt;0,1,0)</f>
        <v>0</v>
      </c>
      <c r="B1" s="3" t="s">
        <v>91</v>
      </c>
    </row>
    <row r="2" spans="1:21" x14ac:dyDescent="0.3">
      <c r="B2" s="13" t="str">
        <f ca="1">Title_Msg</f>
        <v>No Errors Found</v>
      </c>
    </row>
    <row r="3" spans="1:21" x14ac:dyDescent="0.3">
      <c r="B3" s="46" t="str">
        <f>TOC!B1</f>
        <v>Table of contents</v>
      </c>
      <c r="C3" s="42"/>
      <c r="D3" s="42"/>
      <c r="E3" s="42"/>
    </row>
    <row r="4" spans="1:21" ht="13.15" x14ac:dyDescent="0.3">
      <c r="B4" s="40" t="str">
        <f>Model_Name</f>
        <v>Pricing Model - Power and Water Corporation</v>
      </c>
    </row>
    <row r="5" spans="1:21" ht="12.75" hidden="1" outlineLevel="1" x14ac:dyDescent="0.3">
      <c r="B5" s="10"/>
      <c r="J5" s="51"/>
      <c r="K5" s="51"/>
      <c r="L5" s="51"/>
      <c r="M5" s="51"/>
      <c r="N5" s="51"/>
      <c r="O5" s="51"/>
      <c r="P5" s="51"/>
      <c r="Q5" s="51"/>
      <c r="R5" s="51"/>
      <c r="S5" s="51"/>
    </row>
    <row r="6" spans="1:21" ht="12.75" hidden="1" outlineLevel="1" x14ac:dyDescent="0.3">
      <c r="B6" s="10"/>
      <c r="J6" s="51"/>
      <c r="K6" s="51"/>
      <c r="L6" s="51"/>
      <c r="M6" s="51"/>
      <c r="N6" s="51"/>
      <c r="O6" s="51"/>
      <c r="P6" s="51"/>
      <c r="Q6" s="51"/>
      <c r="R6" s="51"/>
      <c r="S6" s="51"/>
    </row>
    <row r="7" spans="1:21" ht="12.75" hidden="1" outlineLevel="1" x14ac:dyDescent="0.3">
      <c r="B7" s="10"/>
      <c r="J7" s="52"/>
      <c r="K7" s="52"/>
      <c r="L7" s="52"/>
      <c r="M7" s="52"/>
      <c r="N7" s="52"/>
      <c r="O7" s="52"/>
      <c r="P7" s="52"/>
      <c r="Q7" s="52"/>
      <c r="R7" s="52"/>
      <c r="S7" s="52"/>
    </row>
    <row r="8" spans="1:21" ht="12.75" hidden="1" outlineLevel="1" x14ac:dyDescent="0.3">
      <c r="B8" s="10"/>
      <c r="J8" s="53"/>
      <c r="K8" s="53"/>
      <c r="L8" s="53"/>
      <c r="M8" s="53"/>
      <c r="N8" s="53"/>
      <c r="O8" s="53"/>
      <c r="P8" s="53"/>
      <c r="Q8" s="53"/>
      <c r="R8" s="53"/>
      <c r="S8" s="53"/>
    </row>
    <row r="9" spans="1:21" ht="13.15" collapsed="1" x14ac:dyDescent="0.3">
      <c r="B9" s="5" t="str">
        <f>Lookup!B19</f>
        <v>FY</v>
      </c>
      <c r="D9" s="260" t="s">
        <v>118</v>
      </c>
      <c r="E9" s="50" t="s">
        <v>61</v>
      </c>
      <c r="F9" s="50" t="s">
        <v>62</v>
      </c>
      <c r="H9" s="50" t="str">
        <f>Lookup!E19</f>
        <v>Source</v>
      </c>
      <c r="I9" s="50" t="str">
        <f>Lookup!F19</f>
        <v>Unit</v>
      </c>
      <c r="J9" s="50"/>
      <c r="K9" s="50"/>
      <c r="L9" s="50"/>
      <c r="M9" s="50"/>
      <c r="N9" s="50"/>
      <c r="O9" s="50" t="str">
        <f>Lookup!O19</f>
        <v>FY25</v>
      </c>
      <c r="P9" s="50" t="str">
        <f>Lookup!P19</f>
        <v>FY26</v>
      </c>
      <c r="Q9" s="50" t="str">
        <f>Lookup!Q19</f>
        <v>FY27</v>
      </c>
      <c r="R9" s="50" t="str">
        <f>Lookup!R19</f>
        <v>FY28</v>
      </c>
      <c r="S9" s="50" t="str">
        <f>Lookup!S19</f>
        <v>FY29</v>
      </c>
      <c r="U9" s="60"/>
    </row>
    <row r="11" spans="1:21" s="2" customFormat="1" ht="15" x14ac:dyDescent="0.3">
      <c r="B11" s="2" t="s">
        <v>688</v>
      </c>
    </row>
    <row r="12" spans="1:21" ht="11.25" customHeight="1" x14ac:dyDescent="0.3"/>
    <row r="13" spans="1:21" ht="11.25" customHeight="1" x14ac:dyDescent="0.3">
      <c r="D13" s="105" t="s">
        <v>214</v>
      </c>
    </row>
    <row r="14" spans="1:21" ht="11.25" customHeight="1" x14ac:dyDescent="0.3"/>
    <row r="15" spans="1:21" ht="11.25" customHeight="1" x14ac:dyDescent="0.3"/>
    <row r="16" spans="1:21" s="8" customFormat="1" ht="13.9" x14ac:dyDescent="0.3">
      <c r="C16" s="8" t="str">
        <f>Inputs_Prices!C16</f>
        <v>System access charge</v>
      </c>
    </row>
    <row r="17" spans="3:19" ht="11.25" customHeight="1" x14ac:dyDescent="0.3"/>
    <row r="18" spans="3:19" ht="11.25" customHeight="1" x14ac:dyDescent="0.35">
      <c r="C18" s="172" t="s">
        <v>5</v>
      </c>
      <c r="D18" s="70" t="str">
        <f>D$9</f>
        <v>Tariff</v>
      </c>
      <c r="E18" s="54" t="str">
        <f>E$9</f>
        <v>Tariff Components</v>
      </c>
      <c r="F18" s="54" t="str">
        <f>F$9</f>
        <v>Tariff Class</v>
      </c>
      <c r="H18" s="54" t="str">
        <f>Lookup!E$19</f>
        <v>Source</v>
      </c>
      <c r="I18" s="54" t="str">
        <f>Lookup!F$19</f>
        <v>Unit</v>
      </c>
      <c r="M18" s="130"/>
      <c r="N18" s="130"/>
      <c r="O18" s="54" t="str">
        <f>O$9</f>
        <v>FY25</v>
      </c>
      <c r="P18" s="54" t="str">
        <f>P$9</f>
        <v>FY26</v>
      </c>
      <c r="Q18" s="54" t="str">
        <f>Q$9</f>
        <v>FY27</v>
      </c>
      <c r="R18" s="54" t="str">
        <f>R$9</f>
        <v>FY28</v>
      </c>
      <c r="S18" s="54" t="str">
        <f>S$9</f>
        <v>FY29</v>
      </c>
    </row>
    <row r="19" spans="3:19" ht="11.25" customHeight="1" x14ac:dyDescent="0.35">
      <c r="D19" s="1"/>
      <c r="M19" s="130"/>
    </row>
    <row r="20" spans="3:19" ht="12.75" x14ac:dyDescent="0.35">
      <c r="C20" s="171">
        <f>Inputs_Prices!C20</f>
        <v>1</v>
      </c>
      <c r="D20" s="76" t="str">
        <f>Inputs_Prices!D20</f>
        <v>Residential Accumulation</v>
      </c>
      <c r="E20" s="259" t="s">
        <v>105</v>
      </c>
      <c r="F20" s="259" t="str">
        <f>Inputs_Prices!F20</f>
        <v>LV &lt;750MWh</v>
      </c>
      <c r="H20" s="259" t="s">
        <v>79</v>
      </c>
      <c r="I20" s="259" t="s">
        <v>80</v>
      </c>
      <c r="J20" s="78"/>
      <c r="K20" s="78"/>
      <c r="M20" s="130"/>
      <c r="N20" s="130"/>
      <c r="O20" s="64">
        <v>15990924.967128126</v>
      </c>
      <c r="P20" s="64">
        <v>15240954.90962567</v>
      </c>
      <c r="Q20" s="64">
        <v>14490808.9955173</v>
      </c>
      <c r="R20" s="64">
        <v>13778132.395281928</v>
      </c>
      <c r="S20" s="64">
        <v>12989989.597482815</v>
      </c>
    </row>
    <row r="21" spans="3:19" ht="12.75" x14ac:dyDescent="0.35">
      <c r="C21" s="171">
        <f>Inputs_Prices!C21</f>
        <v>2</v>
      </c>
      <c r="D21" s="76" t="str">
        <f>Inputs_Prices!D21</f>
        <v>Non-Residential Accumulation</v>
      </c>
      <c r="E21" s="259" t="s">
        <v>105</v>
      </c>
      <c r="F21" s="259" t="str">
        <f>Inputs_Prices!F21</f>
        <v>LV &lt;750MWh</v>
      </c>
      <c r="H21" s="259" t="s">
        <v>79</v>
      </c>
      <c r="I21" s="259" t="s">
        <v>80</v>
      </c>
      <c r="J21" s="78"/>
      <c r="K21" s="78"/>
      <c r="M21" s="130"/>
      <c r="N21" s="130"/>
      <c r="O21" s="64">
        <v>800324.62284740061</v>
      </c>
      <c r="P21" s="64">
        <v>432704.96689856815</v>
      </c>
      <c r="Q21" s="64">
        <v>65009.006999251724</v>
      </c>
      <c r="R21" s="64">
        <v>0</v>
      </c>
      <c r="S21" s="64">
        <v>0</v>
      </c>
    </row>
    <row r="22" spans="3:19" ht="12.75" x14ac:dyDescent="0.35">
      <c r="C22" s="171" t="str">
        <f>Inputs_Prices!C22</f>
        <v>3a</v>
      </c>
      <c r="D22" s="76" t="str">
        <f>Inputs_Prices!D22</f>
        <v>LV Smart Meter - Res</v>
      </c>
      <c r="E22" s="259" t="s">
        <v>105</v>
      </c>
      <c r="F22" s="259" t="str">
        <f>Inputs_Prices!F22</f>
        <v>LV &lt;750MWh</v>
      </c>
      <c r="H22" s="259" t="s">
        <v>79</v>
      </c>
      <c r="I22" s="259" t="s">
        <v>80</v>
      </c>
      <c r="J22" s="78"/>
      <c r="K22" s="78"/>
      <c r="M22" s="130"/>
      <c r="N22" s="130"/>
      <c r="O22" s="64">
        <v>10666693.049606811</v>
      </c>
      <c r="P22" s="64">
        <v>11496543.337119088</v>
      </c>
      <c r="Q22" s="64">
        <v>12327272.907660939</v>
      </c>
      <c r="R22" s="64">
        <v>13194933.492085062</v>
      </c>
      <c r="S22" s="64">
        <v>13991369.897833377</v>
      </c>
    </row>
    <row r="23" spans="3:19" ht="12.75" x14ac:dyDescent="0.35">
      <c r="C23" s="171" t="str">
        <f>Inputs_Prices!C23</f>
        <v>3b</v>
      </c>
      <c r="D23" s="76" t="str">
        <f>Inputs_Prices!D23</f>
        <v>LV Smart Meter - Small Comm</v>
      </c>
      <c r="E23" s="259" t="s">
        <v>105</v>
      </c>
      <c r="F23" s="259" t="str">
        <f>Inputs_Prices!F23</f>
        <v>LV &lt;750MWh</v>
      </c>
      <c r="H23" s="259" t="s">
        <v>79</v>
      </c>
      <c r="I23" s="259" t="s">
        <v>80</v>
      </c>
      <c r="J23" s="78"/>
      <c r="K23" s="78"/>
      <c r="M23" s="130"/>
      <c r="N23" s="130"/>
      <c r="O23" s="64">
        <v>3031463.3093708484</v>
      </c>
      <c r="P23" s="64">
        <v>3409561.589115011</v>
      </c>
      <c r="Q23" s="64">
        <v>3788041.3886115928</v>
      </c>
      <c r="R23" s="64">
        <v>3874734.1582078049</v>
      </c>
      <c r="S23" s="64">
        <v>3875565.9431800619</v>
      </c>
    </row>
    <row r="24" spans="3:19" ht="12.75" x14ac:dyDescent="0.35">
      <c r="C24" s="171" t="str">
        <f>Inputs_Prices!C24</f>
        <v>3c</v>
      </c>
      <c r="D24" s="76" t="str">
        <f>Inputs_Prices!D24</f>
        <v>LV Smart Meter - Med Comm</v>
      </c>
      <c r="E24" s="259" t="s">
        <v>105</v>
      </c>
      <c r="F24" s="259" t="str">
        <f>Inputs_Prices!F24</f>
        <v>LV &lt;750MWh</v>
      </c>
      <c r="H24" s="259" t="s">
        <v>79</v>
      </c>
      <c r="I24" s="259" t="s">
        <v>80</v>
      </c>
      <c r="J24" s="78"/>
      <c r="K24" s="78"/>
      <c r="M24" s="130"/>
      <c r="N24" s="130"/>
      <c r="O24" s="64">
        <v>275188.98946459033</v>
      </c>
      <c r="P24" s="64">
        <v>285102.59445937391</v>
      </c>
      <c r="Q24" s="64">
        <v>294664.95223156892</v>
      </c>
      <c r="R24" s="64">
        <v>304708.59993948007</v>
      </c>
      <c r="S24" s="64">
        <v>312735.92610819358</v>
      </c>
    </row>
    <row r="25" spans="3:19" ht="12.75" x14ac:dyDescent="0.35">
      <c r="C25" s="171">
        <f>Inputs_Prices!C25</f>
        <v>4</v>
      </c>
      <c r="D25" s="76" t="str">
        <f>Inputs_Prices!D25</f>
        <v>Unmetered</v>
      </c>
      <c r="E25" s="259" t="s">
        <v>105</v>
      </c>
      <c r="F25" s="259" t="str">
        <f>Inputs_Prices!F25</f>
        <v>LV &lt;750MWh</v>
      </c>
      <c r="H25" s="259" t="s">
        <v>79</v>
      </c>
      <c r="I25" s="259" t="s">
        <v>80</v>
      </c>
      <c r="J25" s="78"/>
      <c r="K25" s="78"/>
      <c r="M25" s="130"/>
      <c r="N25" s="130"/>
      <c r="O25" s="64">
        <v>0</v>
      </c>
      <c r="P25" s="64">
        <v>0</v>
      </c>
      <c r="Q25" s="64">
        <v>0</v>
      </c>
      <c r="R25" s="64">
        <v>0</v>
      </c>
      <c r="S25" s="64">
        <v>0</v>
      </c>
    </row>
    <row r="26" spans="3:19" ht="12.75" x14ac:dyDescent="0.35">
      <c r="C26" s="171">
        <f>Inputs_Prices!C26</f>
        <v>5</v>
      </c>
      <c r="D26" s="76" t="str">
        <f>Inputs_Prices!D26</f>
        <v>LV Majors</v>
      </c>
      <c r="E26" s="259" t="s">
        <v>105</v>
      </c>
      <c r="F26" s="259" t="str">
        <f>Inputs_Prices!F26</f>
        <v>LV &gt;750MWh</v>
      </c>
      <c r="H26" s="259" t="s">
        <v>79</v>
      </c>
      <c r="I26" s="259" t="s">
        <v>80</v>
      </c>
      <c r="J26" s="78"/>
      <c r="K26" s="78"/>
      <c r="M26" s="130"/>
      <c r="N26" s="130"/>
      <c r="O26" s="64">
        <v>57648.774578067954</v>
      </c>
      <c r="P26" s="64">
        <v>58609.578144486928</v>
      </c>
      <c r="Q26" s="64">
        <v>59567.534800071044</v>
      </c>
      <c r="R26" s="64">
        <v>60688.38516733436</v>
      </c>
      <c r="S26" s="64">
        <v>61474.606836545128</v>
      </c>
    </row>
    <row r="27" spans="3:19" ht="12.75" x14ac:dyDescent="0.35">
      <c r="C27" s="171">
        <f>Inputs_Prices!C27</f>
        <v>6</v>
      </c>
      <c r="D27" s="76" t="str">
        <f>Inputs_Prices!D27</f>
        <v>HV Smart Meters</v>
      </c>
      <c r="E27" s="259" t="s">
        <v>105</v>
      </c>
      <c r="F27" s="259" t="str">
        <f>Inputs_Prices!F27</f>
        <v>HV</v>
      </c>
      <c r="H27" s="259" t="s">
        <v>79</v>
      </c>
      <c r="I27" s="259" t="s">
        <v>80</v>
      </c>
      <c r="J27" s="78"/>
      <c r="K27" s="78"/>
      <c r="M27" s="130"/>
      <c r="N27" s="130"/>
      <c r="O27" s="64">
        <v>13732.822213186861</v>
      </c>
      <c r="P27" s="64">
        <v>14901.435261441384</v>
      </c>
      <c r="Q27" s="64">
        <v>16190.551131625338</v>
      </c>
      <c r="R27" s="64">
        <v>17648.389467091463</v>
      </c>
      <c r="S27" s="64">
        <v>19130.291337781629</v>
      </c>
    </row>
    <row r="28" spans="3:19" ht="12.75" x14ac:dyDescent="0.35">
      <c r="C28" s="171">
        <f>Inputs_Prices!C28</f>
        <v>7</v>
      </c>
      <c r="D28" s="76" t="str">
        <f>Inputs_Prices!D28</f>
        <v>Super Users</v>
      </c>
      <c r="E28" s="259" t="s">
        <v>105</v>
      </c>
      <c r="F28" s="259" t="str">
        <f>Inputs_Prices!F28</f>
        <v>HV</v>
      </c>
      <c r="H28" s="259" t="s">
        <v>79</v>
      </c>
      <c r="I28" s="259" t="s">
        <v>80</v>
      </c>
      <c r="J28" s="78"/>
      <c r="K28" s="78"/>
      <c r="M28" s="130"/>
      <c r="N28" s="130"/>
      <c r="O28" s="64">
        <v>5035.3681448351817</v>
      </c>
      <c r="P28" s="64">
        <v>5463.8595958618398</v>
      </c>
      <c r="Q28" s="64">
        <v>5936.5354149292898</v>
      </c>
      <c r="R28" s="64">
        <v>6471.0761379335354</v>
      </c>
      <c r="S28" s="64">
        <v>7014.4401571865974</v>
      </c>
    </row>
    <row r="29" spans="3:19" ht="11.25" customHeight="1" x14ac:dyDescent="0.3"/>
    <row r="30" spans="3:19" ht="11.25" customHeight="1" x14ac:dyDescent="0.3"/>
    <row r="31" spans="3:19" s="8" customFormat="1" ht="13.9" x14ac:dyDescent="0.3">
      <c r="C31" s="8" t="str">
        <f>Inputs_Prices!C31</f>
        <v>Consumption</v>
      </c>
    </row>
    <row r="32" spans="3:19" ht="11.25" customHeight="1" x14ac:dyDescent="0.3"/>
    <row r="33" spans="3:23" ht="11.25" customHeight="1" x14ac:dyDescent="0.35">
      <c r="C33" s="172" t="s">
        <v>5</v>
      </c>
      <c r="D33" s="70" t="str">
        <f>D$9</f>
        <v>Tariff</v>
      </c>
      <c r="E33" s="54" t="str">
        <f>E$9</f>
        <v>Tariff Components</v>
      </c>
      <c r="F33" s="54" t="str">
        <f>F$9</f>
        <v>Tariff Class</v>
      </c>
      <c r="H33" s="54" t="str">
        <f>Lookup!E$19</f>
        <v>Source</v>
      </c>
      <c r="I33" s="54" t="str">
        <f>Lookup!F$19</f>
        <v>Unit</v>
      </c>
      <c r="M33" s="130"/>
      <c r="N33" s="130"/>
      <c r="O33" s="54" t="str">
        <f>O$9</f>
        <v>FY25</v>
      </c>
      <c r="P33" s="54" t="str">
        <f>P$9</f>
        <v>FY26</v>
      </c>
      <c r="Q33" s="54" t="str">
        <f>Q$9</f>
        <v>FY27</v>
      </c>
      <c r="R33" s="54" t="str">
        <f>R$9</f>
        <v>FY28</v>
      </c>
      <c r="S33" s="54" t="str">
        <f>S$9</f>
        <v>FY29</v>
      </c>
      <c r="U33" s="70" t="s">
        <v>530</v>
      </c>
      <c r="W33" s="70" t="s">
        <v>538</v>
      </c>
    </row>
    <row r="34" spans="3:23" ht="11.25" customHeight="1" x14ac:dyDescent="0.35">
      <c r="D34" s="1"/>
      <c r="M34" s="130"/>
      <c r="N34" s="130"/>
      <c r="O34" s="130"/>
      <c r="P34" s="130"/>
      <c r="Q34" s="130"/>
      <c r="R34" s="130"/>
      <c r="S34" s="130"/>
      <c r="U34" s="1"/>
    </row>
    <row r="35" spans="3:23" ht="12.75" x14ac:dyDescent="0.35">
      <c r="C35" s="171">
        <f>Inputs_Prices!C35</f>
        <v>1</v>
      </c>
      <c r="D35" s="76" t="str">
        <f>Inputs_Prices!D35</f>
        <v>Residential Accumulation</v>
      </c>
      <c r="E35" s="259" t="str">
        <f>Inputs_Prices!E35</f>
        <v>Anytime Energy</v>
      </c>
      <c r="F35" s="259" t="str">
        <f>Inputs_Prices!F35</f>
        <v>LV &lt;750MWh</v>
      </c>
      <c r="H35" s="259" t="s">
        <v>79</v>
      </c>
      <c r="I35" s="259" t="s">
        <v>82</v>
      </c>
      <c r="M35" s="130"/>
      <c r="N35" s="130"/>
      <c r="O35" s="64">
        <v>400425960.28682214</v>
      </c>
      <c r="P35" s="64">
        <v>377829630.10215068</v>
      </c>
      <c r="Q35" s="64">
        <v>355640867.96210951</v>
      </c>
      <c r="R35" s="64">
        <v>333853825.2984547</v>
      </c>
      <c r="S35" s="64">
        <v>312462729.32590675</v>
      </c>
      <c r="U35" s="174" t="s">
        <v>522</v>
      </c>
      <c r="W35" s="174" t="s">
        <v>533</v>
      </c>
    </row>
    <row r="36" spans="3:23" ht="12.75" x14ac:dyDescent="0.35">
      <c r="C36" s="171">
        <f>Inputs_Prices!C36</f>
        <v>2</v>
      </c>
      <c r="D36" s="76" t="str">
        <f>Inputs_Prices!D36</f>
        <v>Non-Residential Accumulation</v>
      </c>
      <c r="E36" s="259" t="str">
        <f>Inputs_Prices!E36</f>
        <v>Anytime Energy</v>
      </c>
      <c r="F36" s="259" t="str">
        <f>Inputs_Prices!F36</f>
        <v>LV &lt;750MWh</v>
      </c>
      <c r="H36" s="259" t="s">
        <v>79</v>
      </c>
      <c r="I36" s="259" t="s">
        <v>82</v>
      </c>
      <c r="M36" s="130"/>
      <c r="N36" s="130"/>
      <c r="O36" s="64">
        <v>35576298.720509283</v>
      </c>
      <c r="P36" s="64">
        <v>19042398.938580561</v>
      </c>
      <c r="Q36" s="64">
        <v>2832295.1321915495</v>
      </c>
      <c r="R36" s="64">
        <v>0</v>
      </c>
      <c r="S36" s="64">
        <v>0</v>
      </c>
      <c r="U36" s="174" t="s">
        <v>522</v>
      </c>
      <c r="W36" s="174" t="s">
        <v>534</v>
      </c>
    </row>
    <row r="37" spans="3:23" ht="12.75" x14ac:dyDescent="0.35">
      <c r="C37" s="171" t="str">
        <f>Inputs_Prices!C37</f>
        <v>3a</v>
      </c>
      <c r="D37" s="76" t="str">
        <f>Inputs_Prices!D37</f>
        <v>LV Smart Meter - Res</v>
      </c>
      <c r="E37" s="259" t="str">
        <f>Inputs_Prices!E37</f>
        <v>Peak Energy</v>
      </c>
      <c r="F37" s="259" t="str">
        <f>Inputs_Prices!F37</f>
        <v>LV &lt;750MWh</v>
      </c>
      <c r="H37" s="259" t="s">
        <v>79</v>
      </c>
      <c r="I37" s="259" t="s">
        <v>82</v>
      </c>
      <c r="J37" s="78"/>
      <c r="K37" s="78"/>
      <c r="M37" s="130"/>
      <c r="N37" s="130"/>
      <c r="O37" s="64">
        <v>28009647.675637197</v>
      </c>
      <c r="P37" s="64">
        <v>28321121.892641019</v>
      </c>
      <c r="Q37" s="64">
        <v>28638161.726089261</v>
      </c>
      <c r="R37" s="64">
        <v>28478756.694909725</v>
      </c>
      <c r="S37" s="64">
        <v>27749238.434543826</v>
      </c>
      <c r="U37" s="174" t="s">
        <v>523</v>
      </c>
      <c r="W37" s="174" t="s">
        <v>533</v>
      </c>
    </row>
    <row r="38" spans="3:23" ht="12.75" x14ac:dyDescent="0.35">
      <c r="C38" s="171" t="str">
        <f>Inputs_Prices!C38</f>
        <v>3a</v>
      </c>
      <c r="D38" s="76" t="str">
        <f>Inputs_Prices!D38</f>
        <v>LV Smart Meter - Res</v>
      </c>
      <c r="E38" s="259" t="str">
        <f>Inputs_Prices!E38</f>
        <v>Off-peak Energy</v>
      </c>
      <c r="F38" s="259" t="str">
        <f>Inputs_Prices!F38</f>
        <v>LV &lt;750MWh</v>
      </c>
      <c r="H38" s="259" t="s">
        <v>79</v>
      </c>
      <c r="I38" s="259" t="s">
        <v>82</v>
      </c>
      <c r="J38" s="78"/>
      <c r="K38" s="78"/>
      <c r="M38" s="130"/>
      <c r="N38" s="130"/>
      <c r="O38" s="64">
        <v>132285892.53471617</v>
      </c>
      <c r="P38" s="64">
        <v>133756944.41209273</v>
      </c>
      <c r="Q38" s="64">
        <v>135254281.96601132</v>
      </c>
      <c r="R38" s="64">
        <v>134501432.90956098</v>
      </c>
      <c r="S38" s="64">
        <v>131056013.84144409</v>
      </c>
      <c r="U38" s="174" t="s">
        <v>524</v>
      </c>
      <c r="W38" s="174" t="s">
        <v>533</v>
      </c>
    </row>
    <row r="39" spans="3:23" ht="12.75" x14ac:dyDescent="0.35">
      <c r="C39" s="171" t="str">
        <f>Inputs_Prices!C39</f>
        <v>3a</v>
      </c>
      <c r="D39" s="76" t="str">
        <f>Inputs_Prices!D39</f>
        <v>LV Smart Meter - Res</v>
      </c>
      <c r="E39" s="259" t="str">
        <f>Inputs_Prices!E39</f>
        <v>Super Off-peak Energy</v>
      </c>
      <c r="F39" s="259" t="str">
        <f>Inputs_Prices!F39</f>
        <v>LV &lt;750MWh</v>
      </c>
      <c r="H39" s="259" t="s">
        <v>79</v>
      </c>
      <c r="I39" s="259" t="s">
        <v>82</v>
      </c>
      <c r="J39" s="78"/>
      <c r="K39" s="78"/>
      <c r="M39" s="130"/>
      <c r="N39" s="130"/>
      <c r="O39" s="64">
        <v>42137912.20656772</v>
      </c>
      <c r="P39" s="64">
        <v>42606496.223143287</v>
      </c>
      <c r="Q39" s="64">
        <v>43083453.19248949</v>
      </c>
      <c r="R39" s="64">
        <v>42843643.135365099</v>
      </c>
      <c r="S39" s="64">
        <v>41746150.701173425</v>
      </c>
      <c r="U39" s="174" t="s">
        <v>525</v>
      </c>
      <c r="W39" s="174" t="s">
        <v>533</v>
      </c>
    </row>
    <row r="40" spans="3:23" ht="12.75" x14ac:dyDescent="0.35">
      <c r="C40" s="171" t="str">
        <f>Inputs_Prices!C40</f>
        <v>3b</v>
      </c>
      <c r="D40" s="76" t="str">
        <f>Inputs_Prices!D40</f>
        <v>LV Smart Meter - Small Comm</v>
      </c>
      <c r="E40" s="259" t="str">
        <f>Inputs_Prices!E40</f>
        <v>Peak Energy</v>
      </c>
      <c r="F40" s="259" t="str">
        <f>Inputs_Prices!F40</f>
        <v>LV &lt;750MWh</v>
      </c>
      <c r="H40" s="259" t="s">
        <v>79</v>
      </c>
      <c r="I40" s="259" t="s">
        <v>82</v>
      </c>
      <c r="J40" s="78"/>
      <c r="K40" s="78"/>
      <c r="M40" s="130"/>
      <c r="N40" s="130"/>
      <c r="O40" s="64">
        <v>30847220.254758533</v>
      </c>
      <c r="P40" s="64">
        <v>32548245.434567746</v>
      </c>
      <c r="Q40" s="64">
        <v>34101910.642188445</v>
      </c>
      <c r="R40" s="64">
        <v>32407206.840222884</v>
      </c>
      <c r="S40" s="64">
        <v>29785975.709506147</v>
      </c>
      <c r="U40" s="174" t="s">
        <v>523</v>
      </c>
      <c r="W40" s="174" t="s">
        <v>535</v>
      </c>
    </row>
    <row r="41" spans="3:23" ht="12.75" x14ac:dyDescent="0.35">
      <c r="C41" s="171" t="str">
        <f>Inputs_Prices!C41</f>
        <v>3b</v>
      </c>
      <c r="D41" s="76" t="str">
        <f>Inputs_Prices!D41</f>
        <v>LV Smart Meter - Small Comm</v>
      </c>
      <c r="E41" s="259" t="str">
        <f>Inputs_Prices!E41</f>
        <v>Off-peak Energy</v>
      </c>
      <c r="F41" s="259" t="str">
        <f>Inputs_Prices!F41</f>
        <v>LV &lt;750MWh</v>
      </c>
      <c r="H41" s="259" t="s">
        <v>79</v>
      </c>
      <c r="I41" s="259" t="s">
        <v>82</v>
      </c>
      <c r="J41" s="78"/>
      <c r="K41" s="78"/>
      <c r="M41" s="130"/>
      <c r="N41" s="130"/>
      <c r="O41" s="64">
        <v>124725294.03871137</v>
      </c>
      <c r="P41" s="64">
        <v>131603089.31383756</v>
      </c>
      <c r="Q41" s="64">
        <v>137885060.5338639</v>
      </c>
      <c r="R41" s="64">
        <v>131032824.63503702</v>
      </c>
      <c r="S41" s="64">
        <v>120434338.91016412</v>
      </c>
      <c r="U41" s="174" t="s">
        <v>524</v>
      </c>
      <c r="W41" s="174" t="s">
        <v>535</v>
      </c>
    </row>
    <row r="42" spans="3:23" ht="12.75" x14ac:dyDescent="0.35">
      <c r="C42" s="171" t="str">
        <f>Inputs_Prices!C42</f>
        <v>3b</v>
      </c>
      <c r="D42" s="76" t="str">
        <f>Inputs_Prices!D42</f>
        <v>LV Smart Meter - Small Comm</v>
      </c>
      <c r="E42" s="259" t="str">
        <f>Inputs_Prices!E42</f>
        <v>Super Off-peak Energy</v>
      </c>
      <c r="F42" s="259" t="str">
        <f>Inputs_Prices!F42</f>
        <v>LV &lt;750MWh</v>
      </c>
      <c r="H42" s="259" t="s">
        <v>79</v>
      </c>
      <c r="I42" s="259" t="s">
        <v>82</v>
      </c>
      <c r="J42" s="78"/>
      <c r="K42" s="78"/>
      <c r="M42" s="130"/>
      <c r="N42" s="130"/>
      <c r="O42" s="64">
        <v>75031588.315173715</v>
      </c>
      <c r="P42" s="64">
        <v>79169096.328898266</v>
      </c>
      <c r="Q42" s="64">
        <v>82948171.632120177</v>
      </c>
      <c r="R42" s="64">
        <v>78826039.49395372</v>
      </c>
      <c r="S42" s="64">
        <v>72450258.03116484</v>
      </c>
      <c r="U42" s="174" t="s">
        <v>525</v>
      </c>
      <c r="W42" s="174" t="s">
        <v>535</v>
      </c>
    </row>
    <row r="43" spans="3:23" ht="12.75" x14ac:dyDescent="0.35">
      <c r="C43" s="171" t="str">
        <f>Inputs_Prices!C43</f>
        <v>3c</v>
      </c>
      <c r="D43" s="76" t="str">
        <f>Inputs_Prices!D43</f>
        <v>LV Smart Meter - Med Comm</v>
      </c>
      <c r="E43" s="259" t="str">
        <f>Inputs_Prices!E43</f>
        <v>Peak Energy</v>
      </c>
      <c r="F43" s="259" t="str">
        <f>Inputs_Prices!F43</f>
        <v>LV &lt;750MWh</v>
      </c>
      <c r="H43" s="259" t="s">
        <v>79</v>
      </c>
      <c r="I43" s="259" t="s">
        <v>82</v>
      </c>
      <c r="J43" s="78"/>
      <c r="K43" s="78"/>
      <c r="M43" s="130"/>
      <c r="N43" s="130"/>
      <c r="O43" s="64">
        <v>25124591.324651275</v>
      </c>
      <c r="P43" s="64">
        <v>24419369.503987543</v>
      </c>
      <c r="Q43" s="64">
        <v>23801082.771803517</v>
      </c>
      <c r="R43" s="64">
        <v>22865917.700638164</v>
      </c>
      <c r="S43" s="64">
        <v>21565459.156040095</v>
      </c>
      <c r="U43" s="174" t="s">
        <v>523</v>
      </c>
      <c r="W43" s="174" t="s">
        <v>535</v>
      </c>
    </row>
    <row r="44" spans="3:23" ht="12.75" x14ac:dyDescent="0.35">
      <c r="C44" s="171" t="str">
        <f>Inputs_Prices!C44</f>
        <v>3c</v>
      </c>
      <c r="D44" s="76" t="str">
        <f>Inputs_Prices!D44</f>
        <v>LV Smart Meter - Med Comm</v>
      </c>
      <c r="E44" s="259" t="str">
        <f>Inputs_Prices!E44</f>
        <v>Off-peak Energy</v>
      </c>
      <c r="F44" s="259" t="str">
        <f>Inputs_Prices!F44</f>
        <v>LV &lt;750MWh</v>
      </c>
      <c r="H44" s="259" t="s">
        <v>79</v>
      </c>
      <c r="I44" s="259" t="s">
        <v>82</v>
      </c>
      <c r="J44" s="78"/>
      <c r="K44" s="78"/>
      <c r="M44" s="130"/>
      <c r="N44" s="130"/>
      <c r="O44" s="64">
        <v>119459196.58947024</v>
      </c>
      <c r="P44" s="64">
        <v>116106097.98478986</v>
      </c>
      <c r="Q44" s="64">
        <v>113166347.23086758</v>
      </c>
      <c r="R44" s="64">
        <v>108719943.83920971</v>
      </c>
      <c r="S44" s="64">
        <v>102536689.71466711</v>
      </c>
      <c r="U44" s="174" t="s">
        <v>524</v>
      </c>
      <c r="W44" s="174" t="s">
        <v>535</v>
      </c>
    </row>
    <row r="45" spans="3:23" ht="12.75" x14ac:dyDescent="0.35">
      <c r="C45" s="171" t="str">
        <f>Inputs_Prices!C45</f>
        <v>3c</v>
      </c>
      <c r="D45" s="76" t="str">
        <f>Inputs_Prices!D45</f>
        <v>LV Smart Meter - Med Comm</v>
      </c>
      <c r="E45" s="259" t="str">
        <f>Inputs_Prices!E45</f>
        <v>Super Off-peak Energy</v>
      </c>
      <c r="F45" s="259" t="str">
        <f>Inputs_Prices!F45</f>
        <v>LV &lt;750MWh</v>
      </c>
      <c r="H45" s="259" t="s">
        <v>79</v>
      </c>
      <c r="I45" s="259" t="s">
        <v>82</v>
      </c>
      <c r="J45" s="78"/>
      <c r="K45" s="78"/>
      <c r="M45" s="130"/>
      <c r="N45" s="130"/>
      <c r="O45" s="64">
        <v>56065087.24650725</v>
      </c>
      <c r="P45" s="64">
        <v>54491397.056177296</v>
      </c>
      <c r="Q45" s="64">
        <v>53111700.999221183</v>
      </c>
      <c r="R45" s="64">
        <v>51024896.456719853</v>
      </c>
      <c r="S45" s="64">
        <v>48122945.900739275</v>
      </c>
      <c r="U45" s="174" t="s">
        <v>525</v>
      </c>
      <c r="W45" s="174" t="s">
        <v>535</v>
      </c>
    </row>
    <row r="46" spans="3:23" ht="12.75" x14ac:dyDescent="0.35">
      <c r="C46" s="171">
        <f>Inputs_Prices!C46</f>
        <v>4</v>
      </c>
      <c r="D46" s="76" t="str">
        <f>Inputs_Prices!D46</f>
        <v>Unmetered</v>
      </c>
      <c r="E46" s="259" t="str">
        <f>Inputs_Prices!E46</f>
        <v>Anytime Energy</v>
      </c>
      <c r="F46" s="259" t="str">
        <f>Inputs_Prices!F46</f>
        <v>LV &lt;750MWh</v>
      </c>
      <c r="H46" s="259" t="s">
        <v>79</v>
      </c>
      <c r="I46" s="259" t="s">
        <v>82</v>
      </c>
      <c r="J46" s="78"/>
      <c r="K46" s="78"/>
      <c r="M46" s="130"/>
      <c r="N46" s="130"/>
      <c r="O46" s="64">
        <v>16314046.260000002</v>
      </c>
      <c r="P46" s="64">
        <v>16640327.1852</v>
      </c>
      <c r="Q46" s="64">
        <v>16973133.728903998</v>
      </c>
      <c r="R46" s="64">
        <v>17312596.40348208</v>
      </c>
      <c r="S46" s="64">
        <v>17658848.331551723</v>
      </c>
      <c r="U46" s="174" t="s">
        <v>527</v>
      </c>
      <c r="W46" s="174" t="s">
        <v>537</v>
      </c>
    </row>
    <row r="47" spans="3:23" ht="12.75" x14ac:dyDescent="0.35">
      <c r="C47" s="171">
        <f>Inputs_Prices!C47</f>
        <v>5</v>
      </c>
      <c r="D47" s="76" t="str">
        <f>Inputs_Prices!D47</f>
        <v>LV Majors</v>
      </c>
      <c r="E47" s="259" t="str">
        <f>Inputs_Prices!E47</f>
        <v>Anytime Energy</v>
      </c>
      <c r="F47" s="259" t="str">
        <f>Inputs_Prices!F47</f>
        <v>LV &gt;750MWh</v>
      </c>
      <c r="H47" s="259" t="s">
        <v>79</v>
      </c>
      <c r="I47" s="259" t="s">
        <v>82</v>
      </c>
      <c r="J47" s="78"/>
      <c r="K47" s="78"/>
      <c r="M47" s="130"/>
      <c r="N47" s="130"/>
      <c r="O47" s="64">
        <v>245892445.41075316</v>
      </c>
      <c r="P47" s="64">
        <v>247490706.85232043</v>
      </c>
      <c r="Q47" s="64">
        <v>249020512.38465446</v>
      </c>
      <c r="R47" s="64">
        <v>250482881.41422519</v>
      </c>
      <c r="S47" s="64">
        <v>251878816.63035405</v>
      </c>
      <c r="U47" s="174" t="s">
        <v>522</v>
      </c>
      <c r="W47" s="174" t="s">
        <v>535</v>
      </c>
    </row>
    <row r="48" spans="3:23" ht="12.75" x14ac:dyDescent="0.35">
      <c r="C48" s="171">
        <f>Inputs_Prices!C48</f>
        <v>6</v>
      </c>
      <c r="D48" s="76" t="str">
        <f>Inputs_Prices!D48</f>
        <v>HV Smart Meters</v>
      </c>
      <c r="E48" s="259" t="str">
        <f>Inputs_Prices!E48</f>
        <v>Anytime Energy</v>
      </c>
      <c r="F48" s="259" t="str">
        <f>Inputs_Prices!F48</f>
        <v>HV</v>
      </c>
      <c r="H48" s="259" t="s">
        <v>79</v>
      </c>
      <c r="I48" s="259" t="s">
        <v>82</v>
      </c>
      <c r="J48" s="78"/>
      <c r="K48" s="78"/>
      <c r="M48" s="130"/>
      <c r="N48" s="130"/>
      <c r="O48" s="64">
        <v>136048283.21997887</v>
      </c>
      <c r="P48" s="64">
        <v>146149240.61691999</v>
      </c>
      <c r="Q48" s="64">
        <v>157204614.48351121</v>
      </c>
      <c r="R48" s="64">
        <v>169182605.99016112</v>
      </c>
      <c r="S48" s="64">
        <v>182052073.84626728</v>
      </c>
      <c r="U48" s="174" t="s">
        <v>522</v>
      </c>
      <c r="W48" s="174" t="s">
        <v>536</v>
      </c>
    </row>
    <row r="49" spans="2:23" ht="12.75" x14ac:dyDescent="0.35">
      <c r="C49" s="171">
        <f>Inputs_Prices!C49</f>
        <v>7</v>
      </c>
      <c r="D49" s="76" t="str">
        <f>Inputs_Prices!D49</f>
        <v>Super Users</v>
      </c>
      <c r="E49" s="259" t="str">
        <f>Inputs_Prices!E49</f>
        <v>Anytime Energy</v>
      </c>
      <c r="F49" s="259" t="str">
        <f>Inputs_Prices!F49</f>
        <v>HV</v>
      </c>
      <c r="H49" s="259" t="s">
        <v>79</v>
      </c>
      <c r="I49" s="259" t="s">
        <v>82</v>
      </c>
      <c r="J49" s="78"/>
      <c r="K49" s="78"/>
      <c r="M49" s="130"/>
      <c r="N49" s="130"/>
      <c r="O49" s="64">
        <v>292304390.94860667</v>
      </c>
      <c r="P49" s="64">
        <v>319575529.75283527</v>
      </c>
      <c r="Q49" s="64">
        <v>337266105.644903</v>
      </c>
      <c r="R49" s="64">
        <v>356433034.80894285</v>
      </c>
      <c r="S49" s="64">
        <v>377026485.60909849</v>
      </c>
      <c r="U49" s="174" t="s">
        <v>522</v>
      </c>
      <c r="W49" s="174" t="s">
        <v>536</v>
      </c>
    </row>
    <row r="50" spans="2:23" ht="11.25" customHeight="1" x14ac:dyDescent="0.35">
      <c r="M50" s="130"/>
      <c r="N50" s="130"/>
      <c r="O50" s="130"/>
      <c r="P50" s="130"/>
      <c r="Q50" s="130"/>
      <c r="R50" s="130"/>
      <c r="S50" s="130"/>
    </row>
    <row r="51" spans="2:23" ht="11.25" customHeight="1" x14ac:dyDescent="0.35">
      <c r="M51" s="130"/>
      <c r="N51" s="130"/>
      <c r="O51" s="130"/>
      <c r="P51" s="130"/>
      <c r="Q51" s="130"/>
      <c r="R51" s="130"/>
      <c r="S51" s="130"/>
    </row>
    <row r="52" spans="2:23" s="8" customFormat="1" ht="13.9" x14ac:dyDescent="0.3">
      <c r="C52" s="8" t="str">
        <f>Inputs_Prices!C52</f>
        <v>Demand</v>
      </c>
    </row>
    <row r="53" spans="2:23" ht="11.25" customHeight="1" x14ac:dyDescent="0.35">
      <c r="M53" s="130"/>
      <c r="N53" s="130"/>
    </row>
    <row r="54" spans="2:23" ht="11.25" customHeight="1" x14ac:dyDescent="0.35">
      <c r="C54" s="172" t="s">
        <v>5</v>
      </c>
      <c r="D54" s="70" t="str">
        <f>D$9</f>
        <v>Tariff</v>
      </c>
      <c r="E54" s="54" t="str">
        <f>E$9</f>
        <v>Tariff Components</v>
      </c>
      <c r="F54" s="54" t="str">
        <f>F$9</f>
        <v>Tariff Class</v>
      </c>
      <c r="H54" s="54" t="str">
        <f>Lookup!E$19</f>
        <v>Source</v>
      </c>
      <c r="I54" s="54" t="str">
        <f>Lookup!F$19</f>
        <v>Unit</v>
      </c>
      <c r="K54" s="54" t="s">
        <v>106</v>
      </c>
      <c r="M54" s="130"/>
      <c r="N54" s="130"/>
      <c r="O54" s="54" t="str">
        <f>O$9</f>
        <v>FY25</v>
      </c>
      <c r="P54" s="54" t="str">
        <f>P$9</f>
        <v>FY26</v>
      </c>
      <c r="Q54" s="54" t="str">
        <f>Q$9</f>
        <v>FY27</v>
      </c>
      <c r="R54" s="54" t="str">
        <f>R$9</f>
        <v>FY28</v>
      </c>
      <c r="S54" s="54" t="str">
        <f>S$9</f>
        <v>FY29</v>
      </c>
    </row>
    <row r="55" spans="2:23" ht="11.25" customHeight="1" x14ac:dyDescent="0.35">
      <c r="D55" s="1"/>
      <c r="M55" s="130"/>
      <c r="N55" s="130"/>
      <c r="O55" s="130"/>
      <c r="P55" s="130"/>
      <c r="Q55" s="130"/>
      <c r="R55" s="130"/>
      <c r="S55" s="130"/>
    </row>
    <row r="56" spans="2:23" ht="12.75" x14ac:dyDescent="0.35">
      <c r="C56" s="171">
        <f>Inputs_Prices!C56</f>
        <v>5</v>
      </c>
      <c r="D56" s="76" t="str">
        <f>Inputs_Prices!D56</f>
        <v>LV Majors</v>
      </c>
      <c r="E56" s="259" t="str">
        <f>Inputs_Prices!E56</f>
        <v>On-Season Demand</v>
      </c>
      <c r="F56" s="259" t="str">
        <f>Inputs_Prices!F56</f>
        <v>LV &gt;750MWh</v>
      </c>
      <c r="H56" s="259" t="s">
        <v>79</v>
      </c>
      <c r="I56" s="259" t="s">
        <v>83</v>
      </c>
      <c r="J56" s="259"/>
      <c r="K56" s="259" t="s">
        <v>4</v>
      </c>
      <c r="M56" s="130"/>
      <c r="N56" s="130"/>
      <c r="O56" s="64">
        <v>367069.38500000001</v>
      </c>
      <c r="P56" s="64">
        <v>366151.71153750003</v>
      </c>
      <c r="Q56" s="64">
        <v>365236.33225865627</v>
      </c>
      <c r="R56" s="64">
        <v>364323.24142800964</v>
      </c>
      <c r="S56" s="64">
        <v>363412.43332443963</v>
      </c>
    </row>
    <row r="57" spans="2:23" ht="12.75" x14ac:dyDescent="0.35">
      <c r="C57" s="171">
        <f>Inputs_Prices!C57</f>
        <v>5</v>
      </c>
      <c r="D57" s="76" t="str">
        <f>Inputs_Prices!D57</f>
        <v>LV Majors</v>
      </c>
      <c r="E57" s="259" t="str">
        <f>Inputs_Prices!E57</f>
        <v>Off-Season Demand</v>
      </c>
      <c r="F57" s="259" t="str">
        <f>Inputs_Prices!F57</f>
        <v>LV &gt;750MWh</v>
      </c>
      <c r="H57" s="259" t="s">
        <v>79</v>
      </c>
      <c r="I57" s="259" t="s">
        <v>83</v>
      </c>
      <c r="J57" s="259"/>
      <c r="K57" s="259" t="s">
        <v>4</v>
      </c>
      <c r="M57" s="130"/>
      <c r="N57" s="130"/>
      <c r="O57" s="64">
        <v>334823.67999999999</v>
      </c>
      <c r="P57" s="64">
        <v>333986.62079999998</v>
      </c>
      <c r="Q57" s="64">
        <v>333151.65424799995</v>
      </c>
      <c r="R57" s="64">
        <v>332318.77511237992</v>
      </c>
      <c r="S57" s="64">
        <v>331487.97817459895</v>
      </c>
    </row>
    <row r="58" spans="2:23" ht="12.75" x14ac:dyDescent="0.35">
      <c r="C58" s="171">
        <f>Inputs_Prices!C58</f>
        <v>6</v>
      </c>
      <c r="D58" s="76" t="str">
        <f>Inputs_Prices!D58</f>
        <v>HV Smart Meters</v>
      </c>
      <c r="E58" s="259" t="str">
        <f>Inputs_Prices!E58</f>
        <v>On-Season Demand</v>
      </c>
      <c r="F58" s="259" t="str">
        <f>Inputs_Prices!F58</f>
        <v>HV</v>
      </c>
      <c r="H58" s="259" t="s">
        <v>79</v>
      </c>
      <c r="I58" s="259" t="s">
        <v>83</v>
      </c>
      <c r="J58" s="259"/>
      <c r="K58" s="259" t="s">
        <v>4</v>
      </c>
      <c r="M58" s="130"/>
      <c r="N58" s="130"/>
      <c r="O58" s="64">
        <v>136399.98499999999</v>
      </c>
      <c r="P58" s="64">
        <v>136058.98503749998</v>
      </c>
      <c r="Q58" s="64">
        <v>135718.83757490624</v>
      </c>
      <c r="R58" s="64">
        <v>135379.54048096898</v>
      </c>
      <c r="S58" s="64">
        <v>135041.09162976657</v>
      </c>
    </row>
    <row r="59" spans="2:23" ht="12.75" x14ac:dyDescent="0.35">
      <c r="C59" s="171">
        <f>Inputs_Prices!C59</f>
        <v>6</v>
      </c>
      <c r="D59" s="76" t="str">
        <f>Inputs_Prices!D59</f>
        <v>HV Smart Meters</v>
      </c>
      <c r="E59" s="259" t="str">
        <f>Inputs_Prices!E59</f>
        <v>Off-Season Demand</v>
      </c>
      <c r="F59" s="259" t="str">
        <f>Inputs_Prices!F59</f>
        <v>HV</v>
      </c>
      <c r="H59" s="259" t="s">
        <v>79</v>
      </c>
      <c r="I59" s="259" t="s">
        <v>83</v>
      </c>
      <c r="J59" s="259"/>
      <c r="K59" s="259" t="s">
        <v>4</v>
      </c>
      <c r="M59" s="130"/>
      <c r="N59" s="130"/>
      <c r="O59" s="64">
        <v>131200.90999999997</v>
      </c>
      <c r="P59" s="64">
        <v>130872.90772499997</v>
      </c>
      <c r="Q59" s="64">
        <v>130545.72545568747</v>
      </c>
      <c r="R59" s="64">
        <v>130219.36114204825</v>
      </c>
      <c r="S59" s="64">
        <v>129893.81273919313</v>
      </c>
    </row>
    <row r="60" spans="2:23" ht="11.25" customHeight="1" x14ac:dyDescent="0.35">
      <c r="M60" s="130"/>
      <c r="N60" s="130"/>
      <c r="O60" s="130"/>
      <c r="P60" s="130"/>
      <c r="Q60" s="130"/>
      <c r="R60" s="130"/>
      <c r="S60" s="130"/>
    </row>
    <row r="61" spans="2:23" ht="11.25" customHeight="1" x14ac:dyDescent="0.35">
      <c r="M61" s="130"/>
      <c r="N61" s="130"/>
      <c r="O61" s="130"/>
      <c r="P61" s="130"/>
      <c r="Q61" s="130"/>
      <c r="R61" s="130"/>
      <c r="S61" s="130"/>
    </row>
    <row r="62" spans="2:23" s="2" customFormat="1" ht="15" x14ac:dyDescent="0.3">
      <c r="B62" s="2" t="s">
        <v>20</v>
      </c>
    </row>
  </sheetData>
  <conditionalFormatting sqref="B2">
    <cfRule type="cellIs" dxfId="33" priority="1" operator="notEqual">
      <formula>"No Errors Found"</formula>
    </cfRule>
  </conditionalFormatting>
  <dataValidations count="4">
    <dataValidation type="list" allowBlank="1" showInputMessage="1" showErrorMessage="1" sqref="J20:J28 J37:J49" xr:uid="{00000000-0002-0000-0500-000000000000}">
      <formula1>LU_Basis</formula1>
    </dataValidation>
    <dataValidation type="list" allowBlank="1" showInputMessage="1" showErrorMessage="1" sqref="I35:I49 I56:I59 I20:I28" xr:uid="{00000000-0002-0000-0500-000001000000}">
      <formula1>LU_Units</formula1>
    </dataValidation>
    <dataValidation type="list" allowBlank="1" showInputMessage="1" showErrorMessage="1" sqref="K20:K28 K37:K49" xr:uid="{00000000-0002-0000-0500-000002000000}">
      <formula1>LU_Timing</formula1>
    </dataValidation>
    <dataValidation type="list" allowBlank="1" showInputMessage="1" showErrorMessage="1" sqref="K56:K59" xr:uid="{00000000-0002-0000-0500-000003000000}">
      <formula1>Yes_No</formula1>
    </dataValidation>
  </dataValidations>
  <hyperlinks>
    <hyperlink ref="B3:E3" location="TOC!A1" display="TOC!A1"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EFB3938-724C-4D0C-96E2-A97646C1763E}">
          <x14:formula1>
            <xm:f>Output_RIN!$D$69:$D$74</xm:f>
          </x14:formula1>
          <xm:sqref>U35:U49</xm:sqref>
        </x14:dataValidation>
        <x14:dataValidation type="list" allowBlank="1" showInputMessage="1" showErrorMessage="1" xr:uid="{C737716E-AC51-41FD-A445-2D6230947E28}">
          <x14:formula1>
            <xm:f>Output_RIN!$D$85:$D$89</xm:f>
          </x14:formula1>
          <xm:sqref>W35:W49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1688-D823-4215-ACAA-821B9C451934}">
  <sheetPr codeName="Sheet7">
    <tabColor theme="4" tint="0.59999389629810485"/>
  </sheetPr>
  <dimension ref="A1:AI252"/>
  <sheetViews>
    <sheetView showGridLines="0" zoomScaleNormal="100" workbookViewId="0">
      <pane xSplit="4" ySplit="9" topLeftCell="E10" activePane="bottomRight" state="frozen"/>
      <selection pane="topRight" activeCell="E1" sqref="E1"/>
      <selection pane="bottomLeft" activeCell="A10" sqref="A10"/>
      <selection pane="bottomRight"/>
    </sheetView>
  </sheetViews>
  <sheetFormatPr defaultColWidth="9.33203125" defaultRowHeight="10.15" outlineLevelRow="1" x14ac:dyDescent="0.3"/>
  <cols>
    <col min="1" max="1" width="3.33203125" customWidth="1"/>
    <col min="2" max="3" width="2.83203125" customWidth="1"/>
    <col min="4" max="4" width="40" customWidth="1"/>
    <col min="5" max="5" width="39.6640625" bestFit="1" customWidth="1"/>
    <col min="6" max="6" width="14.5" bestFit="1" customWidth="1"/>
    <col min="7" max="7" width="2.5" customWidth="1"/>
    <col min="8" max="8" width="17" bestFit="1" customWidth="1"/>
    <col min="9" max="9" width="10.83203125" customWidth="1"/>
    <col min="10" max="18" width="12.83203125" customWidth="1"/>
    <col min="19" max="35" width="12.6640625" customWidth="1"/>
  </cols>
  <sheetData>
    <row r="1" spans="1:35" ht="18.75" x14ac:dyDescent="0.3">
      <c r="A1" s="59">
        <f>IF(SUM($A10:$A252)&gt;0,1,0)</f>
        <v>0</v>
      </c>
      <c r="B1" s="3" t="s">
        <v>307</v>
      </c>
    </row>
    <row r="2" spans="1:35" x14ac:dyDescent="0.3">
      <c r="B2" s="13" t="str">
        <f ca="1">Title_Msg</f>
        <v>No Errors Found</v>
      </c>
    </row>
    <row r="3" spans="1:35" x14ac:dyDescent="0.3">
      <c r="B3" s="46" t="str">
        <f>TOC!B1</f>
        <v>Table of contents</v>
      </c>
      <c r="C3" s="42"/>
      <c r="D3" s="42"/>
      <c r="E3" s="42"/>
    </row>
    <row r="4" spans="1:35" ht="13.15" x14ac:dyDescent="0.3">
      <c r="B4" s="40" t="str">
        <f>Model_Name</f>
        <v>Pricing Model - Power and Water Corporation</v>
      </c>
    </row>
    <row r="5" spans="1:35" ht="12.75" hidden="1" outlineLevel="1" x14ac:dyDescent="0.3">
      <c r="B5" s="10"/>
      <c r="J5" s="51"/>
      <c r="K5" s="51"/>
      <c r="L5" s="51"/>
      <c r="M5" s="51"/>
      <c r="N5" s="51"/>
      <c r="O5" s="51"/>
      <c r="P5" s="51"/>
      <c r="Q5" s="51"/>
      <c r="R5" s="51"/>
      <c r="S5" s="51"/>
    </row>
    <row r="6" spans="1:35" ht="12.75" hidden="1" outlineLevel="1" x14ac:dyDescent="0.3">
      <c r="B6" s="10"/>
      <c r="J6" s="51"/>
      <c r="K6" s="51"/>
      <c r="L6" s="51"/>
      <c r="M6" s="51"/>
      <c r="N6" s="51"/>
      <c r="O6" s="51"/>
      <c r="P6" s="51"/>
      <c r="Q6" s="51"/>
      <c r="R6" s="51"/>
      <c r="S6" s="51"/>
    </row>
    <row r="7" spans="1:35" ht="12.75" hidden="1" outlineLevel="1" x14ac:dyDescent="0.3">
      <c r="B7" s="10"/>
      <c r="J7" s="52"/>
      <c r="K7" s="52"/>
      <c r="L7" s="52"/>
      <c r="M7" s="52"/>
      <c r="N7" s="52"/>
      <c r="O7" s="52"/>
      <c r="P7" s="52"/>
      <c r="Q7" s="52"/>
      <c r="R7" s="52"/>
      <c r="S7" s="52"/>
    </row>
    <row r="8" spans="1:35" ht="12.75" hidden="1" outlineLevel="1" x14ac:dyDescent="0.3">
      <c r="B8" s="10"/>
      <c r="J8" s="53"/>
      <c r="K8" s="53"/>
      <c r="L8" s="53"/>
      <c r="M8" s="53"/>
      <c r="N8" s="53"/>
      <c r="O8" s="53"/>
      <c r="P8" s="53"/>
      <c r="Q8" s="53"/>
      <c r="R8" s="53"/>
      <c r="S8" s="53"/>
    </row>
    <row r="9" spans="1:35" ht="13.15" collapsed="1" x14ac:dyDescent="0.3">
      <c r="B9" s="5" t="str">
        <f>Lookup!B19</f>
        <v>FY</v>
      </c>
      <c r="D9" s="50"/>
      <c r="E9" s="50"/>
      <c r="F9" s="50"/>
      <c r="H9" s="50" t="str">
        <f>Lookup!E19</f>
        <v>Source</v>
      </c>
      <c r="I9" s="50" t="str">
        <f>Lookup!F19</f>
        <v>Unit</v>
      </c>
      <c r="J9" s="50" t="str">
        <f>Lookup!G19</f>
        <v>Basis</v>
      </c>
      <c r="K9" s="50"/>
      <c r="L9" s="50" t="str">
        <f>Lookup!L19</f>
        <v>FY22</v>
      </c>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 x14ac:dyDescent="0.3">
      <c r="B11" s="2" t="s">
        <v>689</v>
      </c>
    </row>
    <row r="12" spans="1:35" ht="11.25" customHeight="1" x14ac:dyDescent="0.3"/>
    <row r="13" spans="1:35" ht="11.25" customHeight="1" x14ac:dyDescent="0.3">
      <c r="D13" s="105" t="s">
        <v>308</v>
      </c>
    </row>
    <row r="14" spans="1:35" ht="11.25" customHeight="1" x14ac:dyDescent="0.3"/>
    <row r="15" spans="1:35" ht="11.25" customHeight="1" x14ac:dyDescent="0.3"/>
    <row r="16" spans="1:35" s="2" customFormat="1" ht="15" x14ac:dyDescent="0.3">
      <c r="B16" s="2" t="s">
        <v>475</v>
      </c>
    </row>
    <row r="17" spans="2:14" ht="11.25" customHeight="1" x14ac:dyDescent="0.3"/>
    <row r="18" spans="2:14" ht="11.25" customHeight="1" x14ac:dyDescent="0.3">
      <c r="D18" s="105" t="s">
        <v>476</v>
      </c>
    </row>
    <row r="19" spans="2:14" ht="11.25" customHeight="1" x14ac:dyDescent="0.3"/>
    <row r="20" spans="2:14" ht="11.25" customHeight="1" x14ac:dyDescent="0.3"/>
    <row r="21" spans="2:14" s="8" customFormat="1" ht="13.9" x14ac:dyDescent="0.3">
      <c r="C21" s="8" t="s">
        <v>8</v>
      </c>
    </row>
    <row r="22" spans="2:14" ht="11.25" customHeight="1" x14ac:dyDescent="0.3"/>
    <row r="23" spans="2:14" ht="11.25" customHeight="1" x14ac:dyDescent="0.3">
      <c r="D23" s="70" t="s">
        <v>227</v>
      </c>
      <c r="H23" s="54" t="str">
        <f>Lookup!E$19</f>
        <v>Source</v>
      </c>
      <c r="I23" s="54" t="str">
        <f>Lookup!F$19</f>
        <v>Unit</v>
      </c>
      <c r="J23" s="54" t="str">
        <f>Lookup!G$19</f>
        <v>Basis</v>
      </c>
      <c r="M23" s="61" t="s">
        <v>202</v>
      </c>
    </row>
    <row r="24" spans="2:14" ht="11.25" customHeight="1" x14ac:dyDescent="0.3"/>
    <row r="25" spans="2:14" ht="12.75" x14ac:dyDescent="0.3">
      <c r="D25" s="75" t="s">
        <v>477</v>
      </c>
      <c r="H25" s="259" t="s">
        <v>79</v>
      </c>
      <c r="I25" s="259" t="s">
        <v>478</v>
      </c>
      <c r="J25" s="259" t="s">
        <v>21</v>
      </c>
      <c r="M25" s="64">
        <v>20</v>
      </c>
    </row>
    <row r="26" spans="2:14" ht="12.75" x14ac:dyDescent="0.3">
      <c r="D26" s="75" t="s">
        <v>479</v>
      </c>
      <c r="H26" s="259" t="s">
        <v>79</v>
      </c>
      <c r="I26" s="259" t="s">
        <v>478</v>
      </c>
      <c r="J26" s="259" t="s">
        <v>21</v>
      </c>
      <c r="M26" s="64">
        <v>40</v>
      </c>
    </row>
    <row r="27" spans="2:14" ht="12.75" x14ac:dyDescent="0.3">
      <c r="D27" s="75" t="s">
        <v>480</v>
      </c>
      <c r="H27" s="259" t="s">
        <v>79</v>
      </c>
      <c r="I27" s="259" t="s">
        <v>478</v>
      </c>
      <c r="J27" s="259" t="s">
        <v>21</v>
      </c>
      <c r="M27" s="168">
        <f>AVERAGE(Inputs_Other!O56:S56)</f>
        <v>2.9833183154300578E-2</v>
      </c>
      <c r="N27" s="107" t="s">
        <v>485</v>
      </c>
    </row>
    <row r="28" spans="2:14" ht="11.25" customHeight="1" x14ac:dyDescent="0.3"/>
    <row r="29" spans="2:14" ht="11.25" customHeight="1" x14ac:dyDescent="0.3"/>
    <row r="30" spans="2:14" ht="11.25" customHeight="1" x14ac:dyDescent="0.3"/>
    <row r="31" spans="2:14" s="2" customFormat="1" ht="15" x14ac:dyDescent="0.3">
      <c r="B31" s="2" t="s">
        <v>309</v>
      </c>
    </row>
    <row r="32" spans="2:14" ht="11.25" customHeight="1" x14ac:dyDescent="0.3"/>
    <row r="33" spans="3:21" ht="11.25" customHeight="1" x14ac:dyDescent="0.3">
      <c r="D33" s="105" t="s">
        <v>310</v>
      </c>
    </row>
    <row r="34" spans="3:21" ht="11.25" customHeight="1" x14ac:dyDescent="0.3"/>
    <row r="35" spans="3:21" ht="11.25" customHeight="1" x14ac:dyDescent="0.3"/>
    <row r="36" spans="3:21" s="8" customFormat="1" ht="13.9" x14ac:dyDescent="0.3">
      <c r="C36" s="8" t="s">
        <v>690</v>
      </c>
    </row>
    <row r="37" spans="3:21" ht="11.25" customHeight="1" x14ac:dyDescent="0.3"/>
    <row r="38" spans="3:21" ht="39.4" x14ac:dyDescent="0.3">
      <c r="D38" s="70" t="s">
        <v>256</v>
      </c>
      <c r="H38" s="54" t="str">
        <f>Lookup!E$19</f>
        <v>Source</v>
      </c>
      <c r="I38" s="54" t="str">
        <f>Lookup!F$19</f>
        <v>Unit</v>
      </c>
      <c r="J38" s="54" t="str">
        <f>Lookup!G$19</f>
        <v>Basis</v>
      </c>
      <c r="M38" s="61" t="s">
        <v>474</v>
      </c>
      <c r="O38" s="61" t="s">
        <v>473</v>
      </c>
      <c r="Q38" s="61" t="s">
        <v>260</v>
      </c>
    </row>
    <row r="39" spans="3:21" ht="11.25" customHeight="1" x14ac:dyDescent="0.3"/>
    <row r="40" spans="3:21" ht="12.75" x14ac:dyDescent="0.3">
      <c r="D40" s="75" t="s">
        <v>258</v>
      </c>
      <c r="H40" s="259" t="s">
        <v>79</v>
      </c>
      <c r="I40" s="259" t="s">
        <v>43</v>
      </c>
      <c r="J40" s="259" t="s">
        <v>21</v>
      </c>
      <c r="M40" s="94">
        <v>0.35</v>
      </c>
      <c r="O40" s="94">
        <v>2.3E-2</v>
      </c>
      <c r="Q40" s="94">
        <v>0.93850000000000022</v>
      </c>
      <c r="R40" s="107" t="s">
        <v>482</v>
      </c>
    </row>
    <row r="41" spans="3:21" ht="12.75" x14ac:dyDescent="0.3">
      <c r="D41" s="75" t="s">
        <v>69</v>
      </c>
      <c r="H41" s="259" t="s">
        <v>79</v>
      </c>
      <c r="I41" s="259" t="s">
        <v>43</v>
      </c>
      <c r="J41" s="259" t="s">
        <v>21</v>
      </c>
      <c r="M41" s="94">
        <v>0.35</v>
      </c>
      <c r="O41" s="94">
        <v>2.3E-2</v>
      </c>
      <c r="Q41" s="94">
        <v>0.97991949999999983</v>
      </c>
    </row>
    <row r="42" spans="3:21" ht="12.75" x14ac:dyDescent="0.3">
      <c r="D42" s="75" t="s">
        <v>257</v>
      </c>
      <c r="H42" s="259" t="s">
        <v>79</v>
      </c>
      <c r="I42" s="259" t="s">
        <v>43</v>
      </c>
      <c r="J42" s="259" t="s">
        <v>21</v>
      </c>
      <c r="M42" s="94">
        <v>0.35</v>
      </c>
      <c r="O42" s="94">
        <v>2.3E-2</v>
      </c>
      <c r="Q42" s="94">
        <v>1</v>
      </c>
    </row>
    <row r="43" spans="3:21" ht="11.25" customHeight="1" x14ac:dyDescent="0.3"/>
    <row r="44" spans="3:21" ht="11.25" customHeight="1" x14ac:dyDescent="0.3"/>
    <row r="45" spans="3:21" s="8" customFormat="1" ht="13.9" x14ac:dyDescent="0.3">
      <c r="C45" s="8" t="s">
        <v>691</v>
      </c>
    </row>
    <row r="46" spans="3:21" ht="11.25" customHeight="1" x14ac:dyDescent="0.3"/>
    <row r="47" spans="3:21" ht="11.25" customHeight="1" x14ac:dyDescent="0.3">
      <c r="D47" s="70" t="s">
        <v>339</v>
      </c>
      <c r="H47" s="54" t="str">
        <f>Lookup!E$19</f>
        <v>Source</v>
      </c>
      <c r="I47" s="54" t="str">
        <f>Lookup!F$19</f>
        <v>Unit</v>
      </c>
      <c r="J47" s="54" t="str">
        <f>Lookup!G$19</f>
        <v>Basis</v>
      </c>
      <c r="M47" s="54" t="str">
        <f t="shared" ref="M47:S47" si="0">M$9</f>
        <v>FY23</v>
      </c>
      <c r="N47" s="54" t="str">
        <f t="shared" si="0"/>
        <v>FY24</v>
      </c>
      <c r="O47" s="54" t="str">
        <f t="shared" si="0"/>
        <v>FY25</v>
      </c>
      <c r="P47" s="54" t="str">
        <f t="shared" si="0"/>
        <v>FY26</v>
      </c>
      <c r="Q47" s="54" t="str">
        <f t="shared" si="0"/>
        <v>FY27</v>
      </c>
      <c r="R47" s="54" t="str">
        <f t="shared" si="0"/>
        <v>FY28</v>
      </c>
      <c r="S47" s="54" t="str">
        <f t="shared" si="0"/>
        <v>FY29</v>
      </c>
      <c r="U47" s="54" t="s">
        <v>319</v>
      </c>
    </row>
    <row r="48" spans="3:21" ht="11.25" customHeight="1" x14ac:dyDescent="0.3"/>
    <row r="49" spans="4:23" ht="12.75" x14ac:dyDescent="0.3">
      <c r="D49" s="75" t="s">
        <v>311</v>
      </c>
      <c r="H49" s="259" t="s">
        <v>79</v>
      </c>
      <c r="I49" s="259" t="s">
        <v>47</v>
      </c>
      <c r="J49" s="259" t="s">
        <v>239</v>
      </c>
      <c r="M49" s="67">
        <v>3105.6908696796681</v>
      </c>
      <c r="N49" s="67">
        <v>5599.2537296643313</v>
      </c>
      <c r="O49" s="67">
        <v>5052.8201487478163</v>
      </c>
      <c r="P49" s="67">
        <v>1718.9178364476254</v>
      </c>
      <c r="Q49" s="67">
        <v>705.10692373108122</v>
      </c>
      <c r="R49" s="67">
        <v>707.28150088742143</v>
      </c>
      <c r="S49" s="67">
        <v>711.19698933327766</v>
      </c>
      <c r="U49" s="67" t="s">
        <v>337</v>
      </c>
      <c r="V49" s="107" t="s">
        <v>341</v>
      </c>
      <c r="W49" s="107"/>
    </row>
    <row r="50" spans="4:23" ht="12.75" x14ac:dyDescent="0.3">
      <c r="D50" s="75" t="s">
        <v>312</v>
      </c>
      <c r="H50" s="259" t="s">
        <v>79</v>
      </c>
      <c r="I50" s="259" t="s">
        <v>47</v>
      </c>
      <c r="J50" s="259" t="s">
        <v>239</v>
      </c>
      <c r="M50" s="67">
        <v>761.29862343941329</v>
      </c>
      <c r="N50" s="67">
        <v>1549.2006366660203</v>
      </c>
      <c r="O50" s="67">
        <v>1073.1653413269698</v>
      </c>
      <c r="P50" s="67">
        <v>1085.6323177563952</v>
      </c>
      <c r="Q50" s="67">
        <v>1091.7784625513516</v>
      </c>
      <c r="R50" s="67">
        <v>1095.1455497611689</v>
      </c>
      <c r="S50" s="67">
        <v>1101.2082415483012</v>
      </c>
      <c r="U50" s="67" t="s">
        <v>258</v>
      </c>
    </row>
    <row r="51" spans="4:23" ht="12.75" x14ac:dyDescent="0.3">
      <c r="D51" s="75" t="s">
        <v>313</v>
      </c>
      <c r="H51" s="259" t="s">
        <v>79</v>
      </c>
      <c r="I51" s="259" t="s">
        <v>47</v>
      </c>
      <c r="J51" s="259" t="s">
        <v>239</v>
      </c>
      <c r="M51" s="67">
        <v>1120.5200982996132</v>
      </c>
      <c r="N51" s="67">
        <v>4784.9285418088029</v>
      </c>
      <c r="O51" s="67">
        <v>1317.262554174685</v>
      </c>
      <c r="P51" s="67">
        <v>1332.5652112600826</v>
      </c>
      <c r="Q51" s="67">
        <v>1340.1093296537317</v>
      </c>
      <c r="R51" s="67">
        <v>1344.2422789089217</v>
      </c>
      <c r="S51" s="67">
        <v>1351.6839624605138</v>
      </c>
      <c r="U51" s="67" t="s">
        <v>69</v>
      </c>
    </row>
    <row r="52" spans="4:23" ht="12.75" x14ac:dyDescent="0.3">
      <c r="D52" s="75" t="s">
        <v>314</v>
      </c>
      <c r="H52" s="259" t="s">
        <v>79</v>
      </c>
      <c r="I52" s="259" t="s">
        <v>47</v>
      </c>
      <c r="J52" s="259" t="s">
        <v>239</v>
      </c>
      <c r="M52" s="67">
        <v>45.656482751680578</v>
      </c>
      <c r="N52" s="67">
        <v>91.189736738073094</v>
      </c>
      <c r="O52" s="67">
        <v>92.121655954245227</v>
      </c>
      <c r="P52" s="67">
        <v>93.191834489829603</v>
      </c>
      <c r="Q52" s="67">
        <v>93.719426105438316</v>
      </c>
      <c r="R52" s="67">
        <v>94.00846045789622</v>
      </c>
      <c r="S52" s="67">
        <v>94.528888378425449</v>
      </c>
      <c r="U52" s="67" t="s">
        <v>69</v>
      </c>
    </row>
    <row r="53" spans="4:23" ht="12.75" x14ac:dyDescent="0.3">
      <c r="D53" s="75" t="s">
        <v>99</v>
      </c>
      <c r="H53" s="259" t="s">
        <v>79</v>
      </c>
      <c r="I53" s="259" t="s">
        <v>47</v>
      </c>
      <c r="J53" s="259" t="s">
        <v>239</v>
      </c>
      <c r="M53" s="67">
        <v>62.00705172145237</v>
      </c>
      <c r="N53" s="67">
        <v>61.923371902483993</v>
      </c>
      <c r="O53" s="67">
        <v>226.43193737978177</v>
      </c>
      <c r="P53" s="67">
        <v>229.06240028933891</v>
      </c>
      <c r="Q53" s="67">
        <v>230.35920276678178</v>
      </c>
      <c r="R53" s="67">
        <v>231.06963950088547</v>
      </c>
      <c r="S53" s="67">
        <v>232.3488338563418</v>
      </c>
      <c r="U53" s="67" t="s">
        <v>257</v>
      </c>
    </row>
    <row r="54" spans="4:23" ht="12.75" x14ac:dyDescent="0.3">
      <c r="D54" s="75" t="s">
        <v>315</v>
      </c>
      <c r="H54" s="259" t="s">
        <v>79</v>
      </c>
      <c r="I54" s="259" t="s">
        <v>47</v>
      </c>
      <c r="J54" s="259" t="s">
        <v>239</v>
      </c>
      <c r="M54" s="67">
        <v>0</v>
      </c>
      <c r="N54" s="67">
        <v>0</v>
      </c>
      <c r="O54" s="67">
        <v>0</v>
      </c>
      <c r="P54" s="67">
        <v>0</v>
      </c>
      <c r="Q54" s="67">
        <v>0</v>
      </c>
      <c r="R54" s="67">
        <v>0</v>
      </c>
      <c r="S54" s="67">
        <v>0</v>
      </c>
      <c r="U54" s="67" t="s">
        <v>69</v>
      </c>
    </row>
    <row r="55" spans="4:23" ht="12.75" x14ac:dyDescent="0.3">
      <c r="D55" s="75" t="s">
        <v>316</v>
      </c>
      <c r="H55" s="259" t="s">
        <v>79</v>
      </c>
      <c r="I55" s="259" t="s">
        <v>47</v>
      </c>
      <c r="J55" s="259" t="s">
        <v>239</v>
      </c>
      <c r="M55" s="67">
        <v>1064.0025306035461</v>
      </c>
      <c r="N55" s="67">
        <v>1064.3465879869357</v>
      </c>
      <c r="O55" s="67">
        <v>1088.930057693168</v>
      </c>
      <c r="P55" s="67">
        <v>1101.5801730479625</v>
      </c>
      <c r="Q55" s="67">
        <v>1107.8166042374814</v>
      </c>
      <c r="R55" s="67">
        <v>1111.2331536995716</v>
      </c>
      <c r="S55" s="67">
        <v>1117.384905962997</v>
      </c>
      <c r="U55" s="67" t="s">
        <v>257</v>
      </c>
    </row>
    <row r="56" spans="4:23" ht="12.75" x14ac:dyDescent="0.3">
      <c r="D56" s="75" t="s">
        <v>317</v>
      </c>
      <c r="H56" s="259" t="s">
        <v>79</v>
      </c>
      <c r="I56" s="259" t="s">
        <v>47</v>
      </c>
      <c r="J56" s="259" t="s">
        <v>239</v>
      </c>
      <c r="M56" s="67">
        <v>0</v>
      </c>
      <c r="N56" s="67">
        <v>0</v>
      </c>
      <c r="O56" s="67">
        <v>0</v>
      </c>
      <c r="P56" s="67">
        <v>0</v>
      </c>
      <c r="Q56" s="67">
        <v>0</v>
      </c>
      <c r="R56" s="67">
        <v>0</v>
      </c>
      <c r="S56" s="67">
        <v>0</v>
      </c>
      <c r="U56" s="67" t="s">
        <v>257</v>
      </c>
    </row>
    <row r="57" spans="4:23" ht="12.75" x14ac:dyDescent="0.3">
      <c r="D57" s="75" t="s">
        <v>318</v>
      </c>
      <c r="H57" s="259" t="s">
        <v>79</v>
      </c>
      <c r="I57" s="259" t="s">
        <v>47</v>
      </c>
      <c r="J57" s="259" t="s">
        <v>239</v>
      </c>
      <c r="M57" s="67">
        <v>221.10330672609282</v>
      </c>
      <c r="N57" s="67">
        <v>303.09211169028725</v>
      </c>
      <c r="O57" s="67">
        <v>634.44456103390439</v>
      </c>
      <c r="P57" s="67">
        <v>506.1108724462751</v>
      </c>
      <c r="Q57" s="67">
        <v>2719.7843137968644</v>
      </c>
      <c r="R57" s="67">
        <v>818.55553143869201</v>
      </c>
      <c r="S57" s="67">
        <v>364.25026215366648</v>
      </c>
      <c r="U57" s="67" t="s">
        <v>320</v>
      </c>
    </row>
    <row r="58" spans="4:23" ht="11.25" customHeight="1" x14ac:dyDescent="0.3"/>
    <row r="59" spans="4:23" ht="11.25" customHeight="1" x14ac:dyDescent="0.3">
      <c r="D59" s="62" t="s">
        <v>51</v>
      </c>
      <c r="H59" s="56" t="s">
        <v>52</v>
      </c>
      <c r="I59" s="56" t="s">
        <v>47</v>
      </c>
      <c r="J59" s="56" t="s">
        <v>239</v>
      </c>
      <c r="M59" s="68">
        <f t="shared" ref="M59:S59" si="1">SUM(M49:M57)</f>
        <v>6380.2789632214672</v>
      </c>
      <c r="N59" s="68">
        <f t="shared" si="1"/>
        <v>13453.934716456935</v>
      </c>
      <c r="O59" s="68">
        <f t="shared" si="1"/>
        <v>9485.1762563105694</v>
      </c>
      <c r="P59" s="68">
        <f t="shared" si="1"/>
        <v>6067.0606457375088</v>
      </c>
      <c r="Q59" s="68">
        <f t="shared" si="1"/>
        <v>7288.674262842731</v>
      </c>
      <c r="R59" s="68">
        <f t="shared" si="1"/>
        <v>5401.5361146545574</v>
      </c>
      <c r="S59" s="68">
        <f t="shared" si="1"/>
        <v>4972.6020836935231</v>
      </c>
    </row>
    <row r="60" spans="4:23" ht="11.25" customHeight="1" x14ac:dyDescent="0.3"/>
    <row r="61" spans="4:23" ht="11.25" customHeight="1" x14ac:dyDescent="0.3"/>
    <row r="62" spans="4:23" ht="11.25" customHeight="1" x14ac:dyDescent="0.3"/>
    <row r="63" spans="4:23" ht="11.25" customHeight="1" x14ac:dyDescent="0.3">
      <c r="D63" s="70" t="s">
        <v>340</v>
      </c>
      <c r="F63" s="54" t="s">
        <v>335</v>
      </c>
      <c r="H63" s="54" t="str">
        <f>Lookup!E$19</f>
        <v>Source</v>
      </c>
      <c r="I63" s="54" t="str">
        <f>Lookup!F$19</f>
        <v>Unit</v>
      </c>
      <c r="J63" s="54" t="str">
        <f>Lookup!G$19</f>
        <v>Basis</v>
      </c>
      <c r="M63" s="54" t="str">
        <f t="shared" ref="M63:S63" si="2">M$9</f>
        <v>FY23</v>
      </c>
      <c r="N63" s="54" t="str">
        <f t="shared" si="2"/>
        <v>FY24</v>
      </c>
      <c r="O63" s="54" t="str">
        <f t="shared" si="2"/>
        <v>FY25</v>
      </c>
      <c r="P63" s="54" t="str">
        <f t="shared" si="2"/>
        <v>FY26</v>
      </c>
      <c r="Q63" s="54" t="str">
        <f t="shared" si="2"/>
        <v>FY27</v>
      </c>
      <c r="R63" s="54" t="str">
        <f t="shared" si="2"/>
        <v>FY28</v>
      </c>
      <c r="S63" s="54" t="str">
        <f t="shared" si="2"/>
        <v>FY29</v>
      </c>
      <c r="U63" s="54" t="s">
        <v>319</v>
      </c>
    </row>
    <row r="64" spans="4:23" ht="11.25" customHeight="1" x14ac:dyDescent="0.3"/>
    <row r="65" spans="3:22" ht="12.75" x14ac:dyDescent="0.3">
      <c r="D65" s="75" t="s">
        <v>323</v>
      </c>
      <c r="F65" s="259" t="s">
        <v>329</v>
      </c>
      <c r="H65" s="259" t="s">
        <v>79</v>
      </c>
      <c r="I65" s="259" t="s">
        <v>47</v>
      </c>
      <c r="J65" s="259" t="s">
        <v>237</v>
      </c>
      <c r="M65" s="67">
        <v>320</v>
      </c>
      <c r="N65" s="67">
        <v>320</v>
      </c>
      <c r="O65" s="67">
        <v>370</v>
      </c>
      <c r="P65" s="67">
        <v>370</v>
      </c>
      <c r="Q65" s="67">
        <v>370</v>
      </c>
      <c r="R65" s="67">
        <v>370</v>
      </c>
      <c r="S65" s="67">
        <v>370</v>
      </c>
      <c r="U65" s="67" t="s">
        <v>258</v>
      </c>
      <c r="V65" s="107" t="s">
        <v>336</v>
      </c>
    </row>
    <row r="66" spans="3:22" ht="12.75" x14ac:dyDescent="0.3">
      <c r="D66" s="75" t="s">
        <v>332</v>
      </c>
      <c r="F66" s="259" t="s">
        <v>326</v>
      </c>
      <c r="H66" s="259" t="s">
        <v>79</v>
      </c>
      <c r="I66" s="259" t="s">
        <v>47</v>
      </c>
      <c r="J66" s="259" t="s">
        <v>237</v>
      </c>
      <c r="M66" s="67">
        <v>760</v>
      </c>
      <c r="N66" s="67">
        <v>0</v>
      </c>
      <c r="O66" s="67">
        <v>0</v>
      </c>
      <c r="P66" s="67">
        <v>0</v>
      </c>
      <c r="Q66" s="67">
        <v>0</v>
      </c>
      <c r="R66" s="67">
        <v>0</v>
      </c>
      <c r="S66" s="67">
        <v>0</v>
      </c>
      <c r="U66" s="67" t="s">
        <v>69</v>
      </c>
    </row>
    <row r="67" spans="3:22" ht="12.75" x14ac:dyDescent="0.3">
      <c r="D67" s="75" t="s">
        <v>321</v>
      </c>
      <c r="F67" s="259" t="s">
        <v>327</v>
      </c>
      <c r="H67" s="259" t="s">
        <v>79</v>
      </c>
      <c r="I67" s="259" t="s">
        <v>47</v>
      </c>
      <c r="J67" s="259" t="s">
        <v>237</v>
      </c>
      <c r="M67" s="67">
        <v>600</v>
      </c>
      <c r="N67" s="67">
        <v>1339.9999999999998</v>
      </c>
      <c r="O67" s="67">
        <v>0</v>
      </c>
      <c r="P67" s="67">
        <v>0</v>
      </c>
      <c r="Q67" s="67">
        <v>0</v>
      </c>
      <c r="R67" s="67">
        <v>0</v>
      </c>
      <c r="S67" s="67">
        <v>0</v>
      </c>
      <c r="U67" s="67" t="s">
        <v>258</v>
      </c>
    </row>
    <row r="68" spans="3:22" ht="12.75" x14ac:dyDescent="0.3">
      <c r="D68" s="75" t="s">
        <v>322</v>
      </c>
      <c r="F68" s="259" t="s">
        <v>328</v>
      </c>
      <c r="H68" s="259" t="s">
        <v>79</v>
      </c>
      <c r="I68" s="259" t="s">
        <v>47</v>
      </c>
      <c r="J68" s="259" t="s">
        <v>237</v>
      </c>
      <c r="M68" s="67">
        <v>0</v>
      </c>
      <c r="N68" s="67">
        <v>300</v>
      </c>
      <c r="O68" s="67">
        <v>800</v>
      </c>
      <c r="P68" s="67">
        <v>900</v>
      </c>
      <c r="Q68" s="67">
        <v>0</v>
      </c>
      <c r="R68" s="67">
        <v>0</v>
      </c>
      <c r="S68" s="67">
        <v>0</v>
      </c>
      <c r="U68" s="67" t="s">
        <v>69</v>
      </c>
    </row>
    <row r="69" spans="3:22" ht="12.75" x14ac:dyDescent="0.3">
      <c r="D69" s="75" t="s">
        <v>334</v>
      </c>
      <c r="F69" s="259" t="s">
        <v>333</v>
      </c>
      <c r="H69" s="259" t="s">
        <v>79</v>
      </c>
      <c r="I69" s="259" t="s">
        <v>47</v>
      </c>
      <c r="J69" s="259" t="s">
        <v>237</v>
      </c>
      <c r="M69" s="67">
        <v>700</v>
      </c>
      <c r="N69" s="67">
        <v>3100</v>
      </c>
      <c r="O69" s="67">
        <v>3100</v>
      </c>
      <c r="P69" s="67">
        <v>0</v>
      </c>
      <c r="Q69" s="67">
        <v>0</v>
      </c>
      <c r="R69" s="67">
        <v>0</v>
      </c>
      <c r="S69" s="67">
        <v>0</v>
      </c>
      <c r="U69" s="67" t="s">
        <v>69</v>
      </c>
    </row>
    <row r="70" spans="3:22" ht="12.75" x14ac:dyDescent="0.3">
      <c r="D70" s="75" t="s">
        <v>324</v>
      </c>
      <c r="F70" s="259" t="s">
        <v>330</v>
      </c>
      <c r="H70" s="259" t="s">
        <v>79</v>
      </c>
      <c r="I70" s="259" t="s">
        <v>47</v>
      </c>
      <c r="J70" s="259" t="s">
        <v>237</v>
      </c>
      <c r="M70" s="67">
        <v>422.8</v>
      </c>
      <c r="N70" s="67">
        <v>0</v>
      </c>
      <c r="O70" s="67">
        <v>0</v>
      </c>
      <c r="P70" s="67">
        <v>0</v>
      </c>
      <c r="Q70" s="67">
        <v>0</v>
      </c>
      <c r="R70" s="67">
        <v>0</v>
      </c>
      <c r="S70" s="67">
        <v>0</v>
      </c>
      <c r="U70" s="67" t="s">
        <v>69</v>
      </c>
    </row>
    <row r="71" spans="3:22" ht="12.75" x14ac:dyDescent="0.3">
      <c r="D71" s="75" t="s">
        <v>325</v>
      </c>
      <c r="F71" s="259" t="s">
        <v>331</v>
      </c>
      <c r="H71" s="259" t="s">
        <v>79</v>
      </c>
      <c r="I71" s="259" t="s">
        <v>47</v>
      </c>
      <c r="J71" s="259" t="s">
        <v>237</v>
      </c>
      <c r="M71" s="67">
        <v>0</v>
      </c>
      <c r="N71" s="67">
        <v>0</v>
      </c>
      <c r="O71" s="67">
        <v>250</v>
      </c>
      <c r="P71" s="67">
        <v>250</v>
      </c>
      <c r="Q71" s="67">
        <v>250</v>
      </c>
      <c r="R71" s="67">
        <v>250</v>
      </c>
      <c r="S71" s="67">
        <v>250</v>
      </c>
      <c r="U71" s="67" t="s">
        <v>69</v>
      </c>
    </row>
    <row r="72" spans="3:22" ht="11.25" customHeight="1" x14ac:dyDescent="0.3"/>
    <row r="73" spans="3:22" ht="11.25" customHeight="1" x14ac:dyDescent="0.3">
      <c r="D73" s="62" t="s">
        <v>51</v>
      </c>
      <c r="H73" s="56" t="s">
        <v>52</v>
      </c>
      <c r="I73" s="56" t="s">
        <v>47</v>
      </c>
      <c r="J73" s="56" t="s">
        <v>237</v>
      </c>
      <c r="M73" s="68">
        <f t="shared" ref="M73:S73" si="3">SUM(M65:M71)</f>
        <v>2802.8</v>
      </c>
      <c r="N73" s="68">
        <f t="shared" si="3"/>
        <v>5060</v>
      </c>
      <c r="O73" s="68">
        <f t="shared" si="3"/>
        <v>4520</v>
      </c>
      <c r="P73" s="68">
        <f t="shared" si="3"/>
        <v>1520</v>
      </c>
      <c r="Q73" s="68">
        <f t="shared" si="3"/>
        <v>620</v>
      </c>
      <c r="R73" s="68">
        <f t="shared" si="3"/>
        <v>620</v>
      </c>
      <c r="S73" s="68">
        <f t="shared" si="3"/>
        <v>620</v>
      </c>
    </row>
    <row r="74" spans="3:22" ht="11.25" customHeight="1" x14ac:dyDescent="0.3"/>
    <row r="75" spans="3:22" ht="11.25" customHeight="1" x14ac:dyDescent="0.3"/>
    <row r="76" spans="3:22" s="8" customFormat="1" ht="13.9" x14ac:dyDescent="0.3">
      <c r="C76" s="8" t="s">
        <v>651</v>
      </c>
    </row>
    <row r="77" spans="3:22" ht="11.25" customHeight="1" x14ac:dyDescent="0.3"/>
    <row r="78" spans="3:22" ht="11.25" customHeight="1" x14ac:dyDescent="0.3">
      <c r="D78" s="70" t="s">
        <v>342</v>
      </c>
      <c r="E78" s="54" t="s">
        <v>343</v>
      </c>
      <c r="H78" s="54" t="str">
        <f>Lookup!E$19</f>
        <v>Source</v>
      </c>
      <c r="I78" s="54" t="str">
        <f>Lookup!F$19</f>
        <v>Unit</v>
      </c>
      <c r="J78" s="54" t="str">
        <f>Lookup!G$19</f>
        <v>Basis</v>
      </c>
      <c r="M78" s="54" t="str">
        <f t="shared" ref="M78:S78" si="4">M$9</f>
        <v>FY23</v>
      </c>
      <c r="N78" s="54" t="str">
        <f t="shared" si="4"/>
        <v>FY24</v>
      </c>
      <c r="O78" s="54" t="str">
        <f t="shared" si="4"/>
        <v>FY25</v>
      </c>
      <c r="P78" s="54" t="str">
        <f t="shared" si="4"/>
        <v>FY26</v>
      </c>
      <c r="Q78" s="54" t="str">
        <f t="shared" si="4"/>
        <v>FY27</v>
      </c>
      <c r="R78" s="54" t="str">
        <f t="shared" si="4"/>
        <v>FY28</v>
      </c>
      <c r="S78" s="54" t="str">
        <f t="shared" si="4"/>
        <v>FY29</v>
      </c>
      <c r="U78" s="54" t="s">
        <v>319</v>
      </c>
    </row>
    <row r="79" spans="3:22" ht="11.25" customHeight="1" x14ac:dyDescent="0.3"/>
    <row r="80" spans="3:22" ht="12.75" x14ac:dyDescent="0.3">
      <c r="D80" s="75" t="s">
        <v>344</v>
      </c>
      <c r="E80" s="259" t="s">
        <v>345</v>
      </c>
      <c r="H80" s="259" t="s">
        <v>79</v>
      </c>
      <c r="I80" s="259" t="s">
        <v>47</v>
      </c>
      <c r="J80" s="259" t="s">
        <v>239</v>
      </c>
      <c r="M80" s="67">
        <v>0</v>
      </c>
      <c r="N80" s="67">
        <v>0</v>
      </c>
      <c r="O80" s="67">
        <v>0</v>
      </c>
      <c r="P80" s="67">
        <v>0</v>
      </c>
      <c r="Q80" s="67">
        <v>0</v>
      </c>
      <c r="R80" s="67">
        <v>0</v>
      </c>
      <c r="S80" s="67">
        <v>0</v>
      </c>
      <c r="U80" s="67" t="s">
        <v>257</v>
      </c>
    </row>
    <row r="81" spans="4:21" ht="12.75" x14ac:dyDescent="0.3">
      <c r="D81" s="75" t="s">
        <v>344</v>
      </c>
      <c r="E81" s="259" t="s">
        <v>346</v>
      </c>
      <c r="H81" s="259" t="s">
        <v>79</v>
      </c>
      <c r="I81" s="259" t="s">
        <v>47</v>
      </c>
      <c r="J81" s="259" t="s">
        <v>239</v>
      </c>
      <c r="M81" s="67">
        <v>0</v>
      </c>
      <c r="N81" s="67">
        <v>0</v>
      </c>
      <c r="O81" s="67">
        <v>0</v>
      </c>
      <c r="P81" s="67">
        <v>0</v>
      </c>
      <c r="Q81" s="67">
        <v>0</v>
      </c>
      <c r="R81" s="67">
        <v>0</v>
      </c>
      <c r="S81" s="67">
        <v>0</v>
      </c>
      <c r="U81" s="67" t="s">
        <v>257</v>
      </c>
    </row>
    <row r="82" spans="4:21" ht="12.75" x14ac:dyDescent="0.3">
      <c r="D82" s="75" t="s">
        <v>344</v>
      </c>
      <c r="E82" s="259" t="s">
        <v>347</v>
      </c>
      <c r="H82" s="259" t="s">
        <v>79</v>
      </c>
      <c r="I82" s="259" t="s">
        <v>47</v>
      </c>
      <c r="J82" s="259" t="s">
        <v>239</v>
      </c>
      <c r="M82" s="67">
        <v>0</v>
      </c>
      <c r="N82" s="67">
        <v>0</v>
      </c>
      <c r="O82" s="67">
        <v>0</v>
      </c>
      <c r="P82" s="67">
        <v>0</v>
      </c>
      <c r="Q82" s="67">
        <v>0</v>
      </c>
      <c r="R82" s="67">
        <v>0</v>
      </c>
      <c r="S82" s="67">
        <v>0</v>
      </c>
      <c r="U82" s="67" t="s">
        <v>69</v>
      </c>
    </row>
    <row r="83" spans="4:21" ht="12.75" x14ac:dyDescent="0.3">
      <c r="D83" s="75" t="s">
        <v>344</v>
      </c>
      <c r="E83" s="259" t="s">
        <v>348</v>
      </c>
      <c r="H83" s="259" t="s">
        <v>79</v>
      </c>
      <c r="I83" s="259" t="s">
        <v>47</v>
      </c>
      <c r="J83" s="259" t="s">
        <v>239</v>
      </c>
      <c r="M83" s="67">
        <v>0</v>
      </c>
      <c r="N83" s="67">
        <v>0</v>
      </c>
      <c r="O83" s="67">
        <v>0</v>
      </c>
      <c r="P83" s="67">
        <v>0</v>
      </c>
      <c r="Q83" s="67">
        <v>0</v>
      </c>
      <c r="R83" s="67">
        <v>0</v>
      </c>
      <c r="S83" s="67">
        <v>0</v>
      </c>
      <c r="U83" s="67" t="s">
        <v>258</v>
      </c>
    </row>
    <row r="84" spans="4:21" ht="12.75" x14ac:dyDescent="0.3">
      <c r="D84" s="75" t="s">
        <v>344</v>
      </c>
      <c r="E84" s="259" t="s">
        <v>349</v>
      </c>
      <c r="H84" s="259" t="s">
        <v>79</v>
      </c>
      <c r="I84" s="259" t="s">
        <v>47</v>
      </c>
      <c r="J84" s="259" t="s">
        <v>239</v>
      </c>
      <c r="M84" s="67">
        <v>0</v>
      </c>
      <c r="N84" s="67">
        <v>0</v>
      </c>
      <c r="O84" s="67">
        <v>0</v>
      </c>
      <c r="P84" s="67">
        <v>0</v>
      </c>
      <c r="Q84" s="67">
        <v>0</v>
      </c>
      <c r="R84" s="67">
        <v>0</v>
      </c>
      <c r="S84" s="67">
        <v>0</v>
      </c>
      <c r="U84" s="67" t="s">
        <v>258</v>
      </c>
    </row>
    <row r="85" spans="4:21" ht="12.75" x14ac:dyDescent="0.3">
      <c r="D85" s="75" t="s">
        <v>344</v>
      </c>
      <c r="E85" s="259" t="s">
        <v>350</v>
      </c>
      <c r="H85" s="259" t="s">
        <v>79</v>
      </c>
      <c r="I85" s="259" t="s">
        <v>47</v>
      </c>
      <c r="J85" s="259" t="s">
        <v>239</v>
      </c>
      <c r="M85" s="67">
        <v>0</v>
      </c>
      <c r="N85" s="67">
        <v>0</v>
      </c>
      <c r="O85" s="67">
        <v>0</v>
      </c>
      <c r="P85" s="67">
        <v>0</v>
      </c>
      <c r="Q85" s="67">
        <v>0</v>
      </c>
      <c r="R85" s="67">
        <v>0</v>
      </c>
      <c r="S85" s="67">
        <v>0</v>
      </c>
      <c r="U85" s="67" t="s">
        <v>258</v>
      </c>
    </row>
    <row r="86" spans="4:21" ht="12.75" x14ac:dyDescent="0.3">
      <c r="D86" s="75" t="s">
        <v>344</v>
      </c>
      <c r="E86" s="259" t="s">
        <v>351</v>
      </c>
      <c r="H86" s="259" t="s">
        <v>79</v>
      </c>
      <c r="I86" s="259" t="s">
        <v>47</v>
      </c>
      <c r="J86" s="259" t="s">
        <v>239</v>
      </c>
      <c r="M86" s="67">
        <v>0</v>
      </c>
      <c r="N86" s="67">
        <v>0</v>
      </c>
      <c r="O86" s="67">
        <v>0</v>
      </c>
      <c r="P86" s="67">
        <v>0</v>
      </c>
      <c r="Q86" s="67">
        <v>0</v>
      </c>
      <c r="R86" s="67">
        <v>0</v>
      </c>
      <c r="S86" s="67">
        <v>0</v>
      </c>
      <c r="U86" s="67" t="s">
        <v>257</v>
      </c>
    </row>
    <row r="87" spans="4:21" ht="12.75" x14ac:dyDescent="0.3">
      <c r="D87" s="75" t="s">
        <v>344</v>
      </c>
      <c r="E87" s="259" t="s">
        <v>352</v>
      </c>
      <c r="H87" s="259" t="s">
        <v>79</v>
      </c>
      <c r="I87" s="259" t="s">
        <v>47</v>
      </c>
      <c r="J87" s="259" t="s">
        <v>239</v>
      </c>
      <c r="M87" s="67">
        <v>0</v>
      </c>
      <c r="N87" s="67">
        <v>0</v>
      </c>
      <c r="O87" s="67">
        <v>0</v>
      </c>
      <c r="P87" s="67">
        <v>0</v>
      </c>
      <c r="Q87" s="67">
        <v>0</v>
      </c>
      <c r="R87" s="67">
        <v>0</v>
      </c>
      <c r="S87" s="67">
        <v>0</v>
      </c>
      <c r="U87" s="67" t="s">
        <v>257</v>
      </c>
    </row>
    <row r="88" spans="4:21" ht="12.75" x14ac:dyDescent="0.3">
      <c r="D88" s="75" t="s">
        <v>344</v>
      </c>
      <c r="E88" s="259" t="s">
        <v>353</v>
      </c>
      <c r="H88" s="259" t="s">
        <v>79</v>
      </c>
      <c r="I88" s="259" t="s">
        <v>47</v>
      </c>
      <c r="J88" s="259" t="s">
        <v>239</v>
      </c>
      <c r="M88" s="67">
        <v>0</v>
      </c>
      <c r="N88" s="67">
        <v>0</v>
      </c>
      <c r="O88" s="67">
        <v>0</v>
      </c>
      <c r="P88" s="67">
        <v>0</v>
      </c>
      <c r="Q88" s="67">
        <v>0</v>
      </c>
      <c r="R88" s="67">
        <v>0</v>
      </c>
      <c r="S88" s="67">
        <v>0</v>
      </c>
      <c r="U88" s="67" t="s">
        <v>69</v>
      </c>
    </row>
    <row r="89" spans="4:21" ht="12.75" x14ac:dyDescent="0.3">
      <c r="D89" s="75" t="s">
        <v>344</v>
      </c>
      <c r="E89" s="259" t="s">
        <v>354</v>
      </c>
      <c r="H89" s="259" t="s">
        <v>79</v>
      </c>
      <c r="I89" s="259" t="s">
        <v>47</v>
      </c>
      <c r="J89" s="259" t="s">
        <v>239</v>
      </c>
      <c r="M89" s="67">
        <v>0</v>
      </c>
      <c r="N89" s="67">
        <v>0</v>
      </c>
      <c r="O89" s="67">
        <v>0</v>
      </c>
      <c r="P89" s="67">
        <v>0</v>
      </c>
      <c r="Q89" s="67">
        <v>0</v>
      </c>
      <c r="R89" s="67">
        <v>0</v>
      </c>
      <c r="S89" s="67">
        <v>0</v>
      </c>
      <c r="U89" s="67" t="s">
        <v>258</v>
      </c>
    </row>
    <row r="90" spans="4:21" ht="12.75" x14ac:dyDescent="0.3">
      <c r="D90" s="75" t="s">
        <v>344</v>
      </c>
      <c r="E90" s="259" t="s">
        <v>355</v>
      </c>
      <c r="H90" s="259" t="s">
        <v>79</v>
      </c>
      <c r="I90" s="259" t="s">
        <v>47</v>
      </c>
      <c r="J90" s="259" t="s">
        <v>239</v>
      </c>
      <c r="M90" s="67">
        <v>0</v>
      </c>
      <c r="N90" s="67">
        <v>0</v>
      </c>
      <c r="O90" s="67">
        <v>0</v>
      </c>
      <c r="P90" s="67">
        <v>0</v>
      </c>
      <c r="Q90" s="67">
        <v>0</v>
      </c>
      <c r="R90" s="67">
        <v>0</v>
      </c>
      <c r="S90" s="67">
        <v>0</v>
      </c>
      <c r="U90" s="67" t="s">
        <v>258</v>
      </c>
    </row>
    <row r="91" spans="4:21" ht="12.75" x14ac:dyDescent="0.3">
      <c r="D91" s="75" t="s">
        <v>344</v>
      </c>
      <c r="E91" s="259" t="s">
        <v>356</v>
      </c>
      <c r="H91" s="259" t="s">
        <v>79</v>
      </c>
      <c r="I91" s="259" t="s">
        <v>47</v>
      </c>
      <c r="J91" s="259" t="s">
        <v>239</v>
      </c>
      <c r="M91" s="67">
        <v>0</v>
      </c>
      <c r="N91" s="67">
        <v>0</v>
      </c>
      <c r="O91" s="67">
        <v>0</v>
      </c>
      <c r="P91" s="67">
        <v>0</v>
      </c>
      <c r="Q91" s="67">
        <v>0</v>
      </c>
      <c r="R91" s="67">
        <v>0</v>
      </c>
      <c r="S91" s="67">
        <v>0</v>
      </c>
      <c r="U91" s="67" t="s">
        <v>258</v>
      </c>
    </row>
    <row r="92" spans="4:21" ht="12.75" x14ac:dyDescent="0.3">
      <c r="D92" s="75" t="s">
        <v>344</v>
      </c>
      <c r="E92" s="259" t="s">
        <v>357</v>
      </c>
      <c r="H92" s="259" t="s">
        <v>79</v>
      </c>
      <c r="I92" s="259" t="s">
        <v>47</v>
      </c>
      <c r="J92" s="259" t="s">
        <v>239</v>
      </c>
      <c r="M92" s="67">
        <v>0</v>
      </c>
      <c r="N92" s="67">
        <v>0</v>
      </c>
      <c r="O92" s="67">
        <v>0</v>
      </c>
      <c r="P92" s="67">
        <v>0</v>
      </c>
      <c r="Q92" s="67">
        <v>0</v>
      </c>
      <c r="R92" s="67">
        <v>0</v>
      </c>
      <c r="S92" s="67">
        <v>0</v>
      </c>
      <c r="U92" s="67" t="s">
        <v>257</v>
      </c>
    </row>
    <row r="93" spans="4:21" ht="12.75" x14ac:dyDescent="0.3">
      <c r="D93" s="75" t="s">
        <v>344</v>
      </c>
      <c r="E93" s="259" t="s">
        <v>358</v>
      </c>
      <c r="H93" s="259" t="s">
        <v>79</v>
      </c>
      <c r="I93" s="259" t="s">
        <v>47</v>
      </c>
      <c r="J93" s="259" t="s">
        <v>239</v>
      </c>
      <c r="M93" s="67">
        <v>99.979216892534154</v>
      </c>
      <c r="N93" s="67">
        <v>131.21910690496094</v>
      </c>
      <c r="O93" s="67">
        <v>165.96525710748335</v>
      </c>
      <c r="P93" s="67">
        <v>179.91976975520299</v>
      </c>
      <c r="Q93" s="67">
        <v>193.69312397294374</v>
      </c>
      <c r="R93" s="67">
        <v>207.82860508986704</v>
      </c>
      <c r="S93" s="67">
        <v>223.22977305088207</v>
      </c>
      <c r="U93" s="67" t="s">
        <v>257</v>
      </c>
    </row>
    <row r="94" spans="4:21" ht="12.75" x14ac:dyDescent="0.3">
      <c r="D94" s="75" t="s">
        <v>344</v>
      </c>
      <c r="E94" s="259" t="s">
        <v>359</v>
      </c>
      <c r="H94" s="259" t="s">
        <v>79</v>
      </c>
      <c r="I94" s="259" t="s">
        <v>47</v>
      </c>
      <c r="J94" s="259" t="s">
        <v>239</v>
      </c>
      <c r="M94" s="67">
        <v>111.14979472490097</v>
      </c>
      <c r="N94" s="67">
        <v>145.65614575120802</v>
      </c>
      <c r="O94" s="67">
        <v>183.92457577584051</v>
      </c>
      <c r="P94" s="67">
        <v>199.04524286201573</v>
      </c>
      <c r="Q94" s="67">
        <v>213.89379030549344</v>
      </c>
      <c r="R94" s="67">
        <v>229.0667674976597</v>
      </c>
      <c r="S94" s="67">
        <v>245.55241839705127</v>
      </c>
      <c r="U94" s="67" t="s">
        <v>69</v>
      </c>
    </row>
    <row r="95" spans="4:21" ht="12.75" x14ac:dyDescent="0.3">
      <c r="D95" s="75" t="s">
        <v>344</v>
      </c>
      <c r="E95" s="259" t="s">
        <v>360</v>
      </c>
      <c r="H95" s="259" t="s">
        <v>79</v>
      </c>
      <c r="I95" s="259" t="s">
        <v>47</v>
      </c>
      <c r="J95" s="259" t="s">
        <v>239</v>
      </c>
      <c r="M95" s="67">
        <v>1368.3028123607896</v>
      </c>
      <c r="N95" s="67">
        <v>574.56255239966015</v>
      </c>
      <c r="O95" s="67">
        <v>1213.261675262899</v>
      </c>
      <c r="P95" s="67">
        <v>1989.1866914699513</v>
      </c>
      <c r="Q95" s="67">
        <v>2160.875302873987</v>
      </c>
      <c r="R95" s="67">
        <v>302.16857108949495</v>
      </c>
      <c r="S95" s="67">
        <v>325.81461231656806</v>
      </c>
      <c r="U95" s="67" t="s">
        <v>258</v>
      </c>
    </row>
    <row r="96" spans="4:21" ht="12.75" x14ac:dyDescent="0.3">
      <c r="D96" s="75" t="s">
        <v>344</v>
      </c>
      <c r="E96" s="259" t="s">
        <v>361</v>
      </c>
      <c r="H96" s="259" t="s">
        <v>79</v>
      </c>
      <c r="I96" s="259" t="s">
        <v>47</v>
      </c>
      <c r="J96" s="259" t="s">
        <v>239</v>
      </c>
      <c r="M96" s="67">
        <v>341.9402279180311</v>
      </c>
      <c r="N96" s="67">
        <v>1337.7011053484941</v>
      </c>
      <c r="O96" s="67">
        <v>1021.0960306243365</v>
      </c>
      <c r="P96" s="67">
        <v>2752.8245289533616</v>
      </c>
      <c r="Q96" s="67">
        <v>0</v>
      </c>
      <c r="R96" s="67">
        <v>0</v>
      </c>
      <c r="S96" s="67">
        <v>0</v>
      </c>
      <c r="U96" s="67" t="s">
        <v>258</v>
      </c>
    </row>
    <row r="97" spans="4:21" ht="12.75" x14ac:dyDescent="0.3">
      <c r="D97" s="75" t="s">
        <v>344</v>
      </c>
      <c r="E97" s="259" t="s">
        <v>362</v>
      </c>
      <c r="H97" s="259" t="s">
        <v>79</v>
      </c>
      <c r="I97" s="259" t="s">
        <v>47</v>
      </c>
      <c r="J97" s="259" t="s">
        <v>239</v>
      </c>
      <c r="M97" s="67">
        <v>507.08931234399307</v>
      </c>
      <c r="N97" s="67">
        <v>632.8263061804148</v>
      </c>
      <c r="O97" s="67">
        <v>0</v>
      </c>
      <c r="P97" s="67">
        <v>0</v>
      </c>
      <c r="Q97" s="67">
        <v>0</v>
      </c>
      <c r="R97" s="67">
        <v>0</v>
      </c>
      <c r="S97" s="67">
        <v>0</v>
      </c>
      <c r="U97" s="67" t="s">
        <v>258</v>
      </c>
    </row>
    <row r="98" spans="4:21" ht="12.75" x14ac:dyDescent="0.3">
      <c r="D98" s="75" t="s">
        <v>344</v>
      </c>
      <c r="E98" s="259" t="s">
        <v>320</v>
      </c>
      <c r="H98" s="259" t="s">
        <v>79</v>
      </c>
      <c r="I98" s="259" t="s">
        <v>47</v>
      </c>
      <c r="J98" s="259" t="s">
        <v>239</v>
      </c>
      <c r="M98" s="67">
        <v>0</v>
      </c>
      <c r="N98" s="67">
        <v>0</v>
      </c>
      <c r="O98" s="67">
        <v>0</v>
      </c>
      <c r="P98" s="67">
        <v>0</v>
      </c>
      <c r="Q98" s="67">
        <v>0</v>
      </c>
      <c r="R98" s="67">
        <v>0</v>
      </c>
      <c r="S98" s="67">
        <v>0</v>
      </c>
      <c r="U98" s="67" t="s">
        <v>320</v>
      </c>
    </row>
    <row r="99" spans="4:21" ht="12.75" x14ac:dyDescent="0.3">
      <c r="D99" s="75" t="s">
        <v>363</v>
      </c>
      <c r="E99" s="259" t="s">
        <v>364</v>
      </c>
      <c r="H99" s="259" t="s">
        <v>79</v>
      </c>
      <c r="I99" s="259" t="s">
        <v>47</v>
      </c>
      <c r="J99" s="259" t="s">
        <v>239</v>
      </c>
      <c r="M99" s="67">
        <v>0</v>
      </c>
      <c r="N99" s="67">
        <v>0</v>
      </c>
      <c r="O99" s="67">
        <v>0</v>
      </c>
      <c r="P99" s="67">
        <v>0</v>
      </c>
      <c r="Q99" s="67">
        <v>0</v>
      </c>
      <c r="R99" s="67">
        <v>0</v>
      </c>
      <c r="S99" s="67">
        <v>0</v>
      </c>
      <c r="U99" s="67" t="s">
        <v>257</v>
      </c>
    </row>
    <row r="100" spans="4:21" ht="12.75" x14ac:dyDescent="0.3">
      <c r="D100" s="75" t="s">
        <v>363</v>
      </c>
      <c r="E100" s="259" t="s">
        <v>365</v>
      </c>
      <c r="H100" s="259" t="s">
        <v>79</v>
      </c>
      <c r="I100" s="259" t="s">
        <v>47</v>
      </c>
      <c r="J100" s="259" t="s">
        <v>239</v>
      </c>
      <c r="M100" s="67">
        <v>59.081448083810201</v>
      </c>
      <c r="N100" s="67">
        <v>77.56435566093127</v>
      </c>
      <c r="O100" s="67">
        <v>98.132491405690146</v>
      </c>
      <c r="P100" s="67">
        <v>106.41729756038596</v>
      </c>
      <c r="Q100" s="67">
        <v>114.60214845634057</v>
      </c>
      <c r="R100" s="67">
        <v>123.00902343607714</v>
      </c>
      <c r="S100" s="67">
        <v>132.17371467243726</v>
      </c>
      <c r="U100" s="67" t="s">
        <v>257</v>
      </c>
    </row>
    <row r="101" spans="4:21" ht="12.75" x14ac:dyDescent="0.3">
      <c r="D101" s="75" t="s">
        <v>363</v>
      </c>
      <c r="E101" s="259" t="s">
        <v>366</v>
      </c>
      <c r="H101" s="259" t="s">
        <v>79</v>
      </c>
      <c r="I101" s="259" t="s">
        <v>47</v>
      </c>
      <c r="J101" s="259" t="s">
        <v>239</v>
      </c>
      <c r="M101" s="67">
        <v>593.04932285562484</v>
      </c>
      <c r="N101" s="67">
        <v>628.06595746328674</v>
      </c>
      <c r="O101" s="67">
        <v>192.26365477795426</v>
      </c>
      <c r="P101" s="67">
        <v>207.24344652191755</v>
      </c>
      <c r="Q101" s="67">
        <v>221.76524931084367</v>
      </c>
      <c r="R101" s="67">
        <v>236.43600483510465</v>
      </c>
      <c r="S101" s="67">
        <v>252.2533422247748</v>
      </c>
      <c r="U101" s="67" t="s">
        <v>69</v>
      </c>
    </row>
    <row r="102" spans="4:21" ht="12.75" x14ac:dyDescent="0.3">
      <c r="D102" s="75" t="s">
        <v>363</v>
      </c>
      <c r="E102" s="259" t="s">
        <v>367</v>
      </c>
      <c r="H102" s="259" t="s">
        <v>79</v>
      </c>
      <c r="I102" s="259" t="s">
        <v>47</v>
      </c>
      <c r="J102" s="259" t="s">
        <v>239</v>
      </c>
      <c r="M102" s="67">
        <v>1138.4598353468295</v>
      </c>
      <c r="N102" s="67">
        <v>625.30225329037182</v>
      </c>
      <c r="O102" s="67">
        <v>655.46104820956748</v>
      </c>
      <c r="P102" s="67">
        <v>855.11832538840872</v>
      </c>
      <c r="Q102" s="67">
        <v>926.61003612822947</v>
      </c>
      <c r="R102" s="67">
        <v>554.20642948853424</v>
      </c>
      <c r="S102" s="67">
        <v>594.74398272945234</v>
      </c>
      <c r="U102" s="67" t="s">
        <v>258</v>
      </c>
    </row>
    <row r="103" spans="4:21" ht="12.75" x14ac:dyDescent="0.3">
      <c r="D103" s="75" t="s">
        <v>363</v>
      </c>
      <c r="E103" s="259" t="s">
        <v>368</v>
      </c>
      <c r="H103" s="259" t="s">
        <v>79</v>
      </c>
      <c r="I103" s="259" t="s">
        <v>47</v>
      </c>
      <c r="J103" s="259" t="s">
        <v>239</v>
      </c>
      <c r="M103" s="67">
        <v>264.2974767306568</v>
      </c>
      <c r="N103" s="67">
        <v>263.46918755653184</v>
      </c>
      <c r="O103" s="67">
        <v>164.2756910854894</v>
      </c>
      <c r="P103" s="67">
        <v>297.29083471534932</v>
      </c>
      <c r="Q103" s="67">
        <v>298.87026987915567</v>
      </c>
      <c r="R103" s="67">
        <v>167.51076653304472</v>
      </c>
      <c r="S103" s="67">
        <v>168.45199622255896</v>
      </c>
      <c r="U103" s="67" t="s">
        <v>258</v>
      </c>
    </row>
    <row r="104" spans="4:21" ht="12.75" x14ac:dyDescent="0.3">
      <c r="D104" s="75" t="s">
        <v>363</v>
      </c>
      <c r="E104" s="259" t="s">
        <v>369</v>
      </c>
      <c r="H104" s="259" t="s">
        <v>79</v>
      </c>
      <c r="I104" s="259" t="s">
        <v>47</v>
      </c>
      <c r="J104" s="259" t="s">
        <v>239</v>
      </c>
      <c r="M104" s="67">
        <v>274.83217143332962</v>
      </c>
      <c r="N104" s="67">
        <v>353.27451196585753</v>
      </c>
      <c r="O104" s="67">
        <v>224.67150002614878</v>
      </c>
      <c r="P104" s="67">
        <v>820.15270313304666</v>
      </c>
      <c r="Q104" s="67">
        <v>824.50997845994846</v>
      </c>
      <c r="R104" s="67">
        <v>229.09594802997287</v>
      </c>
      <c r="S104" s="67">
        <v>230.38321996177842</v>
      </c>
      <c r="U104" s="67" t="s">
        <v>258</v>
      </c>
    </row>
    <row r="105" spans="4:21" ht="12.75" x14ac:dyDescent="0.3">
      <c r="D105" s="75" t="s">
        <v>363</v>
      </c>
      <c r="E105" s="259" t="s">
        <v>320</v>
      </c>
      <c r="H105" s="259" t="s">
        <v>79</v>
      </c>
      <c r="I105" s="259" t="s">
        <v>47</v>
      </c>
      <c r="J105" s="259" t="s">
        <v>239</v>
      </c>
      <c r="M105" s="67">
        <v>0</v>
      </c>
      <c r="N105" s="67">
        <v>0</v>
      </c>
      <c r="O105" s="67">
        <v>0</v>
      </c>
      <c r="P105" s="67">
        <v>0</v>
      </c>
      <c r="Q105" s="67">
        <v>0</v>
      </c>
      <c r="R105" s="67">
        <v>0</v>
      </c>
      <c r="S105" s="67">
        <v>0</v>
      </c>
      <c r="U105" s="67" t="s">
        <v>320</v>
      </c>
    </row>
    <row r="106" spans="4:21" ht="12.75" x14ac:dyDescent="0.3">
      <c r="D106" s="75" t="s">
        <v>370</v>
      </c>
      <c r="E106" s="259" t="s">
        <v>371</v>
      </c>
      <c r="H106" s="259" t="s">
        <v>79</v>
      </c>
      <c r="I106" s="259" t="s">
        <v>47</v>
      </c>
      <c r="J106" s="259" t="s">
        <v>239</v>
      </c>
      <c r="M106" s="67">
        <v>0</v>
      </c>
      <c r="N106" s="67">
        <v>0</v>
      </c>
      <c r="O106" s="67">
        <v>0</v>
      </c>
      <c r="P106" s="67">
        <v>0</v>
      </c>
      <c r="Q106" s="67">
        <v>0</v>
      </c>
      <c r="R106" s="67">
        <v>0</v>
      </c>
      <c r="S106" s="67">
        <v>0</v>
      </c>
      <c r="U106" s="67" t="s">
        <v>257</v>
      </c>
    </row>
    <row r="107" spans="4:21" ht="12.75" x14ac:dyDescent="0.3">
      <c r="D107" s="75" t="s">
        <v>370</v>
      </c>
      <c r="E107" s="259" t="s">
        <v>365</v>
      </c>
      <c r="H107" s="259" t="s">
        <v>79</v>
      </c>
      <c r="I107" s="259" t="s">
        <v>47</v>
      </c>
      <c r="J107" s="259" t="s">
        <v>239</v>
      </c>
      <c r="M107" s="67">
        <v>0</v>
      </c>
      <c r="N107" s="67">
        <v>0</v>
      </c>
      <c r="O107" s="67">
        <v>0</v>
      </c>
      <c r="P107" s="67">
        <v>0</v>
      </c>
      <c r="Q107" s="67">
        <v>0</v>
      </c>
      <c r="R107" s="67">
        <v>0</v>
      </c>
      <c r="S107" s="67">
        <v>0</v>
      </c>
      <c r="U107" s="67" t="s">
        <v>257</v>
      </c>
    </row>
    <row r="108" spans="4:21" ht="12.75" x14ac:dyDescent="0.3">
      <c r="D108" s="75" t="s">
        <v>370</v>
      </c>
      <c r="E108" s="259" t="s">
        <v>366</v>
      </c>
      <c r="H108" s="259" t="s">
        <v>79</v>
      </c>
      <c r="I108" s="259" t="s">
        <v>47</v>
      </c>
      <c r="J108" s="259" t="s">
        <v>239</v>
      </c>
      <c r="M108" s="67">
        <v>0</v>
      </c>
      <c r="N108" s="67">
        <v>0</v>
      </c>
      <c r="O108" s="67">
        <v>0</v>
      </c>
      <c r="P108" s="67">
        <v>0</v>
      </c>
      <c r="Q108" s="67">
        <v>0</v>
      </c>
      <c r="R108" s="67">
        <v>0</v>
      </c>
      <c r="S108" s="67">
        <v>0</v>
      </c>
      <c r="U108" s="67" t="s">
        <v>69</v>
      </c>
    </row>
    <row r="109" spans="4:21" ht="12.75" x14ac:dyDescent="0.3">
      <c r="D109" s="75" t="s">
        <v>370</v>
      </c>
      <c r="E109" s="259" t="s">
        <v>367</v>
      </c>
      <c r="H109" s="259" t="s">
        <v>79</v>
      </c>
      <c r="I109" s="259" t="s">
        <v>47</v>
      </c>
      <c r="J109" s="259" t="s">
        <v>239</v>
      </c>
      <c r="M109" s="67">
        <v>0</v>
      </c>
      <c r="N109" s="67">
        <v>0</v>
      </c>
      <c r="O109" s="67">
        <v>0</v>
      </c>
      <c r="P109" s="67">
        <v>0</v>
      </c>
      <c r="Q109" s="67">
        <v>0</v>
      </c>
      <c r="R109" s="67">
        <v>0</v>
      </c>
      <c r="S109" s="67">
        <v>0</v>
      </c>
      <c r="U109" s="67" t="s">
        <v>258</v>
      </c>
    </row>
    <row r="110" spans="4:21" ht="12.75" x14ac:dyDescent="0.3">
      <c r="D110" s="75" t="s">
        <v>370</v>
      </c>
      <c r="E110" s="259" t="s">
        <v>368</v>
      </c>
      <c r="H110" s="259" t="s">
        <v>79</v>
      </c>
      <c r="I110" s="259" t="s">
        <v>47</v>
      </c>
      <c r="J110" s="259" t="s">
        <v>239</v>
      </c>
      <c r="M110" s="67">
        <v>0</v>
      </c>
      <c r="N110" s="67">
        <v>0</v>
      </c>
      <c r="O110" s="67">
        <v>0</v>
      </c>
      <c r="P110" s="67">
        <v>0</v>
      </c>
      <c r="Q110" s="67">
        <v>0</v>
      </c>
      <c r="R110" s="67">
        <v>0</v>
      </c>
      <c r="S110" s="67">
        <v>0</v>
      </c>
      <c r="U110" s="67" t="s">
        <v>258</v>
      </c>
    </row>
    <row r="111" spans="4:21" ht="12.75" x14ac:dyDescent="0.3">
      <c r="D111" s="75" t="s">
        <v>370</v>
      </c>
      <c r="E111" s="259" t="s">
        <v>369</v>
      </c>
      <c r="H111" s="259" t="s">
        <v>79</v>
      </c>
      <c r="I111" s="259" t="s">
        <v>47</v>
      </c>
      <c r="J111" s="259" t="s">
        <v>239</v>
      </c>
      <c r="M111" s="67">
        <v>0</v>
      </c>
      <c r="N111" s="67">
        <v>0</v>
      </c>
      <c r="O111" s="67">
        <v>0</v>
      </c>
      <c r="P111" s="67">
        <v>0</v>
      </c>
      <c r="Q111" s="67">
        <v>0</v>
      </c>
      <c r="R111" s="67">
        <v>0</v>
      </c>
      <c r="S111" s="67">
        <v>0</v>
      </c>
      <c r="U111" s="67" t="s">
        <v>258</v>
      </c>
    </row>
    <row r="112" spans="4:21" ht="12.75" x14ac:dyDescent="0.3">
      <c r="D112" s="75" t="s">
        <v>372</v>
      </c>
      <c r="E112" s="259" t="s">
        <v>364</v>
      </c>
      <c r="H112" s="259" t="s">
        <v>79</v>
      </c>
      <c r="I112" s="259" t="s">
        <v>47</v>
      </c>
      <c r="J112" s="259" t="s">
        <v>239</v>
      </c>
      <c r="M112" s="67">
        <v>0</v>
      </c>
      <c r="N112" s="67">
        <v>0</v>
      </c>
      <c r="O112" s="67">
        <v>0</v>
      </c>
      <c r="P112" s="67">
        <v>0</v>
      </c>
      <c r="Q112" s="67">
        <v>0</v>
      </c>
      <c r="R112" s="67">
        <v>0</v>
      </c>
      <c r="S112" s="67">
        <v>0</v>
      </c>
      <c r="U112" s="67" t="s">
        <v>257</v>
      </c>
    </row>
    <row r="113" spans="4:21" ht="12.75" x14ac:dyDescent="0.3">
      <c r="D113" s="75" t="s">
        <v>372</v>
      </c>
      <c r="E113" s="259" t="s">
        <v>365</v>
      </c>
      <c r="H113" s="259" t="s">
        <v>79</v>
      </c>
      <c r="I113" s="259" t="s">
        <v>47</v>
      </c>
      <c r="J113" s="259" t="s">
        <v>239</v>
      </c>
      <c r="M113" s="67">
        <v>10.185358722629687</v>
      </c>
      <c r="N113" s="67">
        <v>12.583539518190365</v>
      </c>
      <c r="O113" s="67">
        <v>14.993649307974007</v>
      </c>
      <c r="P113" s="67">
        <v>15.324660818380915</v>
      </c>
      <c r="Q113" s="67">
        <v>15.563033650062581</v>
      </c>
      <c r="R113" s="67">
        <v>15.758382724193824</v>
      </c>
      <c r="S113" s="67">
        <v>15.9786423406987</v>
      </c>
      <c r="U113" s="67" t="s">
        <v>257</v>
      </c>
    </row>
    <row r="114" spans="4:21" ht="12.75" x14ac:dyDescent="0.3">
      <c r="D114" s="75" t="s">
        <v>372</v>
      </c>
      <c r="E114" s="259" t="s">
        <v>373</v>
      </c>
      <c r="H114" s="259" t="s">
        <v>79</v>
      </c>
      <c r="I114" s="259" t="s">
        <v>47</v>
      </c>
      <c r="J114" s="259" t="s">
        <v>239</v>
      </c>
      <c r="M114" s="67">
        <v>9.0355090031301657</v>
      </c>
      <c r="N114" s="67">
        <v>11.092519707285883</v>
      </c>
      <c r="O114" s="67">
        <v>13.13524082720906</v>
      </c>
      <c r="P114" s="67">
        <v>13.343699938840771</v>
      </c>
      <c r="Q114" s="67">
        <v>13.469842942350537</v>
      </c>
      <c r="R114" s="67">
        <v>13.557097790093621</v>
      </c>
      <c r="S114" s="67">
        <v>13.664190317942133</v>
      </c>
      <c r="U114" s="67" t="s">
        <v>69</v>
      </c>
    </row>
    <row r="115" spans="4:21" ht="12.75" x14ac:dyDescent="0.3">
      <c r="D115" s="75" t="s">
        <v>372</v>
      </c>
      <c r="E115" s="259" t="s">
        <v>374</v>
      </c>
      <c r="H115" s="259" t="s">
        <v>79</v>
      </c>
      <c r="I115" s="259" t="s">
        <v>47</v>
      </c>
      <c r="J115" s="259" t="s">
        <v>239</v>
      </c>
      <c r="M115" s="67">
        <v>0.10881282495971838</v>
      </c>
      <c r="N115" s="67">
        <v>0.13542664465915616</v>
      </c>
      <c r="O115" s="67">
        <v>0.16241380549857595</v>
      </c>
      <c r="P115" s="67">
        <v>0.16694150748631045</v>
      </c>
      <c r="Q115" s="67">
        <v>0.17033609722651682</v>
      </c>
      <c r="R115" s="67">
        <v>0.17309491531724328</v>
      </c>
      <c r="S115" s="67">
        <v>0.17596232064901834</v>
      </c>
      <c r="U115" s="67" t="s">
        <v>69</v>
      </c>
    </row>
    <row r="116" spans="4:21" ht="12.75" x14ac:dyDescent="0.3">
      <c r="D116" s="75" t="s">
        <v>372</v>
      </c>
      <c r="E116" s="259" t="s">
        <v>375</v>
      </c>
      <c r="H116" s="259" t="s">
        <v>79</v>
      </c>
      <c r="I116" s="259" t="s">
        <v>47</v>
      </c>
      <c r="J116" s="259" t="s">
        <v>239</v>
      </c>
      <c r="M116" s="67">
        <v>0</v>
      </c>
      <c r="N116" s="67">
        <v>0</v>
      </c>
      <c r="O116" s="67">
        <v>0</v>
      </c>
      <c r="P116" s="67">
        <v>0</v>
      </c>
      <c r="Q116" s="67">
        <v>0</v>
      </c>
      <c r="R116" s="67">
        <v>0</v>
      </c>
      <c r="S116" s="67">
        <v>0</v>
      </c>
      <c r="U116" s="67" t="s">
        <v>69</v>
      </c>
    </row>
    <row r="117" spans="4:21" ht="12.75" x14ac:dyDescent="0.3">
      <c r="D117" s="75" t="s">
        <v>372</v>
      </c>
      <c r="E117" s="259" t="s">
        <v>367</v>
      </c>
      <c r="H117" s="259" t="s">
        <v>79</v>
      </c>
      <c r="I117" s="259" t="s">
        <v>47</v>
      </c>
      <c r="J117" s="259" t="s">
        <v>239</v>
      </c>
      <c r="M117" s="67">
        <v>384.80305993184112</v>
      </c>
      <c r="N117" s="67">
        <v>141.465336233258</v>
      </c>
      <c r="O117" s="67">
        <v>41.403757802000726</v>
      </c>
      <c r="P117" s="67">
        <v>49.520247456755847</v>
      </c>
      <c r="Q117" s="67">
        <v>51.69806671739277</v>
      </c>
      <c r="R117" s="67">
        <v>34.479025501780171</v>
      </c>
      <c r="S117" s="67">
        <v>35.162508791845575</v>
      </c>
      <c r="U117" s="67" t="s">
        <v>258</v>
      </c>
    </row>
    <row r="118" spans="4:21" ht="12.75" x14ac:dyDescent="0.3">
      <c r="D118" s="75" t="s">
        <v>372</v>
      </c>
      <c r="E118" s="259" t="s">
        <v>368</v>
      </c>
      <c r="H118" s="259" t="s">
        <v>79</v>
      </c>
      <c r="I118" s="259" t="s">
        <v>47</v>
      </c>
      <c r="J118" s="259" t="s">
        <v>239</v>
      </c>
      <c r="M118" s="67">
        <v>5.8764502210246407E-2</v>
      </c>
      <c r="N118" s="67">
        <v>218.06052504510225</v>
      </c>
      <c r="O118" s="67">
        <v>132.65352846888814</v>
      </c>
      <c r="P118" s="67">
        <v>357.47847725983951</v>
      </c>
      <c r="Q118" s="67">
        <v>9.7134838071342336E-2</v>
      </c>
      <c r="R118" s="67">
        <v>0.10027908061418965</v>
      </c>
      <c r="S118" s="67">
        <v>0.10368230141632051</v>
      </c>
      <c r="U118" s="67" t="s">
        <v>258</v>
      </c>
    </row>
    <row r="119" spans="4:21" ht="12.75" x14ac:dyDescent="0.3">
      <c r="D119" s="75" t="s">
        <v>372</v>
      </c>
      <c r="E119" s="259" t="s">
        <v>369</v>
      </c>
      <c r="H119" s="259" t="s">
        <v>79</v>
      </c>
      <c r="I119" s="259" t="s">
        <v>47</v>
      </c>
      <c r="J119" s="259" t="s">
        <v>239</v>
      </c>
      <c r="M119" s="67">
        <v>5.8779973461835257E-2</v>
      </c>
      <c r="N119" s="67">
        <v>7.3870127960746962E-2</v>
      </c>
      <c r="O119" s="67">
        <v>8.9515500283614338E-2</v>
      </c>
      <c r="P119" s="67">
        <v>9.3031002682593095E-2</v>
      </c>
      <c r="Q119" s="67">
        <v>9.6070371802797649E-2</v>
      </c>
      <c r="R119" s="67">
        <v>9.8938593814379736E-2</v>
      </c>
      <c r="S119" s="67">
        <v>0.1020603014317954</v>
      </c>
      <c r="U119" s="67" t="s">
        <v>258</v>
      </c>
    </row>
    <row r="120" spans="4:21" ht="12.75" x14ac:dyDescent="0.3">
      <c r="D120" s="75" t="s">
        <v>372</v>
      </c>
      <c r="E120" s="259" t="s">
        <v>320</v>
      </c>
      <c r="H120" s="259" t="s">
        <v>79</v>
      </c>
      <c r="I120" s="259" t="s">
        <v>47</v>
      </c>
      <c r="J120" s="259" t="s">
        <v>239</v>
      </c>
      <c r="M120" s="67">
        <v>0</v>
      </c>
      <c r="N120" s="67">
        <v>0</v>
      </c>
      <c r="O120" s="67">
        <v>0</v>
      </c>
      <c r="P120" s="67">
        <v>0</v>
      </c>
      <c r="Q120" s="67">
        <v>0</v>
      </c>
      <c r="R120" s="67">
        <v>0</v>
      </c>
      <c r="S120" s="67">
        <v>0</v>
      </c>
      <c r="U120" s="67" t="s">
        <v>320</v>
      </c>
    </row>
    <row r="121" spans="4:21" ht="12.75" x14ac:dyDescent="0.3">
      <c r="D121" s="75" t="s">
        <v>376</v>
      </c>
      <c r="E121" s="259" t="s">
        <v>364</v>
      </c>
      <c r="H121" s="259" t="s">
        <v>79</v>
      </c>
      <c r="I121" s="259" t="s">
        <v>47</v>
      </c>
      <c r="J121" s="259" t="s">
        <v>239</v>
      </c>
      <c r="M121" s="67">
        <v>0</v>
      </c>
      <c r="N121" s="67">
        <v>0</v>
      </c>
      <c r="O121" s="67">
        <v>0</v>
      </c>
      <c r="P121" s="67">
        <v>0</v>
      </c>
      <c r="Q121" s="67">
        <v>0</v>
      </c>
      <c r="R121" s="67">
        <v>0</v>
      </c>
      <c r="S121" s="67">
        <v>0</v>
      </c>
      <c r="U121" s="67" t="s">
        <v>257</v>
      </c>
    </row>
    <row r="122" spans="4:21" ht="12.75" x14ac:dyDescent="0.3">
      <c r="D122" s="75" t="s">
        <v>376</v>
      </c>
      <c r="E122" s="259" t="s">
        <v>365</v>
      </c>
      <c r="H122" s="259" t="s">
        <v>79</v>
      </c>
      <c r="I122" s="259" t="s">
        <v>47</v>
      </c>
      <c r="J122" s="259" t="s">
        <v>239</v>
      </c>
      <c r="M122" s="67">
        <v>1433.8516499493203</v>
      </c>
      <c r="N122" s="67">
        <v>1513.8586632563201</v>
      </c>
      <c r="O122" s="67">
        <v>1555.7836031432391</v>
      </c>
      <c r="P122" s="67">
        <v>1579.0142109767303</v>
      </c>
      <c r="Q122" s="67">
        <v>1593.0354241275916</v>
      </c>
      <c r="R122" s="67">
        <v>1603.1800213265658</v>
      </c>
      <c r="S122" s="67">
        <v>1616.3848992718913</v>
      </c>
      <c r="U122" s="67" t="s">
        <v>257</v>
      </c>
    </row>
    <row r="123" spans="4:21" ht="12.75" x14ac:dyDescent="0.3">
      <c r="D123" s="75" t="s">
        <v>376</v>
      </c>
      <c r="E123" s="259" t="s">
        <v>377</v>
      </c>
      <c r="H123" s="259" t="s">
        <v>79</v>
      </c>
      <c r="I123" s="259" t="s">
        <v>47</v>
      </c>
      <c r="J123" s="259" t="s">
        <v>239</v>
      </c>
      <c r="M123" s="67">
        <v>6923.6426698797768</v>
      </c>
      <c r="N123" s="67">
        <v>5595.6644572389687</v>
      </c>
      <c r="O123" s="67">
        <v>6812.5923438410782</v>
      </c>
      <c r="P123" s="67">
        <v>9574.9194517423894</v>
      </c>
      <c r="Q123" s="67">
        <v>5806.3425470375432</v>
      </c>
      <c r="R123" s="67">
        <v>5827.9311592768654</v>
      </c>
      <c r="S123" s="67">
        <v>5863.1730946257712</v>
      </c>
      <c r="U123" s="67" t="s">
        <v>69</v>
      </c>
    </row>
    <row r="124" spans="4:21" ht="12.75" x14ac:dyDescent="0.3">
      <c r="D124" s="75" t="s">
        <v>376</v>
      </c>
      <c r="E124" s="259" t="s">
        <v>378</v>
      </c>
      <c r="H124" s="259" t="s">
        <v>79</v>
      </c>
      <c r="I124" s="259" t="s">
        <v>47</v>
      </c>
      <c r="J124" s="259" t="s">
        <v>239</v>
      </c>
      <c r="M124" s="67">
        <v>1259.0218431033929</v>
      </c>
      <c r="N124" s="67">
        <v>6642.6750575595961</v>
      </c>
      <c r="O124" s="67">
        <v>49.721273147143293</v>
      </c>
      <c r="P124" s="67">
        <v>51.986457425031631</v>
      </c>
      <c r="Q124" s="67">
        <v>53.924577560409212</v>
      </c>
      <c r="R124" s="67">
        <v>55.680969365907835</v>
      </c>
      <c r="S124" s="67">
        <v>57.49115493273586</v>
      </c>
      <c r="U124" s="67" t="s">
        <v>258</v>
      </c>
    </row>
    <row r="125" spans="4:21" ht="12.75" x14ac:dyDescent="0.3">
      <c r="D125" s="75" t="s">
        <v>376</v>
      </c>
      <c r="E125" s="259" t="s">
        <v>379</v>
      </c>
      <c r="H125" s="259" t="s">
        <v>79</v>
      </c>
      <c r="I125" s="259" t="s">
        <v>47</v>
      </c>
      <c r="J125" s="259" t="s">
        <v>239</v>
      </c>
      <c r="M125" s="67">
        <v>0</v>
      </c>
      <c r="N125" s="67">
        <v>0</v>
      </c>
      <c r="O125" s="67">
        <v>0</v>
      </c>
      <c r="P125" s="67">
        <v>0</v>
      </c>
      <c r="Q125" s="67">
        <v>0</v>
      </c>
      <c r="R125" s="67">
        <v>0</v>
      </c>
      <c r="S125" s="67">
        <v>0</v>
      </c>
      <c r="U125" s="67" t="s">
        <v>258</v>
      </c>
    </row>
    <row r="126" spans="4:21" ht="12.75" x14ac:dyDescent="0.3">
      <c r="D126" s="75" t="s">
        <v>376</v>
      </c>
      <c r="E126" s="259" t="s">
        <v>368</v>
      </c>
      <c r="H126" s="259" t="s">
        <v>79</v>
      </c>
      <c r="I126" s="259" t="s">
        <v>47</v>
      </c>
      <c r="J126" s="259" t="s">
        <v>239</v>
      </c>
      <c r="M126" s="67">
        <v>0.27817778716121783</v>
      </c>
      <c r="N126" s="67">
        <v>0.36181781175733596</v>
      </c>
      <c r="O126" s="67">
        <v>0.45241867247752432</v>
      </c>
      <c r="P126" s="67">
        <v>0.48389691680860109</v>
      </c>
      <c r="Q126" s="67">
        <v>0.51309248618493508</v>
      </c>
      <c r="R126" s="67">
        <v>0.54145876964209949</v>
      </c>
      <c r="S126" s="67">
        <v>0.57129699620170438</v>
      </c>
      <c r="U126" s="67" t="s">
        <v>258</v>
      </c>
    </row>
    <row r="127" spans="4:21" ht="12.75" x14ac:dyDescent="0.3">
      <c r="D127" s="75" t="s">
        <v>376</v>
      </c>
      <c r="E127" s="259" t="s">
        <v>380</v>
      </c>
      <c r="H127" s="259" t="s">
        <v>79</v>
      </c>
      <c r="I127" s="259" t="s">
        <v>47</v>
      </c>
      <c r="J127" s="259" t="s">
        <v>239</v>
      </c>
      <c r="M127" s="67">
        <v>0</v>
      </c>
      <c r="N127" s="67">
        <v>0</v>
      </c>
      <c r="O127" s="67">
        <v>0</v>
      </c>
      <c r="P127" s="67">
        <v>0</v>
      </c>
      <c r="Q127" s="67">
        <v>0</v>
      </c>
      <c r="R127" s="67">
        <v>0</v>
      </c>
      <c r="S127" s="67">
        <v>0</v>
      </c>
      <c r="U127" s="67" t="s">
        <v>258</v>
      </c>
    </row>
    <row r="128" spans="4:21" ht="12.75" x14ac:dyDescent="0.3">
      <c r="D128" s="75" t="s">
        <v>376</v>
      </c>
      <c r="E128" s="259" t="s">
        <v>320</v>
      </c>
      <c r="H128" s="259" t="s">
        <v>79</v>
      </c>
      <c r="I128" s="259" t="s">
        <v>47</v>
      </c>
      <c r="J128" s="259" t="s">
        <v>239</v>
      </c>
      <c r="M128" s="67">
        <v>0</v>
      </c>
      <c r="N128" s="67">
        <v>0</v>
      </c>
      <c r="O128" s="67">
        <v>0</v>
      </c>
      <c r="P128" s="67">
        <v>0</v>
      </c>
      <c r="Q128" s="67">
        <v>0</v>
      </c>
      <c r="R128" s="67">
        <v>0</v>
      </c>
      <c r="S128" s="67">
        <v>0</v>
      </c>
      <c r="U128" s="67" t="s">
        <v>320</v>
      </c>
    </row>
    <row r="129" spans="4:21" ht="12.75" x14ac:dyDescent="0.3">
      <c r="D129" s="75" t="s">
        <v>381</v>
      </c>
      <c r="E129" s="259" t="s">
        <v>382</v>
      </c>
      <c r="H129" s="259" t="s">
        <v>79</v>
      </c>
      <c r="I129" s="259" t="s">
        <v>47</v>
      </c>
      <c r="J129" s="259" t="s">
        <v>239</v>
      </c>
      <c r="M129" s="67">
        <v>0</v>
      </c>
      <c r="N129" s="67">
        <v>0</v>
      </c>
      <c r="O129" s="67">
        <v>0</v>
      </c>
      <c r="P129" s="67">
        <v>0</v>
      </c>
      <c r="Q129" s="67">
        <v>0</v>
      </c>
      <c r="R129" s="67">
        <v>0</v>
      </c>
      <c r="S129" s="67">
        <v>0</v>
      </c>
      <c r="U129" s="67" t="s">
        <v>257</v>
      </c>
    </row>
    <row r="130" spans="4:21" ht="12.75" x14ac:dyDescent="0.3">
      <c r="D130" s="75" t="s">
        <v>381</v>
      </c>
      <c r="E130" s="259" t="s">
        <v>383</v>
      </c>
      <c r="H130" s="259" t="s">
        <v>79</v>
      </c>
      <c r="I130" s="259" t="s">
        <v>47</v>
      </c>
      <c r="J130" s="259" t="s">
        <v>239</v>
      </c>
      <c r="M130" s="67">
        <v>14.961793611007142</v>
      </c>
      <c r="N130" s="67">
        <v>18.989169600545125</v>
      </c>
      <c r="O130" s="67">
        <v>1855.1247774785779</v>
      </c>
      <c r="P130" s="67">
        <v>1876.3613106981061</v>
      </c>
      <c r="Q130" s="67">
        <v>1887.1974680055462</v>
      </c>
      <c r="R130" s="67">
        <v>1894.2683579457118</v>
      </c>
      <c r="S130" s="67">
        <v>1905.7833501972598</v>
      </c>
      <c r="U130" s="67" t="s">
        <v>257</v>
      </c>
    </row>
    <row r="131" spans="4:21" ht="12.75" x14ac:dyDescent="0.3">
      <c r="D131" s="75" t="s">
        <v>381</v>
      </c>
      <c r="E131" s="259" t="s">
        <v>384</v>
      </c>
      <c r="H131" s="259" t="s">
        <v>79</v>
      </c>
      <c r="I131" s="259" t="s">
        <v>47</v>
      </c>
      <c r="J131" s="259" t="s">
        <v>239</v>
      </c>
      <c r="M131" s="67">
        <v>0</v>
      </c>
      <c r="N131" s="67">
        <v>0</v>
      </c>
      <c r="O131" s="67">
        <v>0</v>
      </c>
      <c r="P131" s="67">
        <v>0</v>
      </c>
      <c r="Q131" s="67">
        <v>0</v>
      </c>
      <c r="R131" s="67">
        <v>0</v>
      </c>
      <c r="S131" s="67">
        <v>0</v>
      </c>
      <c r="U131" s="67" t="s">
        <v>257</v>
      </c>
    </row>
    <row r="132" spans="4:21" ht="12.75" x14ac:dyDescent="0.3">
      <c r="D132" s="75" t="s">
        <v>381</v>
      </c>
      <c r="E132" s="259" t="s">
        <v>385</v>
      </c>
      <c r="H132" s="259" t="s">
        <v>79</v>
      </c>
      <c r="I132" s="259" t="s">
        <v>47</v>
      </c>
      <c r="J132" s="259" t="s">
        <v>239</v>
      </c>
      <c r="M132" s="67">
        <v>0</v>
      </c>
      <c r="N132" s="67">
        <v>0</v>
      </c>
      <c r="O132" s="67">
        <v>0</v>
      </c>
      <c r="P132" s="67">
        <v>0</v>
      </c>
      <c r="Q132" s="67">
        <v>0</v>
      </c>
      <c r="R132" s="67">
        <v>0</v>
      </c>
      <c r="S132" s="67">
        <v>0</v>
      </c>
      <c r="U132" s="67" t="s">
        <v>257</v>
      </c>
    </row>
    <row r="133" spans="4:21" ht="12.75" x14ac:dyDescent="0.3">
      <c r="D133" s="75" t="s">
        <v>381</v>
      </c>
      <c r="E133" s="259" t="s">
        <v>386</v>
      </c>
      <c r="H133" s="259" t="s">
        <v>79</v>
      </c>
      <c r="I133" s="259" t="s">
        <v>47</v>
      </c>
      <c r="J133" s="259" t="s">
        <v>239</v>
      </c>
      <c r="M133" s="67">
        <v>0</v>
      </c>
      <c r="N133" s="67">
        <v>0</v>
      </c>
      <c r="O133" s="67">
        <v>0</v>
      </c>
      <c r="P133" s="67">
        <v>0</v>
      </c>
      <c r="Q133" s="67">
        <v>0</v>
      </c>
      <c r="R133" s="67">
        <v>0</v>
      </c>
      <c r="S133" s="67">
        <v>0</v>
      </c>
      <c r="U133" s="67" t="s">
        <v>257</v>
      </c>
    </row>
    <row r="134" spans="4:21" ht="12.75" x14ac:dyDescent="0.3">
      <c r="D134" s="75" t="s">
        <v>381</v>
      </c>
      <c r="E134" s="259" t="s">
        <v>387</v>
      </c>
      <c r="H134" s="259" t="s">
        <v>79</v>
      </c>
      <c r="I134" s="259" t="s">
        <v>47</v>
      </c>
      <c r="J134" s="259" t="s">
        <v>239</v>
      </c>
      <c r="M134" s="67">
        <v>0</v>
      </c>
      <c r="N134" s="67">
        <v>0</v>
      </c>
      <c r="O134" s="67">
        <v>0</v>
      </c>
      <c r="P134" s="67">
        <v>0</v>
      </c>
      <c r="Q134" s="67">
        <v>0</v>
      </c>
      <c r="R134" s="67">
        <v>0</v>
      </c>
      <c r="S134" s="67">
        <v>0</v>
      </c>
      <c r="U134" s="67" t="s">
        <v>69</v>
      </c>
    </row>
    <row r="135" spans="4:21" ht="12.75" x14ac:dyDescent="0.3">
      <c r="D135" s="75" t="s">
        <v>381</v>
      </c>
      <c r="E135" s="259" t="s">
        <v>388</v>
      </c>
      <c r="H135" s="259" t="s">
        <v>79</v>
      </c>
      <c r="I135" s="259" t="s">
        <v>47</v>
      </c>
      <c r="J135" s="259" t="s">
        <v>239</v>
      </c>
      <c r="M135" s="67">
        <v>0</v>
      </c>
      <c r="N135" s="67">
        <v>0</v>
      </c>
      <c r="O135" s="67">
        <v>0</v>
      </c>
      <c r="P135" s="67">
        <v>0</v>
      </c>
      <c r="Q135" s="67">
        <v>0</v>
      </c>
      <c r="R135" s="67">
        <v>0</v>
      </c>
      <c r="S135" s="67">
        <v>0</v>
      </c>
      <c r="U135" s="67" t="s">
        <v>69</v>
      </c>
    </row>
    <row r="136" spans="4:21" ht="12.75" x14ac:dyDescent="0.3">
      <c r="D136" s="75" t="s">
        <v>381</v>
      </c>
      <c r="E136" s="259" t="s">
        <v>389</v>
      </c>
      <c r="H136" s="259" t="s">
        <v>79</v>
      </c>
      <c r="I136" s="259" t="s">
        <v>47</v>
      </c>
      <c r="J136" s="259" t="s">
        <v>239</v>
      </c>
      <c r="M136" s="67">
        <v>0</v>
      </c>
      <c r="N136" s="67">
        <v>0</v>
      </c>
      <c r="O136" s="67">
        <v>0</v>
      </c>
      <c r="P136" s="67">
        <v>0</v>
      </c>
      <c r="Q136" s="67">
        <v>0</v>
      </c>
      <c r="R136" s="67">
        <v>0</v>
      </c>
      <c r="S136" s="67">
        <v>0</v>
      </c>
      <c r="U136" s="67" t="s">
        <v>258</v>
      </c>
    </row>
    <row r="137" spans="4:21" ht="12.75" x14ac:dyDescent="0.3">
      <c r="D137" s="75" t="s">
        <v>381</v>
      </c>
      <c r="E137" s="259" t="s">
        <v>390</v>
      </c>
      <c r="H137" s="259" t="s">
        <v>79</v>
      </c>
      <c r="I137" s="259" t="s">
        <v>47</v>
      </c>
      <c r="J137" s="259" t="s">
        <v>239</v>
      </c>
      <c r="M137" s="67">
        <v>0</v>
      </c>
      <c r="N137" s="67">
        <v>0</v>
      </c>
      <c r="O137" s="67">
        <v>0</v>
      </c>
      <c r="P137" s="67">
        <v>0</v>
      </c>
      <c r="Q137" s="67">
        <v>0</v>
      </c>
      <c r="R137" s="67">
        <v>0</v>
      </c>
      <c r="S137" s="67">
        <v>0</v>
      </c>
      <c r="U137" s="67" t="s">
        <v>258</v>
      </c>
    </row>
    <row r="138" spans="4:21" ht="12.75" x14ac:dyDescent="0.3">
      <c r="D138" s="75" t="s">
        <v>381</v>
      </c>
      <c r="E138" s="259" t="s">
        <v>391</v>
      </c>
      <c r="H138" s="259" t="s">
        <v>79</v>
      </c>
      <c r="I138" s="259" t="s">
        <v>47</v>
      </c>
      <c r="J138" s="259" t="s">
        <v>239</v>
      </c>
      <c r="M138" s="67">
        <v>0</v>
      </c>
      <c r="N138" s="67">
        <v>0</v>
      </c>
      <c r="O138" s="67">
        <v>0</v>
      </c>
      <c r="P138" s="67">
        <v>0</v>
      </c>
      <c r="Q138" s="67">
        <v>0</v>
      </c>
      <c r="R138" s="67">
        <v>0</v>
      </c>
      <c r="S138" s="67">
        <v>0</v>
      </c>
      <c r="U138" s="67" t="s">
        <v>258</v>
      </c>
    </row>
    <row r="139" spans="4:21" ht="12.75" x14ac:dyDescent="0.3">
      <c r="D139" s="75" t="s">
        <v>381</v>
      </c>
      <c r="E139" s="259" t="s">
        <v>392</v>
      </c>
      <c r="H139" s="259" t="s">
        <v>79</v>
      </c>
      <c r="I139" s="259" t="s">
        <v>47</v>
      </c>
      <c r="J139" s="259" t="s">
        <v>239</v>
      </c>
      <c r="M139" s="67">
        <v>0</v>
      </c>
      <c r="N139" s="67">
        <v>0</v>
      </c>
      <c r="O139" s="67">
        <v>0</v>
      </c>
      <c r="P139" s="67">
        <v>0</v>
      </c>
      <c r="Q139" s="67">
        <v>0</v>
      </c>
      <c r="R139" s="67">
        <v>0</v>
      </c>
      <c r="S139" s="67">
        <v>0</v>
      </c>
      <c r="U139" s="67" t="s">
        <v>258</v>
      </c>
    </row>
    <row r="140" spans="4:21" ht="12.75" x14ac:dyDescent="0.3">
      <c r="D140" s="75" t="s">
        <v>381</v>
      </c>
      <c r="E140" s="259" t="s">
        <v>393</v>
      </c>
      <c r="H140" s="259" t="s">
        <v>79</v>
      </c>
      <c r="I140" s="259" t="s">
        <v>47</v>
      </c>
      <c r="J140" s="259" t="s">
        <v>239</v>
      </c>
      <c r="M140" s="67">
        <v>0</v>
      </c>
      <c r="N140" s="67">
        <v>0</v>
      </c>
      <c r="O140" s="67">
        <v>0</v>
      </c>
      <c r="P140" s="67">
        <v>0</v>
      </c>
      <c r="Q140" s="67">
        <v>0</v>
      </c>
      <c r="R140" s="67">
        <v>0</v>
      </c>
      <c r="S140" s="67">
        <v>0</v>
      </c>
      <c r="U140" s="67" t="s">
        <v>258</v>
      </c>
    </row>
    <row r="141" spans="4:21" ht="12.75" x14ac:dyDescent="0.3">
      <c r="D141" s="75" t="s">
        <v>381</v>
      </c>
      <c r="E141" s="259" t="s">
        <v>394</v>
      </c>
      <c r="H141" s="259" t="s">
        <v>79</v>
      </c>
      <c r="I141" s="259" t="s">
        <v>47</v>
      </c>
      <c r="J141" s="259" t="s">
        <v>239</v>
      </c>
      <c r="M141" s="67">
        <v>0</v>
      </c>
      <c r="N141" s="67">
        <v>0</v>
      </c>
      <c r="O141" s="67">
        <v>0</v>
      </c>
      <c r="P141" s="67">
        <v>0</v>
      </c>
      <c r="Q141" s="67">
        <v>0</v>
      </c>
      <c r="R141" s="67">
        <v>0</v>
      </c>
      <c r="S141" s="67">
        <v>0</v>
      </c>
      <c r="U141" s="67" t="s">
        <v>258</v>
      </c>
    </row>
    <row r="142" spans="4:21" ht="12.75" x14ac:dyDescent="0.3">
      <c r="D142" s="75" t="s">
        <v>381</v>
      </c>
      <c r="E142" s="259" t="s">
        <v>395</v>
      </c>
      <c r="H142" s="259" t="s">
        <v>79</v>
      </c>
      <c r="I142" s="259" t="s">
        <v>47</v>
      </c>
      <c r="J142" s="259" t="s">
        <v>239</v>
      </c>
      <c r="M142" s="67">
        <v>0</v>
      </c>
      <c r="N142" s="67">
        <v>0</v>
      </c>
      <c r="O142" s="67">
        <v>0</v>
      </c>
      <c r="P142" s="67">
        <v>0</v>
      </c>
      <c r="Q142" s="67">
        <v>0</v>
      </c>
      <c r="R142" s="67">
        <v>0</v>
      </c>
      <c r="S142" s="67">
        <v>0</v>
      </c>
      <c r="U142" s="67" t="s">
        <v>258</v>
      </c>
    </row>
    <row r="143" spans="4:21" ht="12.75" x14ac:dyDescent="0.3">
      <c r="D143" s="75" t="s">
        <v>381</v>
      </c>
      <c r="E143" s="259" t="s">
        <v>396</v>
      </c>
      <c r="H143" s="259" t="s">
        <v>79</v>
      </c>
      <c r="I143" s="259" t="s">
        <v>47</v>
      </c>
      <c r="J143" s="259" t="s">
        <v>239</v>
      </c>
      <c r="M143" s="67">
        <v>0</v>
      </c>
      <c r="N143" s="67">
        <v>0</v>
      </c>
      <c r="O143" s="67">
        <v>0</v>
      </c>
      <c r="P143" s="67">
        <v>0</v>
      </c>
      <c r="Q143" s="67">
        <v>0</v>
      </c>
      <c r="R143" s="67">
        <v>0</v>
      </c>
      <c r="S143" s="67">
        <v>0</v>
      </c>
      <c r="U143" s="67" t="s">
        <v>258</v>
      </c>
    </row>
    <row r="144" spans="4:21" ht="12.75" x14ac:dyDescent="0.3">
      <c r="D144" s="75" t="s">
        <v>381</v>
      </c>
      <c r="E144" s="259" t="s">
        <v>320</v>
      </c>
      <c r="H144" s="259" t="s">
        <v>79</v>
      </c>
      <c r="I144" s="259" t="s">
        <v>47</v>
      </c>
      <c r="J144" s="259" t="s">
        <v>239</v>
      </c>
      <c r="M144" s="67">
        <v>0</v>
      </c>
      <c r="N144" s="67">
        <v>0</v>
      </c>
      <c r="O144" s="67">
        <v>0</v>
      </c>
      <c r="P144" s="67">
        <v>0</v>
      </c>
      <c r="Q144" s="67">
        <v>0</v>
      </c>
      <c r="R144" s="67">
        <v>0</v>
      </c>
      <c r="S144" s="67">
        <v>0</v>
      </c>
      <c r="U144" s="67" t="s">
        <v>320</v>
      </c>
    </row>
    <row r="145" spans="4:21" ht="12.75" x14ac:dyDescent="0.3">
      <c r="D145" s="75" t="s">
        <v>397</v>
      </c>
      <c r="E145" s="259" t="s">
        <v>398</v>
      </c>
      <c r="H145" s="259" t="s">
        <v>79</v>
      </c>
      <c r="I145" s="259" t="s">
        <v>47</v>
      </c>
      <c r="J145" s="259" t="s">
        <v>239</v>
      </c>
      <c r="M145" s="67">
        <v>0</v>
      </c>
      <c r="N145" s="67">
        <v>0</v>
      </c>
      <c r="O145" s="67">
        <v>0</v>
      </c>
      <c r="P145" s="67">
        <v>0</v>
      </c>
      <c r="Q145" s="67">
        <v>0</v>
      </c>
      <c r="R145" s="67">
        <v>0</v>
      </c>
      <c r="S145" s="67">
        <v>0</v>
      </c>
      <c r="U145" s="67" t="s">
        <v>257</v>
      </c>
    </row>
    <row r="146" spans="4:21" ht="12.75" x14ac:dyDescent="0.3">
      <c r="D146" s="75" t="s">
        <v>397</v>
      </c>
      <c r="E146" s="259" t="s">
        <v>399</v>
      </c>
      <c r="H146" s="259" t="s">
        <v>79</v>
      </c>
      <c r="I146" s="259" t="s">
        <v>47</v>
      </c>
      <c r="J146" s="259" t="s">
        <v>239</v>
      </c>
      <c r="M146" s="67">
        <v>15.72329205516774</v>
      </c>
      <c r="N146" s="67">
        <v>19.600466849020798</v>
      </c>
      <c r="O146" s="67">
        <v>23.539327753393501</v>
      </c>
      <c r="P146" s="67">
        <v>24.22497288523348</v>
      </c>
      <c r="Q146" s="67">
        <v>24.753231048216236</v>
      </c>
      <c r="R146" s="67">
        <v>25.193554062378311</v>
      </c>
      <c r="S146" s="67">
        <v>25.641889311074944</v>
      </c>
      <c r="U146" s="67" t="s">
        <v>257</v>
      </c>
    </row>
    <row r="147" spans="4:21" ht="12.75" x14ac:dyDescent="0.3">
      <c r="D147" s="75" t="s">
        <v>397</v>
      </c>
      <c r="E147" s="259" t="s">
        <v>400</v>
      </c>
      <c r="H147" s="259" t="s">
        <v>79</v>
      </c>
      <c r="I147" s="259" t="s">
        <v>47</v>
      </c>
      <c r="J147" s="259" t="s">
        <v>239</v>
      </c>
      <c r="M147" s="67">
        <v>0.51590978497287932</v>
      </c>
      <c r="N147" s="67">
        <v>0.67206288100080713</v>
      </c>
      <c r="O147" s="67">
        <v>0.84005018227721617</v>
      </c>
      <c r="P147" s="67">
        <v>0.89669050905320113</v>
      </c>
      <c r="Q147" s="67">
        <v>0.94749509143873489</v>
      </c>
      <c r="R147" s="67">
        <v>0.9946373958259388</v>
      </c>
      <c r="S147" s="67">
        <v>1.0417774279040355</v>
      </c>
      <c r="U147" s="67" t="s">
        <v>257</v>
      </c>
    </row>
    <row r="148" spans="4:21" ht="12.75" x14ac:dyDescent="0.3">
      <c r="D148" s="75" t="s">
        <v>397</v>
      </c>
      <c r="E148" s="259" t="s">
        <v>401</v>
      </c>
      <c r="H148" s="259" t="s">
        <v>79</v>
      </c>
      <c r="I148" s="259" t="s">
        <v>47</v>
      </c>
      <c r="J148" s="259" t="s">
        <v>239</v>
      </c>
      <c r="M148" s="67">
        <v>0</v>
      </c>
      <c r="N148" s="67">
        <v>0</v>
      </c>
      <c r="O148" s="67">
        <v>0</v>
      </c>
      <c r="P148" s="67">
        <v>0</v>
      </c>
      <c r="Q148" s="67">
        <v>0</v>
      </c>
      <c r="R148" s="67">
        <v>0</v>
      </c>
      <c r="S148" s="67">
        <v>0</v>
      </c>
      <c r="U148" s="67" t="s">
        <v>257</v>
      </c>
    </row>
    <row r="149" spans="4:21" ht="12.75" x14ac:dyDescent="0.3">
      <c r="D149" s="75" t="s">
        <v>397</v>
      </c>
      <c r="E149" s="259" t="s">
        <v>402</v>
      </c>
      <c r="H149" s="259" t="s">
        <v>79</v>
      </c>
      <c r="I149" s="259" t="s">
        <v>47</v>
      </c>
      <c r="J149" s="259" t="s">
        <v>239</v>
      </c>
      <c r="M149" s="67">
        <v>78.910555536411721</v>
      </c>
      <c r="N149" s="67">
        <v>99.249641526812169</v>
      </c>
      <c r="O149" s="67">
        <v>120.26014269010544</v>
      </c>
      <c r="P149" s="67">
        <v>124.86795554689945</v>
      </c>
      <c r="Q149" s="67">
        <v>128.72836230912856</v>
      </c>
      <c r="R149" s="67">
        <v>132.20873610173538</v>
      </c>
      <c r="S149" s="67">
        <v>135.8318496883511</v>
      </c>
      <c r="U149" s="67" t="s">
        <v>257</v>
      </c>
    </row>
    <row r="150" spans="4:21" ht="12.75" x14ac:dyDescent="0.3">
      <c r="D150" s="75" t="s">
        <v>397</v>
      </c>
      <c r="E150" s="259" t="s">
        <v>403</v>
      </c>
      <c r="H150" s="259" t="s">
        <v>79</v>
      </c>
      <c r="I150" s="259" t="s">
        <v>47</v>
      </c>
      <c r="J150" s="259" t="s">
        <v>239</v>
      </c>
      <c r="M150" s="67">
        <v>385.62217150755532</v>
      </c>
      <c r="N150" s="67">
        <v>487.62600100886317</v>
      </c>
      <c r="O150" s="67">
        <v>595.90196093421821</v>
      </c>
      <c r="P150" s="67">
        <v>626.02243045907846</v>
      </c>
      <c r="Q150" s="67">
        <v>655.06930255499867</v>
      </c>
      <c r="R150" s="67">
        <v>685.23435424460342</v>
      </c>
      <c r="S150" s="67">
        <v>719.61955604294405</v>
      </c>
      <c r="U150" s="67" t="s">
        <v>257</v>
      </c>
    </row>
    <row r="151" spans="4:21" ht="12.75" x14ac:dyDescent="0.3">
      <c r="D151" s="75" t="s">
        <v>397</v>
      </c>
      <c r="E151" s="259" t="s">
        <v>404</v>
      </c>
      <c r="H151" s="259" t="s">
        <v>79</v>
      </c>
      <c r="I151" s="259" t="s">
        <v>47</v>
      </c>
      <c r="J151" s="259" t="s">
        <v>239</v>
      </c>
      <c r="M151" s="67">
        <v>1.6541403189354669</v>
      </c>
      <c r="N151" s="67">
        <v>2.0082917483638467</v>
      </c>
      <c r="O151" s="67">
        <v>2.3524381169484552</v>
      </c>
      <c r="P151" s="67">
        <v>2.3645599963568746</v>
      </c>
      <c r="Q151" s="67">
        <v>2.3629318062467508</v>
      </c>
      <c r="R151" s="67">
        <v>2.3550882664142971</v>
      </c>
      <c r="S151" s="67">
        <v>2.3502797997573186</v>
      </c>
      <c r="U151" s="67" t="s">
        <v>257</v>
      </c>
    </row>
    <row r="152" spans="4:21" ht="12.75" x14ac:dyDescent="0.3">
      <c r="D152" s="75" t="s">
        <v>397</v>
      </c>
      <c r="E152" s="259" t="s">
        <v>405</v>
      </c>
      <c r="H152" s="259" t="s">
        <v>79</v>
      </c>
      <c r="I152" s="259" t="s">
        <v>47</v>
      </c>
      <c r="J152" s="259" t="s">
        <v>239</v>
      </c>
      <c r="M152" s="67">
        <v>800.97101864597846</v>
      </c>
      <c r="N152" s="67">
        <v>736.36994317641393</v>
      </c>
      <c r="O152" s="67">
        <v>737.10521310223146</v>
      </c>
      <c r="P152" s="67">
        <v>745.93464839634828</v>
      </c>
      <c r="Q152" s="67">
        <v>750.62544821004246</v>
      </c>
      <c r="R152" s="67">
        <v>753.80830049413669</v>
      </c>
      <c r="S152" s="67">
        <v>758.74585984465057</v>
      </c>
      <c r="U152" s="67" t="s">
        <v>257</v>
      </c>
    </row>
    <row r="153" spans="4:21" ht="12.75" x14ac:dyDescent="0.3">
      <c r="D153" s="75" t="s">
        <v>397</v>
      </c>
      <c r="E153" s="259" t="s">
        <v>406</v>
      </c>
      <c r="H153" s="259" t="s">
        <v>79</v>
      </c>
      <c r="I153" s="259" t="s">
        <v>47</v>
      </c>
      <c r="J153" s="259" t="s">
        <v>239</v>
      </c>
      <c r="M153" s="67">
        <v>10.37318820752745</v>
      </c>
      <c r="N153" s="67">
        <v>14.25277928146976</v>
      </c>
      <c r="O153" s="67">
        <v>18.635658111347222</v>
      </c>
      <c r="P153" s="67">
        <v>20.677525468782505</v>
      </c>
      <c r="Q153" s="67">
        <v>22.600777524594896</v>
      </c>
      <c r="R153" s="67">
        <v>24.448148975554826</v>
      </c>
      <c r="S153" s="67">
        <v>26.308788975022541</v>
      </c>
      <c r="U153" s="67" t="s">
        <v>257</v>
      </c>
    </row>
    <row r="154" spans="4:21" ht="12.75" x14ac:dyDescent="0.3">
      <c r="D154" s="75" t="s">
        <v>397</v>
      </c>
      <c r="E154" s="259" t="s">
        <v>407</v>
      </c>
      <c r="H154" s="259" t="s">
        <v>79</v>
      </c>
      <c r="I154" s="259" t="s">
        <v>47</v>
      </c>
      <c r="J154" s="259" t="s">
        <v>239</v>
      </c>
      <c r="M154" s="67">
        <v>0</v>
      </c>
      <c r="N154" s="67">
        <v>0</v>
      </c>
      <c r="O154" s="67">
        <v>0</v>
      </c>
      <c r="P154" s="67">
        <v>0</v>
      </c>
      <c r="Q154" s="67">
        <v>0</v>
      </c>
      <c r="R154" s="67">
        <v>0</v>
      </c>
      <c r="S154" s="67">
        <v>0</v>
      </c>
      <c r="U154" s="67" t="s">
        <v>257</v>
      </c>
    </row>
    <row r="155" spans="4:21" ht="12.75" x14ac:dyDescent="0.3">
      <c r="D155" s="75" t="s">
        <v>397</v>
      </c>
      <c r="E155" s="259" t="s">
        <v>408</v>
      </c>
      <c r="H155" s="259" t="s">
        <v>79</v>
      </c>
      <c r="I155" s="259" t="s">
        <v>47</v>
      </c>
      <c r="J155" s="259" t="s">
        <v>239</v>
      </c>
      <c r="M155" s="67">
        <v>0</v>
      </c>
      <c r="N155" s="67">
        <v>0</v>
      </c>
      <c r="O155" s="67">
        <v>0</v>
      </c>
      <c r="P155" s="67">
        <v>0</v>
      </c>
      <c r="Q155" s="67">
        <v>0</v>
      </c>
      <c r="R155" s="67">
        <v>0</v>
      </c>
      <c r="S155" s="67">
        <v>0</v>
      </c>
      <c r="U155" s="67" t="s">
        <v>257</v>
      </c>
    </row>
    <row r="156" spans="4:21" ht="12.75" x14ac:dyDescent="0.3">
      <c r="D156" s="75" t="s">
        <v>397</v>
      </c>
      <c r="E156" s="259" t="s">
        <v>409</v>
      </c>
      <c r="H156" s="259" t="s">
        <v>79</v>
      </c>
      <c r="I156" s="259" t="s">
        <v>47</v>
      </c>
      <c r="J156" s="259" t="s">
        <v>239</v>
      </c>
      <c r="M156" s="67">
        <v>1305.9220216614356</v>
      </c>
      <c r="N156" s="67">
        <v>891.70778352936634</v>
      </c>
      <c r="O156" s="67">
        <v>1161.4395149578297</v>
      </c>
      <c r="P156" s="67">
        <v>1216.2864632907347</v>
      </c>
      <c r="Q156" s="67">
        <v>1266.5784879774985</v>
      </c>
      <c r="R156" s="67">
        <v>1316.1316246611318</v>
      </c>
      <c r="S156" s="67">
        <v>1370.4773426866179</v>
      </c>
      <c r="U156" s="67" t="s">
        <v>257</v>
      </c>
    </row>
    <row r="157" spans="4:21" ht="12.75" x14ac:dyDescent="0.3">
      <c r="D157" s="75" t="s">
        <v>397</v>
      </c>
      <c r="E157" s="259" t="s">
        <v>410</v>
      </c>
      <c r="H157" s="259" t="s">
        <v>79</v>
      </c>
      <c r="I157" s="259" t="s">
        <v>47</v>
      </c>
      <c r="J157" s="259" t="s">
        <v>239</v>
      </c>
      <c r="M157" s="67">
        <v>180.60016955388241</v>
      </c>
      <c r="N157" s="67">
        <v>238.65662585165759</v>
      </c>
      <c r="O157" s="67">
        <v>303.86783095237234</v>
      </c>
      <c r="P157" s="67">
        <v>331.57278425519206</v>
      </c>
      <c r="Q157" s="67">
        <v>359.25409119908602</v>
      </c>
      <c r="R157" s="67">
        <v>387.92259073284987</v>
      </c>
      <c r="S157" s="67">
        <v>419.28983171087793</v>
      </c>
      <c r="U157" s="67" t="s">
        <v>257</v>
      </c>
    </row>
    <row r="158" spans="4:21" ht="12.75" x14ac:dyDescent="0.3">
      <c r="D158" s="75" t="s">
        <v>397</v>
      </c>
      <c r="E158" s="259" t="s">
        <v>411</v>
      </c>
      <c r="H158" s="259" t="s">
        <v>79</v>
      </c>
      <c r="I158" s="259" t="s">
        <v>47</v>
      </c>
      <c r="J158" s="259" t="s">
        <v>239</v>
      </c>
      <c r="M158" s="67">
        <v>0</v>
      </c>
      <c r="N158" s="67">
        <v>0</v>
      </c>
      <c r="O158" s="67">
        <v>0</v>
      </c>
      <c r="P158" s="67">
        <v>0</v>
      </c>
      <c r="Q158" s="67">
        <v>0</v>
      </c>
      <c r="R158" s="67">
        <v>0</v>
      </c>
      <c r="S158" s="67">
        <v>0</v>
      </c>
      <c r="U158" s="67" t="s">
        <v>257</v>
      </c>
    </row>
    <row r="159" spans="4:21" ht="12.75" x14ac:dyDescent="0.3">
      <c r="D159" s="75" t="s">
        <v>397</v>
      </c>
      <c r="E159" s="259" t="s">
        <v>412</v>
      </c>
      <c r="H159" s="259" t="s">
        <v>79</v>
      </c>
      <c r="I159" s="259" t="s">
        <v>47</v>
      </c>
      <c r="J159" s="259" t="s">
        <v>239</v>
      </c>
      <c r="M159" s="67">
        <v>227.66214928564111</v>
      </c>
      <c r="N159" s="67">
        <v>273.4189796858771</v>
      </c>
      <c r="O159" s="67">
        <v>317.07888729966857</v>
      </c>
      <c r="P159" s="67">
        <v>315.80823660398812</v>
      </c>
      <c r="Q159" s="67">
        <v>312.99315875316512</v>
      </c>
      <c r="R159" s="67">
        <v>309.56636606304045</v>
      </c>
      <c r="S159" s="67">
        <v>306.64439687119187</v>
      </c>
      <c r="U159" s="67" t="s">
        <v>257</v>
      </c>
    </row>
    <row r="160" spans="4:21" ht="12.75" x14ac:dyDescent="0.3">
      <c r="D160" s="75" t="s">
        <v>397</v>
      </c>
      <c r="E160" s="259" t="s">
        <v>413</v>
      </c>
      <c r="H160" s="259" t="s">
        <v>79</v>
      </c>
      <c r="I160" s="259" t="s">
        <v>47</v>
      </c>
      <c r="J160" s="259" t="s">
        <v>239</v>
      </c>
      <c r="M160" s="67">
        <v>0</v>
      </c>
      <c r="N160" s="67">
        <v>0</v>
      </c>
      <c r="O160" s="67">
        <v>0</v>
      </c>
      <c r="P160" s="67">
        <v>0</v>
      </c>
      <c r="Q160" s="67">
        <v>0</v>
      </c>
      <c r="R160" s="67">
        <v>0</v>
      </c>
      <c r="S160" s="67">
        <v>0</v>
      </c>
      <c r="U160" s="67" t="s">
        <v>257</v>
      </c>
    </row>
    <row r="161" spans="4:21" ht="12.75" x14ac:dyDescent="0.3">
      <c r="D161" s="75" t="s">
        <v>397</v>
      </c>
      <c r="E161" s="259" t="s">
        <v>414</v>
      </c>
      <c r="H161" s="259" t="s">
        <v>79</v>
      </c>
      <c r="I161" s="259" t="s">
        <v>47</v>
      </c>
      <c r="J161" s="259" t="s">
        <v>239</v>
      </c>
      <c r="M161" s="67">
        <v>0</v>
      </c>
      <c r="N161" s="67">
        <v>0</v>
      </c>
      <c r="O161" s="67">
        <v>0</v>
      </c>
      <c r="P161" s="67">
        <v>0</v>
      </c>
      <c r="Q161" s="67">
        <v>0</v>
      </c>
      <c r="R161" s="67">
        <v>0</v>
      </c>
      <c r="S161" s="67">
        <v>0</v>
      </c>
      <c r="U161" s="67" t="s">
        <v>257</v>
      </c>
    </row>
    <row r="162" spans="4:21" ht="12.75" x14ac:dyDescent="0.3">
      <c r="D162" s="75" t="s">
        <v>397</v>
      </c>
      <c r="E162" s="259" t="s">
        <v>415</v>
      </c>
      <c r="H162" s="259" t="s">
        <v>79</v>
      </c>
      <c r="I162" s="259" t="s">
        <v>47</v>
      </c>
      <c r="J162" s="259" t="s">
        <v>239</v>
      </c>
      <c r="M162" s="67">
        <v>0</v>
      </c>
      <c r="N162" s="67">
        <v>0</v>
      </c>
      <c r="O162" s="67">
        <v>0</v>
      </c>
      <c r="P162" s="67">
        <v>0</v>
      </c>
      <c r="Q162" s="67">
        <v>0</v>
      </c>
      <c r="R162" s="67">
        <v>0</v>
      </c>
      <c r="S162" s="67">
        <v>0</v>
      </c>
      <c r="U162" s="67" t="s">
        <v>257</v>
      </c>
    </row>
    <row r="163" spans="4:21" ht="12.75" x14ac:dyDescent="0.3">
      <c r="D163" s="75" t="s">
        <v>397</v>
      </c>
      <c r="E163" s="259" t="s">
        <v>416</v>
      </c>
      <c r="H163" s="259" t="s">
        <v>79</v>
      </c>
      <c r="I163" s="259" t="s">
        <v>47</v>
      </c>
      <c r="J163" s="259" t="s">
        <v>239</v>
      </c>
      <c r="M163" s="67">
        <v>296.83015496846116</v>
      </c>
      <c r="N163" s="67">
        <v>377.74513027467441</v>
      </c>
      <c r="O163" s="67">
        <v>462.47960659835439</v>
      </c>
      <c r="P163" s="67">
        <v>484.50082708843877</v>
      </c>
      <c r="Q163" s="67">
        <v>503.20145033364861</v>
      </c>
      <c r="R163" s="67">
        <v>520.03514305409055</v>
      </c>
      <c r="S163" s="67">
        <v>537.14921909632722</v>
      </c>
      <c r="U163" s="67" t="s">
        <v>69</v>
      </c>
    </row>
    <row r="164" spans="4:21" ht="12.75" x14ac:dyDescent="0.3">
      <c r="D164" s="75" t="s">
        <v>397</v>
      </c>
      <c r="E164" s="259" t="s">
        <v>417</v>
      </c>
      <c r="H164" s="259" t="s">
        <v>79</v>
      </c>
      <c r="I164" s="259" t="s">
        <v>47</v>
      </c>
      <c r="J164" s="259" t="s">
        <v>239</v>
      </c>
      <c r="M164" s="67">
        <v>42.328264637465509</v>
      </c>
      <c r="N164" s="67">
        <v>53.307114504498657</v>
      </c>
      <c r="O164" s="67">
        <v>64.696032114191482</v>
      </c>
      <c r="P164" s="67">
        <v>67.303161393181227</v>
      </c>
      <c r="Q164" s="67">
        <v>69.53557867281296</v>
      </c>
      <c r="R164" s="67">
        <v>71.602090165965507</v>
      </c>
      <c r="S164" s="67">
        <v>73.798106998366165</v>
      </c>
      <c r="U164" s="67" t="s">
        <v>69</v>
      </c>
    </row>
    <row r="165" spans="4:21" ht="12.75" x14ac:dyDescent="0.3">
      <c r="D165" s="75" t="s">
        <v>397</v>
      </c>
      <c r="E165" s="259" t="s">
        <v>418</v>
      </c>
      <c r="H165" s="259" t="s">
        <v>79</v>
      </c>
      <c r="I165" s="259" t="s">
        <v>47</v>
      </c>
      <c r="J165" s="259" t="s">
        <v>239</v>
      </c>
      <c r="M165" s="67">
        <v>0</v>
      </c>
      <c r="N165" s="67">
        <v>0</v>
      </c>
      <c r="O165" s="67">
        <v>0</v>
      </c>
      <c r="P165" s="67">
        <v>0</v>
      </c>
      <c r="Q165" s="67">
        <v>0</v>
      </c>
      <c r="R165" s="67">
        <v>0</v>
      </c>
      <c r="S165" s="67">
        <v>0</v>
      </c>
      <c r="U165" s="67" t="s">
        <v>69</v>
      </c>
    </row>
    <row r="166" spans="4:21" ht="12.75" x14ac:dyDescent="0.3">
      <c r="D166" s="75" t="s">
        <v>397</v>
      </c>
      <c r="E166" s="259" t="s">
        <v>419</v>
      </c>
      <c r="H166" s="259" t="s">
        <v>79</v>
      </c>
      <c r="I166" s="259" t="s">
        <v>47</v>
      </c>
      <c r="J166" s="259" t="s">
        <v>239</v>
      </c>
      <c r="M166" s="67">
        <v>0</v>
      </c>
      <c r="N166" s="67">
        <v>0</v>
      </c>
      <c r="O166" s="67">
        <v>0</v>
      </c>
      <c r="P166" s="67">
        <v>0</v>
      </c>
      <c r="Q166" s="67">
        <v>0</v>
      </c>
      <c r="R166" s="67">
        <v>0</v>
      </c>
      <c r="S166" s="67">
        <v>0</v>
      </c>
      <c r="U166" s="67" t="s">
        <v>69</v>
      </c>
    </row>
    <row r="167" spans="4:21" ht="12.75" x14ac:dyDescent="0.3">
      <c r="D167" s="75" t="s">
        <v>397</v>
      </c>
      <c r="E167" s="259" t="s">
        <v>420</v>
      </c>
      <c r="H167" s="259" t="s">
        <v>79</v>
      </c>
      <c r="I167" s="259" t="s">
        <v>47</v>
      </c>
      <c r="J167" s="259" t="s">
        <v>239</v>
      </c>
      <c r="M167" s="67">
        <v>679.91510478173416</v>
      </c>
      <c r="N167" s="67">
        <v>905.07273055870564</v>
      </c>
      <c r="O167" s="67">
        <v>0</v>
      </c>
      <c r="P167" s="67">
        <v>0</v>
      </c>
      <c r="Q167" s="67">
        <v>0</v>
      </c>
      <c r="R167" s="67">
        <v>0</v>
      </c>
      <c r="S167" s="67">
        <v>0</v>
      </c>
      <c r="U167" s="67" t="s">
        <v>258</v>
      </c>
    </row>
    <row r="168" spans="4:21" ht="12.75" x14ac:dyDescent="0.3">
      <c r="D168" s="75" t="s">
        <v>397</v>
      </c>
      <c r="E168" s="259" t="s">
        <v>421</v>
      </c>
      <c r="H168" s="259" t="s">
        <v>79</v>
      </c>
      <c r="I168" s="259" t="s">
        <v>47</v>
      </c>
      <c r="J168" s="259" t="s">
        <v>239</v>
      </c>
      <c r="M168" s="67">
        <v>103.04384168125759</v>
      </c>
      <c r="N168" s="67">
        <v>590.22474394029041</v>
      </c>
      <c r="O168" s="67">
        <v>828.48702131493314</v>
      </c>
      <c r="P168" s="67">
        <v>649.07520490142156</v>
      </c>
      <c r="Q168" s="67">
        <v>0</v>
      </c>
      <c r="R168" s="67">
        <v>0</v>
      </c>
      <c r="S168" s="67">
        <v>0</v>
      </c>
      <c r="U168" s="67" t="s">
        <v>258</v>
      </c>
    </row>
    <row r="169" spans="4:21" ht="12.75" x14ac:dyDescent="0.3">
      <c r="D169" s="75" t="s">
        <v>397</v>
      </c>
      <c r="E169" s="259" t="s">
        <v>422</v>
      </c>
      <c r="H169" s="259" t="s">
        <v>79</v>
      </c>
      <c r="I169" s="259" t="s">
        <v>47</v>
      </c>
      <c r="J169" s="259" t="s">
        <v>239</v>
      </c>
      <c r="M169" s="67">
        <v>0</v>
      </c>
      <c r="N169" s="67">
        <v>0</v>
      </c>
      <c r="O169" s="67">
        <v>0</v>
      </c>
      <c r="P169" s="67">
        <v>0</v>
      </c>
      <c r="Q169" s="67">
        <v>0</v>
      </c>
      <c r="R169" s="67">
        <v>0</v>
      </c>
      <c r="S169" s="67">
        <v>0</v>
      </c>
      <c r="U169" s="67" t="s">
        <v>258</v>
      </c>
    </row>
    <row r="170" spans="4:21" ht="12.75" x14ac:dyDescent="0.3">
      <c r="D170" s="75" t="s">
        <v>397</v>
      </c>
      <c r="E170" s="259" t="s">
        <v>423</v>
      </c>
      <c r="H170" s="259" t="s">
        <v>79</v>
      </c>
      <c r="I170" s="259" t="s">
        <v>47</v>
      </c>
      <c r="J170" s="259" t="s">
        <v>239</v>
      </c>
      <c r="M170" s="67">
        <v>0</v>
      </c>
      <c r="N170" s="67">
        <v>0</v>
      </c>
      <c r="O170" s="67">
        <v>0</v>
      </c>
      <c r="P170" s="67">
        <v>0</v>
      </c>
      <c r="Q170" s="67">
        <v>0</v>
      </c>
      <c r="R170" s="67">
        <v>0</v>
      </c>
      <c r="S170" s="67">
        <v>0</v>
      </c>
      <c r="U170" s="67" t="s">
        <v>258</v>
      </c>
    </row>
    <row r="171" spans="4:21" ht="12.75" x14ac:dyDescent="0.3">
      <c r="D171" s="75" t="s">
        <v>397</v>
      </c>
      <c r="E171" s="259" t="s">
        <v>424</v>
      </c>
      <c r="H171" s="259" t="s">
        <v>79</v>
      </c>
      <c r="I171" s="259" t="s">
        <v>47</v>
      </c>
      <c r="J171" s="259" t="s">
        <v>239</v>
      </c>
      <c r="M171" s="67">
        <v>0</v>
      </c>
      <c r="N171" s="67">
        <v>0</v>
      </c>
      <c r="O171" s="67">
        <v>0</v>
      </c>
      <c r="P171" s="67">
        <v>0</v>
      </c>
      <c r="Q171" s="67">
        <v>0</v>
      </c>
      <c r="R171" s="67">
        <v>0</v>
      </c>
      <c r="S171" s="67">
        <v>0</v>
      </c>
      <c r="U171" s="67" t="s">
        <v>258</v>
      </c>
    </row>
    <row r="172" spans="4:21" ht="12.75" x14ac:dyDescent="0.3">
      <c r="D172" s="75" t="s">
        <v>397</v>
      </c>
      <c r="E172" s="259" t="s">
        <v>425</v>
      </c>
      <c r="H172" s="259" t="s">
        <v>79</v>
      </c>
      <c r="I172" s="259" t="s">
        <v>47</v>
      </c>
      <c r="J172" s="259" t="s">
        <v>239</v>
      </c>
      <c r="M172" s="67">
        <v>0</v>
      </c>
      <c r="N172" s="67">
        <v>0</v>
      </c>
      <c r="O172" s="67">
        <v>0</v>
      </c>
      <c r="P172" s="67">
        <v>0</v>
      </c>
      <c r="Q172" s="67">
        <v>0</v>
      </c>
      <c r="R172" s="67">
        <v>0</v>
      </c>
      <c r="S172" s="67">
        <v>0</v>
      </c>
      <c r="U172" s="67" t="s">
        <v>258</v>
      </c>
    </row>
    <row r="173" spans="4:21" ht="12.75" x14ac:dyDescent="0.3">
      <c r="D173" s="75" t="s">
        <v>397</v>
      </c>
      <c r="E173" s="259" t="s">
        <v>320</v>
      </c>
      <c r="H173" s="259" t="s">
        <v>79</v>
      </c>
      <c r="I173" s="259" t="s">
        <v>47</v>
      </c>
      <c r="J173" s="259" t="s">
        <v>239</v>
      </c>
      <c r="M173" s="67">
        <v>0</v>
      </c>
      <c r="N173" s="67">
        <v>0</v>
      </c>
      <c r="O173" s="67">
        <v>0</v>
      </c>
      <c r="P173" s="67">
        <v>0</v>
      </c>
      <c r="Q173" s="67">
        <v>0</v>
      </c>
      <c r="R173" s="67">
        <v>0</v>
      </c>
      <c r="S173" s="67">
        <v>0</v>
      </c>
      <c r="U173" s="67" t="s">
        <v>320</v>
      </c>
    </row>
    <row r="174" spans="4:21" ht="12.75" x14ac:dyDescent="0.3">
      <c r="D174" s="75" t="s">
        <v>426</v>
      </c>
      <c r="E174" s="259" t="s">
        <v>427</v>
      </c>
      <c r="H174" s="259" t="s">
        <v>79</v>
      </c>
      <c r="I174" s="259" t="s">
        <v>47</v>
      </c>
      <c r="J174" s="259" t="s">
        <v>239</v>
      </c>
      <c r="M174" s="67">
        <v>0</v>
      </c>
      <c r="N174" s="67">
        <v>0</v>
      </c>
      <c r="O174" s="67">
        <v>0</v>
      </c>
      <c r="P174" s="67">
        <v>0</v>
      </c>
      <c r="Q174" s="67">
        <v>0</v>
      </c>
      <c r="R174" s="67">
        <v>0</v>
      </c>
      <c r="S174" s="67">
        <v>0</v>
      </c>
      <c r="U174" s="67" t="s">
        <v>257</v>
      </c>
    </row>
    <row r="175" spans="4:21" ht="12.75" x14ac:dyDescent="0.3">
      <c r="D175" s="75" t="s">
        <v>426</v>
      </c>
      <c r="E175" s="259" t="s">
        <v>428</v>
      </c>
      <c r="H175" s="259" t="s">
        <v>79</v>
      </c>
      <c r="I175" s="259" t="s">
        <v>47</v>
      </c>
      <c r="J175" s="259" t="s">
        <v>239</v>
      </c>
      <c r="M175" s="67">
        <v>0</v>
      </c>
      <c r="N175" s="67">
        <v>0</v>
      </c>
      <c r="O175" s="67">
        <v>0</v>
      </c>
      <c r="P175" s="67">
        <v>0</v>
      </c>
      <c r="Q175" s="67">
        <v>0</v>
      </c>
      <c r="R175" s="67">
        <v>0</v>
      </c>
      <c r="S175" s="67">
        <v>0</v>
      </c>
      <c r="U175" s="67" t="s">
        <v>257</v>
      </c>
    </row>
    <row r="176" spans="4:21" ht="12.75" x14ac:dyDescent="0.3">
      <c r="D176" s="75" t="s">
        <v>426</v>
      </c>
      <c r="E176" s="259" t="s">
        <v>429</v>
      </c>
      <c r="H176" s="259" t="s">
        <v>79</v>
      </c>
      <c r="I176" s="259" t="s">
        <v>47</v>
      </c>
      <c r="J176" s="259" t="s">
        <v>239</v>
      </c>
      <c r="M176" s="67">
        <v>1825.1991526378588</v>
      </c>
      <c r="N176" s="67">
        <v>1669.8668818045257</v>
      </c>
      <c r="O176" s="67">
        <v>2027.6102467985706</v>
      </c>
      <c r="P176" s="67">
        <v>2071.0517609182048</v>
      </c>
      <c r="Q176" s="67">
        <v>2107.6042679974958</v>
      </c>
      <c r="R176" s="67">
        <v>2152.2869693806583</v>
      </c>
      <c r="S176" s="67">
        <v>2201.4223933658564</v>
      </c>
      <c r="U176" s="67" t="s">
        <v>257</v>
      </c>
    </row>
    <row r="177" spans="4:21" ht="12.75" x14ac:dyDescent="0.3">
      <c r="D177" s="75" t="s">
        <v>426</v>
      </c>
      <c r="E177" s="259" t="s">
        <v>430</v>
      </c>
      <c r="H177" s="259" t="s">
        <v>79</v>
      </c>
      <c r="I177" s="259" t="s">
        <v>47</v>
      </c>
      <c r="J177" s="259" t="s">
        <v>239</v>
      </c>
      <c r="M177" s="67">
        <v>446.5730451073797</v>
      </c>
      <c r="N177" s="67">
        <v>755.29259854804286</v>
      </c>
      <c r="O177" s="67">
        <v>2104.1475993606869</v>
      </c>
      <c r="P177" s="67">
        <v>868.41017521121648</v>
      </c>
      <c r="Q177" s="67">
        <v>331.62788038224767</v>
      </c>
      <c r="R177" s="67">
        <v>341.87106879208358</v>
      </c>
      <c r="S177" s="67">
        <v>352.66463561005742</v>
      </c>
      <c r="U177" s="67" t="s">
        <v>69</v>
      </c>
    </row>
    <row r="178" spans="4:21" ht="12.75" x14ac:dyDescent="0.3">
      <c r="D178" s="75" t="s">
        <v>426</v>
      </c>
      <c r="E178" s="259" t="s">
        <v>431</v>
      </c>
      <c r="H178" s="259" t="s">
        <v>79</v>
      </c>
      <c r="I178" s="259" t="s">
        <v>47</v>
      </c>
      <c r="J178" s="259" t="s">
        <v>239</v>
      </c>
      <c r="M178" s="67">
        <v>177.11223864952095</v>
      </c>
      <c r="N178" s="67">
        <v>223.51097877590544</v>
      </c>
      <c r="O178" s="67">
        <v>271.8801575478517</v>
      </c>
      <c r="P178" s="67">
        <v>283.53552506654086</v>
      </c>
      <c r="Q178" s="67">
        <v>293.71968684642576</v>
      </c>
      <c r="R178" s="67">
        <v>303.3418087139583</v>
      </c>
      <c r="S178" s="67">
        <v>313.69004669203673</v>
      </c>
      <c r="U178" s="67" t="s">
        <v>69</v>
      </c>
    </row>
    <row r="179" spans="4:21" ht="12.75" x14ac:dyDescent="0.3">
      <c r="D179" s="75" t="s">
        <v>426</v>
      </c>
      <c r="E179" s="259" t="s">
        <v>432</v>
      </c>
      <c r="H179" s="259" t="s">
        <v>79</v>
      </c>
      <c r="I179" s="259" t="s">
        <v>47</v>
      </c>
      <c r="J179" s="259" t="s">
        <v>239</v>
      </c>
      <c r="M179" s="67">
        <v>259.21350904808531</v>
      </c>
      <c r="N179" s="67">
        <v>322.74561682851481</v>
      </c>
      <c r="O179" s="67">
        <v>396.9807785765156</v>
      </c>
      <c r="P179" s="67">
        <v>419.2772063316724</v>
      </c>
      <c r="Q179" s="67">
        <v>439.4508823060288</v>
      </c>
      <c r="R179" s="67">
        <v>459.42559366913883</v>
      </c>
      <c r="S179" s="67">
        <v>479.17253831125282</v>
      </c>
      <c r="U179" s="67" t="s">
        <v>258</v>
      </c>
    </row>
    <row r="180" spans="4:21" ht="12.75" x14ac:dyDescent="0.3">
      <c r="D180" s="75" t="s">
        <v>426</v>
      </c>
      <c r="E180" s="259" t="s">
        <v>433</v>
      </c>
      <c r="H180" s="259" t="s">
        <v>79</v>
      </c>
      <c r="I180" s="259" t="s">
        <v>47</v>
      </c>
      <c r="J180" s="259" t="s">
        <v>239</v>
      </c>
      <c r="M180" s="67">
        <v>0</v>
      </c>
      <c r="N180" s="67">
        <v>0</v>
      </c>
      <c r="O180" s="67">
        <v>0</v>
      </c>
      <c r="P180" s="67">
        <v>0</v>
      </c>
      <c r="Q180" s="67">
        <v>0</v>
      </c>
      <c r="R180" s="67">
        <v>0</v>
      </c>
      <c r="S180" s="67">
        <v>0</v>
      </c>
      <c r="U180" s="67" t="s">
        <v>258</v>
      </c>
    </row>
    <row r="181" spans="4:21" ht="12.75" x14ac:dyDescent="0.3">
      <c r="D181" s="75" t="s">
        <v>426</v>
      </c>
      <c r="E181" s="259" t="s">
        <v>434</v>
      </c>
      <c r="H181" s="259" t="s">
        <v>79</v>
      </c>
      <c r="I181" s="259" t="s">
        <v>47</v>
      </c>
      <c r="J181" s="259" t="s">
        <v>239</v>
      </c>
      <c r="M181" s="67">
        <v>0</v>
      </c>
      <c r="N181" s="67">
        <v>0</v>
      </c>
      <c r="O181" s="67">
        <v>0</v>
      </c>
      <c r="P181" s="67">
        <v>0</v>
      </c>
      <c r="Q181" s="67">
        <v>0</v>
      </c>
      <c r="R181" s="67">
        <v>0</v>
      </c>
      <c r="S181" s="67">
        <v>0</v>
      </c>
      <c r="U181" s="67" t="s">
        <v>258</v>
      </c>
    </row>
    <row r="182" spans="4:21" ht="12.75" x14ac:dyDescent="0.3">
      <c r="D182" s="75" t="s">
        <v>426</v>
      </c>
      <c r="E182" s="259" t="s">
        <v>435</v>
      </c>
      <c r="H182" s="259" t="s">
        <v>79</v>
      </c>
      <c r="I182" s="259" t="s">
        <v>47</v>
      </c>
      <c r="J182" s="259" t="s">
        <v>239</v>
      </c>
      <c r="M182" s="67">
        <v>1.1598063604314026</v>
      </c>
      <c r="N182" s="67">
        <v>1.4852012476378531</v>
      </c>
      <c r="O182" s="67">
        <v>1.8313499809588785</v>
      </c>
      <c r="P182" s="67">
        <v>1.9342760664908631</v>
      </c>
      <c r="Q182" s="67">
        <v>2.0277536811693881</v>
      </c>
      <c r="R182" s="67">
        <v>2.117823801725121</v>
      </c>
      <c r="S182" s="67">
        <v>2.2135129155835847</v>
      </c>
      <c r="U182" s="67" t="s">
        <v>258</v>
      </c>
    </row>
    <row r="183" spans="4:21" ht="12.75" x14ac:dyDescent="0.3">
      <c r="D183" s="75" t="s">
        <v>426</v>
      </c>
      <c r="E183" s="259" t="s">
        <v>436</v>
      </c>
      <c r="H183" s="259" t="s">
        <v>79</v>
      </c>
      <c r="I183" s="259" t="s">
        <v>47</v>
      </c>
      <c r="J183" s="259" t="s">
        <v>239</v>
      </c>
      <c r="M183" s="67">
        <v>1757.9033027781365</v>
      </c>
      <c r="N183" s="67">
        <v>833.92418551907781</v>
      </c>
      <c r="O183" s="67">
        <v>507.8904335794694</v>
      </c>
      <c r="P183" s="67">
        <v>364.42119054111515</v>
      </c>
      <c r="Q183" s="67">
        <v>82.312044583267152</v>
      </c>
      <c r="R183" s="67">
        <v>82.933708702968076</v>
      </c>
      <c r="S183" s="67">
        <v>83.919600801655648</v>
      </c>
      <c r="U183" s="67" t="s">
        <v>258</v>
      </c>
    </row>
    <row r="184" spans="4:21" ht="12.75" x14ac:dyDescent="0.3">
      <c r="D184" s="75" t="s">
        <v>426</v>
      </c>
      <c r="E184" s="259" t="s">
        <v>437</v>
      </c>
      <c r="H184" s="259" t="s">
        <v>79</v>
      </c>
      <c r="I184" s="259" t="s">
        <v>47</v>
      </c>
      <c r="J184" s="259" t="s">
        <v>239</v>
      </c>
      <c r="M184" s="67">
        <v>0</v>
      </c>
      <c r="N184" s="67">
        <v>0</v>
      </c>
      <c r="O184" s="67">
        <v>0</v>
      </c>
      <c r="P184" s="67">
        <v>0</v>
      </c>
      <c r="Q184" s="67">
        <v>0</v>
      </c>
      <c r="R184" s="67">
        <v>0</v>
      </c>
      <c r="S184" s="67">
        <v>0</v>
      </c>
      <c r="U184" s="67" t="s">
        <v>258</v>
      </c>
    </row>
    <row r="185" spans="4:21" ht="12.75" x14ac:dyDescent="0.3">
      <c r="D185" s="75" t="s">
        <v>426</v>
      </c>
      <c r="E185" s="259" t="s">
        <v>438</v>
      </c>
      <c r="H185" s="259" t="s">
        <v>79</v>
      </c>
      <c r="I185" s="259" t="s">
        <v>47</v>
      </c>
      <c r="J185" s="259" t="s">
        <v>239</v>
      </c>
      <c r="M185" s="67">
        <v>194.95512930162229</v>
      </c>
      <c r="N185" s="67">
        <v>159.17585652198795</v>
      </c>
      <c r="O185" s="67">
        <v>161.68800805695929</v>
      </c>
      <c r="P185" s="67">
        <v>148.07877716517135</v>
      </c>
      <c r="Q185" s="67">
        <v>137.58779297351958</v>
      </c>
      <c r="R185" s="67">
        <v>137.71671563603806</v>
      </c>
      <c r="S185" s="67">
        <v>138.4905349205045</v>
      </c>
      <c r="U185" s="67" t="s">
        <v>258</v>
      </c>
    </row>
    <row r="186" spans="4:21" ht="12.75" x14ac:dyDescent="0.3">
      <c r="D186" s="75" t="s">
        <v>426</v>
      </c>
      <c r="E186" s="259" t="s">
        <v>439</v>
      </c>
      <c r="H186" s="259" t="s">
        <v>79</v>
      </c>
      <c r="I186" s="259" t="s">
        <v>47</v>
      </c>
      <c r="J186" s="259" t="s">
        <v>239</v>
      </c>
      <c r="M186" s="67">
        <v>0</v>
      </c>
      <c r="N186" s="67">
        <v>0</v>
      </c>
      <c r="O186" s="67">
        <v>0</v>
      </c>
      <c r="P186" s="67">
        <v>0</v>
      </c>
      <c r="Q186" s="67">
        <v>0</v>
      </c>
      <c r="R186" s="67">
        <v>0</v>
      </c>
      <c r="S186" s="67">
        <v>0</v>
      </c>
      <c r="U186" s="67" t="s">
        <v>258</v>
      </c>
    </row>
    <row r="187" spans="4:21" ht="12.75" x14ac:dyDescent="0.3">
      <c r="D187" s="75" t="s">
        <v>426</v>
      </c>
      <c r="E187" s="259" t="s">
        <v>320</v>
      </c>
      <c r="H187" s="259" t="s">
        <v>79</v>
      </c>
      <c r="I187" s="259" t="s">
        <v>47</v>
      </c>
      <c r="J187" s="259" t="s">
        <v>239</v>
      </c>
      <c r="M187" s="67">
        <v>0</v>
      </c>
      <c r="N187" s="67">
        <v>0</v>
      </c>
      <c r="O187" s="67">
        <v>0</v>
      </c>
      <c r="P187" s="67">
        <v>0</v>
      </c>
      <c r="Q187" s="67">
        <v>0</v>
      </c>
      <c r="R187" s="67">
        <v>0</v>
      </c>
      <c r="S187" s="67">
        <v>0</v>
      </c>
      <c r="U187" s="67" t="s">
        <v>320</v>
      </c>
    </row>
    <row r="188" spans="4:21" ht="12.75" x14ac:dyDescent="0.3">
      <c r="D188" s="75" t="s">
        <v>440</v>
      </c>
      <c r="E188" s="259" t="s">
        <v>441</v>
      </c>
      <c r="H188" s="259" t="s">
        <v>79</v>
      </c>
      <c r="I188" s="259" t="s">
        <v>47</v>
      </c>
      <c r="J188" s="259" t="s">
        <v>239</v>
      </c>
      <c r="M188" s="67">
        <v>0</v>
      </c>
      <c r="N188" s="67">
        <v>0</v>
      </c>
      <c r="O188" s="67">
        <v>0</v>
      </c>
      <c r="P188" s="67">
        <v>0</v>
      </c>
      <c r="Q188" s="67">
        <v>0</v>
      </c>
      <c r="R188" s="67">
        <v>0</v>
      </c>
      <c r="S188" s="67">
        <v>0</v>
      </c>
      <c r="U188" s="67" t="s">
        <v>257</v>
      </c>
    </row>
    <row r="189" spans="4:21" ht="12.75" x14ac:dyDescent="0.3">
      <c r="D189" s="75" t="s">
        <v>440</v>
      </c>
      <c r="E189" s="259" t="s">
        <v>442</v>
      </c>
      <c r="H189" s="259" t="s">
        <v>79</v>
      </c>
      <c r="I189" s="259" t="s">
        <v>47</v>
      </c>
      <c r="J189" s="259" t="s">
        <v>239</v>
      </c>
      <c r="M189" s="67">
        <v>0</v>
      </c>
      <c r="N189" s="67">
        <v>0</v>
      </c>
      <c r="O189" s="67">
        <v>0</v>
      </c>
      <c r="P189" s="67">
        <v>0</v>
      </c>
      <c r="Q189" s="67">
        <v>0</v>
      </c>
      <c r="R189" s="67">
        <v>0</v>
      </c>
      <c r="S189" s="67">
        <v>0</v>
      </c>
      <c r="U189" s="67" t="s">
        <v>257</v>
      </c>
    </row>
    <row r="190" spans="4:21" ht="12.75" x14ac:dyDescent="0.3">
      <c r="D190" s="75" t="s">
        <v>440</v>
      </c>
      <c r="E190" s="259" t="s">
        <v>443</v>
      </c>
      <c r="H190" s="259" t="s">
        <v>79</v>
      </c>
      <c r="I190" s="259" t="s">
        <v>47</v>
      </c>
      <c r="J190" s="259" t="s">
        <v>239</v>
      </c>
      <c r="M190" s="67">
        <v>0</v>
      </c>
      <c r="N190" s="67">
        <v>0</v>
      </c>
      <c r="O190" s="67">
        <v>0</v>
      </c>
      <c r="P190" s="67">
        <v>0</v>
      </c>
      <c r="Q190" s="67">
        <v>0</v>
      </c>
      <c r="R190" s="67">
        <v>0</v>
      </c>
      <c r="S190" s="67">
        <v>0</v>
      </c>
      <c r="U190" s="67" t="s">
        <v>257</v>
      </c>
    </row>
    <row r="191" spans="4:21" ht="12.75" x14ac:dyDescent="0.3">
      <c r="D191" s="75" t="s">
        <v>440</v>
      </c>
      <c r="E191" s="259" t="s">
        <v>444</v>
      </c>
      <c r="H191" s="259" t="s">
        <v>79</v>
      </c>
      <c r="I191" s="259" t="s">
        <v>47</v>
      </c>
      <c r="J191" s="259" t="s">
        <v>239</v>
      </c>
      <c r="M191" s="67">
        <v>0</v>
      </c>
      <c r="N191" s="67">
        <v>0</v>
      </c>
      <c r="O191" s="67">
        <v>0</v>
      </c>
      <c r="P191" s="67">
        <v>0</v>
      </c>
      <c r="Q191" s="67">
        <v>0</v>
      </c>
      <c r="R191" s="67">
        <v>0</v>
      </c>
      <c r="S191" s="67">
        <v>0</v>
      </c>
      <c r="U191" s="67" t="s">
        <v>257</v>
      </c>
    </row>
    <row r="192" spans="4:21" ht="12.75" x14ac:dyDescent="0.3">
      <c r="D192" s="75" t="s">
        <v>440</v>
      </c>
      <c r="E192" s="259" t="s">
        <v>445</v>
      </c>
      <c r="H192" s="259" t="s">
        <v>79</v>
      </c>
      <c r="I192" s="259" t="s">
        <v>47</v>
      </c>
      <c r="J192" s="259" t="s">
        <v>239</v>
      </c>
      <c r="M192" s="67">
        <v>0</v>
      </c>
      <c r="N192" s="67">
        <v>0</v>
      </c>
      <c r="O192" s="67">
        <v>0</v>
      </c>
      <c r="P192" s="67">
        <v>0</v>
      </c>
      <c r="Q192" s="67">
        <v>0</v>
      </c>
      <c r="R192" s="67">
        <v>0</v>
      </c>
      <c r="S192" s="67">
        <v>0</v>
      </c>
      <c r="U192" s="67" t="s">
        <v>257</v>
      </c>
    </row>
    <row r="193" spans="4:21" ht="12.75" x14ac:dyDescent="0.3">
      <c r="D193" s="75" t="s">
        <v>440</v>
      </c>
      <c r="E193" s="259" t="s">
        <v>446</v>
      </c>
      <c r="H193" s="259" t="s">
        <v>79</v>
      </c>
      <c r="I193" s="259" t="s">
        <v>47</v>
      </c>
      <c r="J193" s="259" t="s">
        <v>239</v>
      </c>
      <c r="M193" s="67">
        <v>0</v>
      </c>
      <c r="N193" s="67">
        <v>0</v>
      </c>
      <c r="O193" s="67">
        <v>0</v>
      </c>
      <c r="P193" s="67">
        <v>0</v>
      </c>
      <c r="Q193" s="67">
        <v>0</v>
      </c>
      <c r="R193" s="67">
        <v>0</v>
      </c>
      <c r="S193" s="67">
        <v>0</v>
      </c>
      <c r="U193" s="67" t="s">
        <v>257</v>
      </c>
    </row>
    <row r="194" spans="4:21" ht="12.75" x14ac:dyDescent="0.3">
      <c r="D194" s="75" t="s">
        <v>440</v>
      </c>
      <c r="E194" s="259" t="s">
        <v>447</v>
      </c>
      <c r="H194" s="259" t="s">
        <v>79</v>
      </c>
      <c r="I194" s="259" t="s">
        <v>47</v>
      </c>
      <c r="J194" s="259" t="s">
        <v>239</v>
      </c>
      <c r="M194" s="67">
        <v>0</v>
      </c>
      <c r="N194" s="67">
        <v>0</v>
      </c>
      <c r="O194" s="67">
        <v>0</v>
      </c>
      <c r="P194" s="67">
        <v>0</v>
      </c>
      <c r="Q194" s="67">
        <v>0</v>
      </c>
      <c r="R194" s="67">
        <v>0</v>
      </c>
      <c r="S194" s="67">
        <v>0</v>
      </c>
      <c r="U194" s="67" t="s">
        <v>257</v>
      </c>
    </row>
    <row r="195" spans="4:21" ht="12.75" x14ac:dyDescent="0.3">
      <c r="D195" s="75" t="s">
        <v>440</v>
      </c>
      <c r="E195" s="259" t="s">
        <v>448</v>
      </c>
      <c r="H195" s="259" t="s">
        <v>79</v>
      </c>
      <c r="I195" s="259" t="s">
        <v>47</v>
      </c>
      <c r="J195" s="259" t="s">
        <v>239</v>
      </c>
      <c r="M195" s="67">
        <v>0</v>
      </c>
      <c r="N195" s="67">
        <v>0</v>
      </c>
      <c r="O195" s="67">
        <v>0</v>
      </c>
      <c r="P195" s="67">
        <v>0</v>
      </c>
      <c r="Q195" s="67">
        <v>0</v>
      </c>
      <c r="R195" s="67">
        <v>0</v>
      </c>
      <c r="S195" s="67">
        <v>0</v>
      </c>
      <c r="U195" s="67" t="s">
        <v>257</v>
      </c>
    </row>
    <row r="196" spans="4:21" ht="12.75" x14ac:dyDescent="0.3">
      <c r="D196" s="75" t="s">
        <v>440</v>
      </c>
      <c r="E196" s="259" t="s">
        <v>320</v>
      </c>
      <c r="H196" s="259" t="s">
        <v>79</v>
      </c>
      <c r="I196" s="259" t="s">
        <v>47</v>
      </c>
      <c r="J196" s="259" t="s">
        <v>239</v>
      </c>
      <c r="M196" s="67">
        <v>0</v>
      </c>
      <c r="N196" s="67">
        <v>0</v>
      </c>
      <c r="O196" s="67">
        <v>0</v>
      </c>
      <c r="P196" s="67">
        <v>0</v>
      </c>
      <c r="Q196" s="67">
        <v>0</v>
      </c>
      <c r="R196" s="67">
        <v>0</v>
      </c>
      <c r="S196" s="67">
        <v>0</v>
      </c>
      <c r="U196" s="67" t="s">
        <v>320</v>
      </c>
    </row>
    <row r="197" spans="4:21" ht="12.75" x14ac:dyDescent="0.3">
      <c r="D197" s="75" t="s">
        <v>449</v>
      </c>
      <c r="E197" s="259" t="s">
        <v>450</v>
      </c>
      <c r="H197" s="259" t="s">
        <v>79</v>
      </c>
      <c r="I197" s="259" t="s">
        <v>47</v>
      </c>
      <c r="J197" s="259" t="s">
        <v>239</v>
      </c>
      <c r="M197" s="67">
        <v>0</v>
      </c>
      <c r="N197" s="67">
        <v>0</v>
      </c>
      <c r="O197" s="67">
        <v>0</v>
      </c>
      <c r="P197" s="67">
        <v>0</v>
      </c>
      <c r="Q197" s="67">
        <v>0</v>
      </c>
      <c r="R197" s="67">
        <v>0</v>
      </c>
      <c r="S197" s="67">
        <v>0</v>
      </c>
      <c r="U197" s="67" t="s">
        <v>320</v>
      </c>
    </row>
    <row r="198" spans="4:21" ht="12.75" x14ac:dyDescent="0.3">
      <c r="D198" s="75" t="s">
        <v>449</v>
      </c>
      <c r="E198" s="259" t="s">
        <v>451</v>
      </c>
      <c r="H198" s="259" t="s">
        <v>79</v>
      </c>
      <c r="I198" s="259" t="s">
        <v>47</v>
      </c>
      <c r="J198" s="259" t="s">
        <v>239</v>
      </c>
      <c r="M198" s="67">
        <v>748.77490227457997</v>
      </c>
      <c r="N198" s="67">
        <v>3120.3949195235973</v>
      </c>
      <c r="O198" s="67">
        <v>4390.1853838830884</v>
      </c>
      <c r="P198" s="67">
        <v>2623.4183299423062</v>
      </c>
      <c r="Q198" s="67">
        <v>167.95548628993711</v>
      </c>
      <c r="R198" s="67">
        <v>168.11286412127745</v>
      </c>
      <c r="S198" s="67">
        <v>169.05747694930724</v>
      </c>
      <c r="U198" s="67" t="s">
        <v>320</v>
      </c>
    </row>
    <row r="199" spans="4:21" ht="12.75" x14ac:dyDescent="0.3">
      <c r="D199" s="75" t="s">
        <v>449</v>
      </c>
      <c r="E199" s="259" t="s">
        <v>452</v>
      </c>
      <c r="H199" s="259" t="s">
        <v>79</v>
      </c>
      <c r="I199" s="259" t="s">
        <v>47</v>
      </c>
      <c r="J199" s="259" t="s">
        <v>239</v>
      </c>
      <c r="M199" s="67">
        <v>221.58759978596848</v>
      </c>
      <c r="N199" s="67">
        <v>180.9205847362617</v>
      </c>
      <c r="O199" s="67">
        <v>183.7759167858828</v>
      </c>
      <c r="P199" s="67">
        <v>168.30755327553501</v>
      </c>
      <c r="Q199" s="67">
        <v>156.38341455321358</v>
      </c>
      <c r="R199" s="67">
        <v>156.52994910938457</v>
      </c>
      <c r="S199" s="67">
        <v>157.40947845814932</v>
      </c>
      <c r="U199" s="67" t="s">
        <v>320</v>
      </c>
    </row>
    <row r="200" spans="4:21" ht="12.75" x14ac:dyDescent="0.3">
      <c r="D200" s="75" t="s">
        <v>449</v>
      </c>
      <c r="E200" s="259" t="s">
        <v>453</v>
      </c>
      <c r="H200" s="259" t="s">
        <v>79</v>
      </c>
      <c r="I200" s="259" t="s">
        <v>47</v>
      </c>
      <c r="J200" s="259" t="s">
        <v>239</v>
      </c>
      <c r="M200" s="67">
        <v>943.14517305745994</v>
      </c>
      <c r="N200" s="67">
        <v>1198.3407279615451</v>
      </c>
      <c r="O200" s="67">
        <v>1840.5166040079091</v>
      </c>
      <c r="P200" s="67">
        <v>1665.5302612525079</v>
      </c>
      <c r="Q200" s="67">
        <v>7.2470999390534585</v>
      </c>
      <c r="R200" s="67">
        <v>7.2538906244732022</v>
      </c>
      <c r="S200" s="67">
        <v>7.294649659617944</v>
      </c>
      <c r="U200" s="67" t="s">
        <v>320</v>
      </c>
    </row>
    <row r="201" spans="4:21" ht="12.75" x14ac:dyDescent="0.3">
      <c r="D201" s="75" t="s">
        <v>449</v>
      </c>
      <c r="E201" s="259" t="s">
        <v>454</v>
      </c>
      <c r="H201" s="259" t="s">
        <v>79</v>
      </c>
      <c r="I201" s="259" t="s">
        <v>47</v>
      </c>
      <c r="J201" s="259" t="s">
        <v>239</v>
      </c>
      <c r="M201" s="67">
        <v>5623.0792963542845</v>
      </c>
      <c r="N201" s="67">
        <v>5670.0771014136872</v>
      </c>
      <c r="O201" s="67">
        <v>5083.4087737431655</v>
      </c>
      <c r="P201" s="67">
        <v>1838.7611350892782</v>
      </c>
      <c r="Q201" s="67">
        <v>3060.3367551607653</v>
      </c>
      <c r="R201" s="67">
        <v>2729.9171092889169</v>
      </c>
      <c r="S201" s="67">
        <v>2376.7152765718088</v>
      </c>
      <c r="U201" s="67" t="s">
        <v>320</v>
      </c>
    </row>
    <row r="202" spans="4:21" ht="12.75" x14ac:dyDescent="0.3">
      <c r="D202" s="75" t="s">
        <v>449</v>
      </c>
      <c r="E202" s="259" t="s">
        <v>455</v>
      </c>
      <c r="H202" s="259" t="s">
        <v>79</v>
      </c>
      <c r="I202" s="259" t="s">
        <v>47</v>
      </c>
      <c r="J202" s="259" t="s">
        <v>239</v>
      </c>
      <c r="M202" s="67">
        <v>1058.2495083403444</v>
      </c>
      <c r="N202" s="67">
        <v>1000.3214014144503</v>
      </c>
      <c r="O202" s="67">
        <v>1718.7470251599216</v>
      </c>
      <c r="P202" s="67">
        <v>1613.645733350947</v>
      </c>
      <c r="Q202" s="67">
        <v>1277.0329797301404</v>
      </c>
      <c r="R202" s="67">
        <v>1398.3797409747722</v>
      </c>
      <c r="S202" s="67">
        <v>1165.8640792542781</v>
      </c>
      <c r="U202" s="67" t="s">
        <v>320</v>
      </c>
    </row>
    <row r="203" spans="4:21" ht="12.75" x14ac:dyDescent="0.3">
      <c r="D203" s="75" t="s">
        <v>449</v>
      </c>
      <c r="E203" s="259" t="s">
        <v>456</v>
      </c>
      <c r="H203" s="259" t="s">
        <v>79</v>
      </c>
      <c r="I203" s="259" t="s">
        <v>47</v>
      </c>
      <c r="J203" s="259" t="s">
        <v>239</v>
      </c>
      <c r="M203" s="67">
        <v>0</v>
      </c>
      <c r="N203" s="67">
        <v>0</v>
      </c>
      <c r="O203" s="67">
        <v>0</v>
      </c>
      <c r="P203" s="67">
        <v>227.30920642189071</v>
      </c>
      <c r="Q203" s="67">
        <v>0</v>
      </c>
      <c r="R203" s="67">
        <v>229.26789294367654</v>
      </c>
      <c r="S203" s="67">
        <v>0</v>
      </c>
      <c r="U203" s="67" t="s">
        <v>320</v>
      </c>
    </row>
    <row r="204" spans="4:21" ht="12.75" x14ac:dyDescent="0.3">
      <c r="D204" s="75" t="s">
        <v>449</v>
      </c>
      <c r="E204" s="259" t="s">
        <v>320</v>
      </c>
      <c r="H204" s="259" t="s">
        <v>79</v>
      </c>
      <c r="I204" s="259" t="s">
        <v>47</v>
      </c>
      <c r="J204" s="259" t="s">
        <v>239</v>
      </c>
      <c r="M204" s="67">
        <v>0</v>
      </c>
      <c r="N204" s="67">
        <v>0</v>
      </c>
      <c r="O204" s="67">
        <v>0</v>
      </c>
      <c r="P204" s="67">
        <v>0</v>
      </c>
      <c r="Q204" s="67">
        <v>0</v>
      </c>
      <c r="R204" s="67">
        <v>0</v>
      </c>
      <c r="S204" s="67">
        <v>0</v>
      </c>
      <c r="U204" s="67" t="s">
        <v>320</v>
      </c>
    </row>
    <row r="205" spans="4:21" ht="12.75" x14ac:dyDescent="0.3">
      <c r="D205" s="75" t="s">
        <v>320</v>
      </c>
      <c r="E205" s="259" t="s">
        <v>320</v>
      </c>
      <c r="H205" s="259" t="s">
        <v>79</v>
      </c>
      <c r="I205" s="259" t="s">
        <v>47</v>
      </c>
      <c r="J205" s="259" t="s">
        <v>239</v>
      </c>
      <c r="M205" s="67">
        <v>0</v>
      </c>
      <c r="N205" s="67">
        <v>0</v>
      </c>
      <c r="O205" s="67">
        <v>0</v>
      </c>
      <c r="P205" s="67">
        <v>0</v>
      </c>
      <c r="Q205" s="67">
        <v>0</v>
      </c>
      <c r="R205" s="67">
        <v>0</v>
      </c>
      <c r="S205" s="67">
        <v>0</v>
      </c>
      <c r="U205" s="67" t="s">
        <v>320</v>
      </c>
    </row>
    <row r="206" spans="4:21" ht="12.75" x14ac:dyDescent="0.3">
      <c r="D206" s="75" t="s">
        <v>320</v>
      </c>
      <c r="E206" s="259" t="s">
        <v>457</v>
      </c>
      <c r="H206" s="259" t="s">
        <v>79</v>
      </c>
      <c r="I206" s="259" t="s">
        <v>47</v>
      </c>
      <c r="J206" s="259" t="s">
        <v>239</v>
      </c>
      <c r="M206" s="67">
        <v>287.09529057697108</v>
      </c>
      <c r="N206" s="67">
        <v>2035.6267293729984</v>
      </c>
      <c r="O206" s="67">
        <v>1536.9375906788573</v>
      </c>
      <c r="P206" s="67">
        <v>176.07402170366765</v>
      </c>
      <c r="Q206" s="67">
        <v>243.44695026174472</v>
      </c>
      <c r="R206" s="67">
        <v>15.369472135443402</v>
      </c>
      <c r="S206" s="67">
        <v>15.45583197836841</v>
      </c>
      <c r="U206" s="67" t="s">
        <v>320</v>
      </c>
    </row>
    <row r="207" spans="4:21" ht="12.75" x14ac:dyDescent="0.3">
      <c r="D207" s="75" t="s">
        <v>320</v>
      </c>
      <c r="E207" s="259" t="s">
        <v>458</v>
      </c>
      <c r="H207" s="259" t="s">
        <v>79</v>
      </c>
      <c r="I207" s="259" t="s">
        <v>47</v>
      </c>
      <c r="J207" s="259" t="s">
        <v>239</v>
      </c>
      <c r="M207" s="67">
        <v>33.248429267122582</v>
      </c>
      <c r="N207" s="67">
        <v>27.1464886590236</v>
      </c>
      <c r="O207" s="67">
        <v>27.57492105225171</v>
      </c>
      <c r="P207" s="67">
        <v>25.253948260684403</v>
      </c>
      <c r="Q207" s="67">
        <v>23.464773761464233</v>
      </c>
      <c r="R207" s="67">
        <v>23.486760749142004</v>
      </c>
      <c r="S207" s="67">
        <v>23.618730991921883</v>
      </c>
      <c r="U207" s="67" t="s">
        <v>320</v>
      </c>
    </row>
    <row r="208" spans="4:21" ht="12.75" x14ac:dyDescent="0.3">
      <c r="D208" s="75" t="s">
        <v>320</v>
      </c>
      <c r="E208" s="259" t="s">
        <v>459</v>
      </c>
      <c r="H208" s="259" t="s">
        <v>79</v>
      </c>
      <c r="I208" s="259" t="s">
        <v>47</v>
      </c>
      <c r="J208" s="259" t="s">
        <v>239</v>
      </c>
      <c r="M208" s="67">
        <v>24.90220233515457</v>
      </c>
      <c r="N208" s="67">
        <v>20.332008704677328</v>
      </c>
      <c r="O208" s="67">
        <v>20.65289334128332</v>
      </c>
      <c r="P208" s="67">
        <v>18.914545535266811</v>
      </c>
      <c r="Q208" s="67">
        <v>17.574500715870279</v>
      </c>
      <c r="R208" s="67">
        <v>17.59096839353089</v>
      </c>
      <c r="S208" s="67">
        <v>17.689810647446734</v>
      </c>
      <c r="U208" s="67" t="s">
        <v>320</v>
      </c>
    </row>
    <row r="209" spans="4:21" ht="12.75" x14ac:dyDescent="0.3">
      <c r="D209" s="75" t="s">
        <v>320</v>
      </c>
      <c r="E209" s="259" t="s">
        <v>460</v>
      </c>
      <c r="H209" s="259" t="s">
        <v>79</v>
      </c>
      <c r="I209" s="259" t="s">
        <v>47</v>
      </c>
      <c r="J209" s="259" t="s">
        <v>239</v>
      </c>
      <c r="M209" s="67">
        <v>0</v>
      </c>
      <c r="N209" s="67">
        <v>0</v>
      </c>
      <c r="O209" s="67">
        <v>671.46452445245757</v>
      </c>
      <c r="P209" s="67">
        <v>678.8382132278</v>
      </c>
      <c r="Q209" s="67">
        <v>682.44471843854456</v>
      </c>
      <c r="R209" s="67">
        <v>684.68765188297994</v>
      </c>
      <c r="S209" s="67">
        <v>688.53485740495398</v>
      </c>
      <c r="U209" s="67" t="s">
        <v>320</v>
      </c>
    </row>
    <row r="210" spans="4:21" ht="12.75" x14ac:dyDescent="0.3">
      <c r="D210" s="75" t="s">
        <v>320</v>
      </c>
      <c r="E210" s="259" t="s">
        <v>461</v>
      </c>
      <c r="H210" s="259" t="s">
        <v>79</v>
      </c>
      <c r="I210" s="259" t="s">
        <v>47</v>
      </c>
      <c r="J210" s="259" t="s">
        <v>239</v>
      </c>
      <c r="M210" s="67">
        <v>479.8540694181375</v>
      </c>
      <c r="N210" s="67">
        <v>621.88788648627315</v>
      </c>
      <c r="O210" s="67">
        <v>1421.5552948217717</v>
      </c>
      <c r="P210" s="67">
        <v>709.1067996191166</v>
      </c>
      <c r="Q210" s="67">
        <v>85.0916377732798</v>
      </c>
      <c r="R210" s="67">
        <v>172.47752775236103</v>
      </c>
      <c r="S210" s="67">
        <v>117.15855871801652</v>
      </c>
      <c r="U210" s="67" t="s">
        <v>320</v>
      </c>
    </row>
    <row r="211" spans="4:21" ht="12.75" x14ac:dyDescent="0.3">
      <c r="D211" s="75" t="s">
        <v>320</v>
      </c>
      <c r="E211" s="259" t="s">
        <v>462</v>
      </c>
      <c r="H211" s="259" t="s">
        <v>79</v>
      </c>
      <c r="I211" s="259" t="s">
        <v>47</v>
      </c>
      <c r="J211" s="259" t="s">
        <v>239</v>
      </c>
      <c r="M211" s="67">
        <v>0</v>
      </c>
      <c r="N211" s="67">
        <v>0</v>
      </c>
      <c r="O211" s="67">
        <v>0</v>
      </c>
      <c r="P211" s="67">
        <v>0</v>
      </c>
      <c r="Q211" s="67">
        <v>0</v>
      </c>
      <c r="R211" s="67">
        <v>0</v>
      </c>
      <c r="S211" s="67">
        <v>0</v>
      </c>
      <c r="U211" s="67" t="s">
        <v>320</v>
      </c>
    </row>
    <row r="212" spans="4:21" ht="12.75" x14ac:dyDescent="0.3">
      <c r="D212" s="75" t="s">
        <v>320</v>
      </c>
      <c r="E212" s="259" t="s">
        <v>463</v>
      </c>
      <c r="H212" s="259" t="s">
        <v>79</v>
      </c>
      <c r="I212" s="259" t="s">
        <v>47</v>
      </c>
      <c r="J212" s="259" t="s">
        <v>239</v>
      </c>
      <c r="M212" s="67">
        <v>1086.0305544981675</v>
      </c>
      <c r="N212" s="67">
        <v>3000.6459619853763</v>
      </c>
      <c r="O212" s="67">
        <v>3659.0774020222671</v>
      </c>
      <c r="P212" s="67">
        <v>1721.9808186428604</v>
      </c>
      <c r="Q212" s="67">
        <v>272.99535963549562</v>
      </c>
      <c r="R212" s="67">
        <v>419.96863867140382</v>
      </c>
      <c r="S212" s="67">
        <v>502.66261733883528</v>
      </c>
      <c r="U212" s="67" t="s">
        <v>320</v>
      </c>
    </row>
    <row r="213" spans="4:21" ht="12.75" x14ac:dyDescent="0.3">
      <c r="D213" s="75" t="s">
        <v>320</v>
      </c>
      <c r="E213" s="259" t="s">
        <v>464</v>
      </c>
      <c r="H213" s="259" t="s">
        <v>79</v>
      </c>
      <c r="I213" s="259" t="s">
        <v>47</v>
      </c>
      <c r="J213" s="259" t="s">
        <v>239</v>
      </c>
      <c r="M213" s="67">
        <v>7.2197599609132128</v>
      </c>
      <c r="N213" s="67">
        <v>0</v>
      </c>
      <c r="O213" s="67">
        <v>271.65601571323407</v>
      </c>
      <c r="P213" s="67">
        <v>370.79133607224713</v>
      </c>
      <c r="Q213" s="67">
        <v>353.61600948132457</v>
      </c>
      <c r="R213" s="67">
        <v>0</v>
      </c>
      <c r="S213" s="67">
        <v>106.49212826776315</v>
      </c>
      <c r="U213" s="67" t="s">
        <v>320</v>
      </c>
    </row>
    <row r="214" spans="4:21" ht="12.75" x14ac:dyDescent="0.3">
      <c r="D214" s="75" t="s">
        <v>320</v>
      </c>
      <c r="E214" s="259" t="s">
        <v>465</v>
      </c>
      <c r="H214" s="259" t="s">
        <v>79</v>
      </c>
      <c r="I214" s="259" t="s">
        <v>47</v>
      </c>
      <c r="J214" s="259" t="s">
        <v>239</v>
      </c>
      <c r="M214" s="67">
        <v>0</v>
      </c>
      <c r="N214" s="67">
        <v>0</v>
      </c>
      <c r="O214" s="67">
        <v>0</v>
      </c>
      <c r="P214" s="67">
        <v>0</v>
      </c>
      <c r="Q214" s="67">
        <v>0</v>
      </c>
      <c r="R214" s="67">
        <v>0</v>
      </c>
      <c r="S214" s="67">
        <v>0</v>
      </c>
      <c r="U214" s="67" t="s">
        <v>320</v>
      </c>
    </row>
    <row r="215" spans="4:21" ht="12.75" x14ac:dyDescent="0.3">
      <c r="D215" s="75" t="s">
        <v>320</v>
      </c>
      <c r="E215" s="259" t="s">
        <v>466</v>
      </c>
      <c r="H215" s="259" t="s">
        <v>79</v>
      </c>
      <c r="I215" s="259" t="s">
        <v>47</v>
      </c>
      <c r="J215" s="259" t="s">
        <v>239</v>
      </c>
      <c r="M215" s="67">
        <v>0</v>
      </c>
      <c r="N215" s="67">
        <v>0</v>
      </c>
      <c r="O215" s="67">
        <v>149.06650383010393</v>
      </c>
      <c r="P215" s="67">
        <v>440.51785843638447</v>
      </c>
      <c r="Q215" s="67">
        <v>151.50412945182538</v>
      </c>
      <c r="R215" s="67">
        <v>152.00206528418857</v>
      </c>
      <c r="S215" s="67">
        <v>152.85615281345036</v>
      </c>
      <c r="U215" s="67" t="s">
        <v>320</v>
      </c>
    </row>
    <row r="216" spans="4:21" ht="12.75" x14ac:dyDescent="0.3">
      <c r="D216" s="75" t="s">
        <v>320</v>
      </c>
      <c r="E216" s="259" t="s">
        <v>467</v>
      </c>
      <c r="H216" s="259" t="s">
        <v>79</v>
      </c>
      <c r="I216" s="259" t="s">
        <v>47</v>
      </c>
      <c r="J216" s="259" t="s">
        <v>239</v>
      </c>
      <c r="M216" s="67">
        <v>0</v>
      </c>
      <c r="N216" s="67">
        <v>0</v>
      </c>
      <c r="O216" s="67">
        <v>0</v>
      </c>
      <c r="P216" s="67">
        <v>0</v>
      </c>
      <c r="Q216" s="67">
        <v>0</v>
      </c>
      <c r="R216" s="67">
        <v>0</v>
      </c>
      <c r="S216" s="67">
        <v>0</v>
      </c>
      <c r="U216" s="67" t="s">
        <v>320</v>
      </c>
    </row>
    <row r="217" spans="4:21" ht="12.75" x14ac:dyDescent="0.3">
      <c r="D217" s="75" t="s">
        <v>320</v>
      </c>
      <c r="E217" s="259" t="s">
        <v>468</v>
      </c>
      <c r="H217" s="259" t="s">
        <v>79</v>
      </c>
      <c r="I217" s="259" t="s">
        <v>47</v>
      </c>
      <c r="J217" s="259" t="s">
        <v>239</v>
      </c>
      <c r="M217" s="67">
        <v>0</v>
      </c>
      <c r="N217" s="67">
        <v>0</v>
      </c>
      <c r="O217" s="67">
        <v>0</v>
      </c>
      <c r="P217" s="67">
        <v>0</v>
      </c>
      <c r="Q217" s="67">
        <v>0</v>
      </c>
      <c r="R217" s="67">
        <v>0</v>
      </c>
      <c r="S217" s="67">
        <v>0</v>
      </c>
      <c r="U217" s="67" t="s">
        <v>320</v>
      </c>
    </row>
    <row r="218" spans="4:21" ht="12.75" x14ac:dyDescent="0.3">
      <c r="D218" s="75" t="s">
        <v>320</v>
      </c>
      <c r="E218" s="259" t="s">
        <v>469</v>
      </c>
      <c r="H218" s="259" t="s">
        <v>79</v>
      </c>
      <c r="I218" s="259" t="s">
        <v>47</v>
      </c>
      <c r="J218" s="259" t="s">
        <v>239</v>
      </c>
      <c r="M218" s="67">
        <v>4493.2967794653823</v>
      </c>
      <c r="N218" s="67">
        <v>3085.1980695890397</v>
      </c>
      <c r="O218" s="67">
        <v>2030.9063857913004</v>
      </c>
      <c r="P218" s="67">
        <v>2053.2087875941234</v>
      </c>
      <c r="Q218" s="67">
        <v>2064.11699524495</v>
      </c>
      <c r="R218" s="67">
        <v>2070.9009543214529</v>
      </c>
      <c r="S218" s="67">
        <v>2082.5371822642469</v>
      </c>
      <c r="U218" s="67" t="s">
        <v>320</v>
      </c>
    </row>
    <row r="219" spans="4:21" ht="12.75" x14ac:dyDescent="0.3">
      <c r="D219" s="75" t="s">
        <v>320</v>
      </c>
      <c r="E219" s="259" t="s">
        <v>470</v>
      </c>
      <c r="H219" s="259" t="s">
        <v>79</v>
      </c>
      <c r="I219" s="259" t="s">
        <v>47</v>
      </c>
      <c r="J219" s="259" t="s">
        <v>239</v>
      </c>
      <c r="M219" s="67">
        <v>0</v>
      </c>
      <c r="N219" s="67">
        <v>0</v>
      </c>
      <c r="O219" s="67">
        <v>0</v>
      </c>
      <c r="P219" s="67">
        <v>0</v>
      </c>
      <c r="Q219" s="67">
        <v>0</v>
      </c>
      <c r="R219" s="67">
        <v>0</v>
      </c>
      <c r="S219" s="67">
        <v>0</v>
      </c>
      <c r="U219" s="67" t="s">
        <v>320</v>
      </c>
    </row>
    <row r="220" spans="4:21" ht="12.75" x14ac:dyDescent="0.3">
      <c r="D220" s="75" t="s">
        <v>320</v>
      </c>
      <c r="E220" s="259" t="s">
        <v>471</v>
      </c>
      <c r="H220" s="259" t="s">
        <v>79</v>
      </c>
      <c r="I220" s="259" t="s">
        <v>47</v>
      </c>
      <c r="J220" s="259" t="s">
        <v>239</v>
      </c>
      <c r="M220" s="67">
        <v>0</v>
      </c>
      <c r="N220" s="67">
        <v>0</v>
      </c>
      <c r="O220" s="67">
        <v>0</v>
      </c>
      <c r="P220" s="67">
        <v>0</v>
      </c>
      <c r="Q220" s="67">
        <v>0</v>
      </c>
      <c r="R220" s="67">
        <v>0</v>
      </c>
      <c r="S220" s="67">
        <v>0</v>
      </c>
      <c r="U220" s="67" t="s">
        <v>320</v>
      </c>
    </row>
    <row r="221" spans="4:21" ht="12.75" x14ac:dyDescent="0.3">
      <c r="D221" s="75" t="s">
        <v>320</v>
      </c>
      <c r="E221" s="259" t="s">
        <v>472</v>
      </c>
      <c r="H221" s="259" t="s">
        <v>79</v>
      </c>
      <c r="I221" s="259" t="s">
        <v>47</v>
      </c>
      <c r="J221" s="259" t="s">
        <v>239</v>
      </c>
      <c r="M221" s="67">
        <v>0</v>
      </c>
      <c r="N221" s="67">
        <v>0</v>
      </c>
      <c r="O221" s="67">
        <v>0</v>
      </c>
      <c r="P221" s="67">
        <v>0</v>
      </c>
      <c r="Q221" s="67">
        <v>0</v>
      </c>
      <c r="R221" s="67">
        <v>0</v>
      </c>
      <c r="S221" s="67">
        <v>0</v>
      </c>
      <c r="U221" s="67" t="s">
        <v>320</v>
      </c>
    </row>
    <row r="222" spans="4:21" ht="11.25" customHeight="1" x14ac:dyDescent="0.3"/>
    <row r="223" spans="4:21" ht="11.25" customHeight="1" x14ac:dyDescent="0.3">
      <c r="D223" s="62" t="s">
        <v>51</v>
      </c>
      <c r="H223" s="56" t="s">
        <v>52</v>
      </c>
      <c r="I223" s="56" t="s">
        <v>47</v>
      </c>
      <c r="J223" s="56" t="s">
        <v>239</v>
      </c>
      <c r="M223" s="68">
        <f t="shared" ref="M223:S223" si="5">SUM(M80:M221)</f>
        <v>38592.859769823335</v>
      </c>
      <c r="N223" s="68">
        <f t="shared" si="5"/>
        <v>47541.407359174991</v>
      </c>
      <c r="O223" s="68">
        <f t="shared" si="5"/>
        <v>47509.401939582145</v>
      </c>
      <c r="P223" s="68">
        <f t="shared" si="5"/>
        <v>44023.794146622422</v>
      </c>
      <c r="Q223" s="68">
        <f t="shared" si="5"/>
        <v>30431.118927909771</v>
      </c>
      <c r="R223" s="68">
        <f t="shared" si="5"/>
        <v>27450.230710457559</v>
      </c>
      <c r="S223" s="68">
        <f t="shared" si="5"/>
        <v>27213.012894361549</v>
      </c>
    </row>
    <row r="224" spans="4:21" ht="11.25" customHeight="1" x14ac:dyDescent="0.3"/>
    <row r="225" spans="2:16" ht="11.25" customHeight="1" x14ac:dyDescent="0.3"/>
    <row r="226" spans="2:16" ht="11.25" customHeight="1" x14ac:dyDescent="0.3"/>
    <row r="227" spans="2:16" s="2" customFormat="1" ht="15" x14ac:dyDescent="0.3">
      <c r="B227" s="2" t="s">
        <v>76</v>
      </c>
    </row>
    <row r="228" spans="2:16" ht="11.25" customHeight="1" x14ac:dyDescent="0.3"/>
    <row r="229" spans="2:16" ht="11.25" customHeight="1" x14ac:dyDescent="0.3">
      <c r="D229" s="105" t="s">
        <v>338</v>
      </c>
    </row>
    <row r="230" spans="2:16" ht="11.25" customHeight="1" x14ac:dyDescent="0.3"/>
    <row r="231" spans="2:16" s="8" customFormat="1" ht="13.9" x14ac:dyDescent="0.3">
      <c r="C231" s="8" t="s">
        <v>690</v>
      </c>
    </row>
    <row r="232" spans="2:16" ht="11.25" customHeight="1" x14ac:dyDescent="0.3"/>
    <row r="233" spans="2:16" ht="65.650000000000006" x14ac:dyDescent="0.3">
      <c r="D233" s="70" t="s">
        <v>256</v>
      </c>
      <c r="H233" s="54" t="str">
        <f>Lookup!E$19</f>
        <v>Source</v>
      </c>
      <c r="I233" s="54" t="str">
        <f>Lookup!F$19</f>
        <v>Unit</v>
      </c>
      <c r="J233" s="54" t="str">
        <f>Lookup!G$19</f>
        <v>Basis</v>
      </c>
      <c r="M233" s="61" t="s">
        <v>669</v>
      </c>
      <c r="O233" s="61" t="s">
        <v>670</v>
      </c>
    </row>
    <row r="234" spans="2:16" ht="11.25" customHeight="1" x14ac:dyDescent="0.3"/>
    <row r="235" spans="2:16" ht="12.75" x14ac:dyDescent="0.3">
      <c r="D235" s="75" t="s">
        <v>258</v>
      </c>
      <c r="H235" s="259" t="s">
        <v>672</v>
      </c>
      <c r="I235" s="259" t="s">
        <v>43</v>
      </c>
      <c r="J235" s="259" t="s">
        <v>21</v>
      </c>
      <c r="M235" s="94">
        <v>0</v>
      </c>
      <c r="O235" s="94">
        <v>1.8333333333333313E-2</v>
      </c>
      <c r="P235" s="107" t="s">
        <v>671</v>
      </c>
    </row>
    <row r="236" spans="2:16" ht="12.75" x14ac:dyDescent="0.3">
      <c r="D236" s="75" t="s">
        <v>69</v>
      </c>
      <c r="H236" s="259" t="s">
        <v>672</v>
      </c>
      <c r="I236" s="259" t="s">
        <v>43</v>
      </c>
      <c r="J236" s="259" t="s">
        <v>21</v>
      </c>
      <c r="M236" s="94">
        <v>0.2942865015344564</v>
      </c>
      <c r="O236" s="94">
        <v>4.8666666666666636E-2</v>
      </c>
    </row>
    <row r="237" spans="2:16" ht="12.75" x14ac:dyDescent="0.3">
      <c r="D237" s="75" t="s">
        <v>257</v>
      </c>
      <c r="H237" s="259" t="s">
        <v>672</v>
      </c>
      <c r="I237" s="259" t="s">
        <v>43</v>
      </c>
      <c r="J237" s="259" t="s">
        <v>21</v>
      </c>
      <c r="M237" s="94">
        <v>0.70571349846554365</v>
      </c>
      <c r="O237" s="94">
        <v>0.1206666666666667</v>
      </c>
    </row>
    <row r="238" spans="2:16" ht="11.25" customHeight="1" x14ac:dyDescent="0.3"/>
    <row r="239" spans="2:16" ht="11.25" customHeight="1" x14ac:dyDescent="0.3"/>
    <row r="240" spans="2:16" s="8" customFormat="1" ht="13.9" x14ac:dyDescent="0.3">
      <c r="C240" s="8" t="s">
        <v>692</v>
      </c>
    </row>
    <row r="241" spans="2:21" ht="11.25" customHeight="1" x14ac:dyDescent="0.3"/>
    <row r="242" spans="2:21" ht="11.25" customHeight="1" x14ac:dyDescent="0.3">
      <c r="D242" s="70" t="s">
        <v>693</v>
      </c>
      <c r="H242" s="54" t="str">
        <f>Lookup!E$19</f>
        <v>Source</v>
      </c>
      <c r="I242" s="54" t="str">
        <f>Lookup!F$19</f>
        <v>Unit</v>
      </c>
      <c r="J242" s="54" t="str">
        <f>Lookup!G$19</f>
        <v>Basis</v>
      </c>
      <c r="L242" s="54" t="str">
        <f t="shared" ref="L242:U242" si="6">L$9</f>
        <v>FY22</v>
      </c>
      <c r="M242" s="54" t="str">
        <f t="shared" si="6"/>
        <v>FY23</v>
      </c>
      <c r="N242" s="54" t="str">
        <f t="shared" si="6"/>
        <v>FY24</v>
      </c>
      <c r="O242" s="54" t="str">
        <f t="shared" si="6"/>
        <v>FY25</v>
      </c>
      <c r="P242" s="54" t="str">
        <f t="shared" si="6"/>
        <v>FY26</v>
      </c>
      <c r="Q242" s="54" t="str">
        <f t="shared" si="6"/>
        <v>FY27</v>
      </c>
      <c r="R242" s="54" t="str">
        <f t="shared" si="6"/>
        <v>FY28</v>
      </c>
      <c r="S242" s="54" t="str">
        <f t="shared" si="6"/>
        <v>FY29</v>
      </c>
      <c r="T242" s="54" t="str">
        <f t="shared" si="6"/>
        <v>FY30</v>
      </c>
      <c r="U242" s="54" t="str">
        <f t="shared" si="6"/>
        <v>FY31</v>
      </c>
    </row>
    <row r="243" spans="2:21" x14ac:dyDescent="0.3">
      <c r="L243" s="146" t="s">
        <v>35</v>
      </c>
      <c r="M243" s="146" t="s">
        <v>220</v>
      </c>
      <c r="N243" s="146" t="s">
        <v>220</v>
      </c>
      <c r="O243" s="146" t="s">
        <v>220</v>
      </c>
      <c r="P243" s="146" t="s">
        <v>220</v>
      </c>
      <c r="Q243" s="146" t="s">
        <v>220</v>
      </c>
      <c r="R243" s="146" t="s">
        <v>220</v>
      </c>
      <c r="S243" s="146" t="s">
        <v>220</v>
      </c>
      <c r="T243" s="146" t="s">
        <v>220</v>
      </c>
      <c r="U243" s="146" t="s">
        <v>220</v>
      </c>
    </row>
    <row r="244" spans="2:21" ht="11.25" customHeight="1" x14ac:dyDescent="0.3"/>
    <row r="245" spans="2:21" ht="12.75" x14ac:dyDescent="0.3">
      <c r="D245" s="75" t="s">
        <v>666</v>
      </c>
      <c r="H245" s="259" t="s">
        <v>663</v>
      </c>
      <c r="I245" s="259" t="s">
        <v>264</v>
      </c>
      <c r="J245" s="259" t="s">
        <v>21</v>
      </c>
      <c r="L245" s="74">
        <v>284.62</v>
      </c>
      <c r="M245" s="74">
        <v>293.67913880911885</v>
      </c>
      <c r="N245" s="74">
        <v>306.2915359323365</v>
      </c>
      <c r="O245" s="74">
        <v>313.20647781465283</v>
      </c>
      <c r="P245" s="74">
        <v>325.0194109932587</v>
      </c>
      <c r="Q245" s="74">
        <v>335.47714082506042</v>
      </c>
      <c r="R245" s="74">
        <v>342.91835138221984</v>
      </c>
      <c r="S245" s="74">
        <v>348.96364535964437</v>
      </c>
      <c r="T245" s="74">
        <v>355.46422555946214</v>
      </c>
      <c r="U245" s="74">
        <v>362.15114342121058</v>
      </c>
    </row>
    <row r="246" spans="2:21" ht="12.75" x14ac:dyDescent="0.3">
      <c r="D246" s="75" t="s">
        <v>667</v>
      </c>
      <c r="H246" s="259" t="s">
        <v>663</v>
      </c>
      <c r="I246" s="259" t="s">
        <v>264</v>
      </c>
      <c r="J246" s="259" t="s">
        <v>21</v>
      </c>
      <c r="L246" s="74">
        <v>48.8</v>
      </c>
      <c r="M246" s="74">
        <v>51.357144677341189</v>
      </c>
      <c r="N246" s="74">
        <v>55.159462935527323</v>
      </c>
      <c r="O246" s="74">
        <v>58.710643873744132</v>
      </c>
      <c r="P246" s="74">
        <v>59.82434172705176</v>
      </c>
      <c r="Q246" s="74">
        <v>60.506160066914589</v>
      </c>
      <c r="R246" s="74">
        <v>61.194682506742353</v>
      </c>
      <c r="S246" s="74">
        <v>61.894324097071262</v>
      </c>
      <c r="T246" s="74">
        <v>62.62198406029151</v>
      </c>
      <c r="U246" s="74">
        <v>63.387718721397164</v>
      </c>
    </row>
    <row r="247" spans="2:21" ht="12.75" x14ac:dyDescent="0.3">
      <c r="D247" s="75" t="s">
        <v>668</v>
      </c>
      <c r="H247" s="259" t="s">
        <v>663</v>
      </c>
      <c r="I247" s="259" t="s">
        <v>264</v>
      </c>
      <c r="J247" s="259" t="s">
        <v>21</v>
      </c>
      <c r="L247" s="74">
        <v>6.393949645200296</v>
      </c>
      <c r="M247" s="74">
        <v>6.5159800478183145</v>
      </c>
      <c r="N247" s="74">
        <v>6.5484910287873648</v>
      </c>
      <c r="O247" s="74">
        <v>6.5840597815032913</v>
      </c>
      <c r="P247" s="74">
        <v>6.6228183627704009</v>
      </c>
      <c r="Q247" s="74">
        <v>6.6717828457369199</v>
      </c>
      <c r="R247" s="74">
        <v>6.7220621959434768</v>
      </c>
      <c r="S247" s="74">
        <v>6.7755389138029249</v>
      </c>
      <c r="T247" s="74">
        <v>6.8280918734319016</v>
      </c>
      <c r="U247" s="74">
        <v>6.8899916505436343</v>
      </c>
    </row>
    <row r="248" spans="2:21" ht="12.75" x14ac:dyDescent="0.3">
      <c r="D248" s="75"/>
    </row>
    <row r="249" spans="2:21" ht="11.25" customHeight="1" x14ac:dyDescent="0.3">
      <c r="D249" s="62" t="s">
        <v>51</v>
      </c>
      <c r="H249" s="56" t="s">
        <v>52</v>
      </c>
      <c r="I249" s="56" t="s">
        <v>264</v>
      </c>
      <c r="J249" s="56" t="s">
        <v>21</v>
      </c>
      <c r="L249" s="252">
        <f t="shared" ref="L249:U249" si="7">SUM(L245:L247)</f>
        <v>339.8139496452003</v>
      </c>
      <c r="M249" s="252">
        <f t="shared" si="7"/>
        <v>351.55226353427832</v>
      </c>
      <c r="N249" s="252">
        <f t="shared" si="7"/>
        <v>367.99948989665114</v>
      </c>
      <c r="O249" s="252">
        <f t="shared" si="7"/>
        <v>378.50118146990025</v>
      </c>
      <c r="P249" s="252">
        <f t="shared" si="7"/>
        <v>391.46657108308085</v>
      </c>
      <c r="Q249" s="252">
        <f t="shared" si="7"/>
        <v>402.65508373771189</v>
      </c>
      <c r="R249" s="252">
        <f t="shared" si="7"/>
        <v>410.83509608490567</v>
      </c>
      <c r="S249" s="252">
        <f t="shared" si="7"/>
        <v>417.63350837051854</v>
      </c>
      <c r="T249" s="252">
        <f t="shared" si="7"/>
        <v>424.91430149318552</v>
      </c>
      <c r="U249" s="252">
        <f t="shared" si="7"/>
        <v>432.42885379315135</v>
      </c>
    </row>
    <row r="250" spans="2:21" ht="11.25" customHeight="1" x14ac:dyDescent="0.3"/>
    <row r="251" spans="2:21" ht="11.25" customHeight="1" x14ac:dyDescent="0.3"/>
    <row r="252" spans="2:21" s="2" customFormat="1" ht="15" x14ac:dyDescent="0.3">
      <c r="B252" s="2" t="s">
        <v>20</v>
      </c>
    </row>
  </sheetData>
  <conditionalFormatting sqref="B2">
    <cfRule type="cellIs" dxfId="32" priority="5" operator="notEqual">
      <formula>"No Errors Found"</formula>
    </cfRule>
  </conditionalFormatting>
  <dataValidations count="3">
    <dataValidation type="list" allowBlank="1" showInputMessage="1" showErrorMessage="1" sqref="I73 I65:I71 I49:I57 I59 I80:I221 I223 I40:I42 I25:I27 I249 I245:I247 I235:I237" xr:uid="{038E5F6A-8B75-445C-9F33-6F20EEBADBF8}">
      <formula1>LU_Units</formula1>
    </dataValidation>
    <dataValidation type="list" allowBlank="1" showInputMessage="1" showErrorMessage="1" sqref="J73 J65:J71 J49:J57 J59 J80:J221 J223 J40:J42 J25:J27 J249 J245:J247 J235:J237" xr:uid="{2A04919B-BBFD-431C-9722-2A6D8CB3022D}">
      <formula1>LU_Basis</formula1>
    </dataValidation>
    <dataValidation type="list" allowBlank="1" showInputMessage="1" showErrorMessage="1" sqref="L243:U243" xr:uid="{23487A77-AE8B-4EAB-9F38-623CC9AC843A}">
      <formula1>LU_Revenue_Input</formula1>
    </dataValidation>
  </dataValidations>
  <hyperlinks>
    <hyperlink ref="B3:E3" location="TOC!A1" display="TOC!A1" xr:uid="{4C2CC7BA-A0A9-467B-850D-71DB320B84C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EBB2-0D97-4838-BF49-D16E56F75FFD}">
  <sheetPr codeName="Sheet8">
    <tabColor theme="4" tint="0.59999389629810485"/>
  </sheetPr>
  <dimension ref="A1:AB103"/>
  <sheetViews>
    <sheetView showGridLines="0" zoomScaleNormal="100" workbookViewId="0">
      <pane xSplit="4" ySplit="9" topLeftCell="E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34.33203125" bestFit="1" customWidth="1"/>
    <col min="5" max="5" width="20.6640625" bestFit="1" customWidth="1"/>
    <col min="6" max="6" width="14.6640625" bestFit="1" customWidth="1"/>
    <col min="7" max="7" width="2.5" customWidth="1"/>
    <col min="8" max="8" width="12.33203125" bestFit="1" customWidth="1"/>
    <col min="9" max="9" width="10.83203125" customWidth="1"/>
    <col min="10" max="11" width="12.83203125" customWidth="1"/>
    <col min="12" max="12" width="2.5" customWidth="1"/>
    <col min="13" max="14" width="12.83203125" customWidth="1"/>
    <col min="15" max="15" width="4.33203125" customWidth="1"/>
    <col min="16" max="17" width="16.6640625" customWidth="1"/>
    <col min="18" max="18" width="4.33203125" customWidth="1"/>
    <col min="19" max="20" width="16.6640625" customWidth="1"/>
    <col min="21" max="21" width="4.33203125" customWidth="1"/>
    <col min="22" max="22" width="82.08203125" bestFit="1" customWidth="1"/>
    <col min="23" max="23" width="4" customWidth="1"/>
    <col min="24" max="24" width="70" customWidth="1"/>
    <col min="25" max="25" width="4" customWidth="1"/>
    <col min="26" max="26" width="57.4140625" bestFit="1" customWidth="1"/>
    <col min="27" max="27" width="4" customWidth="1"/>
    <col min="28" max="28" width="75.58203125" bestFit="1" customWidth="1"/>
  </cols>
  <sheetData>
    <row r="1" spans="1:22" ht="18.75" x14ac:dyDescent="0.3">
      <c r="A1" s="59">
        <f>IF(SUM($A10:$A103)&gt;0,1,0)</f>
        <v>0</v>
      </c>
      <c r="B1" s="3" t="s">
        <v>539</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row>
    <row r="6" spans="1:22" ht="12.75" hidden="1" outlineLevel="1" x14ac:dyDescent="0.3">
      <c r="B6" s="10"/>
      <c r="J6" s="51"/>
      <c r="K6" s="51"/>
      <c r="L6" s="51"/>
    </row>
    <row r="7" spans="1:22" ht="12.75" hidden="1" outlineLevel="1" x14ac:dyDescent="0.3">
      <c r="B7" s="10"/>
      <c r="J7" s="52"/>
      <c r="K7" s="52"/>
      <c r="L7" s="52"/>
    </row>
    <row r="8" spans="1:22" ht="12.75" hidden="1" outlineLevel="1" x14ac:dyDescent="0.3">
      <c r="B8" s="10"/>
      <c r="J8" s="53"/>
      <c r="K8" s="53"/>
      <c r="L8" s="53"/>
    </row>
    <row r="9" spans="1:22" ht="13.15" collapsed="1" x14ac:dyDescent="0.3">
      <c r="B9" s="5" t="str">
        <f>Lookup!B19</f>
        <v>FY</v>
      </c>
      <c r="D9" s="260" t="s">
        <v>118</v>
      </c>
      <c r="E9" s="50" t="s">
        <v>61</v>
      </c>
      <c r="F9" s="50" t="s">
        <v>62</v>
      </c>
      <c r="H9" s="50" t="str">
        <f>Lookup!E19</f>
        <v>Source</v>
      </c>
      <c r="I9" s="50" t="str">
        <f>Lookup!F19</f>
        <v>Unit</v>
      </c>
      <c r="J9" s="50" t="str">
        <f>Lookup!G19</f>
        <v>Basis</v>
      </c>
      <c r="K9" s="50"/>
      <c r="L9" s="50"/>
      <c r="V9" s="60"/>
    </row>
    <row r="11" spans="1:22" s="2" customFormat="1" ht="15" x14ac:dyDescent="0.3">
      <c r="B11" s="2" t="s">
        <v>694</v>
      </c>
    </row>
    <row r="12" spans="1:22" ht="11.25" customHeight="1" x14ac:dyDescent="0.3"/>
    <row r="13" spans="1:22" ht="11.25" customHeight="1" x14ac:dyDescent="0.3">
      <c r="D13" s="105" t="s">
        <v>540</v>
      </c>
    </row>
    <row r="14" spans="1:22" ht="11.25" customHeight="1" x14ac:dyDescent="0.3"/>
    <row r="15" spans="1:22" ht="11.25" customHeight="1" x14ac:dyDescent="0.3"/>
    <row r="16" spans="1:22" s="2" customFormat="1" ht="15" x14ac:dyDescent="0.3">
      <c r="B16" s="2" t="s">
        <v>695</v>
      </c>
    </row>
    <row r="17" spans="3:24" ht="11.25" customHeight="1" x14ac:dyDescent="0.3"/>
    <row r="18" spans="3:24" ht="11.25" customHeight="1" x14ac:dyDescent="0.3">
      <c r="D18" s="105" t="s">
        <v>545</v>
      </c>
    </row>
    <row r="19" spans="3:24" ht="11.25" customHeight="1" x14ac:dyDescent="0.3">
      <c r="D19" s="105"/>
    </row>
    <row r="20" spans="3:24" ht="11.25" customHeight="1" x14ac:dyDescent="0.3"/>
    <row r="21" spans="3:24" s="8" customFormat="1" ht="13.9" x14ac:dyDescent="0.3">
      <c r="C21" s="8" t="s">
        <v>687</v>
      </c>
    </row>
    <row r="22" spans="3:24" ht="11.25" customHeight="1" x14ac:dyDescent="0.3"/>
    <row r="23" spans="3:24" ht="11.25" customHeight="1" x14ac:dyDescent="0.3">
      <c r="M23" s="273" t="s">
        <v>194</v>
      </c>
      <c r="N23" s="273"/>
      <c r="P23" s="273" t="s">
        <v>543</v>
      </c>
      <c r="Q23" s="273"/>
      <c r="S23" s="273" t="s">
        <v>103</v>
      </c>
      <c r="T23" s="273"/>
    </row>
    <row r="24" spans="3:24" ht="11.25" customHeight="1" x14ac:dyDescent="0.3">
      <c r="M24" s="274" t="s">
        <v>497</v>
      </c>
      <c r="N24" s="275"/>
      <c r="P24" s="274" t="s">
        <v>80</v>
      </c>
      <c r="Q24" s="275"/>
      <c r="S24" s="274" t="s">
        <v>47</v>
      </c>
      <c r="T24" s="275"/>
    </row>
    <row r="25" spans="3:24" ht="11.25" customHeight="1" x14ac:dyDescent="0.3">
      <c r="C25" s="172" t="s">
        <v>5</v>
      </c>
      <c r="D25" s="70" t="str">
        <f>D$9</f>
        <v>Tariff</v>
      </c>
      <c r="E25" s="54" t="str">
        <f>E$9</f>
        <v>Tariff Components</v>
      </c>
      <c r="F25" s="54" t="str">
        <f>F$9</f>
        <v>Tariff Class</v>
      </c>
      <c r="H25" s="54" t="str">
        <f>Lookup!E$19</f>
        <v>Source</v>
      </c>
      <c r="I25" s="54" t="str">
        <f>Lookup!F$19</f>
        <v>Unit</v>
      </c>
      <c r="J25" s="54" t="str">
        <f>Lookup!G$19</f>
        <v>Basis</v>
      </c>
      <c r="M25" s="61" t="s">
        <v>541</v>
      </c>
      <c r="N25" s="61" t="s">
        <v>542</v>
      </c>
      <c r="P25" s="61" t="s">
        <v>541</v>
      </c>
      <c r="Q25" s="61" t="s">
        <v>542</v>
      </c>
      <c r="S25" s="61" t="s">
        <v>541</v>
      </c>
      <c r="T25" s="61" t="s">
        <v>542</v>
      </c>
      <c r="V25" s="70" t="s">
        <v>513</v>
      </c>
      <c r="X25" s="70" t="s">
        <v>520</v>
      </c>
    </row>
    <row r="26" spans="3:24" ht="11.25" customHeight="1" x14ac:dyDescent="0.3">
      <c r="V26" s="1"/>
      <c r="X26" s="1"/>
    </row>
    <row r="27" spans="3:24" ht="12.75" x14ac:dyDescent="0.35">
      <c r="C27" s="171">
        <v>1</v>
      </c>
      <c r="D27" s="76" t="s">
        <v>63</v>
      </c>
      <c r="E27" s="259" t="s">
        <v>105</v>
      </c>
      <c r="F27" s="259" t="s">
        <v>64</v>
      </c>
      <c r="H27" s="259" t="s">
        <v>79</v>
      </c>
      <c r="I27" s="259" t="s">
        <v>337</v>
      </c>
      <c r="J27" s="259" t="s">
        <v>40</v>
      </c>
      <c r="M27" s="173">
        <v>0.91</v>
      </c>
      <c r="N27" s="173">
        <v>1.3</v>
      </c>
      <c r="P27" s="64">
        <v>19315337.512315292</v>
      </c>
      <c r="Q27" s="64">
        <v>16786584.152046651</v>
      </c>
      <c r="S27" s="66">
        <f t="shared" ref="S27:T33" si="0">M27*P27*Dollars_to_Thousands</f>
        <v>17576.957136206918</v>
      </c>
      <c r="T27" s="66">
        <f t="shared" si="0"/>
        <v>21822.559397660647</v>
      </c>
      <c r="V27" s="174" t="s">
        <v>498</v>
      </c>
      <c r="X27" s="174" t="s">
        <v>515</v>
      </c>
    </row>
    <row r="28" spans="3:24" ht="12.75" x14ac:dyDescent="0.35">
      <c r="C28" s="171">
        <v>2</v>
      </c>
      <c r="D28" s="76" t="s">
        <v>65</v>
      </c>
      <c r="E28" s="259" t="s">
        <v>105</v>
      </c>
      <c r="F28" s="259" t="s">
        <v>64</v>
      </c>
      <c r="H28" s="259" t="s">
        <v>79</v>
      </c>
      <c r="I28" s="259" t="s">
        <v>337</v>
      </c>
      <c r="J28" s="259" t="s">
        <v>40</v>
      </c>
      <c r="M28" s="173">
        <v>1.47</v>
      </c>
      <c r="N28" s="173">
        <v>1.3</v>
      </c>
      <c r="P28" s="64">
        <v>2265342.7661793618</v>
      </c>
      <c r="Q28" s="64">
        <v>1171069.5669466716</v>
      </c>
      <c r="S28" s="66">
        <f t="shared" si="0"/>
        <v>3330.0538662836616</v>
      </c>
      <c r="T28" s="66">
        <f t="shared" si="0"/>
        <v>1522.390437030673</v>
      </c>
      <c r="V28" s="174" t="s">
        <v>498</v>
      </c>
      <c r="X28" s="174" t="s">
        <v>516</v>
      </c>
    </row>
    <row r="29" spans="3:24" ht="12.75" x14ac:dyDescent="0.35">
      <c r="C29" s="171">
        <v>4</v>
      </c>
      <c r="D29" s="76" t="s">
        <v>66</v>
      </c>
      <c r="E29" s="259" t="s">
        <v>105</v>
      </c>
      <c r="F29" s="259" t="s">
        <v>64</v>
      </c>
      <c r="H29" s="259" t="s">
        <v>79</v>
      </c>
      <c r="I29" s="259" t="s">
        <v>337</v>
      </c>
      <c r="J29" s="259" t="s">
        <v>40</v>
      </c>
      <c r="M29" s="173">
        <v>0</v>
      </c>
      <c r="N29" s="173">
        <v>0</v>
      </c>
      <c r="P29" s="64">
        <v>5840000</v>
      </c>
      <c r="Q29" s="64">
        <v>5853863.6579999998</v>
      </c>
      <c r="S29" s="66">
        <f t="shared" si="0"/>
        <v>0</v>
      </c>
      <c r="T29" s="66">
        <f t="shared" si="0"/>
        <v>0</v>
      </c>
      <c r="V29" s="174" t="s">
        <v>504</v>
      </c>
      <c r="X29" s="174" t="s">
        <v>504</v>
      </c>
    </row>
    <row r="30" spans="3:24" ht="12.75" x14ac:dyDescent="0.35">
      <c r="C30" s="171">
        <v>3</v>
      </c>
      <c r="D30" s="76" t="s">
        <v>67</v>
      </c>
      <c r="E30" s="259" t="s">
        <v>105</v>
      </c>
      <c r="F30" s="259" t="s">
        <v>64</v>
      </c>
      <c r="H30" s="259" t="s">
        <v>79</v>
      </c>
      <c r="I30" s="259" t="s">
        <v>337</v>
      </c>
      <c r="J30" s="259" t="s">
        <v>40</v>
      </c>
      <c r="M30" s="173">
        <v>1.5</v>
      </c>
      <c r="N30" s="173">
        <v>2</v>
      </c>
      <c r="P30" s="64">
        <v>8985310.9541892875</v>
      </c>
      <c r="Q30" s="64">
        <v>12791331.983864943</v>
      </c>
      <c r="S30" s="66">
        <f t="shared" si="0"/>
        <v>13477.966431283932</v>
      </c>
      <c r="T30" s="66">
        <f t="shared" si="0"/>
        <v>25582.663967729884</v>
      </c>
      <c r="V30" s="174" t="s">
        <v>498</v>
      </c>
      <c r="X30" s="174"/>
    </row>
    <row r="31" spans="3:24" ht="12.75" x14ac:dyDescent="0.35">
      <c r="C31" s="171">
        <v>6</v>
      </c>
      <c r="D31" s="76" t="s">
        <v>68</v>
      </c>
      <c r="E31" s="259" t="s">
        <v>105</v>
      </c>
      <c r="F31" s="259" t="s">
        <v>69</v>
      </c>
      <c r="H31" s="259" t="s">
        <v>79</v>
      </c>
      <c r="I31" s="259" t="s">
        <v>337</v>
      </c>
      <c r="J31" s="259" t="s">
        <v>40</v>
      </c>
      <c r="M31" s="173">
        <v>1.6</v>
      </c>
      <c r="N31" s="173">
        <v>90</v>
      </c>
      <c r="P31" s="64">
        <v>10306.869999999999</v>
      </c>
      <c r="Q31" s="64">
        <v>14640</v>
      </c>
      <c r="S31" s="66">
        <f t="shared" si="0"/>
        <v>16.490991999999999</v>
      </c>
      <c r="T31" s="66">
        <f t="shared" si="0"/>
        <v>1317.6000000000001</v>
      </c>
      <c r="V31" s="174" t="s">
        <v>498</v>
      </c>
      <c r="X31" s="174" t="s">
        <v>518</v>
      </c>
    </row>
    <row r="32" spans="3:24" ht="12.75" x14ac:dyDescent="0.35">
      <c r="C32" s="171">
        <v>5</v>
      </c>
      <c r="D32" s="76" t="s">
        <v>70</v>
      </c>
      <c r="E32" s="259" t="s">
        <v>105</v>
      </c>
      <c r="F32" s="259" t="s">
        <v>70</v>
      </c>
      <c r="H32" s="259" t="s">
        <v>79</v>
      </c>
      <c r="I32" s="259" t="s">
        <v>337</v>
      </c>
      <c r="J32" s="259" t="s">
        <v>40</v>
      </c>
      <c r="M32" s="173">
        <v>71.2</v>
      </c>
      <c r="N32" s="173">
        <v>80</v>
      </c>
      <c r="P32" s="64">
        <v>55718.915615776394</v>
      </c>
      <c r="Q32" s="64">
        <v>56840.498707734921</v>
      </c>
      <c r="S32" s="66">
        <f t="shared" si="0"/>
        <v>3967.1867918432795</v>
      </c>
      <c r="T32" s="66">
        <f t="shared" si="0"/>
        <v>4547.2398966187939</v>
      </c>
      <c r="V32" s="174" t="s">
        <v>498</v>
      </c>
      <c r="X32" s="174" t="s">
        <v>517</v>
      </c>
    </row>
    <row r="33" spans="1:28" ht="12.75" x14ac:dyDescent="0.35">
      <c r="C33" s="171">
        <v>7</v>
      </c>
      <c r="D33" s="76" t="s">
        <v>71</v>
      </c>
      <c r="E33" s="259" t="s">
        <v>105</v>
      </c>
      <c r="F33" s="259" t="s">
        <v>69</v>
      </c>
      <c r="H33" s="259" t="s">
        <v>79</v>
      </c>
      <c r="I33" s="259" t="s">
        <v>337</v>
      </c>
      <c r="J33" s="259" t="s">
        <v>40</v>
      </c>
      <c r="M33" s="173">
        <v>85</v>
      </c>
      <c r="N33" s="173">
        <v>90</v>
      </c>
      <c r="P33" s="64">
        <v>11030.55901825573</v>
      </c>
      <c r="Q33" s="64">
        <v>3660</v>
      </c>
      <c r="S33" s="66">
        <f t="shared" si="0"/>
        <v>937.59751655173716</v>
      </c>
      <c r="T33" s="66">
        <f t="shared" si="0"/>
        <v>329.40000000000003</v>
      </c>
      <c r="V33" s="174" t="s">
        <v>498</v>
      </c>
      <c r="X33" s="174" t="s">
        <v>518</v>
      </c>
    </row>
    <row r="34" spans="1:28" ht="11.25" customHeight="1" x14ac:dyDescent="0.3"/>
    <row r="35" spans="1:28" ht="11.25" customHeight="1" x14ac:dyDescent="0.3">
      <c r="D35" s="62" t="s">
        <v>51</v>
      </c>
      <c r="H35" s="56" t="s">
        <v>52</v>
      </c>
      <c r="I35" s="56" t="s">
        <v>337</v>
      </c>
      <c r="J35" s="56" t="str">
        <f>Nominal</f>
        <v>Nominal</v>
      </c>
      <c r="P35" s="175">
        <f>SUM(P27:P33)</f>
        <v>36483047.577317968</v>
      </c>
      <c r="Q35" s="175">
        <f>SUM(Q27:Q33)</f>
        <v>36677989.859565996</v>
      </c>
      <c r="S35" s="68">
        <f t="shared" ref="S35:T35" si="1">SUM(S27:S33)</f>
        <v>39306.252734169524</v>
      </c>
      <c r="T35" s="68">
        <f t="shared" si="1"/>
        <v>55121.853699039995</v>
      </c>
    </row>
    <row r="36" spans="1:28" ht="11.25" customHeight="1" x14ac:dyDescent="0.3"/>
    <row r="37" spans="1:28" ht="11.25" hidden="1" customHeight="1" outlineLevel="1" x14ac:dyDescent="0.3">
      <c r="D37" s="81" t="s">
        <v>90</v>
      </c>
      <c r="E37" s="82"/>
      <c r="G37" s="82"/>
      <c r="H37" s="259" t="s">
        <v>52</v>
      </c>
      <c r="I37" s="259" t="s">
        <v>47</v>
      </c>
      <c r="J37" s="259" t="s">
        <v>40</v>
      </c>
      <c r="K37" s="63"/>
      <c r="S37" s="66">
        <f>SUMPRODUCT(M27:M33,P27:P33)*Dollars_to_Thousands</f>
        <v>39306.252734169539</v>
      </c>
      <c r="T37" s="66">
        <f>SUMPRODUCT(N27:N33,Q27:Q33)*Dollars_to_Thousands</f>
        <v>55121.853699039995</v>
      </c>
    </row>
    <row r="38" spans="1:28" ht="11.25" hidden="1" customHeight="1" outlineLevel="1" x14ac:dyDescent="0.3">
      <c r="A38" s="59">
        <f>IF(SUM($S38:$T38)=0,0,1)</f>
        <v>0</v>
      </c>
      <c r="D38" s="81" t="s">
        <v>55</v>
      </c>
      <c r="E38" s="82"/>
      <c r="F38" s="80"/>
      <c r="G38" s="82"/>
      <c r="H38" s="80"/>
      <c r="I38" s="84"/>
      <c r="J38" s="84"/>
      <c r="K38" s="63"/>
      <c r="S38" s="59">
        <f>IF(ROUND(S37-S35,2)=0,0,1)</f>
        <v>0</v>
      </c>
      <c r="T38" s="59">
        <f>IF(ROUND(T37-T35,2)=0,0,1)</f>
        <v>0</v>
      </c>
    </row>
    <row r="39" spans="1:28" ht="11.25" customHeight="1" collapsed="1" x14ac:dyDescent="0.3"/>
    <row r="40" spans="1:28" s="8" customFormat="1" ht="13.9" x14ac:dyDescent="0.3">
      <c r="C40" s="8" t="s">
        <v>74</v>
      </c>
    </row>
    <row r="41" spans="1:28" ht="11.25" customHeight="1" x14ac:dyDescent="0.3"/>
    <row r="42" spans="1:28" ht="11.25" customHeight="1" x14ac:dyDescent="0.3">
      <c r="M42" s="273" t="s">
        <v>194</v>
      </c>
      <c r="N42" s="273"/>
      <c r="P42" s="273" t="s">
        <v>543</v>
      </c>
      <c r="Q42" s="273"/>
      <c r="S42" s="273" t="s">
        <v>103</v>
      </c>
      <c r="T42" s="273"/>
    </row>
    <row r="43" spans="1:28" ht="11.25" customHeight="1" x14ac:dyDescent="0.3">
      <c r="M43" s="274" t="s">
        <v>193</v>
      </c>
      <c r="N43" s="275"/>
      <c r="P43" s="274" t="s">
        <v>82</v>
      </c>
      <c r="Q43" s="275"/>
      <c r="S43" s="274" t="s">
        <v>47</v>
      </c>
      <c r="T43" s="275"/>
    </row>
    <row r="44" spans="1:28" ht="11.25" customHeight="1" x14ac:dyDescent="0.3">
      <c r="C44" s="172" t="s">
        <v>5</v>
      </c>
      <c r="D44" s="70" t="str">
        <f>D$9</f>
        <v>Tariff</v>
      </c>
      <c r="E44" s="54" t="str">
        <f>E$9</f>
        <v>Tariff Components</v>
      </c>
      <c r="F44" s="54" t="str">
        <f>F$9</f>
        <v>Tariff Class</v>
      </c>
      <c r="H44" s="54" t="str">
        <f>Lookup!E$19</f>
        <v>Source</v>
      </c>
      <c r="I44" s="54" t="str">
        <f>Lookup!F$19</f>
        <v>Unit</v>
      </c>
      <c r="J44" s="54" t="str">
        <f>Lookup!G$19</f>
        <v>Basis</v>
      </c>
      <c r="M44" s="61" t="s">
        <v>541</v>
      </c>
      <c r="N44" s="61" t="s">
        <v>542</v>
      </c>
      <c r="P44" s="61" t="s">
        <v>541</v>
      </c>
      <c r="Q44" s="61" t="s">
        <v>542</v>
      </c>
      <c r="S44" s="61" t="s">
        <v>541</v>
      </c>
      <c r="T44" s="61" t="s">
        <v>542</v>
      </c>
      <c r="V44" s="70" t="s">
        <v>513</v>
      </c>
      <c r="X44" s="70" t="s">
        <v>520</v>
      </c>
      <c r="Z44" s="70" t="s">
        <v>530</v>
      </c>
      <c r="AB44" s="70" t="s">
        <v>538</v>
      </c>
    </row>
    <row r="45" spans="1:28" ht="11.25" customHeight="1" x14ac:dyDescent="0.3">
      <c r="V45" s="1"/>
      <c r="Z45" s="1"/>
    </row>
    <row r="46" spans="1:28" ht="12.75" x14ac:dyDescent="0.35">
      <c r="C46" s="171">
        <v>1</v>
      </c>
      <c r="D46" s="76" t="s">
        <v>63</v>
      </c>
      <c r="E46" s="259" t="s">
        <v>277</v>
      </c>
      <c r="F46" s="259" t="s">
        <v>64</v>
      </c>
      <c r="H46" s="259" t="s">
        <v>79</v>
      </c>
      <c r="I46" s="259" t="s">
        <v>337</v>
      </c>
      <c r="J46" s="259" t="s">
        <v>40</v>
      </c>
      <c r="M46" s="173">
        <v>7.0000000000000007E-2</v>
      </c>
      <c r="N46" s="173">
        <v>7.0999999999999994E-2</v>
      </c>
      <c r="P46" s="64">
        <v>493492495.08223575</v>
      </c>
      <c r="Q46" s="64">
        <v>423435783.80485314</v>
      </c>
      <c r="S46" s="66">
        <f t="shared" ref="S46:T52" si="2">M46*P46*Dollars_to_Thousands</f>
        <v>34544.474655756501</v>
      </c>
      <c r="T46" s="66">
        <f t="shared" si="2"/>
        <v>30063.94065014457</v>
      </c>
      <c r="V46" s="174" t="s">
        <v>499</v>
      </c>
      <c r="X46" s="174" t="s">
        <v>515</v>
      </c>
      <c r="Z46" s="174" t="s">
        <v>522</v>
      </c>
      <c r="AB46" s="174" t="s">
        <v>533</v>
      </c>
    </row>
    <row r="47" spans="1:28" ht="12.75" x14ac:dyDescent="0.35">
      <c r="C47" s="171">
        <v>2</v>
      </c>
      <c r="D47" s="76" t="s">
        <v>65</v>
      </c>
      <c r="E47" s="259" t="s">
        <v>277</v>
      </c>
      <c r="F47" s="259" t="s">
        <v>64</v>
      </c>
      <c r="H47" s="259" t="s">
        <v>79</v>
      </c>
      <c r="I47" s="259" t="s">
        <v>337</v>
      </c>
      <c r="J47" s="259" t="s">
        <v>40</v>
      </c>
      <c r="M47" s="173">
        <v>7.0000000000000007E-2</v>
      </c>
      <c r="N47" s="173">
        <v>7.0999999999999994E-2</v>
      </c>
      <c r="P47" s="64">
        <v>102744390.24798203</v>
      </c>
      <c r="Q47" s="64">
        <v>52438935.11502976</v>
      </c>
      <c r="S47" s="66">
        <f t="shared" si="2"/>
        <v>7192.1073173587429</v>
      </c>
      <c r="T47" s="66">
        <f t="shared" si="2"/>
        <v>3723.1643931671124</v>
      </c>
      <c r="V47" s="174" t="s">
        <v>499</v>
      </c>
      <c r="X47" s="174" t="s">
        <v>516</v>
      </c>
      <c r="Z47" s="174" t="s">
        <v>522</v>
      </c>
      <c r="AB47" s="174" t="s">
        <v>534</v>
      </c>
    </row>
    <row r="48" spans="1:28" ht="12.75" x14ac:dyDescent="0.35">
      <c r="C48" s="171">
        <v>4</v>
      </c>
      <c r="D48" s="76" t="s">
        <v>66</v>
      </c>
      <c r="E48" s="259" t="s">
        <v>277</v>
      </c>
      <c r="F48" s="259" t="s">
        <v>64</v>
      </c>
      <c r="H48" s="259" t="s">
        <v>79</v>
      </c>
      <c r="I48" s="259" t="s">
        <v>337</v>
      </c>
      <c r="J48" s="259" t="s">
        <v>40</v>
      </c>
      <c r="M48" s="173">
        <v>6.0021999999999999E-2</v>
      </c>
      <c r="N48" s="173">
        <v>6.9084000000000007E-2</v>
      </c>
      <c r="P48" s="64">
        <v>16000000</v>
      </c>
      <c r="Q48" s="64">
        <v>15994163</v>
      </c>
      <c r="S48" s="66">
        <f t="shared" si="2"/>
        <v>960.35199999999998</v>
      </c>
      <c r="T48" s="66">
        <f t="shared" si="2"/>
        <v>1104.9407566920001</v>
      </c>
      <c r="V48" s="174" t="s">
        <v>504</v>
      </c>
      <c r="X48" s="174" t="s">
        <v>504</v>
      </c>
      <c r="Z48" s="174" t="s">
        <v>527</v>
      </c>
      <c r="AB48" s="174" t="s">
        <v>537</v>
      </c>
    </row>
    <row r="49" spans="1:28" ht="12.75" x14ac:dyDescent="0.35">
      <c r="C49" s="171">
        <v>3</v>
      </c>
      <c r="D49" s="76" t="s">
        <v>67</v>
      </c>
      <c r="E49" s="259" t="s">
        <v>277</v>
      </c>
      <c r="F49" s="259" t="s">
        <v>64</v>
      </c>
      <c r="H49" s="259" t="s">
        <v>79</v>
      </c>
      <c r="I49" s="259" t="s">
        <v>337</v>
      </c>
      <c r="J49" s="259" t="s">
        <v>40</v>
      </c>
      <c r="M49" s="173">
        <v>2.4729999999999999E-2</v>
      </c>
      <c r="N49" s="173">
        <v>1.2500000000000001E-2</v>
      </c>
      <c r="P49" s="64">
        <v>552333534.35052669</v>
      </c>
      <c r="Q49" s="64">
        <v>664713291.36517298</v>
      </c>
      <c r="S49" s="66">
        <f t="shared" si="2"/>
        <v>13659.208304488526</v>
      </c>
      <c r="T49" s="66">
        <f t="shared" si="2"/>
        <v>8308.9161420646633</v>
      </c>
      <c r="V49" s="174" t="s">
        <v>499</v>
      </c>
      <c r="X49" s="174"/>
      <c r="Z49" s="174" t="s">
        <v>522</v>
      </c>
      <c r="AB49" s="174"/>
    </row>
    <row r="50" spans="1:28" ht="12.75" x14ac:dyDescent="0.35">
      <c r="C50" s="171">
        <v>6</v>
      </c>
      <c r="D50" s="76" t="s">
        <v>68</v>
      </c>
      <c r="E50" s="259" t="s">
        <v>277</v>
      </c>
      <c r="F50" s="259" t="s">
        <v>69</v>
      </c>
      <c r="H50" s="259" t="s">
        <v>79</v>
      </c>
      <c r="I50" s="259" t="s">
        <v>337</v>
      </c>
      <c r="J50" s="259" t="s">
        <v>40</v>
      </c>
      <c r="M50" s="173">
        <v>0.03</v>
      </c>
      <c r="N50" s="173">
        <v>1.9019999999999999E-2</v>
      </c>
      <c r="P50" s="64">
        <v>8559423</v>
      </c>
      <c r="Q50" s="64">
        <v>15031062</v>
      </c>
      <c r="S50" s="66">
        <f t="shared" si="2"/>
        <v>256.78269</v>
      </c>
      <c r="T50" s="66">
        <f t="shared" si="2"/>
        <v>285.89079923999998</v>
      </c>
      <c r="V50" s="174" t="s">
        <v>499</v>
      </c>
      <c r="X50" s="174" t="s">
        <v>518</v>
      </c>
      <c r="Z50" s="174" t="s">
        <v>522</v>
      </c>
      <c r="AB50" s="174" t="s">
        <v>536</v>
      </c>
    </row>
    <row r="51" spans="1:28" ht="12.75" x14ac:dyDescent="0.35">
      <c r="C51" s="171">
        <v>5</v>
      </c>
      <c r="D51" s="76" t="s">
        <v>70</v>
      </c>
      <c r="E51" s="259" t="s">
        <v>277</v>
      </c>
      <c r="F51" s="259" t="s">
        <v>70</v>
      </c>
      <c r="H51" s="259" t="s">
        <v>79</v>
      </c>
      <c r="I51" s="259" t="s">
        <v>337</v>
      </c>
      <c r="J51" s="259" t="s">
        <v>40</v>
      </c>
      <c r="M51" s="173">
        <v>1.025E-2</v>
      </c>
      <c r="N51" s="173">
        <v>1.4999999999999999E-2</v>
      </c>
      <c r="P51" s="64">
        <v>242486392.50298989</v>
      </c>
      <c r="Q51" s="64">
        <v>244224691.75593206</v>
      </c>
      <c r="S51" s="66">
        <f t="shared" si="2"/>
        <v>2485.4855231556467</v>
      </c>
      <c r="T51" s="66">
        <f t="shared" si="2"/>
        <v>3663.3703763389808</v>
      </c>
      <c r="V51" s="174" t="s">
        <v>499</v>
      </c>
      <c r="X51" s="174" t="s">
        <v>517</v>
      </c>
      <c r="Z51" s="174" t="s">
        <v>522</v>
      </c>
      <c r="AB51" s="174" t="s">
        <v>535</v>
      </c>
    </row>
    <row r="52" spans="1:28" ht="12.75" x14ac:dyDescent="0.35">
      <c r="C52" s="171">
        <v>7</v>
      </c>
      <c r="D52" s="76" t="s">
        <v>71</v>
      </c>
      <c r="E52" s="259" t="s">
        <v>277</v>
      </c>
      <c r="F52" s="259" t="s">
        <v>69</v>
      </c>
      <c r="H52" s="259" t="s">
        <v>79</v>
      </c>
      <c r="I52" s="259" t="s">
        <v>337</v>
      </c>
      <c r="J52" s="259" t="s">
        <v>40</v>
      </c>
      <c r="M52" s="173">
        <v>1.9E-2</v>
      </c>
      <c r="N52" s="173">
        <v>1.8918000000000001E-2</v>
      </c>
      <c r="P52" s="64">
        <v>295546114</v>
      </c>
      <c r="Q52" s="64">
        <v>294807249</v>
      </c>
      <c r="S52" s="66">
        <f t="shared" si="2"/>
        <v>5615.376166</v>
      </c>
      <c r="T52" s="66">
        <f t="shared" si="2"/>
        <v>5577.1635365820002</v>
      </c>
      <c r="V52" s="174" t="s">
        <v>499</v>
      </c>
      <c r="X52" s="174" t="s">
        <v>518</v>
      </c>
      <c r="Z52" s="174" t="s">
        <v>522</v>
      </c>
      <c r="AB52" s="174" t="s">
        <v>536</v>
      </c>
    </row>
    <row r="53" spans="1:28" ht="11.25" customHeight="1" x14ac:dyDescent="0.3"/>
    <row r="54" spans="1:28" ht="11.25" customHeight="1" x14ac:dyDescent="0.3">
      <c r="D54" s="62" t="s">
        <v>51</v>
      </c>
      <c r="H54" s="56" t="s">
        <v>52</v>
      </c>
      <c r="I54" s="56" t="s">
        <v>337</v>
      </c>
      <c r="J54" s="56" t="str">
        <f>Nominal</f>
        <v>Nominal</v>
      </c>
      <c r="P54" s="175">
        <f>SUM(P46:P52)</f>
        <v>1711162349.1837344</v>
      </c>
      <c r="Q54" s="175">
        <f>SUM(Q46:Q52)</f>
        <v>1710645176.040988</v>
      </c>
      <c r="S54" s="68">
        <f t="shared" ref="S54:T54" si="3">SUM(S46:S52)</f>
        <v>64713.786656759417</v>
      </c>
      <c r="T54" s="68">
        <f t="shared" si="3"/>
        <v>52727.386654229325</v>
      </c>
    </row>
    <row r="55" spans="1:28" ht="11.25" customHeight="1" x14ac:dyDescent="0.3"/>
    <row r="56" spans="1:28" ht="12.75" hidden="1" outlineLevel="1" x14ac:dyDescent="0.3">
      <c r="D56" s="81" t="s">
        <v>90</v>
      </c>
      <c r="E56" s="82"/>
      <c r="G56" s="82"/>
      <c r="H56" s="259" t="s">
        <v>52</v>
      </c>
      <c r="I56" s="259" t="s">
        <v>47</v>
      </c>
      <c r="J56" s="259" t="s">
        <v>40</v>
      </c>
      <c r="K56" s="63"/>
      <c r="S56" s="66">
        <f>SUMPRODUCT(M46:M52,P46:P52)*Dollars_to_Thousands</f>
        <v>64713.78665675941</v>
      </c>
      <c r="T56" s="66">
        <f>SUMPRODUCT(N46:N52,Q46:Q52)*Dollars_to_Thousands</f>
        <v>52727.386654229333</v>
      </c>
    </row>
    <row r="57" spans="1:28" ht="11.25" hidden="1" customHeight="1" outlineLevel="1" x14ac:dyDescent="0.3">
      <c r="A57" s="59">
        <f>IF(SUM($S57:$T57)=0,0,1)</f>
        <v>0</v>
      </c>
      <c r="D57" s="81" t="s">
        <v>55</v>
      </c>
      <c r="E57" s="82"/>
      <c r="F57" s="80"/>
      <c r="G57" s="82"/>
      <c r="H57" s="80"/>
      <c r="I57" s="84"/>
      <c r="J57" s="84"/>
      <c r="K57" s="63"/>
      <c r="S57" s="59">
        <f>IF(ROUND(S56-S54,2)=0,0,1)</f>
        <v>0</v>
      </c>
      <c r="T57" s="59">
        <f>IF(ROUND(T56-T54,2)=0,0,1)</f>
        <v>0</v>
      </c>
    </row>
    <row r="58" spans="1:28" ht="11.25" customHeight="1" collapsed="1" x14ac:dyDescent="0.3"/>
    <row r="59" spans="1:28" ht="11.25" customHeight="1" x14ac:dyDescent="0.3"/>
    <row r="60" spans="1:28" s="8" customFormat="1" ht="13.9" x14ac:dyDescent="0.3">
      <c r="C60" s="8" t="s">
        <v>76</v>
      </c>
    </row>
    <row r="61" spans="1:28" ht="11.25" customHeight="1" x14ac:dyDescent="0.3"/>
    <row r="62" spans="1:28" ht="11.25" customHeight="1" x14ac:dyDescent="0.3">
      <c r="M62" s="273" t="s">
        <v>194</v>
      </c>
      <c r="N62" s="273"/>
      <c r="P62" s="273" t="s">
        <v>543</v>
      </c>
      <c r="Q62" s="273"/>
      <c r="S62" s="273" t="s">
        <v>103</v>
      </c>
      <c r="T62" s="273"/>
    </row>
    <row r="63" spans="1:28" ht="11.25" customHeight="1" x14ac:dyDescent="0.3">
      <c r="M63" s="274" t="s">
        <v>193</v>
      </c>
      <c r="N63" s="275"/>
      <c r="P63" s="274" t="s">
        <v>83</v>
      </c>
      <c r="Q63" s="275"/>
      <c r="S63" s="274" t="s">
        <v>47</v>
      </c>
      <c r="T63" s="275"/>
    </row>
    <row r="64" spans="1:28" ht="11.25" customHeight="1" x14ac:dyDescent="0.3">
      <c r="C64" s="172" t="s">
        <v>5</v>
      </c>
      <c r="D64" s="70" t="str">
        <f>D$9</f>
        <v>Tariff</v>
      </c>
      <c r="E64" s="54" t="str">
        <f>E$9</f>
        <v>Tariff Components</v>
      </c>
      <c r="F64" s="54" t="str">
        <f>F$9</f>
        <v>Tariff Class</v>
      </c>
      <c r="H64" s="54" t="str">
        <f>Lookup!E$19</f>
        <v>Source</v>
      </c>
      <c r="I64" s="54" t="str">
        <f>Lookup!F$19</f>
        <v>Unit</v>
      </c>
      <c r="J64" s="54" t="str">
        <f>Lookup!G$19</f>
        <v>Basis</v>
      </c>
      <c r="M64" s="61" t="s">
        <v>541</v>
      </c>
      <c r="N64" s="61" t="s">
        <v>542</v>
      </c>
      <c r="P64" s="61" t="s">
        <v>541</v>
      </c>
      <c r="Q64" s="61" t="s">
        <v>542</v>
      </c>
      <c r="S64" s="61" t="s">
        <v>541</v>
      </c>
      <c r="T64" s="61" t="s">
        <v>542</v>
      </c>
      <c r="V64" s="70" t="s">
        <v>513</v>
      </c>
      <c r="X64" s="70" t="s">
        <v>520</v>
      </c>
    </row>
    <row r="65" spans="1:24" ht="11.25" customHeight="1" x14ac:dyDescent="0.3"/>
    <row r="66" spans="1:24" ht="12.75" x14ac:dyDescent="0.35">
      <c r="C66" s="171">
        <v>3</v>
      </c>
      <c r="D66" s="76" t="s">
        <v>67</v>
      </c>
      <c r="E66" s="259" t="s">
        <v>544</v>
      </c>
      <c r="F66" s="259" t="s">
        <v>64</v>
      </c>
      <c r="H66" s="259" t="s">
        <v>79</v>
      </c>
      <c r="I66" s="259" t="s">
        <v>337</v>
      </c>
      <c r="J66" s="259" t="s">
        <v>40</v>
      </c>
      <c r="M66" s="173">
        <v>17.600000000000001</v>
      </c>
      <c r="N66" s="173">
        <v>21</v>
      </c>
      <c r="P66" s="64">
        <v>1267414</v>
      </c>
      <c r="Q66" s="64">
        <v>1264246</v>
      </c>
      <c r="S66" s="66">
        <f t="shared" ref="S66:T69" si="4">M66*P66*Dollars_to_Thousands</f>
        <v>22306.486400000002</v>
      </c>
      <c r="T66" s="66">
        <f t="shared" si="4"/>
        <v>26549.166000000001</v>
      </c>
      <c r="V66" s="174" t="s">
        <v>506</v>
      </c>
      <c r="X66" s="174"/>
    </row>
    <row r="67" spans="1:24" ht="12.75" x14ac:dyDescent="0.35">
      <c r="C67" s="171">
        <v>6</v>
      </c>
      <c r="D67" s="76" t="s">
        <v>68</v>
      </c>
      <c r="E67" s="259" t="s">
        <v>544</v>
      </c>
      <c r="F67" s="259" t="s">
        <v>69</v>
      </c>
      <c r="H67" s="259" t="s">
        <v>79</v>
      </c>
      <c r="I67" s="259" t="s">
        <v>337</v>
      </c>
      <c r="J67" s="259" t="s">
        <v>40</v>
      </c>
      <c r="M67" s="173">
        <v>8.5</v>
      </c>
      <c r="N67" s="173">
        <v>10</v>
      </c>
      <c r="P67" s="64">
        <v>37443</v>
      </c>
      <c r="Q67" s="64">
        <v>37350</v>
      </c>
      <c r="S67" s="66">
        <f t="shared" si="4"/>
        <v>318.26550000000003</v>
      </c>
      <c r="T67" s="66">
        <f t="shared" si="4"/>
        <v>373.5</v>
      </c>
      <c r="V67" s="174" t="s">
        <v>506</v>
      </c>
      <c r="X67" s="174" t="s">
        <v>518</v>
      </c>
    </row>
    <row r="68" spans="1:24" ht="12.75" x14ac:dyDescent="0.35">
      <c r="C68" s="171">
        <v>5</v>
      </c>
      <c r="D68" s="76" t="s">
        <v>70</v>
      </c>
      <c r="E68" s="259" t="s">
        <v>544</v>
      </c>
      <c r="F68" s="259" t="s">
        <v>70</v>
      </c>
      <c r="H68" s="259" t="s">
        <v>79</v>
      </c>
      <c r="I68" s="259" t="s">
        <v>337</v>
      </c>
      <c r="J68" s="259" t="s">
        <v>40</v>
      </c>
      <c r="M68" s="173">
        <v>12.3371</v>
      </c>
      <c r="N68" s="173">
        <v>13</v>
      </c>
      <c r="P68" s="64">
        <v>586352</v>
      </c>
      <c r="Q68" s="64">
        <v>584886</v>
      </c>
      <c r="S68" s="66">
        <f t="shared" si="4"/>
        <v>7233.883259199999</v>
      </c>
      <c r="T68" s="66">
        <f t="shared" si="4"/>
        <v>7603.518</v>
      </c>
      <c r="V68" s="174" t="s">
        <v>506</v>
      </c>
      <c r="X68" s="174" t="s">
        <v>517</v>
      </c>
    </row>
    <row r="69" spans="1:24" ht="12.75" x14ac:dyDescent="0.35">
      <c r="C69" s="171">
        <v>7</v>
      </c>
      <c r="D69" s="76" t="s">
        <v>71</v>
      </c>
      <c r="E69" s="259" t="s">
        <v>106</v>
      </c>
      <c r="F69" s="259" t="s">
        <v>69</v>
      </c>
      <c r="H69" s="259" t="s">
        <v>79</v>
      </c>
      <c r="I69" s="259" t="s">
        <v>337</v>
      </c>
      <c r="J69" s="259" t="s">
        <v>40</v>
      </c>
      <c r="M69" s="173">
        <v>8.4</v>
      </c>
      <c r="N69" s="173">
        <v>10.000299999999999</v>
      </c>
      <c r="P69" s="64">
        <v>720838.71200000017</v>
      </c>
      <c r="Q69" s="64">
        <v>663385.75450651511</v>
      </c>
      <c r="S69" s="66">
        <f t="shared" si="4"/>
        <v>6055.0451808000025</v>
      </c>
      <c r="T69" s="66">
        <f t="shared" si="4"/>
        <v>6634.0565607915032</v>
      </c>
      <c r="V69" s="174" t="s">
        <v>506</v>
      </c>
      <c r="X69" s="174" t="s">
        <v>518</v>
      </c>
    </row>
    <row r="70" spans="1:24" ht="11.25" customHeight="1" x14ac:dyDescent="0.3"/>
    <row r="71" spans="1:24" ht="11.25" customHeight="1" x14ac:dyDescent="0.3">
      <c r="D71" s="62" t="s">
        <v>51</v>
      </c>
      <c r="H71" s="56" t="s">
        <v>52</v>
      </c>
      <c r="I71" s="56" t="s">
        <v>337</v>
      </c>
      <c r="J71" s="56" t="str">
        <f>Nominal</f>
        <v>Nominal</v>
      </c>
      <c r="P71" s="175">
        <f>SUM(P66:P69)</f>
        <v>2612047.7120000003</v>
      </c>
      <c r="Q71" s="175">
        <f>SUM(Q66:Q69)</f>
        <v>2549867.7545065153</v>
      </c>
      <c r="S71" s="68">
        <f>SUM(S66:S69)</f>
        <v>35913.680340000006</v>
      </c>
      <c r="T71" s="68">
        <f>SUM(T66:T69)</f>
        <v>41160.240560791506</v>
      </c>
    </row>
    <row r="72" spans="1:24" ht="11.25" customHeight="1" x14ac:dyDescent="0.3"/>
    <row r="73" spans="1:24" ht="12.75" hidden="1" outlineLevel="1" x14ac:dyDescent="0.3">
      <c r="D73" s="81" t="s">
        <v>90</v>
      </c>
      <c r="E73" s="82"/>
      <c r="G73" s="82"/>
      <c r="H73" s="259" t="s">
        <v>52</v>
      </c>
      <c r="I73" s="259" t="s">
        <v>47</v>
      </c>
      <c r="J73" s="259" t="s">
        <v>40</v>
      </c>
      <c r="K73" s="63"/>
      <c r="S73" s="66">
        <f>SUMPRODUCT(M66:M69,P66:P69)*Dollars_to_Thousands</f>
        <v>35913.680340000006</v>
      </c>
      <c r="T73" s="66">
        <f>SUMPRODUCT(N66:N69,Q66:Q69)*Dollars_to_Thousands</f>
        <v>41160.240560791499</v>
      </c>
    </row>
    <row r="74" spans="1:24" ht="11.25" hidden="1" customHeight="1" outlineLevel="1" x14ac:dyDescent="0.3">
      <c r="A74" s="59">
        <f>IF(SUM($S74:$T74)=0,0,1)</f>
        <v>0</v>
      </c>
      <c r="D74" s="81" t="s">
        <v>55</v>
      </c>
      <c r="E74" s="82"/>
      <c r="F74" s="80"/>
      <c r="G74" s="82"/>
      <c r="H74" s="80"/>
      <c r="I74" s="84"/>
      <c r="J74" s="84"/>
      <c r="K74" s="63"/>
      <c r="S74" s="59">
        <f>IF(ROUND(S73-S71,2)=0,0,1)</f>
        <v>0</v>
      </c>
      <c r="T74" s="59">
        <f>IF(ROUND(T73-T71,2)=0,0,1)</f>
        <v>0</v>
      </c>
    </row>
    <row r="75" spans="1:24" ht="11.25" customHeight="1" collapsed="1" x14ac:dyDescent="0.3"/>
    <row r="76" spans="1:24" ht="11.25" customHeight="1" x14ac:dyDescent="0.3"/>
    <row r="77" spans="1:24" s="2" customFormat="1" ht="15" x14ac:dyDescent="0.3">
      <c r="B77" s="2" t="s">
        <v>8</v>
      </c>
    </row>
    <row r="78" spans="1:24" ht="11.25" customHeight="1" x14ac:dyDescent="0.3"/>
    <row r="79" spans="1:24" ht="11.25" customHeight="1" x14ac:dyDescent="0.3">
      <c r="D79" s="105" t="s">
        <v>546</v>
      </c>
    </row>
    <row r="80" spans="1:24" ht="11.25" customHeight="1" x14ac:dyDescent="0.3">
      <c r="D80" s="105"/>
    </row>
    <row r="81" spans="1:20" ht="11.25" customHeight="1" x14ac:dyDescent="0.3"/>
    <row r="82" spans="1:20" s="8" customFormat="1" ht="13.9" x14ac:dyDescent="0.3">
      <c r="C82" s="8" t="s">
        <v>696</v>
      </c>
    </row>
    <row r="83" spans="1:20" ht="11.25" customHeight="1" x14ac:dyDescent="0.3"/>
    <row r="84" spans="1:20" ht="11.25" customHeight="1" x14ac:dyDescent="0.3">
      <c r="M84" s="273" t="s">
        <v>105</v>
      </c>
      <c r="N84" s="273"/>
      <c r="P84" s="273" t="s">
        <v>74</v>
      </c>
      <c r="Q84" s="273"/>
      <c r="S84" s="273" t="s">
        <v>76</v>
      </c>
      <c r="T84" s="273"/>
    </row>
    <row r="85" spans="1:20" ht="11.25" customHeight="1" x14ac:dyDescent="0.3">
      <c r="D85" s="70" t="s">
        <v>547</v>
      </c>
      <c r="H85" s="54" t="str">
        <f>Lookup!E$19</f>
        <v>Source</v>
      </c>
      <c r="I85" s="54" t="str">
        <f>Lookup!F$19</f>
        <v>Unit</v>
      </c>
      <c r="J85" s="54" t="str">
        <f>Lookup!G$19</f>
        <v>Basis</v>
      </c>
      <c r="M85" s="61" t="s">
        <v>541</v>
      </c>
      <c r="N85" s="61" t="s">
        <v>542</v>
      </c>
      <c r="P85" s="61" t="s">
        <v>541</v>
      </c>
      <c r="Q85" s="61" t="s">
        <v>542</v>
      </c>
      <c r="S85" s="61" t="s">
        <v>541</v>
      </c>
      <c r="T85" s="61" t="s">
        <v>542</v>
      </c>
    </row>
    <row r="86" spans="1:20" ht="11.25" customHeight="1" x14ac:dyDescent="0.3"/>
    <row r="87" spans="1:20" ht="11.25" customHeight="1" x14ac:dyDescent="0.3">
      <c r="D87" s="76" t="s">
        <v>292</v>
      </c>
      <c r="H87" s="259" t="s">
        <v>79</v>
      </c>
      <c r="I87" s="259" t="s">
        <v>43</v>
      </c>
      <c r="J87" s="259" t="s">
        <v>21</v>
      </c>
      <c r="M87" s="57">
        <v>0.79959729388344036</v>
      </c>
      <c r="N87" s="57">
        <v>0.77119995952765452</v>
      </c>
      <c r="P87" s="57">
        <v>0.31030555668811999</v>
      </c>
      <c r="Q87" s="57">
        <v>0.32093797397607465</v>
      </c>
      <c r="S87" s="57">
        <f>M87</f>
        <v>0.79959729388344036</v>
      </c>
      <c r="T87" s="57">
        <f>N87</f>
        <v>0.77119995952765452</v>
      </c>
    </row>
    <row r="88" spans="1:20" ht="11.25" customHeight="1" x14ac:dyDescent="0.3">
      <c r="D88" s="76" t="s">
        <v>548</v>
      </c>
      <c r="H88" s="259" t="s">
        <v>79</v>
      </c>
      <c r="I88" s="259" t="s">
        <v>43</v>
      </c>
      <c r="J88" s="259" t="s">
        <v>21</v>
      </c>
      <c r="M88" s="57">
        <f>1-M87</f>
        <v>0.20040270611655964</v>
      </c>
      <c r="N88" s="57">
        <f>1-N87</f>
        <v>0.22880004047234548</v>
      </c>
      <c r="P88" s="57">
        <f>1-P87</f>
        <v>0.68969444331188001</v>
      </c>
      <c r="Q88" s="57">
        <f>1-Q87</f>
        <v>0.67906202602392529</v>
      </c>
      <c r="S88" s="57">
        <f>1-S87</f>
        <v>0.20040270611655964</v>
      </c>
      <c r="T88" s="57">
        <f>1-T87</f>
        <v>0.22880004047234548</v>
      </c>
    </row>
    <row r="89" spans="1:20" ht="11.25" customHeight="1" x14ac:dyDescent="0.3"/>
    <row r="90" spans="1:20" ht="11.25" customHeight="1" x14ac:dyDescent="0.3">
      <c r="D90" s="62" t="s">
        <v>51</v>
      </c>
      <c r="H90" s="56" t="s">
        <v>52</v>
      </c>
      <c r="I90" s="56" t="s">
        <v>43</v>
      </c>
      <c r="J90" s="56" t="s">
        <v>21</v>
      </c>
      <c r="M90" s="165">
        <f>SUM(M87:M88)</f>
        <v>1</v>
      </c>
      <c r="N90" s="165">
        <f>SUM(N87:N88)</f>
        <v>1</v>
      </c>
      <c r="P90" s="165">
        <f>SUM(P87:P88)</f>
        <v>1</v>
      </c>
      <c r="Q90" s="165">
        <f>SUM(Q87:Q88)</f>
        <v>1</v>
      </c>
      <c r="S90" s="165">
        <f>SUM(S87:S88)</f>
        <v>1</v>
      </c>
      <c r="T90" s="165">
        <f>SUM(T87:T88)</f>
        <v>1</v>
      </c>
    </row>
    <row r="91" spans="1:20" ht="11.25" customHeight="1" x14ac:dyDescent="0.3"/>
    <row r="92" spans="1:20" ht="11.25" hidden="1" customHeight="1" outlineLevel="1" x14ac:dyDescent="0.3">
      <c r="D92" s="81" t="s">
        <v>90</v>
      </c>
      <c r="E92" s="82"/>
      <c r="G92" s="82"/>
      <c r="H92" s="259" t="s">
        <v>52</v>
      </c>
      <c r="I92" s="259" t="s">
        <v>43</v>
      </c>
      <c r="J92" s="259" t="s">
        <v>21</v>
      </c>
      <c r="K92" s="63"/>
      <c r="M92" s="57">
        <v>1</v>
      </c>
      <c r="N92" s="57">
        <v>1</v>
      </c>
      <c r="P92" s="57">
        <v>1</v>
      </c>
      <c r="Q92" s="57">
        <v>1</v>
      </c>
      <c r="S92" s="57">
        <v>1</v>
      </c>
      <c r="T92" s="57">
        <v>1</v>
      </c>
    </row>
    <row r="93" spans="1:20" ht="11.25" hidden="1" customHeight="1" outlineLevel="1" x14ac:dyDescent="0.3">
      <c r="A93" s="59">
        <f>IF(SUM($M93:$N93)=0,0,1)</f>
        <v>0</v>
      </c>
      <c r="D93" s="81" t="s">
        <v>55</v>
      </c>
      <c r="E93" s="82"/>
      <c r="F93" s="80"/>
      <c r="G93" s="82"/>
      <c r="H93" s="80"/>
      <c r="I93" s="84"/>
      <c r="J93" s="84"/>
      <c r="K93" s="63"/>
      <c r="M93" s="59">
        <f>IF(ROUND(M92-M90,2)=0,0,1)</f>
        <v>0</v>
      </c>
      <c r="N93" s="59">
        <f>IF(ROUND(N92-N90,2)=0,0,1)</f>
        <v>0</v>
      </c>
      <c r="P93" s="59">
        <f>IF(ROUND(P92-P90,2)=0,0,1)</f>
        <v>0</v>
      </c>
      <c r="Q93" s="59">
        <f>IF(ROUND(Q92-Q90,2)=0,0,1)</f>
        <v>0</v>
      </c>
      <c r="S93" s="59">
        <f>IF(ROUND(S92-S90,2)=0,0,1)</f>
        <v>0</v>
      </c>
      <c r="T93" s="59">
        <f>IF(ROUND(T92-T90,2)=0,0,1)</f>
        <v>0</v>
      </c>
    </row>
    <row r="94" spans="1:20" ht="11.25" customHeight="1" collapsed="1" x14ac:dyDescent="0.3"/>
    <row r="95" spans="1:20" ht="11.25" customHeight="1" x14ac:dyDescent="0.3"/>
    <row r="96" spans="1:20" s="8" customFormat="1" ht="13.9" x14ac:dyDescent="0.3">
      <c r="C96" s="8" t="s">
        <v>697</v>
      </c>
    </row>
    <row r="97" spans="2:17" ht="11.25" customHeight="1" x14ac:dyDescent="0.3"/>
    <row r="98" spans="2:17" ht="11.25" customHeight="1" x14ac:dyDescent="0.3">
      <c r="D98" s="70" t="s">
        <v>547</v>
      </c>
      <c r="H98" s="54" t="str">
        <f>Lookup!E$19</f>
        <v>Source</v>
      </c>
      <c r="I98" s="54" t="str">
        <f>Lookup!F$19</f>
        <v>Unit</v>
      </c>
      <c r="J98" s="54" t="str">
        <f>Lookup!G$19</f>
        <v>Basis</v>
      </c>
      <c r="P98" s="61" t="s">
        <v>541</v>
      </c>
      <c r="Q98" s="61" t="s">
        <v>542</v>
      </c>
    </row>
    <row r="99" spans="2:17" ht="11.25" customHeight="1" x14ac:dyDescent="0.3"/>
    <row r="100" spans="2:17" ht="12.75" x14ac:dyDescent="0.3">
      <c r="D100" s="76" t="s">
        <v>536</v>
      </c>
      <c r="H100" s="259" t="s">
        <v>79</v>
      </c>
      <c r="I100" s="259" t="s">
        <v>82</v>
      </c>
      <c r="J100" s="259" t="s">
        <v>21</v>
      </c>
      <c r="P100" s="64">
        <v>4900161.5480992198</v>
      </c>
      <c r="Q100" s="64">
        <v>27679742.30288291</v>
      </c>
    </row>
    <row r="101" spans="2:17" ht="11.25" customHeight="1" x14ac:dyDescent="0.3"/>
    <row r="102" spans="2:17" ht="11.25" customHeight="1" x14ac:dyDescent="0.3"/>
    <row r="103" spans="2:17" s="2" customFormat="1" ht="15" x14ac:dyDescent="0.3">
      <c r="B103" s="2" t="s">
        <v>20</v>
      </c>
    </row>
  </sheetData>
  <mergeCells count="21">
    <mergeCell ref="M84:N84"/>
    <mergeCell ref="P84:Q84"/>
    <mergeCell ref="S84:T84"/>
    <mergeCell ref="M62:N62"/>
    <mergeCell ref="P62:Q62"/>
    <mergeCell ref="S62:T62"/>
    <mergeCell ref="M63:N63"/>
    <mergeCell ref="P63:Q63"/>
    <mergeCell ref="S63:T63"/>
    <mergeCell ref="M42:N42"/>
    <mergeCell ref="P42:Q42"/>
    <mergeCell ref="S42:T42"/>
    <mergeCell ref="M43:N43"/>
    <mergeCell ref="P43:Q43"/>
    <mergeCell ref="S43:T43"/>
    <mergeCell ref="M23:N23"/>
    <mergeCell ref="P23:Q23"/>
    <mergeCell ref="S23:T23"/>
    <mergeCell ref="M24:N24"/>
    <mergeCell ref="P24:Q24"/>
    <mergeCell ref="S24:T24"/>
  </mergeCells>
  <conditionalFormatting sqref="B2">
    <cfRule type="cellIs" dxfId="31" priority="5" operator="notEqual">
      <formula>"No Errors Found"</formula>
    </cfRule>
  </conditionalFormatting>
  <dataValidations count="4">
    <dataValidation type="list" allowBlank="1" showInputMessage="1" showErrorMessage="1" sqref="M24 P24 S24 I37:I38 M43 P43 S43 I56:I57 M63 P63 S63 I73:I74 I87:I88 I92:I93 I100" xr:uid="{64248076-EB8B-43B1-B4A1-B55F68A5A566}">
      <formula1>LU_Units</formula1>
    </dataValidation>
    <dataValidation type="list" allowBlank="1" showInputMessage="1" showErrorMessage="1" sqref="J27:J33 J37:J38 J46:J52 J56:J57 J73:J74 J66:J69 J87:J88 J100 J92:J93" xr:uid="{D5FCDD88-BCDE-4F51-90A4-684787F29316}">
      <formula1>LU_Basis</formula1>
    </dataValidation>
    <dataValidation type="list" allowBlank="1" showInputMessage="1" showErrorMessage="1" sqref="K37:K38 K56:K57 K73:K74 K92:K93" xr:uid="{B42F2BAF-7F93-4E1F-8B85-AB34CA0C1DBA}">
      <formula1>LU_Timing</formula1>
    </dataValidation>
    <dataValidation type="list" allowBlank="1" showInputMessage="1" showErrorMessage="1" sqref="F27:F33 F46:F52 F66:F69" xr:uid="{B2B74A9C-9978-40F3-A7AE-0C4EB65696B9}">
      <formula1>LU_Tariff_Classes</formula1>
    </dataValidation>
  </dataValidations>
  <hyperlinks>
    <hyperlink ref="B3:E3" location="TOC!A1" display="TOC!A1" xr:uid="{08E45A53-C6AB-4C72-8785-B05256B40D3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282378D-8783-4B35-B5B7-107F3522FD69}">
          <x14:formula1>
            <xm:f>Output_RIN!$D$85:$D$89</xm:f>
          </x14:formula1>
          <xm:sqref>AB46:AB52</xm:sqref>
        </x14:dataValidation>
        <x14:dataValidation type="list" allowBlank="1" showInputMessage="1" showErrorMessage="1" xr:uid="{6C04CFBC-4E7F-4C3B-8EF8-F0E2D9D7094C}">
          <x14:formula1>
            <xm:f>Output_RIN!$D$69:$D$74</xm:f>
          </x14:formula1>
          <xm:sqref>Z46:Z52</xm:sqref>
        </x14:dataValidation>
        <x14:dataValidation type="list" allowBlank="1" showInputMessage="1" showErrorMessage="1" xr:uid="{D859129B-2A5D-49E1-A984-92481A004F9A}">
          <x14:formula1>
            <xm:f>Output_RIN!$D$51:$D$56</xm:f>
          </x14:formula1>
          <xm:sqref>X66:X69 X46:X52 X27:X33</xm:sqref>
        </x14:dataValidation>
        <x14:dataValidation type="list" allowBlank="1" showInputMessage="1" showErrorMessage="1" xr:uid="{A6FE3C6A-B904-453E-8C78-9E95D6ADF1AE}">
          <x14:formula1>
            <xm:f>Output_RIN!$D$28:$D$40</xm:f>
          </x14:formula1>
          <xm:sqref>V66:V69 V27:V33 V46:V52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59999389629810485"/>
  </sheetPr>
  <dimension ref="A1:V199"/>
  <sheetViews>
    <sheetView showGridLines="0" zoomScaleNormal="100" workbookViewId="0">
      <pane xSplit="4" ySplit="10" topLeftCell="E11"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34.33203125" bestFit="1" customWidth="1"/>
    <col min="5" max="5" width="23.33203125" bestFit="1" customWidth="1"/>
    <col min="6" max="6" width="14.5" bestFit="1" customWidth="1"/>
    <col min="7" max="7" width="2.5" customWidth="1"/>
    <col min="8" max="8" width="12.33203125" bestFit="1" customWidth="1"/>
    <col min="9" max="9" width="10.83203125" customWidth="1"/>
    <col min="10" max="11" width="12.83203125" customWidth="1"/>
    <col min="12" max="12" width="2.5" customWidth="1"/>
    <col min="13" max="19" width="12.83203125" customWidth="1"/>
    <col min="20" max="20" width="4.33203125" customWidth="1"/>
    <col min="21" max="24" width="10.83203125" customWidth="1"/>
  </cols>
  <sheetData>
    <row r="1" spans="1:22" ht="18.75" x14ac:dyDescent="0.3">
      <c r="A1" s="59">
        <f>IF(SUM($A10:$A199)&gt;0,1,0)</f>
        <v>0</v>
      </c>
      <c r="B1" s="3" t="s">
        <v>92</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260" t="s">
        <v>118</v>
      </c>
      <c r="E9" s="50" t="s">
        <v>61</v>
      </c>
      <c r="F9" s="50" t="s">
        <v>62</v>
      </c>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U9" s="60"/>
      <c r="V9" s="60"/>
    </row>
    <row r="11" spans="1:22" s="2" customFormat="1" ht="15" x14ac:dyDescent="0.3">
      <c r="B11" s="2" t="s">
        <v>699</v>
      </c>
    </row>
    <row r="12" spans="1:22" ht="11.25" customHeight="1" x14ac:dyDescent="0.3"/>
    <row r="13" spans="1:22" ht="11.25" customHeight="1" x14ac:dyDescent="0.3">
      <c r="D13" s="105" t="s">
        <v>488</v>
      </c>
    </row>
    <row r="14" spans="1:22" ht="11.25" customHeight="1" x14ac:dyDescent="0.3"/>
    <row r="15" spans="1:22" ht="11.25" customHeight="1" x14ac:dyDescent="0.3"/>
    <row r="16" spans="1:22" s="2" customFormat="1" ht="15" x14ac:dyDescent="0.3">
      <c r="B16" s="2" t="s">
        <v>700</v>
      </c>
    </row>
    <row r="17" spans="3:19" ht="11.25" customHeight="1" x14ac:dyDescent="0.3"/>
    <row r="18" spans="3:19" ht="11.25" customHeight="1" x14ac:dyDescent="0.3">
      <c r="D18" s="105" t="s">
        <v>162</v>
      </c>
    </row>
    <row r="19" spans="3:19" ht="11.25" customHeight="1" x14ac:dyDescent="0.3">
      <c r="D19" s="105" t="s">
        <v>270</v>
      </c>
    </row>
    <row r="20" spans="3:19" ht="11.25" customHeight="1" x14ac:dyDescent="0.3">
      <c r="D20" s="105"/>
    </row>
    <row r="21" spans="3:19" ht="11.25" customHeight="1" x14ac:dyDescent="0.3"/>
    <row r="22" spans="3:19" s="8" customFormat="1" ht="13.9" x14ac:dyDescent="0.3">
      <c r="C22" s="8" t="s">
        <v>675</v>
      </c>
    </row>
    <row r="23" spans="3:19" ht="11.25" customHeight="1" x14ac:dyDescent="0.3"/>
    <row r="24" spans="3:19" ht="11.25" customHeight="1" x14ac:dyDescent="0.3"/>
    <row r="25" spans="3:19" ht="11.25" customHeight="1" x14ac:dyDescent="0.3">
      <c r="D25" s="70" t="s">
        <v>95</v>
      </c>
      <c r="H25" s="54" t="str">
        <f>Lookup!E$19</f>
        <v>Source</v>
      </c>
      <c r="I25" s="54" t="str">
        <f>Lookup!F$19</f>
        <v>Unit</v>
      </c>
      <c r="J25" s="54" t="str">
        <f>Lookup!G$19</f>
        <v>Basis</v>
      </c>
      <c r="M25" s="54" t="str">
        <f t="shared" ref="M25:S25" si="0">M$9</f>
        <v>FY23</v>
      </c>
      <c r="N25" s="54" t="str">
        <f t="shared" si="0"/>
        <v>FY24</v>
      </c>
      <c r="O25" s="54" t="str">
        <f t="shared" si="0"/>
        <v>FY25</v>
      </c>
      <c r="P25" s="54" t="str">
        <f t="shared" si="0"/>
        <v>FY26</v>
      </c>
      <c r="Q25" s="54" t="str">
        <f t="shared" si="0"/>
        <v>FY27</v>
      </c>
      <c r="R25" s="54" t="str">
        <f t="shared" si="0"/>
        <v>FY28</v>
      </c>
      <c r="S25" s="54" t="str">
        <f t="shared" si="0"/>
        <v>FY29</v>
      </c>
    </row>
    <row r="26" spans="3:19" ht="11.25" customHeight="1" x14ac:dyDescent="0.3">
      <c r="N26" s="71"/>
      <c r="O26" s="71"/>
      <c r="P26" s="71"/>
      <c r="Q26" s="71"/>
      <c r="R26" s="71"/>
      <c r="S26" s="71"/>
    </row>
    <row r="27" spans="3:19" ht="12.75" x14ac:dyDescent="0.3">
      <c r="D27" s="81" t="s">
        <v>265</v>
      </c>
      <c r="H27" s="259" t="s">
        <v>79</v>
      </c>
      <c r="I27" s="259" t="s">
        <v>43</v>
      </c>
      <c r="J27" s="259" t="s">
        <v>21</v>
      </c>
      <c r="M27" s="94">
        <v>6.3E-2</v>
      </c>
      <c r="N27" s="94">
        <v>4.2000000000000003E-2</v>
      </c>
      <c r="O27" s="94">
        <v>2.9196400498682218E-2</v>
      </c>
      <c r="P27" s="94">
        <v>2.9196400498682218E-2</v>
      </c>
      <c r="Q27" s="94">
        <v>2.9196400498682218E-2</v>
      </c>
      <c r="R27" s="94">
        <v>2.9196400498682218E-2</v>
      </c>
      <c r="S27" s="94">
        <v>2.9196400498682218E-2</v>
      </c>
    </row>
    <row r="28" spans="3:19" ht="12.75" x14ac:dyDescent="0.3">
      <c r="D28" s="81" t="s">
        <v>151</v>
      </c>
      <c r="N28" s="71"/>
      <c r="O28" s="71"/>
      <c r="P28" s="71"/>
      <c r="Q28" s="71"/>
      <c r="R28" s="71"/>
      <c r="S28" s="71"/>
    </row>
    <row r="29" spans="3:19" ht="12.75" x14ac:dyDescent="0.3">
      <c r="D29" s="114" t="s">
        <v>216</v>
      </c>
      <c r="H29" s="259" t="s">
        <v>21</v>
      </c>
      <c r="I29" s="259" t="s">
        <v>45</v>
      </c>
      <c r="J29" s="259" t="s">
        <v>21</v>
      </c>
      <c r="M29" s="74"/>
      <c r="N29" s="74"/>
      <c r="O29" s="74"/>
      <c r="P29" s="74"/>
      <c r="Q29" s="74"/>
      <c r="R29" s="74"/>
      <c r="S29" s="74"/>
    </row>
    <row r="30" spans="3:19" ht="12.75" x14ac:dyDescent="0.3">
      <c r="D30" s="114" t="s">
        <v>152</v>
      </c>
      <c r="H30" s="259" t="s">
        <v>21</v>
      </c>
      <c r="I30" s="259" t="s">
        <v>21</v>
      </c>
      <c r="J30" s="259" t="s">
        <v>21</v>
      </c>
      <c r="M30" s="115"/>
      <c r="N30" s="115"/>
      <c r="O30" s="115"/>
      <c r="P30" s="115"/>
      <c r="Q30" s="115"/>
      <c r="R30" s="115"/>
      <c r="S30" s="115"/>
    </row>
    <row r="31" spans="3:19" x14ac:dyDescent="0.3">
      <c r="N31" s="71"/>
      <c r="O31" s="71"/>
      <c r="P31" s="71"/>
      <c r="Q31" s="71"/>
      <c r="R31" s="71"/>
      <c r="S31" s="71"/>
    </row>
    <row r="32" spans="3:19" ht="11.25" customHeight="1" x14ac:dyDescent="0.3">
      <c r="D32" s="122" t="s">
        <v>96</v>
      </c>
      <c r="E32" s="91"/>
      <c r="F32" s="91"/>
      <c r="G32" s="91"/>
      <c r="H32" s="118" t="s">
        <v>52</v>
      </c>
      <c r="I32" s="119" t="s">
        <v>43</v>
      </c>
      <c r="J32" s="119" t="s">
        <v>21</v>
      </c>
      <c r="K32" s="91"/>
      <c r="L32" s="91"/>
      <c r="M32" s="121">
        <f t="shared" ref="M32:S32" si="1">IF(M29=0,M27,M29/L29-1)</f>
        <v>6.3E-2</v>
      </c>
      <c r="N32" s="121">
        <f t="shared" si="1"/>
        <v>4.2000000000000003E-2</v>
      </c>
      <c r="O32" s="121">
        <f t="shared" si="1"/>
        <v>2.9196400498682218E-2</v>
      </c>
      <c r="P32" s="121">
        <f t="shared" si="1"/>
        <v>2.9196400498682218E-2</v>
      </c>
      <c r="Q32" s="121">
        <f t="shared" si="1"/>
        <v>2.9196400498682218E-2</v>
      </c>
      <c r="R32" s="121">
        <f t="shared" si="1"/>
        <v>2.9196400498682218E-2</v>
      </c>
      <c r="S32" s="121">
        <f t="shared" si="1"/>
        <v>2.9196400498682218E-2</v>
      </c>
    </row>
    <row r="33" spans="3:19" ht="11.25" customHeight="1" x14ac:dyDescent="0.3">
      <c r="D33" s="81"/>
      <c r="H33" s="83"/>
      <c r="I33" s="84"/>
      <c r="J33" s="84"/>
      <c r="O33" s="116"/>
      <c r="P33" s="116"/>
      <c r="Q33" s="116"/>
      <c r="R33" s="116"/>
      <c r="S33" s="116"/>
    </row>
    <row r="34" spans="3:19" ht="12.75" x14ac:dyDescent="0.3">
      <c r="D34" s="81" t="s">
        <v>549</v>
      </c>
      <c r="H34" s="259" t="s">
        <v>52</v>
      </c>
      <c r="I34" s="259" t="s">
        <v>45</v>
      </c>
      <c r="J34" s="259" t="s">
        <v>21</v>
      </c>
      <c r="M34" s="95"/>
      <c r="N34" s="88">
        <v>1</v>
      </c>
      <c r="O34" s="89">
        <f>N34*(1+O$32)</f>
        <v>1.0291964004986822</v>
      </c>
      <c r="P34" s="89">
        <f>O34*(1+P$32)</f>
        <v>1.059245230799444</v>
      </c>
      <c r="Q34" s="89">
        <f>P34*(1+Q$32)</f>
        <v>1.0901713787841836</v>
      </c>
      <c r="R34" s="89">
        <f>Q34*(1+R$32)</f>
        <v>1.1220004589713672</v>
      </c>
      <c r="S34" s="89">
        <f>R34*(1+S$32)</f>
        <v>1.1547588337312005</v>
      </c>
    </row>
    <row r="35" spans="3:19" ht="12.75" x14ac:dyDescent="0.3">
      <c r="D35" s="81" t="s">
        <v>550</v>
      </c>
      <c r="H35" s="259" t="s">
        <v>52</v>
      </c>
      <c r="I35" s="259" t="s">
        <v>45</v>
      </c>
      <c r="J35" s="259" t="s">
        <v>21</v>
      </c>
      <c r="M35" s="89">
        <f>N35/(1+N32)^0.5/(1+M32)^0.5</f>
        <v>0.93081987702078162</v>
      </c>
      <c r="N35" s="89">
        <f>1/(1+N32)^0.5</f>
        <v>0.97963916738386536</v>
      </c>
      <c r="O35" s="95"/>
      <c r="P35" s="95"/>
      <c r="Q35" s="95"/>
      <c r="R35" s="95"/>
      <c r="S35" s="95"/>
    </row>
    <row r="36" spans="3:19" ht="11.25" customHeight="1" x14ac:dyDescent="0.3"/>
    <row r="37" spans="3:19" ht="11.25" customHeight="1" x14ac:dyDescent="0.3"/>
    <row r="38" spans="3:19" s="8" customFormat="1" ht="13.9" x14ac:dyDescent="0.3">
      <c r="C38" s="8" t="s">
        <v>701</v>
      </c>
    </row>
    <row r="39" spans="3:19" ht="11.25" customHeight="1" x14ac:dyDescent="0.3"/>
    <row r="40" spans="3:19" ht="11.25" customHeight="1" x14ac:dyDescent="0.3"/>
    <row r="41" spans="3:19" ht="11.25" customHeight="1" x14ac:dyDescent="0.3">
      <c r="D41" s="70" t="s">
        <v>95</v>
      </c>
      <c r="H41" s="54" t="str">
        <f>Lookup!E$19</f>
        <v>Source</v>
      </c>
      <c r="I41" s="54" t="str">
        <f>Lookup!F$19</f>
        <v>Unit</v>
      </c>
      <c r="J41" s="54" t="str">
        <f>Lookup!G$19</f>
        <v>Basis</v>
      </c>
      <c r="O41" s="54" t="str">
        <f>O$9</f>
        <v>FY25</v>
      </c>
      <c r="P41" s="54" t="str">
        <f>P$9</f>
        <v>FY26</v>
      </c>
      <c r="Q41" s="54" t="str">
        <f>Q$9</f>
        <v>FY27</v>
      </c>
      <c r="R41" s="54" t="str">
        <f>R$9</f>
        <v>FY28</v>
      </c>
      <c r="S41" s="54" t="str">
        <f>S$9</f>
        <v>FY29</v>
      </c>
    </row>
    <row r="42" spans="3:19" ht="11.25" customHeight="1" x14ac:dyDescent="0.3">
      <c r="O42" s="71"/>
      <c r="P42" s="71"/>
      <c r="Q42" s="71"/>
      <c r="R42" s="71"/>
      <c r="S42" s="71"/>
    </row>
    <row r="43" spans="3:19" ht="12.75" x14ac:dyDescent="0.3">
      <c r="D43" s="117" t="s">
        <v>163</v>
      </c>
      <c r="O43" s="71"/>
      <c r="P43" s="71"/>
      <c r="Q43" s="71"/>
      <c r="R43" s="71"/>
      <c r="S43" s="71"/>
    </row>
    <row r="44" spans="3:19" ht="12.75" x14ac:dyDescent="0.3">
      <c r="D44" s="114" t="s">
        <v>230</v>
      </c>
      <c r="H44" s="259" t="s">
        <v>79</v>
      </c>
      <c r="I44" s="259" t="s">
        <v>47</v>
      </c>
      <c r="J44" s="259" t="s">
        <v>40</v>
      </c>
      <c r="O44" s="67">
        <v>175968.43825887243</v>
      </c>
      <c r="P44" s="67">
        <v>196409.15474873575</v>
      </c>
      <c r="Q44" s="67">
        <v>219224.29073537438</v>
      </c>
      <c r="R44" s="67">
        <v>244689.66179254587</v>
      </c>
      <c r="S44" s="67">
        <v>254784.53036443869</v>
      </c>
    </row>
    <row r="45" spans="3:19" ht="11.25" customHeight="1" x14ac:dyDescent="0.3">
      <c r="D45" s="81"/>
      <c r="H45" s="82"/>
      <c r="I45" s="82"/>
      <c r="J45" s="82"/>
    </row>
    <row r="46" spans="3:19" ht="12.75" x14ac:dyDescent="0.3">
      <c r="D46" s="117" t="s">
        <v>154</v>
      </c>
      <c r="O46" s="71"/>
      <c r="P46" s="71"/>
      <c r="Q46" s="71"/>
      <c r="R46" s="71"/>
      <c r="S46" s="71"/>
    </row>
    <row r="47" spans="3:19" ht="12.75" x14ac:dyDescent="0.3">
      <c r="D47" s="114" t="s">
        <v>230</v>
      </c>
      <c r="H47" s="259" t="s">
        <v>79</v>
      </c>
      <c r="I47" s="259" t="s">
        <v>43</v>
      </c>
      <c r="J47" s="259" t="s">
        <v>21</v>
      </c>
      <c r="O47" s="57">
        <v>-8.4497832519404611E-2</v>
      </c>
      <c r="P47" s="57">
        <v>-8.4497832519404611E-2</v>
      </c>
      <c r="Q47" s="57">
        <v>-8.4497832519404611E-2</v>
      </c>
      <c r="R47" s="57">
        <v>-8.4497832519404611E-2</v>
      </c>
      <c r="S47" s="57">
        <v>-1.171729988421899E-2</v>
      </c>
    </row>
    <row r="48" spans="3:19" ht="12.75" x14ac:dyDescent="0.3">
      <c r="D48" s="114" t="s">
        <v>266</v>
      </c>
      <c r="H48" s="259" t="s">
        <v>21</v>
      </c>
      <c r="I48" s="259" t="s">
        <v>43</v>
      </c>
      <c r="J48" s="259" t="s">
        <v>21</v>
      </c>
      <c r="O48" s="57"/>
      <c r="P48" s="57"/>
      <c r="Q48" s="57"/>
      <c r="R48" s="57"/>
      <c r="S48" s="57"/>
    </row>
    <row r="49" spans="4:19" ht="12.75" x14ac:dyDescent="0.3">
      <c r="D49" s="114" t="s">
        <v>267</v>
      </c>
      <c r="H49" s="259" t="s">
        <v>21</v>
      </c>
      <c r="I49" s="259" t="s">
        <v>43</v>
      </c>
      <c r="J49" s="259" t="s">
        <v>21</v>
      </c>
      <c r="O49" s="57"/>
      <c r="P49" s="57"/>
      <c r="Q49" s="57"/>
      <c r="R49" s="57"/>
      <c r="S49" s="57"/>
    </row>
    <row r="50" spans="4:19" ht="12.75" x14ac:dyDescent="0.3">
      <c r="D50" s="114" t="s">
        <v>268</v>
      </c>
      <c r="H50" s="259" t="s">
        <v>21</v>
      </c>
      <c r="I50" s="259" t="s">
        <v>43</v>
      </c>
      <c r="J50" s="259" t="s">
        <v>21</v>
      </c>
      <c r="O50" s="57"/>
      <c r="P50" s="57"/>
      <c r="Q50" s="57"/>
      <c r="R50" s="57"/>
      <c r="S50" s="57"/>
    </row>
    <row r="51" spans="4:19" ht="12.75" x14ac:dyDescent="0.3">
      <c r="D51" s="114" t="s">
        <v>269</v>
      </c>
      <c r="H51" s="259" t="s">
        <v>21</v>
      </c>
      <c r="I51" s="259" t="s">
        <v>43</v>
      </c>
      <c r="J51" s="259" t="s">
        <v>21</v>
      </c>
      <c r="O51" s="57"/>
      <c r="P51" s="57"/>
      <c r="Q51" s="57"/>
      <c r="R51" s="57"/>
      <c r="S51" s="57"/>
    </row>
    <row r="52" spans="4:19" ht="11.25" customHeight="1" x14ac:dyDescent="0.3">
      <c r="O52" s="71"/>
      <c r="P52" s="71"/>
      <c r="Q52" s="71"/>
      <c r="R52" s="71"/>
      <c r="S52" s="71"/>
    </row>
    <row r="53" spans="4:19" ht="11.25" customHeight="1" x14ac:dyDescent="0.3">
      <c r="D53" s="120" t="s">
        <v>158</v>
      </c>
      <c r="E53" s="91"/>
      <c r="F53" s="91"/>
      <c r="G53" s="91"/>
      <c r="H53" s="118" t="s">
        <v>52</v>
      </c>
      <c r="I53" s="119" t="s">
        <v>43</v>
      </c>
      <c r="J53" s="119" t="s">
        <v>21</v>
      </c>
      <c r="K53" s="91"/>
      <c r="L53" s="91"/>
      <c r="O53" s="121">
        <f>LOOKUP(2,1/(O47:O51&lt;&gt;""),O47:O51)</f>
        <v>-8.4497832519404611E-2</v>
      </c>
      <c r="P53" s="121">
        <f>LOOKUP(2,1/(P47:P51&lt;&gt;""),P47:P51)</f>
        <v>-8.4497832519404611E-2</v>
      </c>
      <c r="Q53" s="121">
        <f>LOOKUP(2,1/(Q47:Q51&lt;&gt;""),Q47:Q51)</f>
        <v>-8.4497832519404611E-2</v>
      </c>
      <c r="R53" s="121">
        <f>LOOKUP(2,1/(R47:R51&lt;&gt;""),R47:R51)</f>
        <v>-8.4497832519404611E-2</v>
      </c>
      <c r="S53" s="121">
        <f>LOOKUP(2,1/(S47:S51&lt;&gt;""),S47:S51)</f>
        <v>-1.171729988421899E-2</v>
      </c>
    </row>
    <row r="54" spans="4:19" ht="11.25" customHeight="1" x14ac:dyDescent="0.3">
      <c r="O54" s="71"/>
      <c r="P54" s="71"/>
      <c r="Q54" s="71"/>
      <c r="R54" s="71"/>
      <c r="S54" s="71"/>
    </row>
    <row r="55" spans="4:19" ht="12.75" x14ac:dyDescent="0.3">
      <c r="D55" s="117" t="s">
        <v>98</v>
      </c>
      <c r="O55" s="71"/>
      <c r="P55" s="71"/>
      <c r="Q55" s="71"/>
      <c r="R55" s="71"/>
      <c r="S55" s="71"/>
    </row>
    <row r="56" spans="4:19" ht="12.75" x14ac:dyDescent="0.3">
      <c r="D56" s="114" t="s">
        <v>230</v>
      </c>
      <c r="H56" s="259" t="s">
        <v>79</v>
      </c>
      <c r="I56" s="259" t="s">
        <v>43</v>
      </c>
      <c r="J56" s="259" t="s">
        <v>21</v>
      </c>
      <c r="O56" s="94">
        <v>2.6676350888464519E-2</v>
      </c>
      <c r="P56" s="94">
        <v>2.8254767021382451E-2</v>
      </c>
      <c r="Q56" s="94">
        <v>2.9833183154300523E-2</v>
      </c>
      <c r="R56" s="94">
        <v>3.1411599287218595E-2</v>
      </c>
      <c r="S56" s="94">
        <v>3.2990015420136798E-2</v>
      </c>
    </row>
    <row r="57" spans="4:19" ht="12.75" x14ac:dyDescent="0.3">
      <c r="D57" s="114" t="s">
        <v>266</v>
      </c>
      <c r="H57" s="259" t="s">
        <v>21</v>
      </c>
      <c r="I57" s="259" t="s">
        <v>43</v>
      </c>
      <c r="J57" s="259" t="s">
        <v>21</v>
      </c>
      <c r="O57" s="94"/>
      <c r="P57" s="94"/>
      <c r="Q57" s="94"/>
      <c r="R57" s="94"/>
      <c r="S57" s="94"/>
    </row>
    <row r="58" spans="4:19" ht="12.75" x14ac:dyDescent="0.3">
      <c r="D58" s="114" t="s">
        <v>267</v>
      </c>
      <c r="H58" s="259" t="s">
        <v>21</v>
      </c>
      <c r="I58" s="259" t="s">
        <v>43</v>
      </c>
      <c r="J58" s="259" t="s">
        <v>21</v>
      </c>
      <c r="O58" s="94"/>
      <c r="P58" s="94"/>
      <c r="Q58" s="94"/>
      <c r="R58" s="94"/>
      <c r="S58" s="94"/>
    </row>
    <row r="59" spans="4:19" ht="12.75" x14ac:dyDescent="0.3">
      <c r="D59" s="114" t="s">
        <v>268</v>
      </c>
      <c r="H59" s="259" t="s">
        <v>21</v>
      </c>
      <c r="I59" s="259" t="s">
        <v>43</v>
      </c>
      <c r="J59" s="259" t="s">
        <v>21</v>
      </c>
      <c r="O59" s="94"/>
      <c r="P59" s="94"/>
      <c r="Q59" s="94"/>
      <c r="R59" s="94"/>
      <c r="S59" s="94"/>
    </row>
    <row r="60" spans="4:19" ht="12.75" x14ac:dyDescent="0.3">
      <c r="D60" s="114" t="s">
        <v>269</v>
      </c>
      <c r="H60" s="259" t="s">
        <v>21</v>
      </c>
      <c r="I60" s="259" t="s">
        <v>43</v>
      </c>
      <c r="J60" s="259" t="s">
        <v>21</v>
      </c>
      <c r="O60" s="57"/>
      <c r="P60" s="57"/>
      <c r="Q60" s="57"/>
      <c r="R60" s="57"/>
      <c r="S60" s="57"/>
    </row>
    <row r="61" spans="4:19" ht="11.25" customHeight="1" x14ac:dyDescent="0.3">
      <c r="O61" s="71"/>
      <c r="P61" s="71"/>
      <c r="Q61" s="71"/>
      <c r="R61" s="71"/>
      <c r="S61" s="71"/>
    </row>
    <row r="62" spans="4:19" ht="11.25" customHeight="1" x14ac:dyDescent="0.3">
      <c r="D62" s="120" t="s">
        <v>158</v>
      </c>
      <c r="E62" s="91"/>
      <c r="F62" s="91"/>
      <c r="G62" s="91"/>
      <c r="H62" s="118" t="s">
        <v>52</v>
      </c>
      <c r="I62" s="119" t="s">
        <v>43</v>
      </c>
      <c r="J62" s="119" t="s">
        <v>21</v>
      </c>
      <c r="K62" s="91"/>
      <c r="L62" s="91"/>
      <c r="O62" s="121">
        <f>LOOKUP(2,1/(O56:O60&lt;&gt;""),O56:O60)</f>
        <v>2.6676350888464519E-2</v>
      </c>
      <c r="P62" s="121">
        <f>LOOKUP(2,1/(P56:P60&lt;&gt;""),P56:P60)</f>
        <v>2.8254767021382451E-2</v>
      </c>
      <c r="Q62" s="121">
        <f>LOOKUP(2,1/(Q56:Q60&lt;&gt;""),Q56:Q60)</f>
        <v>2.9833183154300523E-2</v>
      </c>
      <c r="R62" s="121">
        <f>LOOKUP(2,1/(R56:R60&lt;&gt;""),R56:R60)</f>
        <v>3.1411599287218595E-2</v>
      </c>
      <c r="S62" s="121">
        <f>LOOKUP(2,1/(S56:S60&lt;&gt;""),S56:S60)</f>
        <v>3.2990015420136798E-2</v>
      </c>
    </row>
    <row r="63" spans="4:19" ht="11.25" customHeight="1" x14ac:dyDescent="0.3"/>
    <row r="64" spans="4:19" ht="12.75" x14ac:dyDescent="0.3">
      <c r="D64" s="117" t="s">
        <v>178</v>
      </c>
      <c r="O64" s="71"/>
      <c r="P64" s="71"/>
      <c r="Q64" s="71"/>
      <c r="R64" s="71"/>
      <c r="S64" s="71"/>
    </row>
    <row r="65" spans="3:21" ht="12.75" x14ac:dyDescent="0.3">
      <c r="D65" s="114" t="s">
        <v>230</v>
      </c>
      <c r="H65" s="259" t="s">
        <v>79</v>
      </c>
      <c r="I65" s="259" t="s">
        <v>43</v>
      </c>
      <c r="J65" s="259" t="s">
        <v>21</v>
      </c>
      <c r="O65" s="57">
        <v>0.02</v>
      </c>
    </row>
    <row r="66" spans="3:21" ht="11.25" customHeight="1" x14ac:dyDescent="0.3"/>
    <row r="67" spans="3:21" ht="11.25" customHeight="1" x14ac:dyDescent="0.3"/>
    <row r="68" spans="3:21" s="8" customFormat="1" ht="13.9" x14ac:dyDescent="0.3">
      <c r="C68" s="8" t="s">
        <v>702</v>
      </c>
    </row>
    <row r="71" spans="3:21" ht="11.25" customHeight="1" x14ac:dyDescent="0.3">
      <c r="D71" s="70" t="s">
        <v>95</v>
      </c>
      <c r="H71" s="54" t="str">
        <f>Lookup!E$19</f>
        <v>Source</v>
      </c>
      <c r="I71" s="54" t="str">
        <f>Lookup!F$19</f>
        <v>Unit</v>
      </c>
      <c r="J71" s="54" t="str">
        <f>Lookup!G$19</f>
        <v>Basis</v>
      </c>
      <c r="M71" s="54" t="str">
        <f t="shared" ref="M71:S71" si="2">M$9</f>
        <v>FY23</v>
      </c>
      <c r="N71" s="54" t="str">
        <f t="shared" si="2"/>
        <v>FY24</v>
      </c>
      <c r="O71" s="54" t="str">
        <f t="shared" si="2"/>
        <v>FY25</v>
      </c>
      <c r="P71" s="54" t="str">
        <f t="shared" si="2"/>
        <v>FY26</v>
      </c>
      <c r="Q71" s="54" t="str">
        <f t="shared" si="2"/>
        <v>FY27</v>
      </c>
      <c r="R71" s="54" t="str">
        <f t="shared" si="2"/>
        <v>FY28</v>
      </c>
      <c r="S71" s="54" t="str">
        <f t="shared" si="2"/>
        <v>FY29</v>
      </c>
      <c r="U71" s="107" t="s">
        <v>486</v>
      </c>
    </row>
    <row r="73" spans="3:21" ht="12.75" x14ac:dyDescent="0.3">
      <c r="D73" s="7" t="s">
        <v>109</v>
      </c>
      <c r="H73" s="259" t="str">
        <f>NA</f>
        <v>N/A</v>
      </c>
      <c r="I73" s="259" t="str">
        <f>I85</f>
        <v>$000's</v>
      </c>
      <c r="J73" s="259" t="str">
        <f>J85</f>
        <v>Nominal</v>
      </c>
      <c r="M73" s="67"/>
      <c r="N73" s="67"/>
      <c r="O73" s="67"/>
      <c r="P73" s="67"/>
      <c r="Q73" s="67"/>
      <c r="R73" s="67"/>
      <c r="S73" s="67"/>
    </row>
    <row r="74" spans="3:21" ht="12.75" x14ac:dyDescent="0.3">
      <c r="D74" s="7" t="s">
        <v>110</v>
      </c>
      <c r="H74" s="259" t="str">
        <f>NA</f>
        <v>N/A</v>
      </c>
      <c r="I74" s="259" t="str">
        <f t="shared" ref="I74:J76" si="3">I73</f>
        <v>$000's</v>
      </c>
      <c r="J74" s="259" t="str">
        <f t="shared" si="3"/>
        <v>Nominal</v>
      </c>
      <c r="M74" s="95"/>
      <c r="N74" s="95"/>
      <c r="O74" s="67"/>
      <c r="P74" s="67"/>
      <c r="Q74" s="67"/>
      <c r="R74" s="67"/>
      <c r="S74" s="67"/>
      <c r="U74" s="107" t="s">
        <v>235</v>
      </c>
    </row>
    <row r="75" spans="3:21" ht="12.75" x14ac:dyDescent="0.3">
      <c r="D75" s="7" t="s">
        <v>111</v>
      </c>
      <c r="H75" s="259" t="str">
        <f>NA</f>
        <v>N/A</v>
      </c>
      <c r="I75" s="259" t="str">
        <f t="shared" si="3"/>
        <v>$000's</v>
      </c>
      <c r="J75" s="259" t="str">
        <f t="shared" si="3"/>
        <v>Nominal</v>
      </c>
      <c r="M75" s="67"/>
      <c r="N75" s="67"/>
      <c r="O75" s="67"/>
      <c r="P75" s="67"/>
      <c r="Q75" s="67"/>
      <c r="R75" s="67"/>
      <c r="S75" s="67"/>
    </row>
    <row r="76" spans="3:21" ht="12.75" x14ac:dyDescent="0.3">
      <c r="D76" s="7" t="s">
        <v>165</v>
      </c>
      <c r="H76" s="259" t="str">
        <f>NA</f>
        <v>N/A</v>
      </c>
      <c r="I76" s="259" t="str">
        <f t="shared" si="3"/>
        <v>$000's</v>
      </c>
      <c r="J76" s="259" t="str">
        <f t="shared" si="3"/>
        <v>Nominal</v>
      </c>
      <c r="M76" s="67"/>
      <c r="N76" s="67"/>
      <c r="O76" s="67"/>
      <c r="P76" s="67"/>
      <c r="Q76" s="67"/>
      <c r="R76" s="67"/>
      <c r="S76" s="67"/>
    </row>
    <row r="77" spans="3:21" x14ac:dyDescent="0.3">
      <c r="M77" s="145"/>
    </row>
    <row r="79" spans="3:21" s="8" customFormat="1" ht="13.9" x14ac:dyDescent="0.3">
      <c r="C79" s="8" t="s">
        <v>703</v>
      </c>
    </row>
    <row r="82" spans="2:21" ht="11.25" customHeight="1" x14ac:dyDescent="0.3">
      <c r="D82" s="70" t="s">
        <v>95</v>
      </c>
      <c r="H82" s="54" t="str">
        <f>Lookup!E$19</f>
        <v>Source</v>
      </c>
      <c r="I82" s="54" t="str">
        <f>Lookup!F$19</f>
        <v>Unit</v>
      </c>
      <c r="J82" s="54" t="str">
        <f>Lookup!G$19</f>
        <v>Basis</v>
      </c>
      <c r="M82" s="54" t="str">
        <f t="shared" ref="M82:S82" si="4">M$9</f>
        <v>FY23</v>
      </c>
      <c r="N82" s="54" t="str">
        <f t="shared" si="4"/>
        <v>FY24</v>
      </c>
      <c r="O82" s="54" t="str">
        <f t="shared" si="4"/>
        <v>FY25</v>
      </c>
      <c r="P82" s="54" t="str">
        <f t="shared" si="4"/>
        <v>FY26</v>
      </c>
      <c r="Q82" s="54" t="str">
        <f t="shared" si="4"/>
        <v>FY27</v>
      </c>
      <c r="R82" s="54" t="str">
        <f t="shared" si="4"/>
        <v>FY28</v>
      </c>
      <c r="S82" s="54" t="str">
        <f t="shared" si="4"/>
        <v>FY29</v>
      </c>
    </row>
    <row r="83" spans="2:21" x14ac:dyDescent="0.3">
      <c r="M83" s="146" t="s">
        <v>222</v>
      </c>
      <c r="N83" s="146" t="s">
        <v>222</v>
      </c>
      <c r="O83" s="146" t="s">
        <v>222</v>
      </c>
      <c r="P83" s="146" t="s">
        <v>222</v>
      </c>
      <c r="Q83" s="146" t="s">
        <v>222</v>
      </c>
      <c r="R83" s="146" t="s">
        <v>222</v>
      </c>
      <c r="S83" s="146" t="s">
        <v>222</v>
      </c>
      <c r="U83" s="107" t="s">
        <v>486</v>
      </c>
    </row>
    <row r="84" spans="2:21" ht="12.75" x14ac:dyDescent="0.3">
      <c r="D84" s="7" t="s">
        <v>107</v>
      </c>
      <c r="H84" s="259" t="str">
        <f>NA</f>
        <v>N/A</v>
      </c>
      <c r="I84" s="259" t="s">
        <v>47</v>
      </c>
      <c r="J84" s="259" t="s">
        <v>40</v>
      </c>
      <c r="M84" s="67"/>
      <c r="N84" s="67"/>
      <c r="O84" s="67"/>
      <c r="P84" s="67"/>
      <c r="Q84" s="67"/>
      <c r="R84" s="67"/>
      <c r="S84" s="67"/>
    </row>
    <row r="85" spans="2:21" ht="12.75" x14ac:dyDescent="0.3">
      <c r="D85" s="7" t="s">
        <v>226</v>
      </c>
      <c r="H85" s="259" t="str">
        <f>NA</f>
        <v>N/A</v>
      </c>
      <c r="I85" s="259" t="str">
        <f>I84</f>
        <v>$000's</v>
      </c>
      <c r="J85" s="259" t="str">
        <f>J84</f>
        <v>Nominal</v>
      </c>
      <c r="M85" s="67"/>
      <c r="N85" s="67"/>
    </row>
    <row r="86" spans="2:21" ht="12.75" x14ac:dyDescent="0.3">
      <c r="D86" s="7"/>
      <c r="H86" s="80"/>
      <c r="I86" s="84"/>
      <c r="J86" s="84"/>
      <c r="M86" s="66"/>
      <c r="N86" s="66"/>
    </row>
    <row r="87" spans="2:21" ht="12.75" x14ac:dyDescent="0.3">
      <c r="D87" s="7" t="s">
        <v>225</v>
      </c>
      <c r="H87" s="259" t="str">
        <f>H76</f>
        <v>N/A</v>
      </c>
      <c r="I87" s="259" t="str">
        <f>I76</f>
        <v>$000's</v>
      </c>
      <c r="J87" s="259" t="str">
        <f>J76</f>
        <v>Nominal</v>
      </c>
      <c r="M87" s="67"/>
    </row>
    <row r="89" spans="2:21" ht="12.75" x14ac:dyDescent="0.3">
      <c r="D89" s="81" t="s">
        <v>97</v>
      </c>
      <c r="H89" s="259" t="str">
        <f>NA</f>
        <v>N/A</v>
      </c>
      <c r="I89" s="259" t="s">
        <v>43</v>
      </c>
      <c r="J89" s="259" t="s">
        <v>21</v>
      </c>
      <c r="M89" s="94"/>
      <c r="N89" s="94"/>
    </row>
    <row r="92" spans="2:21" s="2" customFormat="1" ht="15" x14ac:dyDescent="0.3">
      <c r="B92" s="2" t="s">
        <v>704</v>
      </c>
    </row>
    <row r="93" spans="2:21" ht="11.25" customHeight="1" x14ac:dyDescent="0.3"/>
    <row r="94" spans="2:21" x14ac:dyDescent="0.3">
      <c r="D94" s="105" t="s">
        <v>487</v>
      </c>
    </row>
    <row r="97" spans="3:17" s="8" customFormat="1" ht="13.9" x14ac:dyDescent="0.3">
      <c r="C97" s="8" t="s">
        <v>705</v>
      </c>
    </row>
    <row r="99" spans="3:17" ht="13.15" x14ac:dyDescent="0.3">
      <c r="C99" s="172" t="s">
        <v>5</v>
      </c>
      <c r="D99" s="70" t="str">
        <f>D$9</f>
        <v>Tariff</v>
      </c>
      <c r="H99" s="54" t="str">
        <f>Lookup!E$19</f>
        <v>Source</v>
      </c>
      <c r="I99" s="54" t="str">
        <f>Lookup!F$19</f>
        <v>Unit</v>
      </c>
      <c r="J99" s="54" t="str">
        <f>Lookup!G$19</f>
        <v>Basis</v>
      </c>
      <c r="M99" s="156" t="s">
        <v>256</v>
      </c>
      <c r="O99" s="156" t="s">
        <v>260</v>
      </c>
    </row>
    <row r="101" spans="3:17" ht="12.75" x14ac:dyDescent="0.35">
      <c r="C101" s="171">
        <v>1</v>
      </c>
      <c r="D101" s="85" t="str">
        <f t="array" ref="D101:D109">LU_Tariffs</f>
        <v>Residential Accumulation</v>
      </c>
      <c r="H101" s="259" t="s">
        <v>79</v>
      </c>
      <c r="I101" s="259" t="s">
        <v>21</v>
      </c>
      <c r="J101" s="259" t="s">
        <v>21</v>
      </c>
      <c r="M101" s="64" t="s">
        <v>257</v>
      </c>
      <c r="O101" s="94">
        <v>0.93</v>
      </c>
      <c r="Q101" s="107" t="s">
        <v>261</v>
      </c>
    </row>
    <row r="102" spans="3:17" ht="12.75" x14ac:dyDescent="0.35">
      <c r="C102" s="171">
        <v>2</v>
      </c>
      <c r="D102" s="85" t="str">
        <v>Non-Residential Accumulation</v>
      </c>
      <c r="H102" s="259" t="s">
        <v>79</v>
      </c>
      <c r="I102" s="259" t="s">
        <v>21</v>
      </c>
      <c r="J102" s="259" t="s">
        <v>21</v>
      </c>
      <c r="M102" s="64" t="s">
        <v>257</v>
      </c>
      <c r="O102" s="94">
        <v>0.91</v>
      </c>
    </row>
    <row r="103" spans="3:17" ht="12.75" x14ac:dyDescent="0.35">
      <c r="C103" s="171" t="s">
        <v>494</v>
      </c>
      <c r="D103" s="85" t="str">
        <v>LV Smart Meter - Res</v>
      </c>
      <c r="H103" s="259" t="s">
        <v>79</v>
      </c>
      <c r="I103" s="259" t="s">
        <v>21</v>
      </c>
      <c r="J103" s="259" t="s">
        <v>21</v>
      </c>
      <c r="M103" s="64" t="s">
        <v>257</v>
      </c>
      <c r="O103" s="94">
        <v>0.93</v>
      </c>
    </row>
    <row r="104" spans="3:17" ht="12.75" x14ac:dyDescent="0.35">
      <c r="C104" s="171" t="s">
        <v>495</v>
      </c>
      <c r="D104" s="85" t="str">
        <v>LV Smart Meter - Small Comm</v>
      </c>
      <c r="H104" s="259" t="s">
        <v>79</v>
      </c>
      <c r="I104" s="259" t="s">
        <v>21</v>
      </c>
      <c r="J104" s="259" t="s">
        <v>21</v>
      </c>
      <c r="M104" s="64" t="s">
        <v>257</v>
      </c>
      <c r="O104" s="94">
        <v>0.93</v>
      </c>
    </row>
    <row r="105" spans="3:17" ht="12.75" x14ac:dyDescent="0.35">
      <c r="C105" s="171" t="s">
        <v>496</v>
      </c>
      <c r="D105" s="85" t="str">
        <v>LV Smart Meter - Med Comm</v>
      </c>
      <c r="H105" s="259" t="s">
        <v>79</v>
      </c>
      <c r="I105" s="259" t="s">
        <v>21</v>
      </c>
      <c r="J105" s="259" t="s">
        <v>21</v>
      </c>
      <c r="M105" s="64" t="s">
        <v>257</v>
      </c>
      <c r="O105" s="94">
        <v>0.93</v>
      </c>
    </row>
    <row r="106" spans="3:17" ht="12.75" x14ac:dyDescent="0.35">
      <c r="C106" s="171">
        <v>4</v>
      </c>
      <c r="D106" s="85" t="str">
        <v>Unmetered</v>
      </c>
      <c r="H106" s="259" t="s">
        <v>79</v>
      </c>
      <c r="I106" s="259" t="s">
        <v>21</v>
      </c>
      <c r="J106" s="259" t="s">
        <v>21</v>
      </c>
      <c r="M106" s="64" t="s">
        <v>257</v>
      </c>
      <c r="O106" s="94">
        <v>0.9</v>
      </c>
    </row>
    <row r="107" spans="3:17" ht="12.75" x14ac:dyDescent="0.35">
      <c r="C107" s="171">
        <v>5</v>
      </c>
      <c r="D107" s="85" t="str">
        <v>LV Majors</v>
      </c>
      <c r="H107" s="259" t="s">
        <v>79</v>
      </c>
      <c r="I107" s="259" t="s">
        <v>21</v>
      </c>
      <c r="J107" s="259" t="s">
        <v>21</v>
      </c>
      <c r="M107" s="64" t="s">
        <v>257</v>
      </c>
      <c r="O107" s="94">
        <v>0.94</v>
      </c>
    </row>
    <row r="108" spans="3:17" ht="12.75" x14ac:dyDescent="0.35">
      <c r="C108" s="171">
        <v>6</v>
      </c>
      <c r="D108" s="85" t="str">
        <v>HV Smart Meters</v>
      </c>
      <c r="H108" s="259" t="s">
        <v>79</v>
      </c>
      <c r="I108" s="259" t="s">
        <v>21</v>
      </c>
      <c r="J108" s="259" t="s">
        <v>21</v>
      </c>
      <c r="M108" s="64" t="s">
        <v>69</v>
      </c>
      <c r="O108" s="94">
        <v>0.9</v>
      </c>
    </row>
    <row r="109" spans="3:17" ht="12.75" x14ac:dyDescent="0.35">
      <c r="C109" s="171">
        <v>7</v>
      </c>
      <c r="D109" s="85" t="str">
        <v>Super Users</v>
      </c>
      <c r="H109" s="259" t="s">
        <v>79</v>
      </c>
      <c r="I109" s="259" t="s">
        <v>21</v>
      </c>
      <c r="J109" s="259" t="s">
        <v>21</v>
      </c>
      <c r="M109" s="64" t="s">
        <v>69</v>
      </c>
      <c r="O109" s="94">
        <v>0.9</v>
      </c>
    </row>
    <row r="112" spans="3:17" s="8" customFormat="1" ht="13.9" x14ac:dyDescent="0.3">
      <c r="C112" s="8" t="s">
        <v>706</v>
      </c>
    </row>
    <row r="113" spans="3:19" ht="11.25" customHeight="1" x14ac:dyDescent="0.3"/>
    <row r="114" spans="3:19" ht="11.25" customHeight="1" x14ac:dyDescent="0.3">
      <c r="C114" s="172" t="s">
        <v>5</v>
      </c>
      <c r="D114" s="70" t="str">
        <f>D$9</f>
        <v>Tariff</v>
      </c>
      <c r="H114" s="54" t="str">
        <f>Lookup!E$19</f>
        <v>Source</v>
      </c>
      <c r="I114" s="54" t="str">
        <f>Lookup!F$19</f>
        <v>Unit</v>
      </c>
      <c r="M114" s="54" t="str">
        <f t="shared" ref="M114:S114" si="5">M$9</f>
        <v>FY23</v>
      </c>
      <c r="N114" s="54" t="str">
        <f t="shared" si="5"/>
        <v>FY24</v>
      </c>
      <c r="O114" s="54" t="str">
        <f t="shared" si="5"/>
        <v>FY25</v>
      </c>
      <c r="P114" s="54" t="str">
        <f t="shared" si="5"/>
        <v>FY26</v>
      </c>
      <c r="Q114" s="54" t="str">
        <f t="shared" si="5"/>
        <v>FY27</v>
      </c>
      <c r="R114" s="54" t="str">
        <f t="shared" si="5"/>
        <v>FY28</v>
      </c>
      <c r="S114" s="54" t="str">
        <f t="shared" si="5"/>
        <v>FY29</v>
      </c>
    </row>
    <row r="115" spans="3:19" ht="11.25" customHeight="1" x14ac:dyDescent="0.3"/>
    <row r="116" spans="3:19" ht="12.75" x14ac:dyDescent="0.35">
      <c r="C116" s="171">
        <v>1</v>
      </c>
      <c r="D116" s="85" t="str">
        <f t="array" ref="D116:D124">LU_Tariffs</f>
        <v>Residential Accumulation</v>
      </c>
      <c r="H116" s="259" t="s">
        <v>79</v>
      </c>
      <c r="I116" s="259" t="s">
        <v>264</v>
      </c>
      <c r="M116" s="69"/>
      <c r="N116" s="69"/>
      <c r="O116" s="64">
        <v>106.87443043105067</v>
      </c>
      <c r="P116" s="64">
        <v>102.71927868421722</v>
      </c>
      <c r="Q116" s="64">
        <v>97.871350630057009</v>
      </c>
      <c r="R116" s="64">
        <v>92.990953422151549</v>
      </c>
      <c r="S116" s="64">
        <v>87.710785144055876</v>
      </c>
    </row>
    <row r="117" spans="3:19" ht="12.75" x14ac:dyDescent="0.35">
      <c r="C117" s="171">
        <v>2</v>
      </c>
      <c r="D117" s="85" t="str">
        <v>Non-Residential Accumulation</v>
      </c>
      <c r="H117" s="259" t="s">
        <v>79</v>
      </c>
      <c r="I117" s="259" t="s">
        <v>264</v>
      </c>
      <c r="M117" s="69"/>
      <c r="N117" s="69"/>
      <c r="O117" s="64">
        <v>13.351588582689326</v>
      </c>
      <c r="P117" s="64">
        <v>7.2794438131911887</v>
      </c>
      <c r="Q117" s="64">
        <v>1.0959809792365889</v>
      </c>
      <c r="R117" s="64">
        <v>0</v>
      </c>
      <c r="S117" s="64">
        <v>0</v>
      </c>
    </row>
    <row r="118" spans="3:19" ht="12.75" x14ac:dyDescent="0.35">
      <c r="C118" s="171" t="s">
        <v>494</v>
      </c>
      <c r="D118" s="85" t="str">
        <v>LV Smart Meter - Res</v>
      </c>
      <c r="H118" s="259" t="s">
        <v>79</v>
      </c>
      <c r="I118" s="259" t="s">
        <v>264</v>
      </c>
      <c r="M118" s="69"/>
      <c r="N118" s="69"/>
      <c r="O118" s="64">
        <v>71.290231590919106</v>
      </c>
      <c r="P118" s="64">
        <v>77.483113489489384</v>
      </c>
      <c r="Q118" s="64">
        <v>83.258764188480455</v>
      </c>
      <c r="R118" s="64">
        <v>89.054845066740441</v>
      </c>
      <c r="S118" s="64">
        <v>94.472288046918734</v>
      </c>
    </row>
    <row r="119" spans="3:19" ht="12.75" x14ac:dyDescent="0.35">
      <c r="C119" s="171" t="s">
        <v>495</v>
      </c>
      <c r="D119" s="85" t="str">
        <v>LV Smart Meter - Small Comm</v>
      </c>
      <c r="H119" s="259" t="s">
        <v>79</v>
      </c>
      <c r="I119" s="259" t="s">
        <v>264</v>
      </c>
      <c r="M119" s="69"/>
      <c r="N119" s="69"/>
      <c r="O119" s="64">
        <v>50.573042181603398</v>
      </c>
      <c r="P119" s="64">
        <v>57.359434058439305</v>
      </c>
      <c r="Q119" s="64">
        <v>63.862247742486637</v>
      </c>
      <c r="R119" s="64">
        <v>65.276790533153985</v>
      </c>
      <c r="S119" s="64">
        <v>65.31995265275458</v>
      </c>
    </row>
    <row r="120" spans="3:19" ht="12.75" x14ac:dyDescent="0.35">
      <c r="C120" s="171" t="s">
        <v>496</v>
      </c>
      <c r="D120" s="85" t="str">
        <v>LV Smart Meter - Med Comm</v>
      </c>
      <c r="H120" s="259" t="s">
        <v>79</v>
      </c>
      <c r="I120" s="259" t="s">
        <v>264</v>
      </c>
      <c r="M120" s="69"/>
      <c r="N120" s="69"/>
      <c r="O120" s="64">
        <v>37.225296057722957</v>
      </c>
      <c r="P120" s="64">
        <v>38.890885486984111</v>
      </c>
      <c r="Q120" s="64">
        <v>40.280820871168309</v>
      </c>
      <c r="R120" s="64">
        <v>41.623820288543946</v>
      </c>
      <c r="S120" s="64">
        <v>42.739442124846114</v>
      </c>
    </row>
    <row r="121" spans="3:19" ht="12.75" x14ac:dyDescent="0.35">
      <c r="C121" s="171">
        <v>4</v>
      </c>
      <c r="D121" s="85" t="str">
        <v>Unmetered</v>
      </c>
      <c r="H121" s="259" t="s">
        <v>79</v>
      </c>
      <c r="I121" s="259" t="s">
        <v>264</v>
      </c>
      <c r="M121" s="69"/>
      <c r="N121" s="69"/>
      <c r="O121" s="64">
        <v>0</v>
      </c>
      <c r="P121" s="64">
        <v>0</v>
      </c>
      <c r="Q121" s="64">
        <v>0</v>
      </c>
      <c r="R121" s="64">
        <v>0</v>
      </c>
      <c r="S121" s="64">
        <v>0</v>
      </c>
    </row>
    <row r="122" spans="3:19" ht="12.75" x14ac:dyDescent="0.35">
      <c r="C122" s="171">
        <v>5</v>
      </c>
      <c r="D122" s="85" t="str">
        <v>LV Majors</v>
      </c>
      <c r="H122" s="259" t="s">
        <v>79</v>
      </c>
      <c r="I122" s="259" t="s">
        <v>264</v>
      </c>
      <c r="M122" s="69"/>
      <c r="N122" s="69"/>
      <c r="O122" s="64">
        <v>45.265112772623922</v>
      </c>
      <c r="P122" s="64">
        <v>46.406805838592916</v>
      </c>
      <c r="Q122" s="64">
        <v>47.265676228200242</v>
      </c>
      <c r="R122" s="64">
        <v>48.12039985350328</v>
      </c>
      <c r="S122" s="64">
        <v>48.765564296465563</v>
      </c>
    </row>
    <row r="123" spans="3:19" ht="12.75" x14ac:dyDescent="0.35">
      <c r="C123" s="171">
        <v>6</v>
      </c>
      <c r="D123" s="85" t="str">
        <v>HV Smart Meters</v>
      </c>
      <c r="H123" s="259" t="s">
        <v>79</v>
      </c>
      <c r="I123" s="259" t="s">
        <v>264</v>
      </c>
      <c r="M123" s="69"/>
      <c r="N123" s="69"/>
      <c r="O123" s="64">
        <v>11.882199004504635</v>
      </c>
      <c r="P123" s="64">
        <v>13.001835872520996</v>
      </c>
      <c r="Q123" s="64">
        <v>14.156678798492077</v>
      </c>
      <c r="R123" s="64">
        <v>15.42027867830414</v>
      </c>
      <c r="S123" s="64">
        <v>16.722552790509926</v>
      </c>
    </row>
    <row r="124" spans="3:19" ht="12.75" x14ac:dyDescent="0.35">
      <c r="C124" s="171">
        <v>7</v>
      </c>
      <c r="D124" s="85" t="str">
        <v>Super Users</v>
      </c>
      <c r="H124" s="259" t="s">
        <v>79</v>
      </c>
      <c r="I124" s="259" t="s">
        <v>264</v>
      </c>
      <c r="M124" s="69"/>
      <c r="N124" s="69"/>
      <c r="O124" s="64">
        <v>40.424218804697567</v>
      </c>
      <c r="P124" s="64">
        <v>43.920491953394446</v>
      </c>
      <c r="Q124" s="64">
        <v>47.106359398359174</v>
      </c>
      <c r="R124" s="64">
        <v>50.589731912705446</v>
      </c>
      <c r="S124" s="64">
        <v>54.14357555659344</v>
      </c>
    </row>
    <row r="125" spans="3:19" ht="11.25" customHeight="1" x14ac:dyDescent="0.3"/>
    <row r="126" spans="3:19" ht="11.25" customHeight="1" x14ac:dyDescent="0.3">
      <c r="D126" s="62" t="s">
        <v>51</v>
      </c>
      <c r="H126" s="56" t="s">
        <v>52</v>
      </c>
      <c r="I126" s="56" t="s">
        <v>264</v>
      </c>
      <c r="M126" s="55" t="str">
        <f>NA</f>
        <v>N/A</v>
      </c>
      <c r="N126" s="55" t="str">
        <f>NA</f>
        <v>N/A</v>
      </c>
      <c r="O126" s="65">
        <f>SUM(O116:O124)</f>
        <v>376.88611942581156</v>
      </c>
      <c r="P126" s="65">
        <f>SUM(P116:P124)</f>
        <v>387.06128919682959</v>
      </c>
      <c r="Q126" s="65">
        <f>SUM(Q116:Q124)</f>
        <v>394.89787883648046</v>
      </c>
      <c r="R126" s="65">
        <f>SUM(R116:R124)</f>
        <v>403.07681975510275</v>
      </c>
      <c r="S126" s="65">
        <f>SUM(S116:S124)</f>
        <v>409.87416061214424</v>
      </c>
    </row>
    <row r="127" spans="3:19" ht="11.25" customHeight="1" x14ac:dyDescent="0.3"/>
    <row r="128" spans="3:19" ht="11.25" customHeight="1" x14ac:dyDescent="0.3"/>
    <row r="129" spans="1:19" s="2" customFormat="1" ht="15" x14ac:dyDescent="0.3">
      <c r="C129" s="2" t="s">
        <v>707</v>
      </c>
    </row>
    <row r="131" spans="1:19" ht="11.25" customHeight="1" x14ac:dyDescent="0.3">
      <c r="D131" s="105" t="s">
        <v>272</v>
      </c>
    </row>
    <row r="132" spans="1:19" ht="11.25" customHeight="1" x14ac:dyDescent="0.3"/>
    <row r="133" spans="1:19" ht="11.25" customHeight="1" x14ac:dyDescent="0.3"/>
    <row r="134" spans="1:19" ht="13.15" x14ac:dyDescent="0.3">
      <c r="C134" s="172" t="s">
        <v>5</v>
      </c>
      <c r="D134" s="70" t="str">
        <f>D$9</f>
        <v>Tariff</v>
      </c>
      <c r="E134" s="54" t="str">
        <f>E$9</f>
        <v>Tariff Components</v>
      </c>
      <c r="F134" s="54" t="s">
        <v>138</v>
      </c>
      <c r="H134" s="54" t="str">
        <f>Lookup!E$19</f>
        <v>Source</v>
      </c>
      <c r="I134" s="54" t="str">
        <f>Lookup!F$19</f>
        <v>Unit</v>
      </c>
      <c r="J134" s="54" t="str">
        <f>Lookup!G$19</f>
        <v>Basis</v>
      </c>
      <c r="O134" s="54" t="str">
        <f>O$9</f>
        <v>FY25</v>
      </c>
      <c r="P134" s="54" t="str">
        <f>P$9</f>
        <v>FY26</v>
      </c>
      <c r="Q134" s="54" t="str">
        <f>Q$9</f>
        <v>FY27</v>
      </c>
      <c r="R134" s="54" t="str">
        <f>R$9</f>
        <v>FY28</v>
      </c>
      <c r="S134" s="54" t="str">
        <f>S$9</f>
        <v>FY29</v>
      </c>
    </row>
    <row r="136" spans="1:19" ht="12.75" x14ac:dyDescent="0.35">
      <c r="A136" s="59" cm="1">
        <f t="array" ref="A136">IF(SUMPRODUCT(($D$136:$D$162=$D136)*($O$136:$S$162))=COUNTA($O$134:$S$134),0,1)</f>
        <v>0</v>
      </c>
      <c r="C136" s="171">
        <v>1</v>
      </c>
      <c r="D136" s="85" t="s">
        <v>243</v>
      </c>
      <c r="E136" s="259" t="s">
        <v>105</v>
      </c>
      <c r="H136" s="259" t="s">
        <v>79</v>
      </c>
      <c r="I136" s="259" t="s">
        <v>43</v>
      </c>
      <c r="J136" s="259" t="s">
        <v>21</v>
      </c>
      <c r="O136" s="94">
        <v>0.7</v>
      </c>
      <c r="P136" s="94">
        <v>0.7</v>
      </c>
      <c r="Q136" s="94">
        <v>0.7</v>
      </c>
      <c r="R136" s="94">
        <v>0.7</v>
      </c>
      <c r="S136" s="94">
        <v>0.7</v>
      </c>
    </row>
    <row r="137" spans="1:19" ht="12.75" x14ac:dyDescent="0.35">
      <c r="C137" s="171">
        <v>1</v>
      </c>
      <c r="D137" s="85" t="s">
        <v>243</v>
      </c>
      <c r="E137" s="259" t="s">
        <v>277</v>
      </c>
      <c r="H137" s="259" t="s">
        <v>79</v>
      </c>
      <c r="I137" s="259" t="s">
        <v>43</v>
      </c>
      <c r="J137" s="259" t="s">
        <v>21</v>
      </c>
      <c r="O137" s="94">
        <v>0.30000000000000004</v>
      </c>
      <c r="P137" s="94">
        <v>0.30000000000000004</v>
      </c>
      <c r="Q137" s="94">
        <v>0.30000000000000004</v>
      </c>
      <c r="R137" s="94">
        <v>0.30000000000000004</v>
      </c>
      <c r="S137" s="94">
        <v>0.30000000000000004</v>
      </c>
    </row>
    <row r="138" spans="1:19" ht="12.75" x14ac:dyDescent="0.35">
      <c r="A138" s="59" cm="1">
        <f t="array" ref="A138">IF(SUMPRODUCT(($D$136:$D$162=$D138)*($O$136:$S$162))=COUNTA($O$134:$S$134),0,1)</f>
        <v>0</v>
      </c>
      <c r="C138" s="171">
        <v>2</v>
      </c>
      <c r="D138" s="85" t="s">
        <v>244</v>
      </c>
      <c r="E138" s="259" t="s">
        <v>105</v>
      </c>
      <c r="H138" s="259" t="s">
        <v>79</v>
      </c>
      <c r="I138" s="259" t="s">
        <v>43</v>
      </c>
      <c r="J138" s="259" t="s">
        <v>21</v>
      </c>
      <c r="O138" s="94">
        <v>0.28860000000000002</v>
      </c>
      <c r="P138" s="94">
        <v>0.28860000000000002</v>
      </c>
      <c r="Q138" s="94">
        <v>0.28860000000000002</v>
      </c>
      <c r="R138" s="94">
        <v>0.28860000000000002</v>
      </c>
      <c r="S138" s="94">
        <v>0.28860000000000002</v>
      </c>
    </row>
    <row r="139" spans="1:19" ht="12.75" x14ac:dyDescent="0.35">
      <c r="C139" s="171">
        <v>2</v>
      </c>
      <c r="D139" s="85" t="s">
        <v>244</v>
      </c>
      <c r="E139" s="259" t="s">
        <v>277</v>
      </c>
      <c r="H139" s="259" t="s">
        <v>79</v>
      </c>
      <c r="I139" s="259" t="s">
        <v>43</v>
      </c>
      <c r="J139" s="259" t="s">
        <v>21</v>
      </c>
      <c r="O139" s="94">
        <v>0.71140000000000003</v>
      </c>
      <c r="P139" s="94">
        <v>0.71140000000000003</v>
      </c>
      <c r="Q139" s="94">
        <v>0.71140000000000003</v>
      </c>
      <c r="R139" s="94">
        <v>0.71140000000000003</v>
      </c>
      <c r="S139" s="94">
        <v>0.71140000000000003</v>
      </c>
    </row>
    <row r="140" spans="1:19" ht="12.75" x14ac:dyDescent="0.35">
      <c r="A140" s="59" cm="1">
        <f t="array" ref="A140">IF(SUMPRODUCT(($D$136:$D$162=$D140)*($O$136:$S$162))=COUNTA($O$134:$S$134),0,1)</f>
        <v>0</v>
      </c>
      <c r="C140" s="171" t="s">
        <v>494</v>
      </c>
      <c r="D140" s="85" t="s">
        <v>245</v>
      </c>
      <c r="E140" s="259" t="s">
        <v>105</v>
      </c>
      <c r="H140" s="259" t="s">
        <v>79</v>
      </c>
      <c r="I140" s="259" t="s">
        <v>43</v>
      </c>
      <c r="J140" s="259" t="s">
        <v>21</v>
      </c>
      <c r="O140" s="94">
        <v>0.9</v>
      </c>
      <c r="P140" s="94">
        <v>0.9</v>
      </c>
      <c r="Q140" s="94">
        <v>0.9</v>
      </c>
      <c r="R140" s="94">
        <v>0.9</v>
      </c>
      <c r="S140" s="94">
        <v>0.9</v>
      </c>
    </row>
    <row r="141" spans="1:19" ht="12.75" x14ac:dyDescent="0.35">
      <c r="C141" s="171" t="s">
        <v>494</v>
      </c>
      <c r="D141" s="85" t="s">
        <v>245</v>
      </c>
      <c r="E141" s="259" t="s">
        <v>274</v>
      </c>
      <c r="H141" s="259" t="s">
        <v>79</v>
      </c>
      <c r="I141" s="259" t="s">
        <v>43</v>
      </c>
      <c r="J141" s="259" t="s">
        <v>21</v>
      </c>
      <c r="O141" s="94">
        <v>0</v>
      </c>
      <c r="P141" s="94">
        <v>0</v>
      </c>
      <c r="Q141" s="94">
        <v>0</v>
      </c>
      <c r="R141" s="94">
        <v>0</v>
      </c>
      <c r="S141" s="94">
        <v>0</v>
      </c>
    </row>
    <row r="142" spans="1:19" ht="12.75" x14ac:dyDescent="0.35">
      <c r="C142" s="171" t="s">
        <v>494</v>
      </c>
      <c r="D142" s="85" t="s">
        <v>245</v>
      </c>
      <c r="E142" s="259" t="s">
        <v>275</v>
      </c>
      <c r="H142" s="259" t="s">
        <v>79</v>
      </c>
      <c r="I142" s="259" t="s">
        <v>43</v>
      </c>
      <c r="J142" s="259" t="s">
        <v>21</v>
      </c>
      <c r="O142" s="94">
        <v>9.9999999999999978E-2</v>
      </c>
      <c r="P142" s="94">
        <v>9.9999999999999978E-2</v>
      </c>
      <c r="Q142" s="94">
        <v>9.9999999999999978E-2</v>
      </c>
      <c r="R142" s="94">
        <v>9.9999999999999978E-2</v>
      </c>
      <c r="S142" s="94">
        <v>9.9999999999999978E-2</v>
      </c>
    </row>
    <row r="143" spans="1:19" ht="12.75" x14ac:dyDescent="0.35">
      <c r="C143" s="171" t="s">
        <v>494</v>
      </c>
      <c r="D143" s="85" t="s">
        <v>245</v>
      </c>
      <c r="E143" s="259" t="s">
        <v>276</v>
      </c>
      <c r="H143" s="259" t="s">
        <v>79</v>
      </c>
      <c r="I143" s="259" t="s">
        <v>43</v>
      </c>
      <c r="J143" s="259" t="s">
        <v>21</v>
      </c>
      <c r="O143" s="94">
        <v>0</v>
      </c>
      <c r="P143" s="94">
        <v>0</v>
      </c>
      <c r="Q143" s="94">
        <v>0</v>
      </c>
      <c r="R143" s="94">
        <v>0</v>
      </c>
      <c r="S143" s="94">
        <v>0</v>
      </c>
    </row>
    <row r="144" spans="1:19" ht="12.75" x14ac:dyDescent="0.35">
      <c r="A144" s="59" cm="1">
        <f t="array" ref="A144">IF(SUMPRODUCT(($D$136:$D$162=$D144)*($O$136:$S$162))=COUNTA($O$134:$S$134),0,1)</f>
        <v>0</v>
      </c>
      <c r="C144" s="171" t="s">
        <v>495</v>
      </c>
      <c r="D144" s="85" t="s">
        <v>246</v>
      </c>
      <c r="E144" s="259" t="s">
        <v>105</v>
      </c>
      <c r="H144" s="259" t="s">
        <v>79</v>
      </c>
      <c r="I144" s="259" t="s">
        <v>43</v>
      </c>
      <c r="J144" s="259" t="s">
        <v>21</v>
      </c>
      <c r="O144" s="94">
        <v>0.2</v>
      </c>
      <c r="P144" s="94">
        <v>0.34</v>
      </c>
      <c r="Q144" s="94">
        <v>0.34</v>
      </c>
      <c r="R144" s="94">
        <v>0.34</v>
      </c>
      <c r="S144" s="94">
        <v>0.34</v>
      </c>
    </row>
    <row r="145" spans="1:19" ht="12.75" x14ac:dyDescent="0.35">
      <c r="C145" s="171" t="s">
        <v>495</v>
      </c>
      <c r="D145" s="85" t="s">
        <v>246</v>
      </c>
      <c r="E145" s="259" t="s">
        <v>274</v>
      </c>
      <c r="H145" s="259" t="s">
        <v>79</v>
      </c>
      <c r="I145" s="259" t="s">
        <v>43</v>
      </c>
      <c r="J145" s="259" t="s">
        <v>21</v>
      </c>
      <c r="O145" s="94">
        <v>0</v>
      </c>
      <c r="P145" s="94">
        <v>0</v>
      </c>
      <c r="Q145" s="94">
        <v>0</v>
      </c>
      <c r="R145" s="94">
        <v>0</v>
      </c>
      <c r="S145" s="94">
        <v>0</v>
      </c>
    </row>
    <row r="146" spans="1:19" ht="12.75" x14ac:dyDescent="0.35">
      <c r="C146" s="171" t="s">
        <v>495</v>
      </c>
      <c r="D146" s="85" t="s">
        <v>246</v>
      </c>
      <c r="E146" s="259" t="s">
        <v>275</v>
      </c>
      <c r="H146" s="259" t="s">
        <v>79</v>
      </c>
      <c r="I146" s="259" t="s">
        <v>43</v>
      </c>
      <c r="J146" s="259" t="s">
        <v>21</v>
      </c>
      <c r="O146" s="94">
        <v>0.8</v>
      </c>
      <c r="P146" s="94">
        <v>0.65999999999999992</v>
      </c>
      <c r="Q146" s="94">
        <v>0.65999999999999992</v>
      </c>
      <c r="R146" s="94">
        <v>0.65999999999999992</v>
      </c>
      <c r="S146" s="94">
        <v>0.65999999999999992</v>
      </c>
    </row>
    <row r="147" spans="1:19" ht="12.75" x14ac:dyDescent="0.35">
      <c r="C147" s="171" t="s">
        <v>495</v>
      </c>
      <c r="D147" s="85" t="s">
        <v>246</v>
      </c>
      <c r="E147" s="259" t="s">
        <v>276</v>
      </c>
      <c r="H147" s="259" t="s">
        <v>79</v>
      </c>
      <c r="I147" s="259" t="s">
        <v>43</v>
      </c>
      <c r="J147" s="259" t="s">
        <v>21</v>
      </c>
      <c r="O147" s="94">
        <v>0</v>
      </c>
      <c r="P147" s="94">
        <v>0</v>
      </c>
      <c r="Q147" s="94">
        <v>0</v>
      </c>
      <c r="R147" s="94">
        <v>0</v>
      </c>
      <c r="S147" s="94">
        <v>0</v>
      </c>
    </row>
    <row r="148" spans="1:19" ht="12.75" x14ac:dyDescent="0.35">
      <c r="A148" s="59" cm="1">
        <f t="array" ref="A148">IF(SUMPRODUCT(($D$136:$D$162=$D148)*($O$136:$S$162))=COUNTA($O$134:$S$134),0,1)</f>
        <v>0</v>
      </c>
      <c r="C148" s="171" t="s">
        <v>496</v>
      </c>
      <c r="D148" s="85" t="s">
        <v>247</v>
      </c>
      <c r="E148" s="259" t="s">
        <v>105</v>
      </c>
      <c r="H148" s="259" t="s">
        <v>79</v>
      </c>
      <c r="I148" s="259" t="s">
        <v>43</v>
      </c>
      <c r="J148" s="259" t="s">
        <v>21</v>
      </c>
      <c r="O148" s="94">
        <v>0.33</v>
      </c>
      <c r="P148" s="94">
        <v>0.33</v>
      </c>
      <c r="Q148" s="94">
        <v>0.33</v>
      </c>
      <c r="R148" s="94">
        <v>0.33</v>
      </c>
      <c r="S148" s="94">
        <v>0.33</v>
      </c>
    </row>
    <row r="149" spans="1:19" ht="12.75" x14ac:dyDescent="0.35">
      <c r="C149" s="171" t="s">
        <v>496</v>
      </c>
      <c r="D149" s="85" t="s">
        <v>247</v>
      </c>
      <c r="E149" s="259" t="s">
        <v>274</v>
      </c>
      <c r="H149" s="259" t="s">
        <v>79</v>
      </c>
      <c r="I149" s="259" t="s">
        <v>43</v>
      </c>
      <c r="J149" s="259" t="s">
        <v>21</v>
      </c>
      <c r="O149" s="94">
        <v>0</v>
      </c>
      <c r="P149" s="94">
        <v>0</v>
      </c>
      <c r="Q149" s="94">
        <v>0</v>
      </c>
      <c r="R149" s="94">
        <v>0</v>
      </c>
      <c r="S149" s="94">
        <v>0</v>
      </c>
    </row>
    <row r="150" spans="1:19" ht="12.75" x14ac:dyDescent="0.35">
      <c r="C150" s="171" t="s">
        <v>496</v>
      </c>
      <c r="D150" s="85" t="s">
        <v>247</v>
      </c>
      <c r="E150" s="259" t="s">
        <v>275</v>
      </c>
      <c r="H150" s="259" t="s">
        <v>79</v>
      </c>
      <c r="I150" s="259" t="s">
        <v>43</v>
      </c>
      <c r="J150" s="259" t="s">
        <v>21</v>
      </c>
      <c r="O150" s="94">
        <v>0.66999999999999993</v>
      </c>
      <c r="P150" s="94">
        <v>0.66999999999999993</v>
      </c>
      <c r="Q150" s="94">
        <v>0.66999999999999993</v>
      </c>
      <c r="R150" s="94">
        <v>0.66999999999999993</v>
      </c>
      <c r="S150" s="94">
        <v>0.66999999999999993</v>
      </c>
    </row>
    <row r="151" spans="1:19" ht="12.75" x14ac:dyDescent="0.35">
      <c r="C151" s="171" t="s">
        <v>496</v>
      </c>
      <c r="D151" s="85" t="s">
        <v>247</v>
      </c>
      <c r="E151" s="259" t="s">
        <v>276</v>
      </c>
      <c r="H151" s="259" t="s">
        <v>79</v>
      </c>
      <c r="I151" s="259" t="s">
        <v>43</v>
      </c>
      <c r="J151" s="259" t="s">
        <v>21</v>
      </c>
      <c r="O151" s="94">
        <v>0</v>
      </c>
      <c r="P151" s="94">
        <v>0</v>
      </c>
      <c r="Q151" s="94">
        <v>0</v>
      </c>
      <c r="R151" s="94">
        <v>0</v>
      </c>
      <c r="S151" s="94">
        <v>0</v>
      </c>
    </row>
    <row r="152" spans="1:19" ht="12.75" x14ac:dyDescent="0.35">
      <c r="A152" s="59" cm="1">
        <f t="array" ref="A152">IF(SUMPRODUCT(($D$136:$D$162=$D152)*($O$136:$S$162))=COUNTA($O$134:$S$134),0,1)</f>
        <v>0</v>
      </c>
      <c r="C152" s="171">
        <v>4</v>
      </c>
      <c r="D152" s="85" t="s">
        <v>248</v>
      </c>
      <c r="E152" s="259" t="s">
        <v>277</v>
      </c>
      <c r="H152" s="259" t="s">
        <v>79</v>
      </c>
      <c r="I152" s="259" t="s">
        <v>43</v>
      </c>
      <c r="J152" s="259" t="s">
        <v>21</v>
      </c>
      <c r="O152" s="94">
        <v>1</v>
      </c>
      <c r="P152" s="94">
        <v>1</v>
      </c>
      <c r="Q152" s="94">
        <v>1</v>
      </c>
      <c r="R152" s="94">
        <v>1</v>
      </c>
      <c r="S152" s="94">
        <v>1</v>
      </c>
    </row>
    <row r="153" spans="1:19" ht="12.75" x14ac:dyDescent="0.35">
      <c r="A153" s="59" cm="1">
        <f t="array" ref="A153">IF(SUMPRODUCT(($D$136:$D$162=$D153)*($O$136:$S$162))=COUNTA($O$134:$S$134),0,1)</f>
        <v>0</v>
      </c>
      <c r="C153" s="171">
        <v>5</v>
      </c>
      <c r="D153" s="85" t="s">
        <v>249</v>
      </c>
      <c r="E153" s="259" t="s">
        <v>105</v>
      </c>
      <c r="H153" s="259" t="s">
        <v>79</v>
      </c>
      <c r="I153" s="259" t="s">
        <v>43</v>
      </c>
      <c r="J153" s="259" t="s">
        <v>21</v>
      </c>
      <c r="O153" s="94">
        <v>0.875</v>
      </c>
      <c r="P153" s="94">
        <v>0.85</v>
      </c>
      <c r="Q153" s="94">
        <v>0.85</v>
      </c>
      <c r="R153" s="94">
        <v>0.85</v>
      </c>
      <c r="S153" s="94">
        <v>0.85</v>
      </c>
    </row>
    <row r="154" spans="1:19" ht="12.75" x14ac:dyDescent="0.35">
      <c r="C154" s="171">
        <v>5</v>
      </c>
      <c r="D154" s="85" t="s">
        <v>249</v>
      </c>
      <c r="E154" s="259" t="s">
        <v>273</v>
      </c>
      <c r="H154" s="259" t="s">
        <v>79</v>
      </c>
      <c r="I154" s="259" t="s">
        <v>43</v>
      </c>
      <c r="J154" s="259" t="s">
        <v>21</v>
      </c>
      <c r="O154" s="94">
        <v>0.125</v>
      </c>
      <c r="P154" s="94">
        <v>0.15000000000000002</v>
      </c>
      <c r="Q154" s="94">
        <v>0.15000000000000002</v>
      </c>
      <c r="R154" s="94">
        <v>0.15000000000000002</v>
      </c>
      <c r="S154" s="94">
        <v>0.15000000000000002</v>
      </c>
    </row>
    <row r="155" spans="1:19" ht="12.75" x14ac:dyDescent="0.35">
      <c r="C155" s="171">
        <v>5</v>
      </c>
      <c r="D155" s="85" t="s">
        <v>249</v>
      </c>
      <c r="E155" s="259" t="s">
        <v>278</v>
      </c>
      <c r="H155" s="259" t="s">
        <v>79</v>
      </c>
      <c r="I155" s="259" t="s">
        <v>43</v>
      </c>
      <c r="J155" s="259" t="s">
        <v>21</v>
      </c>
      <c r="O155" s="94">
        <v>0</v>
      </c>
      <c r="P155" s="94">
        <v>0</v>
      </c>
      <c r="Q155" s="94">
        <v>0</v>
      </c>
      <c r="R155" s="94">
        <v>0</v>
      </c>
      <c r="S155" s="94">
        <v>0</v>
      </c>
    </row>
    <row r="156" spans="1:19" ht="12.75" x14ac:dyDescent="0.35">
      <c r="C156" s="171">
        <v>5</v>
      </c>
      <c r="D156" s="85" t="s">
        <v>249</v>
      </c>
      <c r="E156" s="259" t="s">
        <v>279</v>
      </c>
      <c r="H156" s="259" t="s">
        <v>79</v>
      </c>
      <c r="I156" s="259" t="s">
        <v>43</v>
      </c>
      <c r="J156" s="259" t="s">
        <v>21</v>
      </c>
      <c r="O156" s="94">
        <v>0</v>
      </c>
      <c r="P156" s="94">
        <v>0</v>
      </c>
      <c r="Q156" s="94">
        <v>0</v>
      </c>
      <c r="R156" s="94">
        <v>0</v>
      </c>
      <c r="S156" s="94">
        <v>0</v>
      </c>
    </row>
    <row r="157" spans="1:19" ht="12.75" x14ac:dyDescent="0.35">
      <c r="A157" s="59" cm="1">
        <f t="array" ref="A157">IF(SUMPRODUCT(($D$136:$D$162=$D157)*($O$136:$S$162))=COUNTA($O$134:$S$134),0,1)</f>
        <v>0</v>
      </c>
      <c r="C157" s="171">
        <v>6</v>
      </c>
      <c r="D157" s="85" t="s">
        <v>250</v>
      </c>
      <c r="E157" s="259" t="s">
        <v>105</v>
      </c>
      <c r="H157" s="259" t="s">
        <v>79</v>
      </c>
      <c r="I157" s="259" t="s">
        <v>43</v>
      </c>
      <c r="J157" s="259" t="s">
        <v>21</v>
      </c>
      <c r="O157" s="94">
        <v>0.25</v>
      </c>
      <c r="P157" s="94">
        <v>0.25</v>
      </c>
      <c r="Q157" s="94">
        <v>0.25</v>
      </c>
      <c r="R157" s="94">
        <v>0.25</v>
      </c>
      <c r="S157" s="94">
        <v>0.25</v>
      </c>
    </row>
    <row r="158" spans="1:19" ht="12.75" x14ac:dyDescent="0.35">
      <c r="C158" s="171">
        <v>6</v>
      </c>
      <c r="D158" s="85" t="s">
        <v>250</v>
      </c>
      <c r="E158" s="259" t="s">
        <v>273</v>
      </c>
      <c r="H158" s="259" t="s">
        <v>79</v>
      </c>
      <c r="I158" s="259" t="s">
        <v>43</v>
      </c>
      <c r="J158" s="259" t="s">
        <v>21</v>
      </c>
      <c r="O158" s="94">
        <v>0.75</v>
      </c>
      <c r="P158" s="94">
        <v>0.75</v>
      </c>
      <c r="Q158" s="94">
        <v>0.75</v>
      </c>
      <c r="R158" s="94">
        <v>0.75</v>
      </c>
      <c r="S158" s="94">
        <v>0.75</v>
      </c>
    </row>
    <row r="159" spans="1:19" ht="12.75" x14ac:dyDescent="0.35">
      <c r="C159" s="171">
        <v>6</v>
      </c>
      <c r="D159" s="85" t="s">
        <v>250</v>
      </c>
      <c r="E159" s="259" t="s">
        <v>278</v>
      </c>
      <c r="H159" s="259" t="s">
        <v>79</v>
      </c>
      <c r="I159" s="259" t="s">
        <v>43</v>
      </c>
      <c r="J159" s="259" t="s">
        <v>21</v>
      </c>
      <c r="O159" s="94">
        <v>0</v>
      </c>
      <c r="P159" s="94">
        <v>0</v>
      </c>
      <c r="Q159" s="94">
        <v>0</v>
      </c>
      <c r="R159" s="94">
        <v>0</v>
      </c>
      <c r="S159" s="94">
        <v>0</v>
      </c>
    </row>
    <row r="160" spans="1:19" ht="12.75" x14ac:dyDescent="0.35">
      <c r="C160" s="171">
        <v>6</v>
      </c>
      <c r="D160" s="85" t="s">
        <v>250</v>
      </c>
      <c r="E160" s="259" t="s">
        <v>279</v>
      </c>
      <c r="H160" s="259" t="s">
        <v>79</v>
      </c>
      <c r="I160" s="259" t="s">
        <v>43</v>
      </c>
      <c r="J160" s="259" t="s">
        <v>21</v>
      </c>
      <c r="O160" s="94">
        <v>0</v>
      </c>
      <c r="P160" s="94">
        <v>0</v>
      </c>
      <c r="Q160" s="94">
        <v>0</v>
      </c>
      <c r="R160" s="94">
        <v>0</v>
      </c>
      <c r="S160" s="94">
        <v>0</v>
      </c>
    </row>
    <row r="161" spans="1:19" ht="12.75" x14ac:dyDescent="0.35">
      <c r="A161" s="59" cm="1">
        <f t="array" ref="A161">IF(SUMPRODUCT(($D$136:$D$162=$D161)*($O$136:$S$162))=COUNTA($O$134:$S$134),0,1)</f>
        <v>0</v>
      </c>
      <c r="C161" s="171">
        <v>7</v>
      </c>
      <c r="D161" s="85" t="s">
        <v>251</v>
      </c>
      <c r="E161" s="259" t="s">
        <v>105</v>
      </c>
      <c r="H161" s="259" t="s">
        <v>79</v>
      </c>
      <c r="I161" s="259" t="s">
        <v>43</v>
      </c>
      <c r="J161" s="259" t="s">
        <v>21</v>
      </c>
      <c r="O161" s="94">
        <v>0.35</v>
      </c>
      <c r="P161" s="94">
        <v>0.375</v>
      </c>
      <c r="Q161" s="94">
        <v>0.4</v>
      </c>
      <c r="R161" s="94">
        <v>0.42499999999999999</v>
      </c>
      <c r="S161" s="94">
        <v>0.45</v>
      </c>
    </row>
    <row r="162" spans="1:19" ht="12.75" x14ac:dyDescent="0.35">
      <c r="C162" s="171">
        <v>7</v>
      </c>
      <c r="D162" s="85" t="s">
        <v>251</v>
      </c>
      <c r="E162" s="259" t="s">
        <v>277</v>
      </c>
      <c r="H162" s="259" t="s">
        <v>79</v>
      </c>
      <c r="I162" s="259" t="s">
        <v>43</v>
      </c>
      <c r="J162" s="259" t="s">
        <v>21</v>
      </c>
      <c r="O162" s="94">
        <v>0.65</v>
      </c>
      <c r="P162" s="94">
        <v>0.625</v>
      </c>
      <c r="Q162" s="94">
        <v>0.6</v>
      </c>
      <c r="R162" s="94">
        <v>0.57499999999999996</v>
      </c>
      <c r="S162" s="94">
        <v>0.55000000000000004</v>
      </c>
    </row>
    <row r="163" spans="1:19" ht="12.75" x14ac:dyDescent="0.3">
      <c r="D163" s="85"/>
    </row>
    <row r="165" spans="1:19" s="2" customFormat="1" ht="15" x14ac:dyDescent="0.3">
      <c r="C165" s="2" t="s">
        <v>708</v>
      </c>
    </row>
    <row r="166" spans="1:19" ht="11.25" customHeight="1" x14ac:dyDescent="0.3"/>
    <row r="167" spans="1:19" ht="11.25" customHeight="1" x14ac:dyDescent="0.3">
      <c r="D167" s="105" t="s">
        <v>149</v>
      </c>
    </row>
    <row r="168" spans="1:19" ht="11.25" customHeight="1" x14ac:dyDescent="0.3"/>
    <row r="169" spans="1:19" s="8" customFormat="1" ht="13.9" x14ac:dyDescent="0.3">
      <c r="C169" s="8" t="s">
        <v>698</v>
      </c>
    </row>
    <row r="170" spans="1:19" ht="11.25" customHeight="1" x14ac:dyDescent="0.3"/>
    <row r="171" spans="1:19" ht="11.25" customHeight="1" x14ac:dyDescent="0.3">
      <c r="C171" s="172" t="s">
        <v>5</v>
      </c>
      <c r="D171" s="70" t="str">
        <f>D$9</f>
        <v>Tariff</v>
      </c>
      <c r="H171" s="54" t="str">
        <f>Lookup!E$19</f>
        <v>Source</v>
      </c>
      <c r="I171" s="54" t="str">
        <f>Lookup!F$19</f>
        <v>Unit</v>
      </c>
      <c r="J171" s="54" t="str">
        <f>Lookup!G$19</f>
        <v>Basis</v>
      </c>
      <c r="M171" s="61" t="s">
        <v>202</v>
      </c>
    </row>
    <row r="172" spans="1:19" ht="11.25" customHeight="1" x14ac:dyDescent="0.3"/>
    <row r="173" spans="1:19" ht="12.75" x14ac:dyDescent="0.35">
      <c r="C173" s="171">
        <v>1</v>
      </c>
      <c r="D173" s="85" t="str">
        <f t="array" ref="D173:D181">LU_Tariffs</f>
        <v>Residential Accumulation</v>
      </c>
      <c r="H173" s="259" t="s">
        <v>79</v>
      </c>
      <c r="I173" s="259" t="s">
        <v>193</v>
      </c>
      <c r="J173" s="84" t="s">
        <v>239</v>
      </c>
      <c r="M173" s="158">
        <v>0.58246772800655788</v>
      </c>
    </row>
    <row r="174" spans="1:19" ht="12.75" x14ac:dyDescent="0.35">
      <c r="C174" s="171">
        <v>2</v>
      </c>
      <c r="D174" s="85" t="str">
        <v>Non-Residential Accumulation</v>
      </c>
      <c r="H174" s="259" t="s">
        <v>79</v>
      </c>
      <c r="I174" s="259" t="s">
        <v>193</v>
      </c>
      <c r="J174" s="84" t="s">
        <v>239</v>
      </c>
      <c r="M174" s="158">
        <v>0.43462968913722722</v>
      </c>
    </row>
    <row r="175" spans="1:19" ht="12.75" x14ac:dyDescent="0.35">
      <c r="C175" s="171" t="s">
        <v>494</v>
      </c>
      <c r="D175" s="85" t="str">
        <v>LV Smart Meter - Res</v>
      </c>
      <c r="H175" s="259" t="s">
        <v>79</v>
      </c>
      <c r="I175" s="259" t="s">
        <v>193</v>
      </c>
      <c r="J175" s="84" t="s">
        <v>239</v>
      </c>
      <c r="M175" s="158">
        <v>0.58246772800655788</v>
      </c>
    </row>
    <row r="176" spans="1:19" ht="12.75" x14ac:dyDescent="0.35">
      <c r="C176" s="171" t="s">
        <v>495</v>
      </c>
      <c r="D176" s="85" t="str">
        <v>LV Smart Meter - Small Comm</v>
      </c>
      <c r="H176" s="259" t="s">
        <v>79</v>
      </c>
      <c r="I176" s="259" t="s">
        <v>193</v>
      </c>
      <c r="J176" s="84" t="s">
        <v>239</v>
      </c>
      <c r="M176" s="158">
        <v>0.43462968913722722</v>
      </c>
    </row>
    <row r="177" spans="3:15" ht="12.75" x14ac:dyDescent="0.35">
      <c r="C177" s="171" t="s">
        <v>496</v>
      </c>
      <c r="D177" s="85" t="str">
        <v>LV Smart Meter - Med Comm</v>
      </c>
      <c r="H177" s="259" t="s">
        <v>79</v>
      </c>
      <c r="I177" s="259" t="s">
        <v>193</v>
      </c>
      <c r="J177" s="84" t="s">
        <v>239</v>
      </c>
      <c r="M177" s="158">
        <v>0.37761392060597815</v>
      </c>
    </row>
    <row r="178" spans="3:15" ht="12.75" x14ac:dyDescent="0.35">
      <c r="C178" s="171">
        <v>4</v>
      </c>
      <c r="D178" s="85" t="str">
        <v>Unmetered</v>
      </c>
      <c r="H178" s="259" t="s">
        <v>79</v>
      </c>
      <c r="I178" s="259" t="s">
        <v>193</v>
      </c>
      <c r="J178" s="84" t="s">
        <v>239</v>
      </c>
      <c r="M178" s="158">
        <v>0.24</v>
      </c>
    </row>
    <row r="179" spans="3:15" ht="12.75" x14ac:dyDescent="0.35">
      <c r="C179" s="171">
        <v>5</v>
      </c>
      <c r="D179" s="85" t="str">
        <v>LV Majors</v>
      </c>
      <c r="H179" s="259" t="s">
        <v>79</v>
      </c>
      <c r="I179" s="259" t="s">
        <v>193</v>
      </c>
      <c r="J179" s="84" t="s">
        <v>239</v>
      </c>
      <c r="M179" s="158">
        <v>0.29370010253806522</v>
      </c>
    </row>
    <row r="180" spans="3:15" ht="12.75" x14ac:dyDescent="0.35">
      <c r="C180" s="171">
        <v>6</v>
      </c>
      <c r="D180" s="85" t="str">
        <v>HV Smart Meters</v>
      </c>
      <c r="H180" s="259" t="s">
        <v>79</v>
      </c>
      <c r="I180" s="259" t="s">
        <v>193</v>
      </c>
      <c r="J180" s="84" t="s">
        <v>239</v>
      </c>
      <c r="M180" s="158">
        <v>0.28343234534436584</v>
      </c>
    </row>
    <row r="181" spans="3:15" ht="12.75" x14ac:dyDescent="0.35">
      <c r="C181" s="171">
        <v>7</v>
      </c>
      <c r="D181" s="85" t="str">
        <v>Super Users</v>
      </c>
      <c r="H181" s="259" t="s">
        <v>79</v>
      </c>
      <c r="I181" s="259" t="s">
        <v>193</v>
      </c>
      <c r="J181" s="84" t="s">
        <v>239</v>
      </c>
      <c r="M181" s="158">
        <v>0.25284375763216493</v>
      </c>
    </row>
    <row r="182" spans="3:15" ht="11.25" customHeight="1" x14ac:dyDescent="0.3"/>
    <row r="183" spans="3:15" ht="11.25" customHeight="1" x14ac:dyDescent="0.3"/>
    <row r="184" spans="3:15" s="8" customFormat="1" ht="13.9" x14ac:dyDescent="0.3">
      <c r="C184" s="8" t="s">
        <v>709</v>
      </c>
    </row>
    <row r="185" spans="3:15" ht="11.25" customHeight="1" x14ac:dyDescent="0.3"/>
    <row r="186" spans="3:15" ht="26.25" x14ac:dyDescent="0.3">
      <c r="C186" s="172" t="s">
        <v>5</v>
      </c>
      <c r="D186" s="70" t="str">
        <f>D$9</f>
        <v>Tariff</v>
      </c>
      <c r="H186" s="54" t="str">
        <f>Lookup!E$19</f>
        <v>Source</v>
      </c>
      <c r="I186" s="54" t="str">
        <f>Lookup!F$19</f>
        <v>Unit</v>
      </c>
      <c r="J186" s="54" t="str">
        <f>Lookup!G$19</f>
        <v>Basis</v>
      </c>
      <c r="M186" s="61" t="s">
        <v>294</v>
      </c>
      <c r="O186" s="61" t="s">
        <v>295</v>
      </c>
    </row>
    <row r="187" spans="3:15" ht="11.25" customHeight="1" x14ac:dyDescent="0.3"/>
    <row r="188" spans="3:15" ht="12.75" x14ac:dyDescent="0.35">
      <c r="C188" s="171">
        <v>1</v>
      </c>
      <c r="D188" s="85" t="str">
        <f t="array" ref="D188:D196">LU_Tariffs</f>
        <v>Residential Accumulation</v>
      </c>
      <c r="H188" s="259" t="s">
        <v>79</v>
      </c>
      <c r="I188" s="259" t="str">
        <f t="shared" ref="I188:I196" si="6">Percent</f>
        <v>Percent</v>
      </c>
      <c r="J188" s="259" t="str">
        <f t="shared" ref="J188:J196" si="7">NA</f>
        <v>N/A</v>
      </c>
      <c r="M188" s="94">
        <v>0.47189845777771766</v>
      </c>
      <c r="O188" s="94" t="s">
        <v>292</v>
      </c>
    </row>
    <row r="189" spans="3:15" ht="12.75" x14ac:dyDescent="0.35">
      <c r="C189" s="171">
        <v>2</v>
      </c>
      <c r="D189" s="85" t="str">
        <v>Non-Residential Accumulation</v>
      </c>
      <c r="H189" s="259" t="s">
        <v>79</v>
      </c>
      <c r="I189" s="259" t="str">
        <f t="shared" si="6"/>
        <v>Percent</v>
      </c>
      <c r="J189" s="259" t="str">
        <f t="shared" si="7"/>
        <v>N/A</v>
      </c>
      <c r="M189" s="94">
        <v>0.31325964328802514</v>
      </c>
      <c r="O189" s="94" t="s">
        <v>293</v>
      </c>
    </row>
    <row r="190" spans="3:15" ht="12.75" x14ac:dyDescent="0.35">
      <c r="C190" s="171" t="s">
        <v>494</v>
      </c>
      <c r="D190" s="85" t="str">
        <v>LV Smart Meter - Res</v>
      </c>
      <c r="H190" s="259" t="s">
        <v>79</v>
      </c>
      <c r="I190" s="259" t="str">
        <f t="shared" si="6"/>
        <v>Percent</v>
      </c>
      <c r="J190" s="259" t="str">
        <f t="shared" si="7"/>
        <v>N/A</v>
      </c>
      <c r="M190" s="94">
        <v>0.47189845777771766</v>
      </c>
      <c r="O190" s="94" t="s">
        <v>292</v>
      </c>
    </row>
    <row r="191" spans="3:15" ht="12.75" x14ac:dyDescent="0.35">
      <c r="C191" s="171" t="s">
        <v>495</v>
      </c>
      <c r="D191" s="85" t="str">
        <v>LV Smart Meter - Small Comm</v>
      </c>
      <c r="H191" s="259" t="s">
        <v>79</v>
      </c>
      <c r="I191" s="259" t="str">
        <f t="shared" si="6"/>
        <v>Percent</v>
      </c>
      <c r="J191" s="259" t="str">
        <f t="shared" si="7"/>
        <v>N/A</v>
      </c>
      <c r="M191" s="94">
        <v>0.31325964328802514</v>
      </c>
      <c r="O191" s="94" t="s">
        <v>293</v>
      </c>
    </row>
    <row r="192" spans="3:15" ht="12.75" x14ac:dyDescent="0.35">
      <c r="C192" s="171" t="s">
        <v>496</v>
      </c>
      <c r="D192" s="85" t="str">
        <v>LV Smart Meter - Med Comm</v>
      </c>
      <c r="H192" s="259" t="s">
        <v>79</v>
      </c>
      <c r="I192" s="259" t="str">
        <f t="shared" si="6"/>
        <v>Percent</v>
      </c>
      <c r="J192" s="259" t="str">
        <f t="shared" si="7"/>
        <v>N/A</v>
      </c>
      <c r="M192" s="94">
        <v>0.31325964328802514</v>
      </c>
      <c r="O192" s="94" t="s">
        <v>293</v>
      </c>
    </row>
    <row r="193" spans="2:15" ht="12.75" x14ac:dyDescent="0.35">
      <c r="C193" s="171">
        <v>4</v>
      </c>
      <c r="D193" s="85" t="str">
        <v>Unmetered</v>
      </c>
      <c r="H193" s="259" t="s">
        <v>79</v>
      </c>
      <c r="I193" s="259" t="str">
        <f t="shared" si="6"/>
        <v>Percent</v>
      </c>
      <c r="J193" s="259" t="str">
        <f t="shared" si="7"/>
        <v>N/A</v>
      </c>
      <c r="M193" s="94">
        <v>1.1569289237552519E-2</v>
      </c>
      <c r="O193" s="94" t="str">
        <f>NA</f>
        <v>N/A</v>
      </c>
    </row>
    <row r="194" spans="2:15" ht="12.75" x14ac:dyDescent="0.35">
      <c r="C194" s="171">
        <v>5</v>
      </c>
      <c r="D194" s="85" t="str">
        <v>LV Majors</v>
      </c>
      <c r="H194" s="259" t="s">
        <v>79</v>
      </c>
      <c r="I194" s="259" t="str">
        <f t="shared" si="6"/>
        <v>Percent</v>
      </c>
      <c r="J194" s="259" t="str">
        <f t="shared" si="7"/>
        <v>N/A</v>
      </c>
      <c r="M194" s="94">
        <v>0.10917538007563128</v>
      </c>
      <c r="O194" s="94" t="str">
        <f>NA</f>
        <v>N/A</v>
      </c>
    </row>
    <row r="195" spans="2:15" ht="12.75" x14ac:dyDescent="0.35">
      <c r="C195" s="171">
        <v>6</v>
      </c>
      <c r="D195" s="85" t="str">
        <v>HV Smart Meters</v>
      </c>
      <c r="H195" s="259" t="s">
        <v>79</v>
      </c>
      <c r="I195" s="259" t="str">
        <f t="shared" si="6"/>
        <v>Percent</v>
      </c>
      <c r="J195" s="259" t="str">
        <f t="shared" si="7"/>
        <v>N/A</v>
      </c>
      <c r="M195" s="94">
        <v>6.9662466869726769E-2</v>
      </c>
      <c r="O195" s="94" t="str">
        <f>NA</f>
        <v>N/A</v>
      </c>
    </row>
    <row r="196" spans="2:15" ht="12.75" x14ac:dyDescent="0.35">
      <c r="C196" s="171">
        <v>7</v>
      </c>
      <c r="D196" s="85" t="str">
        <v>Super Users</v>
      </c>
      <c r="H196" s="259" t="s">
        <v>79</v>
      </c>
      <c r="I196" s="259" t="str">
        <f t="shared" si="6"/>
        <v>Percent</v>
      </c>
      <c r="J196" s="259" t="str">
        <f t="shared" si="7"/>
        <v>N/A</v>
      </c>
      <c r="M196" s="94">
        <v>2.4434762751346574E-2</v>
      </c>
      <c r="O196" s="94" t="str">
        <f>NA</f>
        <v>N/A</v>
      </c>
    </row>
    <row r="197" spans="2:15" ht="11.25" customHeight="1" x14ac:dyDescent="0.3"/>
    <row r="198" spans="2:15" ht="11.25" customHeight="1" x14ac:dyDescent="0.3"/>
    <row r="199" spans="2:15" s="2" customFormat="1" ht="15" x14ac:dyDescent="0.3">
      <c r="B199" s="2" t="s">
        <v>20</v>
      </c>
    </row>
  </sheetData>
  <conditionalFormatting sqref="B2">
    <cfRule type="cellIs" dxfId="30" priority="9" operator="notEqual">
      <formula>"No Errors Found"</formula>
    </cfRule>
  </conditionalFormatting>
  <conditionalFormatting sqref="R84:S84">
    <cfRule type="expression" dxfId="29" priority="7">
      <formula>R$83=No_Input</formula>
    </cfRule>
  </conditionalFormatting>
  <conditionalFormatting sqref="M84:N84">
    <cfRule type="expression" dxfId="28" priority="6">
      <formula>M$83=No_Input</formula>
    </cfRule>
  </conditionalFormatting>
  <conditionalFormatting sqref="O84:P84">
    <cfRule type="expression" dxfId="27" priority="2">
      <formula>O$83=No_Input</formula>
    </cfRule>
  </conditionalFormatting>
  <conditionalFormatting sqref="Q84">
    <cfRule type="expression" dxfId="26" priority="1">
      <formula>Q$83=No_Input</formula>
    </cfRule>
  </conditionalFormatting>
  <dataValidations count="6">
    <dataValidation type="list" allowBlank="1" showInputMessage="1" showErrorMessage="1" sqref="I116:I124 I44 I89 I84:I86 I65 I32:I35 I29:I30 I53 I47:I51 I56:I60 I62 I27 I101:I109 I136:I162 I173:I181 I188:I196" xr:uid="{00000000-0002-0000-0600-000000000000}">
      <formula1>LU_Units</formula1>
    </dataValidation>
    <dataValidation type="list" allowBlank="1" showInputMessage="1" showErrorMessage="1" sqref="J27 J44 J84:J86 J65 J32:J35 J89 J29:J30 J53 J47:J51 J56:J60 J62 J101:J109 J136:J162 J173:J181 J188:J196" xr:uid="{00000000-0002-0000-0600-000001000000}">
      <formula1>LU_Basis</formula1>
    </dataValidation>
    <dataValidation type="list" allowBlank="1" showInputMessage="1" showErrorMessage="1" sqref="D116:D124 D101:D109 D163 D173:D181 D188:D196" xr:uid="{00000000-0002-0000-0600-000002000000}">
      <formula1>LU_Tariff_Assignments</formula1>
    </dataValidation>
    <dataValidation type="list" allowBlank="1" showInputMessage="1" showErrorMessage="1" sqref="M83:S83" xr:uid="{00000000-0002-0000-0600-000003000000}">
      <formula1>LU_Revenue_Input</formula1>
    </dataValidation>
    <dataValidation type="list" allowBlank="1" showInputMessage="1" showErrorMessage="1" sqref="M101:M109" xr:uid="{624F9959-1368-4EF9-A0FF-D547E995DFFB}">
      <formula1>LU_Voltage_Level</formula1>
    </dataValidation>
    <dataValidation type="list" allowBlank="1" showInputMessage="1" showErrorMessage="1" sqref="D136:D162" xr:uid="{17623B1B-24D6-4BAC-8ACF-6C6792C4A6EE}">
      <formula1>LU_Tariffs</formula1>
    </dataValidation>
  </dataValidations>
  <hyperlinks>
    <hyperlink ref="B3:E3" location="TOC!A1" display="TOC!A1"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6" tint="0.59999389629810485"/>
  </sheetPr>
  <dimension ref="A1:W83"/>
  <sheetViews>
    <sheetView showGridLines="0" zoomScaleNormal="100" workbookViewId="0">
      <pane xSplit="4" ySplit="9" topLeftCell="R20" activePane="bottomRight" state="frozen"/>
      <selection pane="topRight" activeCell="E1" sqref="E1"/>
      <selection pane="bottomLeft" activeCell="A10" sqref="A10"/>
      <selection pane="bottomRight" activeCell="U39" sqref="U39"/>
    </sheetView>
  </sheetViews>
  <sheetFormatPr defaultColWidth="9.33203125" defaultRowHeight="10.15" outlineLevelRow="1" x14ac:dyDescent="0.3"/>
  <cols>
    <col min="1" max="1" width="3.33203125" customWidth="1"/>
    <col min="2" max="3" width="2.83203125" customWidth="1"/>
    <col min="4" max="4" width="34.33203125" bestFit="1" customWidth="1"/>
    <col min="5" max="5" width="23.33203125" bestFit="1" customWidth="1"/>
    <col min="6" max="6" width="14.6640625" bestFit="1" customWidth="1"/>
    <col min="7" max="7" width="2.5" customWidth="1"/>
    <col min="8" max="8" width="12.33203125" bestFit="1" customWidth="1"/>
    <col min="9" max="9" width="7.33203125" bestFit="1" customWidth="1"/>
    <col min="10" max="10" width="10" bestFit="1" customWidth="1"/>
    <col min="11" max="11" width="12.83203125" customWidth="1"/>
    <col min="12" max="12" width="2.5" customWidth="1"/>
    <col min="13" max="13" width="16" customWidth="1"/>
    <col min="14" max="14" width="11.83203125" customWidth="1"/>
    <col min="15" max="19" width="15.5" customWidth="1"/>
    <col min="20" max="20" width="4.33203125" customWidth="1"/>
    <col min="21" max="21" width="82.08203125" bestFit="1" customWidth="1"/>
    <col min="22" max="22" width="4.33203125" customWidth="1"/>
    <col min="23" max="23" width="72.9140625" bestFit="1" customWidth="1"/>
    <col min="24" max="24" width="10.83203125" customWidth="1"/>
  </cols>
  <sheetData>
    <row r="1" spans="1:21" ht="18.75" x14ac:dyDescent="0.3">
      <c r="A1" s="59">
        <f>IF(SUM($A10:$A83)&gt;0,1,0)</f>
        <v>0</v>
      </c>
      <c r="B1" s="3" t="s">
        <v>710</v>
      </c>
    </row>
    <row r="2" spans="1:21" x14ac:dyDescent="0.3">
      <c r="B2" s="13" t="str">
        <f ca="1">Title_Msg</f>
        <v>No Errors Found</v>
      </c>
    </row>
    <row r="3" spans="1:21" x14ac:dyDescent="0.3">
      <c r="B3" s="46" t="str">
        <f>TOC!B1</f>
        <v>Table of contents</v>
      </c>
      <c r="C3" s="42"/>
      <c r="D3" s="42"/>
      <c r="E3" s="42"/>
    </row>
    <row r="4" spans="1:21" ht="13.15" x14ac:dyDescent="0.3">
      <c r="B4" s="40" t="str">
        <f>Model_Name</f>
        <v>Pricing Model - Power and Water Corporation</v>
      </c>
    </row>
    <row r="5" spans="1:21" ht="12.75" hidden="1" outlineLevel="1" x14ac:dyDescent="0.3">
      <c r="B5" s="10"/>
      <c r="J5" s="51"/>
      <c r="K5" s="51"/>
      <c r="L5" s="51"/>
      <c r="M5" s="51"/>
      <c r="N5" s="51"/>
      <c r="O5" s="51"/>
      <c r="P5" s="51"/>
      <c r="Q5" s="51"/>
      <c r="R5" s="51"/>
      <c r="S5" s="51"/>
    </row>
    <row r="6" spans="1:21" ht="12.75" hidden="1" outlineLevel="1" x14ac:dyDescent="0.3">
      <c r="B6" s="10"/>
      <c r="J6" s="51"/>
      <c r="K6" s="51"/>
      <c r="L6" s="51"/>
      <c r="M6" s="51"/>
      <c r="N6" s="51"/>
      <c r="O6" s="51"/>
      <c r="P6" s="51"/>
      <c r="Q6" s="51"/>
      <c r="R6" s="51"/>
      <c r="S6" s="51"/>
    </row>
    <row r="7" spans="1:21" ht="12.75" hidden="1" outlineLevel="1" x14ac:dyDescent="0.3">
      <c r="B7" s="10"/>
      <c r="J7" s="52"/>
      <c r="K7" s="52"/>
      <c r="L7" s="52"/>
      <c r="M7" s="52"/>
      <c r="N7" s="52"/>
      <c r="O7" s="52"/>
      <c r="P7" s="52"/>
      <c r="Q7" s="52"/>
      <c r="R7" s="52"/>
      <c r="S7" s="52"/>
    </row>
    <row r="8" spans="1:21" ht="12.75" hidden="1" outlineLevel="1" x14ac:dyDescent="0.3">
      <c r="B8" s="10"/>
      <c r="J8" s="53"/>
      <c r="K8" s="53"/>
      <c r="L8" s="53"/>
      <c r="M8" s="53"/>
      <c r="N8" s="53"/>
      <c r="O8" s="53"/>
      <c r="P8" s="53"/>
      <c r="Q8" s="53"/>
      <c r="R8" s="53"/>
      <c r="S8" s="53"/>
    </row>
    <row r="9" spans="1:21" ht="13.15" collapsed="1" x14ac:dyDescent="0.3">
      <c r="B9" s="5" t="str">
        <f>Lookup!B19</f>
        <v>FY</v>
      </c>
      <c r="D9" s="260" t="s">
        <v>118</v>
      </c>
      <c r="E9" s="50" t="s">
        <v>61</v>
      </c>
      <c r="F9" s="50" t="s">
        <v>62</v>
      </c>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row>
    <row r="11" spans="1:21" s="2" customFormat="1" ht="15" x14ac:dyDescent="0.3">
      <c r="B11" s="2" t="s">
        <v>711</v>
      </c>
    </row>
    <row r="12" spans="1:21" ht="11.25" customHeight="1" x14ac:dyDescent="0.3"/>
    <row r="13" spans="1:21" ht="11.25" customHeight="1" x14ac:dyDescent="0.3">
      <c r="D13" s="105" t="s">
        <v>217</v>
      </c>
    </row>
    <row r="14" spans="1:21" ht="11.25" customHeight="1" x14ac:dyDescent="0.3"/>
    <row r="15" spans="1:21" ht="11.25" customHeight="1" x14ac:dyDescent="0.3"/>
    <row r="16" spans="1:21" s="8" customFormat="1" ht="13.9" x14ac:dyDescent="0.3">
      <c r="C16" s="8" t="s">
        <v>128</v>
      </c>
    </row>
    <row r="17" spans="1:23" ht="11.25" customHeight="1" x14ac:dyDescent="0.3"/>
    <row r="18" spans="1:23" ht="11.25" customHeight="1" x14ac:dyDescent="0.3">
      <c r="D18" s="70" t="s">
        <v>129</v>
      </c>
      <c r="F18" s="54" t="str">
        <f>F$9</f>
        <v>Tariff Class</v>
      </c>
      <c r="H18" s="54" t="str">
        <f>Lookup!E$19</f>
        <v>Source</v>
      </c>
      <c r="I18" s="54" t="str">
        <f>Lookup!F$19</f>
        <v>Unit</v>
      </c>
      <c r="J18" s="54" t="str">
        <f>Lookup!G$19</f>
        <v>Basis</v>
      </c>
      <c r="O18" s="54" t="str">
        <f>O$9</f>
        <v>FY25</v>
      </c>
      <c r="P18" s="54" t="str">
        <f>P$9</f>
        <v>FY26</v>
      </c>
      <c r="Q18" s="54" t="str">
        <f>Q$9</f>
        <v>FY27</v>
      </c>
      <c r="R18" s="54" t="str">
        <f>R$9</f>
        <v>FY28</v>
      </c>
      <c r="S18" s="54" t="str">
        <f>S$9</f>
        <v>FY29</v>
      </c>
    </row>
    <row r="19" spans="1:23" ht="11.25" customHeight="1" x14ac:dyDescent="0.3"/>
    <row r="20" spans="1:23" ht="12.75" x14ac:dyDescent="0.3">
      <c r="D20" s="76" t="str">
        <f>C28</f>
        <v>System access charge</v>
      </c>
      <c r="F20" s="63" t="s">
        <v>21</v>
      </c>
      <c r="H20" s="259" t="s">
        <v>130</v>
      </c>
      <c r="I20" s="259" t="s">
        <v>47</v>
      </c>
      <c r="J20" s="259" t="s">
        <v>40</v>
      </c>
      <c r="O20" s="66">
        <f>O42</f>
        <v>82455.791239367565</v>
      </c>
      <c r="P20" s="66">
        <f>P42</f>
        <v>95335.29654842017</v>
      </c>
      <c r="Q20" s="66">
        <f>Q42</f>
        <v>107368.27120580127</v>
      </c>
      <c r="R20" s="66">
        <f>R42</f>
        <v>121454.18363844567</v>
      </c>
      <c r="S20" s="66">
        <f>S42</f>
        <v>126542.91495938413</v>
      </c>
    </row>
    <row r="21" spans="1:23" ht="12.75" x14ac:dyDescent="0.3">
      <c r="D21" s="76" t="str">
        <f>C46</f>
        <v>Consumption</v>
      </c>
      <c r="F21" s="63" t="s">
        <v>21</v>
      </c>
      <c r="H21" s="259" t="s">
        <v>130</v>
      </c>
      <c r="I21" s="259" t="s">
        <v>47</v>
      </c>
      <c r="J21" s="259" t="s">
        <v>40</v>
      </c>
      <c r="O21" s="66">
        <f>O66</f>
        <v>83927.475329798588</v>
      </c>
      <c r="P21" s="66">
        <f>P66</f>
        <v>90859.702757764418</v>
      </c>
      <c r="Q21" s="66">
        <f>Q66</f>
        <v>101033.97969320828</v>
      </c>
      <c r="R21" s="66">
        <f>R66</f>
        <v>111765.48723589908</v>
      </c>
      <c r="S21" s="66">
        <f>S66</f>
        <v>116132.35719727544</v>
      </c>
    </row>
    <row r="22" spans="1:23" ht="12.75" x14ac:dyDescent="0.3">
      <c r="D22" s="76" t="str">
        <f>C70</f>
        <v>Demand</v>
      </c>
      <c r="F22" s="63" t="s">
        <v>21</v>
      </c>
      <c r="H22" s="259" t="s">
        <v>130</v>
      </c>
      <c r="I22" s="259" t="s">
        <v>47</v>
      </c>
      <c r="J22" s="259" t="s">
        <v>40</v>
      </c>
      <c r="O22" s="66">
        <f>O79</f>
        <v>9585.1716897062506</v>
      </c>
      <c r="P22" s="66">
        <f>P79</f>
        <v>10214.155442551155</v>
      </c>
      <c r="Q22" s="66">
        <f>Q79</f>
        <v>10822.039836364855</v>
      </c>
      <c r="R22" s="66">
        <f>R79</f>
        <v>11469.990918201132</v>
      </c>
      <c r="S22" s="66">
        <f>S79</f>
        <v>12109.258207779152</v>
      </c>
    </row>
    <row r="23" spans="1:23" ht="11.25" customHeight="1" x14ac:dyDescent="0.3">
      <c r="Q23" s="145"/>
    </row>
    <row r="24" spans="1:23" ht="11.25" customHeight="1" x14ac:dyDescent="0.3">
      <c r="D24" s="62" t="s">
        <v>51</v>
      </c>
      <c r="F24" s="56" t="s">
        <v>21</v>
      </c>
      <c r="H24" s="56" t="s">
        <v>52</v>
      </c>
      <c r="I24" s="56" t="str">
        <f>Thousands</f>
        <v>$000's</v>
      </c>
      <c r="J24" s="56" t="str">
        <f>Nominal</f>
        <v>Nominal</v>
      </c>
      <c r="O24" s="68">
        <f>SUM(O20:O22)</f>
        <v>175968.4382588724</v>
      </c>
      <c r="P24" s="68">
        <f>SUM(P20:P22)</f>
        <v>196409.15474873575</v>
      </c>
      <c r="Q24" s="68">
        <f>SUM(Q20:Q22)</f>
        <v>219224.29073537441</v>
      </c>
      <c r="R24" s="68">
        <f>SUM(R20:R22)</f>
        <v>244689.6617925459</v>
      </c>
      <c r="S24" s="68">
        <f>SUM(S20:S22)</f>
        <v>254784.53036443872</v>
      </c>
    </row>
    <row r="25" spans="1:23" ht="11.25" customHeight="1" x14ac:dyDescent="0.3"/>
    <row r="26" spans="1:23" ht="12.75" hidden="1" outlineLevel="1" x14ac:dyDescent="0.3">
      <c r="A26" s="59">
        <f>IF(SUM($O26:$S26)=0,0,1)</f>
        <v>0</v>
      </c>
      <c r="D26" s="81" t="s">
        <v>127</v>
      </c>
      <c r="E26" s="80"/>
      <c r="F26" s="80"/>
      <c r="G26" s="82"/>
      <c r="H26" s="80"/>
      <c r="I26" s="80"/>
      <c r="J26" s="80"/>
      <c r="K26" s="58"/>
      <c r="O26" s="59">
        <f t="shared" ref="O26:S26" si="0">IF(ISERROR(O24)&lt;&gt;0,0,1)</f>
        <v>0</v>
      </c>
      <c r="P26" s="59">
        <f t="shared" si="0"/>
        <v>0</v>
      </c>
      <c r="Q26" s="59">
        <f t="shared" si="0"/>
        <v>0</v>
      </c>
      <c r="R26" s="59">
        <f t="shared" si="0"/>
        <v>0</v>
      </c>
      <c r="S26" s="59">
        <f t="shared" si="0"/>
        <v>0</v>
      </c>
    </row>
    <row r="27" spans="1:23" ht="11.25" customHeight="1" collapsed="1" x14ac:dyDescent="0.3"/>
    <row r="28" spans="1:23" s="8" customFormat="1" ht="13.9" x14ac:dyDescent="0.3">
      <c r="C28" s="8" t="str">
        <f>Inputs_Prices!C16</f>
        <v>System access charge</v>
      </c>
    </row>
    <row r="29" spans="1:23" ht="11.25" customHeight="1" x14ac:dyDescent="0.3"/>
    <row r="30" spans="1:23" ht="11.25" customHeight="1" x14ac:dyDescent="0.3">
      <c r="C30" s="172" t="s">
        <v>5</v>
      </c>
      <c r="D30" s="70" t="str">
        <f>D$9</f>
        <v>Tariff</v>
      </c>
      <c r="E30" s="54" t="str">
        <f>E$9</f>
        <v>Tariff Components</v>
      </c>
      <c r="F30" s="54" t="str">
        <f>F$9</f>
        <v>Tariff Class</v>
      </c>
      <c r="H30" s="54" t="str">
        <f>Lookup!E$19</f>
        <v>Source</v>
      </c>
      <c r="I30" s="54" t="str">
        <f>Lookup!F$19</f>
        <v>Unit</v>
      </c>
      <c r="J30" s="54" t="str">
        <f>Lookup!G$19</f>
        <v>Basis</v>
      </c>
      <c r="O30" s="54" t="str">
        <f>O$9</f>
        <v>FY25</v>
      </c>
      <c r="P30" s="54" t="str">
        <f>P$9</f>
        <v>FY26</v>
      </c>
      <c r="Q30" s="54" t="str">
        <f>Q$9</f>
        <v>FY27</v>
      </c>
      <c r="R30" s="54" t="str">
        <f>R$9</f>
        <v>FY28</v>
      </c>
      <c r="S30" s="54" t="str">
        <f>S$9</f>
        <v>FY29</v>
      </c>
      <c r="U30" s="70" t="s">
        <v>513</v>
      </c>
      <c r="W30" s="70" t="s">
        <v>520</v>
      </c>
    </row>
    <row r="31" spans="1:23" ht="11.25" customHeight="1" x14ac:dyDescent="0.3">
      <c r="D31" s="1"/>
    </row>
    <row r="32" spans="1:23" ht="12.75" x14ac:dyDescent="0.35">
      <c r="C32" s="171">
        <f>Inputs_Prices!C20</f>
        <v>1</v>
      </c>
      <c r="D32" s="76" t="str">
        <f>Inputs_Prices!D20</f>
        <v>Residential Accumulation</v>
      </c>
      <c r="E32" s="259" t="s">
        <v>105</v>
      </c>
      <c r="F32" s="63" t="str">
        <f>Inputs_Prices!F20</f>
        <v>LV &lt;750MWh</v>
      </c>
      <c r="H32" s="259" t="s">
        <v>52</v>
      </c>
      <c r="I32" s="259" t="s">
        <v>47</v>
      </c>
      <c r="J32" s="259" t="s">
        <v>40</v>
      </c>
      <c r="O32" s="66">
        <f>Inputs_Prices!O20*Inputs_Volumes!O20*Dollars_to_Thousands</f>
        <v>42188.433072564665</v>
      </c>
      <c r="P32" s="66">
        <f>Inputs_Prices!P20*Inputs_Volumes!P20*Dollars_to_Thousands</f>
        <v>45370.514746957961</v>
      </c>
      <c r="Q32" s="66">
        <f>Inputs_Prices!Q20*Inputs_Volumes!Q20*Dollars_to_Thousands</f>
        <v>47878.585096605762</v>
      </c>
      <c r="R32" s="66">
        <f>Inputs_Prices!R20*Inputs_Volumes!R20*Dollars_to_Thousands</f>
        <v>50785.339305042893</v>
      </c>
      <c r="S32" s="66">
        <f>Inputs_Prices!S20*Inputs_Volumes!S20*Dollars_to_Thousands</f>
        <v>50883.018559082055</v>
      </c>
      <c r="U32" s="76" t="str">
        <f>Inputs_Prices!$U20</f>
        <v xml:space="preserve">Revenue from Fixed Customer Charges </v>
      </c>
      <c r="W32" s="76" t="str">
        <f>Inputs_Prices!$W20</f>
        <v xml:space="preserve">Revenue from residential Customers </v>
      </c>
    </row>
    <row r="33" spans="1:23" ht="12.75" x14ac:dyDescent="0.35">
      <c r="C33" s="171">
        <f>Inputs_Prices!C21</f>
        <v>2</v>
      </c>
      <c r="D33" s="76" t="str">
        <f>Inputs_Prices!D21</f>
        <v>Non-Residential Accumulation</v>
      </c>
      <c r="E33" s="259" t="s">
        <v>105</v>
      </c>
      <c r="F33" s="63" t="str">
        <f>Inputs_Prices!F21</f>
        <v>LV &lt;750MWh</v>
      </c>
      <c r="H33" s="259" t="s">
        <v>52</v>
      </c>
      <c r="I33" s="259" t="s">
        <v>47</v>
      </c>
      <c r="J33" s="259" t="s">
        <v>40</v>
      </c>
      <c r="O33" s="66">
        <f>Inputs_Prices!O21*Inputs_Volumes!O21*Dollars_to_Thousands</f>
        <v>1254.3769346533113</v>
      </c>
      <c r="P33" s="66">
        <f>Inputs_Prices!P21*Inputs_Volumes!P21*Dollars_to_Thousands</f>
        <v>753.89297140445251</v>
      </c>
      <c r="Q33" s="66">
        <f>Inputs_Prices!Q21*Inputs_Volumes!Q21*Dollars_to_Thousands</f>
        <v>126.53626061245811</v>
      </c>
      <c r="R33" s="66">
        <f>Inputs_Prices!R21*Inputs_Volumes!R21*Dollars_to_Thousands</f>
        <v>0</v>
      </c>
      <c r="S33" s="66">
        <f>Inputs_Prices!S21*Inputs_Volumes!S21*Dollars_to_Thousands</f>
        <v>0</v>
      </c>
      <c r="U33" s="76" t="str">
        <f>Inputs_Prices!$U21</f>
        <v xml:space="preserve">Revenue from Fixed Customer Charges </v>
      </c>
      <c r="W33" s="76" t="str">
        <f>Inputs_Prices!$W21</f>
        <v xml:space="preserve">Revenue from Non residential customers not on demand tariffs </v>
      </c>
    </row>
    <row r="34" spans="1:23" ht="12.75" x14ac:dyDescent="0.35">
      <c r="C34" s="171" t="str">
        <f>Inputs_Prices!C22</f>
        <v>3a</v>
      </c>
      <c r="D34" s="76" t="str">
        <f>Inputs_Prices!D22</f>
        <v>LV Smart Meter - Res</v>
      </c>
      <c r="E34" s="259" t="s">
        <v>105</v>
      </c>
      <c r="F34" s="63" t="str">
        <f>Inputs_Prices!F22</f>
        <v>LV &lt;750MWh</v>
      </c>
      <c r="H34" s="259" t="s">
        <v>52</v>
      </c>
      <c r="I34" s="259" t="s">
        <v>47</v>
      </c>
      <c r="J34" s="259" t="s">
        <v>40</v>
      </c>
      <c r="O34" s="66">
        <f>Inputs_Prices!O22*Inputs_Volumes!O22*Dollars_to_Thousands</f>
        <v>20408.723428706224</v>
      </c>
      <c r="P34" s="66">
        <f>Inputs_Prices!P22*Inputs_Volumes!P22*Dollars_to_Thousands</f>
        <v>24730.661095269395</v>
      </c>
      <c r="Q34" s="66">
        <f>Inputs_Prices!Q22*Inputs_Volumes!Q22*Dollars_to_Thousands</f>
        <v>29710.647332174427</v>
      </c>
      <c r="R34" s="66">
        <f>Inputs_Prices!R22*Inputs_Volumes!R22*Dollars_to_Thousands</f>
        <v>35585.948203933825</v>
      </c>
      <c r="S34" s="66">
        <f>Inputs_Prices!S22*Inputs_Volumes!S22*Dollars_to_Thousands</f>
        <v>38655.74439649476</v>
      </c>
      <c r="U34" s="76" t="str">
        <f>Inputs_Prices!$U22</f>
        <v xml:space="preserve">Revenue from Fixed Customer Charges </v>
      </c>
      <c r="W34" s="76" t="str">
        <f>Inputs_Prices!$W22</f>
        <v xml:space="preserve">Revenue from residential Customers </v>
      </c>
    </row>
    <row r="35" spans="1:23" ht="12.75" x14ac:dyDescent="0.35">
      <c r="C35" s="171" t="str">
        <f>Inputs_Prices!C23</f>
        <v>3b</v>
      </c>
      <c r="D35" s="76" t="str">
        <f>Inputs_Prices!D23</f>
        <v>LV Smart Meter - Small Comm</v>
      </c>
      <c r="E35" s="259" t="s">
        <v>105</v>
      </c>
      <c r="F35" s="63" t="str">
        <f>Inputs_Prices!F23</f>
        <v>LV &lt;750MWh</v>
      </c>
      <c r="H35" s="259" t="s">
        <v>52</v>
      </c>
      <c r="I35" s="259" t="s">
        <v>47</v>
      </c>
      <c r="J35" s="259" t="s">
        <v>40</v>
      </c>
      <c r="O35" s="66">
        <f>Inputs_Prices!O23*Inputs_Volumes!O23*Dollars_to_Thousands</f>
        <v>3081.2608639777463</v>
      </c>
      <c r="P35" s="66">
        <f>Inputs_Prices!P23*Inputs_Volumes!P23*Dollars_to_Thousands</f>
        <v>6454.0885446507173</v>
      </c>
      <c r="Q35" s="66">
        <f>Inputs_Prices!Q23*Inputs_Volumes!Q23*Dollars_to_Thousands</f>
        <v>8101.1998491905633</v>
      </c>
      <c r="R35" s="66">
        <f>Inputs_Prices!R23*Inputs_Volumes!R23*Dollars_to_Thousands</f>
        <v>9727.5502454338202</v>
      </c>
      <c r="S35" s="66">
        <f>Inputs_Prices!S23*Inputs_Volumes!S23*Dollars_to_Thousands</f>
        <v>10179.111732501828</v>
      </c>
      <c r="U35" s="76" t="str">
        <f>Inputs_Prices!$U23</f>
        <v xml:space="preserve">Revenue from Fixed Customer Charges </v>
      </c>
      <c r="W35" s="76" t="str">
        <f>Inputs_Prices!$W23</f>
        <v xml:space="preserve">Revenue from Non residential customers not on demand tariffs </v>
      </c>
    </row>
    <row r="36" spans="1:23" ht="12.75" x14ac:dyDescent="0.35">
      <c r="C36" s="171" t="str">
        <f>Inputs_Prices!C24</f>
        <v>3c</v>
      </c>
      <c r="D36" s="76" t="str">
        <f>Inputs_Prices!D24</f>
        <v>LV Smart Meter - Med Comm</v>
      </c>
      <c r="E36" s="259" t="s">
        <v>105</v>
      </c>
      <c r="F36" s="63" t="str">
        <f>Inputs_Prices!F24</f>
        <v>LV &lt;750MWh</v>
      </c>
      <c r="H36" s="259" t="s">
        <v>52</v>
      </c>
      <c r="I36" s="259" t="s">
        <v>47</v>
      </c>
      <c r="J36" s="259" t="s">
        <v>40</v>
      </c>
      <c r="O36" s="66">
        <f>Inputs_Prices!O24*Inputs_Volumes!O24*Dollars_to_Thousands</f>
        <v>2403.7469538901328</v>
      </c>
      <c r="P36" s="66">
        <f>Inputs_Prices!P24*Inputs_Volumes!P24*Dollars_to_Thousands</f>
        <v>2852.4713984520408</v>
      </c>
      <c r="Q36" s="66">
        <f>Inputs_Prices!Q24*Inputs_Volumes!Q24*Dollars_to_Thousands</f>
        <v>3724.37761203747</v>
      </c>
      <c r="R36" s="66">
        <f>Inputs_Prices!R24*Inputs_Volumes!R24*Dollars_to_Thousands</f>
        <v>4494.1632256330095</v>
      </c>
      <c r="S36" s="66">
        <f>Inputs_Prices!S24*Inputs_Volumes!S24*Dollars_to_Thousands</f>
        <v>4696.0011952004843</v>
      </c>
      <c r="U36" s="76" t="str">
        <f>Inputs_Prices!$U24</f>
        <v xml:space="preserve">Revenue from Fixed Customer Charges </v>
      </c>
      <c r="W36" s="76" t="str">
        <f>Inputs_Prices!$W24</f>
        <v xml:space="preserve">Revenue from Non residential customers not on demand tariffs </v>
      </c>
    </row>
    <row r="37" spans="1:23" ht="12.75" x14ac:dyDescent="0.35">
      <c r="C37" s="171">
        <f>Inputs_Prices!C25</f>
        <v>4</v>
      </c>
      <c r="D37" s="76" t="str">
        <f>Inputs_Prices!D25</f>
        <v>Unmetered</v>
      </c>
      <c r="E37" s="259" t="s">
        <v>105</v>
      </c>
      <c r="F37" s="63" t="str">
        <f>Inputs_Prices!F25</f>
        <v>LV &lt;750MWh</v>
      </c>
      <c r="H37" s="259" t="s">
        <v>52</v>
      </c>
      <c r="I37" s="259" t="s">
        <v>47</v>
      </c>
      <c r="J37" s="259" t="s">
        <v>40</v>
      </c>
      <c r="O37" s="66">
        <f>Inputs_Prices!O25*Inputs_Volumes!O25*Dollars_to_Thousands</f>
        <v>0</v>
      </c>
      <c r="P37" s="66">
        <f>Inputs_Prices!P25*Inputs_Volumes!P25*Dollars_to_Thousands</f>
        <v>0</v>
      </c>
      <c r="Q37" s="66">
        <f>Inputs_Prices!Q25*Inputs_Volumes!Q25*Dollars_to_Thousands</f>
        <v>0</v>
      </c>
      <c r="R37" s="66">
        <f>Inputs_Prices!R25*Inputs_Volumes!R25*Dollars_to_Thousands</f>
        <v>0</v>
      </c>
      <c r="S37" s="66">
        <f>Inputs_Prices!S25*Inputs_Volumes!S25*Dollars_to_Thousands</f>
        <v>0</v>
      </c>
      <c r="U37" s="76" t="str">
        <f>Inputs_Prices!$U25</f>
        <v xml:space="preserve">Revenue from Fixed Customer Charges </v>
      </c>
      <c r="W37" s="76" t="str">
        <f>Inputs_Prices!$W25</f>
        <v>Revenue from unmetered supplies</v>
      </c>
    </row>
    <row r="38" spans="1:23" ht="12.75" x14ac:dyDescent="0.35">
      <c r="C38" s="171">
        <f>Inputs_Prices!C26</f>
        <v>5</v>
      </c>
      <c r="D38" s="76" t="str">
        <f>Inputs_Prices!D26</f>
        <v>LV Majors</v>
      </c>
      <c r="E38" s="259" t="s">
        <v>105</v>
      </c>
      <c r="F38" s="63" t="str">
        <f>Inputs_Prices!F26</f>
        <v>LV &gt;750MWh</v>
      </c>
      <c r="H38" s="259" t="s">
        <v>52</v>
      </c>
      <c r="I38" s="259" t="s">
        <v>47</v>
      </c>
      <c r="J38" s="259" t="s">
        <v>40</v>
      </c>
      <c r="O38" s="66">
        <f>Inputs_Prices!O26*Inputs_Volumes!O26*Dollars_to_Thousands</f>
        <v>7938.152302385417</v>
      </c>
      <c r="P38" s="66">
        <f>Inputs_Prices!P26*Inputs_Volumes!P26*Dollars_to_Thousands</f>
        <v>9114.3803602173812</v>
      </c>
      <c r="Q38" s="66">
        <f>Inputs_Prices!Q26*Inputs_Volumes!Q26*Dollars_to_Thousands</f>
        <v>10764.119302920002</v>
      </c>
      <c r="R38" s="66">
        <f>Inputs_Prices!R26*Inputs_Volumes!R26*Dollars_to_Thousands</f>
        <v>12643.687453463128</v>
      </c>
      <c r="S38" s="66">
        <f>Inputs_Prices!S26*Inputs_Volumes!S26*Dollars_to_Thousands</f>
        <v>13259.593056060647</v>
      </c>
      <c r="U38" s="76" t="str">
        <f>Inputs_Prices!$U26</f>
        <v xml:space="preserve">Revenue from Fixed Customer Charges </v>
      </c>
      <c r="W38" s="76" t="str">
        <f>Inputs_Prices!$W26</f>
        <v xml:space="preserve">Revenue from Non-residential low voltage demand tariff customers </v>
      </c>
    </row>
    <row r="39" spans="1:23" ht="12.75" x14ac:dyDescent="0.35">
      <c r="C39" s="171">
        <f>Inputs_Prices!C27</f>
        <v>6</v>
      </c>
      <c r="D39" s="76" t="str">
        <f>Inputs_Prices!D27</f>
        <v>HV Smart Meters</v>
      </c>
      <c r="E39" s="259" t="s">
        <v>105</v>
      </c>
      <c r="F39" s="63" t="str">
        <f>Inputs_Prices!F27</f>
        <v>HV</v>
      </c>
      <c r="H39" s="259" t="s">
        <v>52</v>
      </c>
      <c r="I39" s="259" t="s">
        <v>47</v>
      </c>
      <c r="J39" s="259" t="s">
        <v>40</v>
      </c>
      <c r="O39" s="66">
        <f>Inputs_Prices!O27*Inputs_Volumes!O27*Dollars_to_Thousands</f>
        <v>1516.55495644907</v>
      </c>
      <c r="P39" s="66">
        <f>Inputs_Prices!P27*Inputs_Volumes!P27*Dollars_to_Thousands</f>
        <v>1640.0814496216735</v>
      </c>
      <c r="Q39" s="66">
        <f>Inputs_Prices!Q27*Inputs_Volumes!Q27*Dollars_to_Thousands</f>
        <v>1801.4227746115955</v>
      </c>
      <c r="R39" s="66">
        <f>Inputs_Prices!R27*Inputs_Volumes!R27*Dollars_to_Thousands</f>
        <v>1977.9088292290792</v>
      </c>
      <c r="S39" s="66">
        <f>Inputs_Prices!S27*Inputs_Volumes!S27*Dollars_to_Thousands</f>
        <v>1990.2637002044949</v>
      </c>
      <c r="U39" s="76" t="str">
        <f>Inputs_Prices!$U27</f>
        <v xml:space="preserve">Revenue from Fixed Customer Charges </v>
      </c>
      <c r="W39" s="76" t="str">
        <f>Inputs_Prices!$W27</f>
        <v xml:space="preserve">Revenue from Non-residential high voltage demand tariff customers </v>
      </c>
    </row>
    <row r="40" spans="1:23" ht="12.75" x14ac:dyDescent="0.35">
      <c r="C40" s="171">
        <f>Inputs_Prices!C28</f>
        <v>7</v>
      </c>
      <c r="D40" s="76" t="str">
        <f>Inputs_Prices!D28</f>
        <v>Super Users</v>
      </c>
      <c r="E40" s="259" t="s">
        <v>105</v>
      </c>
      <c r="F40" s="63" t="str">
        <f>Inputs_Prices!F28</f>
        <v>HV</v>
      </c>
      <c r="H40" s="259" t="s">
        <v>52</v>
      </c>
      <c r="I40" s="259" t="s">
        <v>47</v>
      </c>
      <c r="J40" s="259" t="s">
        <v>40</v>
      </c>
      <c r="O40" s="66">
        <f>Inputs_Prices!O28*Inputs_Volumes!O28*Dollars_to_Thousands</f>
        <v>3664.5427267410182</v>
      </c>
      <c r="P40" s="66">
        <f>Inputs_Prices!P28*Inputs_Volumes!P28*Dollars_to_Thousands</f>
        <v>4419.2059818465541</v>
      </c>
      <c r="Q40" s="66">
        <f>Inputs_Prices!Q28*Inputs_Volumes!Q28*Dollars_to_Thousands</f>
        <v>5261.3829776489856</v>
      </c>
      <c r="R40" s="66">
        <f>Inputs_Prices!R28*Inputs_Volumes!R28*Dollars_to_Thousands</f>
        <v>6239.5863757099196</v>
      </c>
      <c r="S40" s="66">
        <f>Inputs_Prices!S28*Inputs_Volumes!S28*Dollars_to_Thousands</f>
        <v>6879.1823198398442</v>
      </c>
      <c r="U40" s="76" t="str">
        <f>Inputs_Prices!$U28</f>
        <v xml:space="preserve">Revenue from Fixed Customer Charges </v>
      </c>
      <c r="W40" s="76" t="str">
        <f>Inputs_Prices!$W28</f>
        <v xml:space="preserve">Revenue from Non residential customers not on demand tariffs </v>
      </c>
    </row>
    <row r="41" spans="1:23" ht="11.25" customHeight="1" x14ac:dyDescent="0.3"/>
    <row r="42" spans="1:23" ht="13.15" x14ac:dyDescent="0.3">
      <c r="D42" s="62" t="s">
        <v>51</v>
      </c>
      <c r="E42" s="56" t="s">
        <v>21</v>
      </c>
      <c r="F42" s="56" t="s">
        <v>21</v>
      </c>
      <c r="H42" s="56" t="s">
        <v>52</v>
      </c>
      <c r="I42" s="56" t="str">
        <f>Thousands</f>
        <v>$000's</v>
      </c>
      <c r="J42" s="56" t="str">
        <f>Nominal</f>
        <v>Nominal</v>
      </c>
      <c r="O42" s="68">
        <f>SUM(O32:O40)</f>
        <v>82455.791239367565</v>
      </c>
      <c r="P42" s="68">
        <f>SUM(P32:P40)</f>
        <v>95335.29654842017</v>
      </c>
      <c r="Q42" s="68">
        <f>SUM(Q32:Q40)</f>
        <v>107368.27120580127</v>
      </c>
      <c r="R42" s="68">
        <f>SUM(R32:R40)</f>
        <v>121454.18363844567</v>
      </c>
      <c r="S42" s="68">
        <f>SUM(S32:S40)</f>
        <v>126542.91495938413</v>
      </c>
    </row>
    <row r="43" spans="1:23" ht="11.25" customHeight="1" x14ac:dyDescent="0.3">
      <c r="O43" s="71"/>
      <c r="P43" s="71"/>
      <c r="Q43" s="71"/>
      <c r="R43" s="71"/>
      <c r="S43" s="71"/>
    </row>
    <row r="44" spans="1:23" ht="12.75" hidden="1" outlineLevel="1" x14ac:dyDescent="0.3">
      <c r="A44" s="59">
        <f>IF(SUM($O44:$S44)=0,0,1)</f>
        <v>0</v>
      </c>
      <c r="D44" s="81" t="s">
        <v>127</v>
      </c>
      <c r="E44" s="80"/>
      <c r="F44" s="80"/>
      <c r="G44" s="82"/>
      <c r="H44" s="80"/>
      <c r="I44" s="80"/>
      <c r="J44" s="80"/>
      <c r="K44" s="58"/>
      <c r="O44" s="59">
        <f>IF(ISERROR(O42)&lt;&gt;0,0,1)</f>
        <v>0</v>
      </c>
      <c r="P44" s="59">
        <f>IF(ISERROR(P42)&lt;&gt;0,0,1)</f>
        <v>0</v>
      </c>
      <c r="Q44" s="59">
        <f>IF(ISERROR(Q42)&lt;&gt;0,0,1)</f>
        <v>0</v>
      </c>
      <c r="R44" s="59">
        <f>IF(ISERROR(R42)&lt;&gt;0,0,1)</f>
        <v>0</v>
      </c>
      <c r="S44" s="59">
        <f>IF(ISERROR(S42)&lt;&gt;0,0,1)</f>
        <v>0</v>
      </c>
    </row>
    <row r="45" spans="1:23" ht="11.25" customHeight="1" collapsed="1" x14ac:dyDescent="0.3"/>
    <row r="46" spans="1:23" s="8" customFormat="1" ht="13.9" x14ac:dyDescent="0.3">
      <c r="C46" s="8" t="str">
        <f>Inputs_Prices!C31</f>
        <v>Consumption</v>
      </c>
    </row>
    <row r="47" spans="1:23" ht="11.25" customHeight="1" x14ac:dyDescent="0.3"/>
    <row r="48" spans="1:23" ht="11.25" customHeight="1" x14ac:dyDescent="0.3">
      <c r="C48" s="172" t="s">
        <v>5</v>
      </c>
      <c r="D48" s="70" t="str">
        <f>D$9</f>
        <v>Tariff</v>
      </c>
      <c r="E48" s="54" t="str">
        <f>E$9</f>
        <v>Tariff Components</v>
      </c>
      <c r="F48" s="54" t="str">
        <f>F$9</f>
        <v>Tariff Class</v>
      </c>
      <c r="H48" s="54" t="str">
        <f>Lookup!E$19</f>
        <v>Source</v>
      </c>
      <c r="I48" s="54" t="str">
        <f>Lookup!F$19</f>
        <v>Unit</v>
      </c>
      <c r="J48" s="54" t="str">
        <f>Lookup!G$19</f>
        <v>Basis</v>
      </c>
      <c r="O48" s="54" t="str">
        <f>O$9</f>
        <v>FY25</v>
      </c>
      <c r="P48" s="54" t="str">
        <f>P$9</f>
        <v>FY26</v>
      </c>
      <c r="Q48" s="54" t="str">
        <f>Q$9</f>
        <v>FY27</v>
      </c>
      <c r="R48" s="54" t="str">
        <f>R$9</f>
        <v>FY28</v>
      </c>
      <c r="S48" s="54" t="str">
        <f>S$9</f>
        <v>FY29</v>
      </c>
      <c r="U48" s="70" t="s">
        <v>513</v>
      </c>
      <c r="W48" s="70" t="s">
        <v>520</v>
      </c>
    </row>
    <row r="49" spans="3:23" ht="11.25" customHeight="1" x14ac:dyDescent="0.3">
      <c r="D49" s="1"/>
    </row>
    <row r="50" spans="3:23" ht="12.75" x14ac:dyDescent="0.35">
      <c r="C50" s="171">
        <f>Inputs_Prices!C35</f>
        <v>1</v>
      </c>
      <c r="D50" s="76" t="str">
        <f>Inputs_Prices!D35</f>
        <v>Residential Accumulation</v>
      </c>
      <c r="E50" s="63" t="s">
        <v>277</v>
      </c>
      <c r="F50" s="63" t="str">
        <f>Inputs_Prices!F35</f>
        <v>LV &lt;750MWh</v>
      </c>
      <c r="H50" s="259" t="s">
        <v>52</v>
      </c>
      <c r="I50" s="259" t="s">
        <v>47</v>
      </c>
      <c r="J50" s="259" t="s">
        <v>40</v>
      </c>
      <c r="O50" s="66">
        <f>Inputs_Prices!O35*Inputs_Volumes!O35*Dollars_to_Thousands</f>
        <v>18080.757031099143</v>
      </c>
      <c r="P50" s="66">
        <f>Inputs_Prices!P35*Inputs_Volumes!P35*Dollars_to_Thousands</f>
        <v>19444.506320124841</v>
      </c>
      <c r="Q50" s="66">
        <f>Inputs_Prices!Q35*Inputs_Volumes!Q35*Dollars_to_Thousands</f>
        <v>20519.393612831045</v>
      </c>
      <c r="R50" s="66">
        <f>Inputs_Prices!R35*Inputs_Volumes!R35*Dollars_to_Thousands</f>
        <v>21765.145416446958</v>
      </c>
      <c r="S50" s="66">
        <f>Inputs_Prices!S35*Inputs_Volumes!S35*Dollars_to_Thousands</f>
        <v>21807.007953892316</v>
      </c>
      <c r="U50" s="76" t="str">
        <f>Inputs_Prices!$U35</f>
        <v>Revenue from Energy Delivery charges where time of use is not a determinant</v>
      </c>
      <c r="W50" s="76" t="str">
        <f>Inputs_Prices!$W35</f>
        <v xml:space="preserve">Revenue from residential Customers </v>
      </c>
    </row>
    <row r="51" spans="3:23" ht="12.75" x14ac:dyDescent="0.35">
      <c r="C51" s="171">
        <f>Inputs_Prices!C36</f>
        <v>2</v>
      </c>
      <c r="D51" s="76" t="str">
        <f>Inputs_Prices!D36</f>
        <v>Non-Residential Accumulation</v>
      </c>
      <c r="E51" s="63" t="s">
        <v>277</v>
      </c>
      <c r="F51" s="63" t="str">
        <f>Inputs_Prices!F36</f>
        <v>LV &lt;750MWh</v>
      </c>
      <c r="H51" s="259" t="s">
        <v>52</v>
      </c>
      <c r="I51" s="259" t="s">
        <v>47</v>
      </c>
      <c r="J51" s="259" t="s">
        <v>40</v>
      </c>
      <c r="O51" s="66">
        <f>Inputs_Prices!O36*Inputs_Volumes!O36*Dollars_to_Thousands</f>
        <v>3092.0434903408373</v>
      </c>
      <c r="P51" s="66">
        <f>Inputs_Prices!P36*Inputs_Volumes!P36*Dollars_to_Thousands</f>
        <v>1858.3487867537333</v>
      </c>
      <c r="Q51" s="66">
        <f>Inputs_Prices!Q36*Inputs_Volumes!Q36*Dollars_to_Thousands</f>
        <v>311.91232085829074</v>
      </c>
      <c r="R51" s="66">
        <f>Inputs_Prices!R36*Inputs_Volumes!R36*Dollars_to_Thousands</f>
        <v>0</v>
      </c>
      <c r="S51" s="66">
        <f>Inputs_Prices!S36*Inputs_Volumes!S36*Dollars_to_Thousands</f>
        <v>0</v>
      </c>
      <c r="U51" s="76" t="str">
        <f>Inputs_Prices!$U36</f>
        <v>Revenue from Energy Delivery charges where time of use is not a determinant</v>
      </c>
      <c r="W51" s="76" t="str">
        <f>Inputs_Prices!$W36</f>
        <v xml:space="preserve">Revenue from Non residential customers not on demand tariffs </v>
      </c>
    </row>
    <row r="52" spans="3:23" ht="12.75" x14ac:dyDescent="0.35">
      <c r="C52" s="171" t="str">
        <f>Inputs_Prices!C37</f>
        <v>3a</v>
      </c>
      <c r="D52" s="76" t="str">
        <f>Inputs_Prices!D37</f>
        <v>LV Smart Meter - Res</v>
      </c>
      <c r="E52" s="63" t="s">
        <v>274</v>
      </c>
      <c r="F52" s="63" t="str">
        <f>Inputs_Prices!F37</f>
        <v>LV &lt;750MWh</v>
      </c>
      <c r="H52" s="259" t="s">
        <v>52</v>
      </c>
      <c r="I52" s="259" t="s">
        <v>47</v>
      </c>
      <c r="J52" s="259" t="s">
        <v>40</v>
      </c>
      <c r="O52" s="66">
        <f>Inputs_Prices!O37*Inputs_Volumes!O37*Dollars_to_Thousands</f>
        <v>13010.039913670191</v>
      </c>
      <c r="P52" s="66">
        <f>Inputs_Prices!P37*Inputs_Volumes!P37*Dollars_to_Thousands</f>
        <v>14553.046788152345</v>
      </c>
      <c r="Q52" s="66">
        <f>Inputs_Prices!Q37*Inputs_Volumes!Q37*Dollars_to_Thousands</f>
        <v>16094.410755641173</v>
      </c>
      <c r="R52" s="66">
        <f>Inputs_Prices!R37*Inputs_Volumes!R37*Dollars_to_Thousands</f>
        <v>17717.43841064037</v>
      </c>
      <c r="S52" s="66">
        <f>Inputs_Prices!S37*Inputs_Volumes!S37*Dollars_to_Thousands</f>
        <v>19343.99056688885</v>
      </c>
      <c r="U52" s="76" t="str">
        <f>Inputs_Prices!$U37</f>
        <v xml:space="preserve">Revenue from On–Peak Energy Delivery charges </v>
      </c>
      <c r="W52" s="76" t="str">
        <f>Inputs_Prices!$W37</f>
        <v xml:space="preserve">Revenue from residential Customers </v>
      </c>
    </row>
    <row r="53" spans="3:23" ht="12.75" x14ac:dyDescent="0.35">
      <c r="C53" s="171" t="str">
        <f>Inputs_Prices!C38</f>
        <v>3a</v>
      </c>
      <c r="D53" s="76" t="str">
        <f>Inputs_Prices!D38</f>
        <v>LV Smart Meter - Res</v>
      </c>
      <c r="E53" s="63" t="s">
        <v>275</v>
      </c>
      <c r="F53" s="63" t="str">
        <f>Inputs_Prices!F38</f>
        <v>LV &lt;750MWh</v>
      </c>
      <c r="H53" s="259" t="s">
        <v>52</v>
      </c>
      <c r="I53" s="259" t="s">
        <v>47</v>
      </c>
      <c r="J53" s="259" t="s">
        <v>40</v>
      </c>
      <c r="O53" s="66">
        <f>Inputs_Prices!O38*Inputs_Volumes!O38*Dollars_to_Thousands</f>
        <v>2267.6359365229132</v>
      </c>
      <c r="P53" s="66">
        <f>Inputs_Prices!P38*Inputs_Volumes!P38*Dollars_to_Thousands</f>
        <v>2747.8512328077104</v>
      </c>
      <c r="Q53" s="66">
        <f>Inputs_Prices!Q38*Inputs_Volumes!Q38*Dollars_to_Thousands</f>
        <v>3301.1830369082691</v>
      </c>
      <c r="R53" s="66">
        <f>Inputs_Prices!R38*Inputs_Volumes!R38*Dollars_to_Thousands</f>
        <v>3953.9942448815355</v>
      </c>
      <c r="S53" s="66">
        <f>Inputs_Prices!S38*Inputs_Volumes!S38*Dollars_to_Thousands</f>
        <v>4295.0827107216392</v>
      </c>
      <c r="U53" s="76" t="str">
        <f>Inputs_Prices!$U38</f>
        <v>Revenue from Shoulder period Energy Delivery Charges</v>
      </c>
      <c r="W53" s="76" t="str">
        <f>Inputs_Prices!$W38</f>
        <v xml:space="preserve">Revenue from residential Customers </v>
      </c>
    </row>
    <row r="54" spans="3:23" ht="12.75" x14ac:dyDescent="0.35">
      <c r="C54" s="171" t="str">
        <f>Inputs_Prices!C39</f>
        <v>3a</v>
      </c>
      <c r="D54" s="76" t="str">
        <f>Inputs_Prices!D39</f>
        <v>LV Smart Meter - Res</v>
      </c>
      <c r="E54" s="63" t="s">
        <v>276</v>
      </c>
      <c r="F54" s="63" t="str">
        <f>Inputs_Prices!F39</f>
        <v>LV &lt;750MWh</v>
      </c>
      <c r="H54" s="259" t="s">
        <v>52</v>
      </c>
      <c r="I54" s="259" t="s">
        <v>47</v>
      </c>
      <c r="J54" s="259" t="s">
        <v>40</v>
      </c>
      <c r="O54" s="66">
        <f>Inputs_Prices!O39*Inputs_Volumes!O39*Dollars_to_Thousands</f>
        <v>0</v>
      </c>
      <c r="P54" s="66">
        <f>Inputs_Prices!P39*Inputs_Volumes!P39*Dollars_to_Thousands</f>
        <v>0</v>
      </c>
      <c r="Q54" s="66">
        <f>Inputs_Prices!Q39*Inputs_Volumes!Q39*Dollars_to_Thousands</f>
        <v>0</v>
      </c>
      <c r="R54" s="66">
        <f>Inputs_Prices!R39*Inputs_Volumes!R39*Dollars_to_Thousands</f>
        <v>0</v>
      </c>
      <c r="S54" s="66">
        <f>Inputs_Prices!S39*Inputs_Volumes!S39*Dollars_to_Thousands</f>
        <v>0</v>
      </c>
      <c r="U54" s="76" t="str">
        <f>Inputs_Prices!$U39</f>
        <v xml:space="preserve">Revenue from Off–Peak Energy Delivery charges </v>
      </c>
      <c r="W54" s="76" t="str">
        <f>Inputs_Prices!$W39</f>
        <v xml:space="preserve">Revenue from residential Customers </v>
      </c>
    </row>
    <row r="55" spans="3:23" ht="12.75" x14ac:dyDescent="0.35">
      <c r="C55" s="171" t="str">
        <f>Inputs_Prices!C40</f>
        <v>3b</v>
      </c>
      <c r="D55" s="76" t="str">
        <f>Inputs_Prices!D40</f>
        <v>LV Smart Meter - Small Comm</v>
      </c>
      <c r="E55" s="63" t="s">
        <v>274</v>
      </c>
      <c r="F55" s="63" t="str">
        <f>Inputs_Prices!F40</f>
        <v>LV &lt;750MWh</v>
      </c>
      <c r="H55" s="259" t="s">
        <v>52</v>
      </c>
      <c r="I55" s="259" t="s">
        <v>47</v>
      </c>
      <c r="J55" s="259" t="s">
        <v>40</v>
      </c>
      <c r="O55" s="66">
        <f>Inputs_Prices!O40*Inputs_Volumes!O40*Dollars_to_Thousands</f>
        <v>9229.2770363534128</v>
      </c>
      <c r="P55" s="66">
        <f>Inputs_Prices!P40*Inputs_Volumes!P40*Dollars_to_Thousands</f>
        <v>10773.373577813711</v>
      </c>
      <c r="Q55" s="66">
        <f>Inputs_Prices!Q40*Inputs_Volumes!Q40*Dollars_to_Thousands</f>
        <v>12344.949591364535</v>
      </c>
      <c r="R55" s="66">
        <f>Inputs_Prices!R40*Inputs_Volumes!R40*Dollars_to_Thousands</f>
        <v>12986.800606398037</v>
      </c>
      <c r="S55" s="66">
        <f>Inputs_Prices!S40*Inputs_Volumes!S40*Dollars_to_Thousands</f>
        <v>13374.806242831568</v>
      </c>
      <c r="U55" s="76" t="str">
        <f>Inputs_Prices!$U40</f>
        <v xml:space="preserve">Revenue from On–Peak Energy Delivery charges </v>
      </c>
      <c r="W55" s="76" t="str">
        <f>Inputs_Prices!$W40</f>
        <v xml:space="preserve">Revenue from Non residential customers not on demand tariffs </v>
      </c>
    </row>
    <row r="56" spans="3:23" ht="12.75" x14ac:dyDescent="0.35">
      <c r="C56" s="171" t="str">
        <f>Inputs_Prices!C41</f>
        <v>3b</v>
      </c>
      <c r="D56" s="76" t="str">
        <f>Inputs_Prices!D41</f>
        <v>LV Smart Meter - Small Comm</v>
      </c>
      <c r="E56" s="63" t="s">
        <v>275</v>
      </c>
      <c r="F56" s="63" t="str">
        <f>Inputs_Prices!F41</f>
        <v>LV &lt;750MWh</v>
      </c>
      <c r="H56" s="259" t="s">
        <v>52</v>
      </c>
      <c r="I56" s="259" t="s">
        <v>47</v>
      </c>
      <c r="J56" s="259" t="s">
        <v>40</v>
      </c>
      <c r="O56" s="66">
        <f>Inputs_Prices!O41*Inputs_Volumes!O41*Dollars_to_Thousands</f>
        <v>12325.043455910985</v>
      </c>
      <c r="P56" s="66">
        <f>Inputs_Prices!P41*Inputs_Volumes!P41*Dollars_to_Thousands</f>
        <v>12528.524821969037</v>
      </c>
      <c r="Q56" s="66">
        <f>Inputs_Prices!Q41*Inputs_Volumes!Q41*Dollars_to_Thousands</f>
        <v>15725.858530781677</v>
      </c>
      <c r="R56" s="66">
        <f>Inputs_Prices!R41*Inputs_Volumes!R41*Dollars_to_Thousands</f>
        <v>18882.891652900944</v>
      </c>
      <c r="S56" s="66">
        <f>Inputs_Prices!S41*Inputs_Volumes!S41*Dollars_to_Thousands</f>
        <v>19759.452186621191</v>
      </c>
      <c r="U56" s="76" t="str">
        <f>Inputs_Prices!$U41</f>
        <v>Revenue from Shoulder period Energy Delivery Charges</v>
      </c>
      <c r="W56" s="76" t="str">
        <f>Inputs_Prices!$W41</f>
        <v xml:space="preserve">Revenue from Non residential customers not on demand tariffs </v>
      </c>
    </row>
    <row r="57" spans="3:23" ht="12.75" x14ac:dyDescent="0.35">
      <c r="C57" s="171" t="str">
        <f>Inputs_Prices!C42</f>
        <v>3b</v>
      </c>
      <c r="D57" s="76" t="str">
        <f>Inputs_Prices!D42</f>
        <v>LV Smart Meter - Small Comm</v>
      </c>
      <c r="E57" s="63" t="s">
        <v>276</v>
      </c>
      <c r="F57" s="63" t="str">
        <f>Inputs_Prices!F42</f>
        <v>LV &lt;750MWh</v>
      </c>
      <c r="H57" s="259" t="s">
        <v>52</v>
      </c>
      <c r="I57" s="259" t="s">
        <v>47</v>
      </c>
      <c r="J57" s="259" t="s">
        <v>40</v>
      </c>
      <c r="O57" s="66">
        <f>Inputs_Prices!O42*Inputs_Volumes!O42*Dollars_to_Thousands</f>
        <v>0</v>
      </c>
      <c r="P57" s="66">
        <f>Inputs_Prices!P42*Inputs_Volumes!P42*Dollars_to_Thousands</f>
        <v>0</v>
      </c>
      <c r="Q57" s="66">
        <f>Inputs_Prices!Q42*Inputs_Volumes!Q42*Dollars_to_Thousands</f>
        <v>0</v>
      </c>
      <c r="R57" s="66">
        <f>Inputs_Prices!R42*Inputs_Volumes!R42*Dollars_to_Thousands</f>
        <v>0</v>
      </c>
      <c r="S57" s="66">
        <f>Inputs_Prices!S42*Inputs_Volumes!S42*Dollars_to_Thousands</f>
        <v>0</v>
      </c>
      <c r="U57" s="76" t="str">
        <f>Inputs_Prices!$U42</f>
        <v xml:space="preserve">Revenue from Off–Peak Energy Delivery charges </v>
      </c>
      <c r="W57" s="76" t="str">
        <f>Inputs_Prices!$W42</f>
        <v xml:space="preserve">Revenue from Non residential customers not on demand tariffs </v>
      </c>
    </row>
    <row r="58" spans="3:23" ht="12.75" x14ac:dyDescent="0.35">
      <c r="C58" s="171" t="str">
        <f>Inputs_Prices!C43</f>
        <v>3c</v>
      </c>
      <c r="D58" s="76" t="str">
        <f>Inputs_Prices!D43</f>
        <v>LV Smart Meter - Med Comm</v>
      </c>
      <c r="E58" s="63" t="s">
        <v>274</v>
      </c>
      <c r="F58" s="63" t="str">
        <f>Inputs_Prices!F43</f>
        <v>LV &lt;750MWh</v>
      </c>
      <c r="H58" s="259" t="s">
        <v>52</v>
      </c>
      <c r="I58" s="259" t="s">
        <v>47</v>
      </c>
      <c r="J58" s="259" t="s">
        <v>40</v>
      </c>
      <c r="O58" s="66">
        <f>Inputs_Prices!O43*Inputs_Volumes!O43*Dollars_to_Thousands</f>
        <v>6793.393382254847</v>
      </c>
      <c r="P58" s="66">
        <f>Inputs_Prices!P43*Inputs_Volumes!P43*Dollars_to_Thousands</f>
        <v>7304.5706430154005</v>
      </c>
      <c r="Q58" s="66">
        <f>Inputs_Prices!Q43*Inputs_Volumes!Q43*Dollars_to_Thousands</f>
        <v>7786.5205302276609</v>
      </c>
      <c r="R58" s="66">
        <f>Inputs_Prices!R43*Inputs_Volumes!R43*Dollars_to_Thousands</f>
        <v>8281.0482891207066</v>
      </c>
      <c r="S58" s="66">
        <f>Inputs_Prices!S43*Inputs_Volumes!S43*Dollars_to_Thousands</f>
        <v>8751.2579867496916</v>
      </c>
      <c r="U58" s="76" t="str">
        <f>Inputs_Prices!$U43</f>
        <v xml:space="preserve">Revenue from On–Peak Energy Delivery charges </v>
      </c>
      <c r="W58" s="76" t="str">
        <f>Inputs_Prices!$W43</f>
        <v xml:space="preserve">Revenue from Non residential customers not on demand tariffs </v>
      </c>
    </row>
    <row r="59" spans="3:23" ht="12.75" x14ac:dyDescent="0.35">
      <c r="C59" s="171" t="str">
        <f>Inputs_Prices!C44</f>
        <v>3c</v>
      </c>
      <c r="D59" s="76" t="str">
        <f>Inputs_Prices!D44</f>
        <v>LV Smart Meter - Med Comm</v>
      </c>
      <c r="E59" s="63" t="s">
        <v>275</v>
      </c>
      <c r="F59" s="63" t="str">
        <f>Inputs_Prices!F44</f>
        <v>LV &lt;750MWh</v>
      </c>
      <c r="H59" s="259" t="s">
        <v>52</v>
      </c>
      <c r="I59" s="259" t="s">
        <v>47</v>
      </c>
      <c r="J59" s="259" t="s">
        <v>40</v>
      </c>
      <c r="O59" s="66">
        <f>Inputs_Prices!O44*Inputs_Volumes!O44*Dollars_to_Thousands</f>
        <v>4880.3347245648138</v>
      </c>
      <c r="P59" s="66">
        <f>Inputs_Prices!P44*Inputs_Volumes!P44*Dollars_to_Thousands</f>
        <v>5791.3813241299003</v>
      </c>
      <c r="Q59" s="66">
        <f>Inputs_Prices!Q44*Inputs_Volumes!Q44*Dollars_to_Thousands</f>
        <v>7561.6151517124381</v>
      </c>
      <c r="R59" s="66">
        <f>Inputs_Prices!R44*Inputs_Volumes!R44*Dollars_to_Thousands</f>
        <v>9124.5132156791387</v>
      </c>
      <c r="S59" s="66">
        <f>Inputs_Prices!S44*Inputs_Volumes!S44*Dollars_to_Thousands</f>
        <v>9534.3054569221949</v>
      </c>
      <c r="U59" s="76" t="str">
        <f>Inputs_Prices!$U44</f>
        <v>Revenue from Shoulder period Energy Delivery Charges</v>
      </c>
      <c r="W59" s="76" t="str">
        <f>Inputs_Prices!$W44</f>
        <v xml:space="preserve">Revenue from Non residential customers not on demand tariffs </v>
      </c>
    </row>
    <row r="60" spans="3:23" ht="12.75" x14ac:dyDescent="0.35">
      <c r="C60" s="171" t="str">
        <f>Inputs_Prices!C45</f>
        <v>3c</v>
      </c>
      <c r="D60" s="76" t="str">
        <f>Inputs_Prices!D45</f>
        <v>LV Smart Meter - Med Comm</v>
      </c>
      <c r="E60" s="63" t="s">
        <v>276</v>
      </c>
      <c r="F60" s="63" t="str">
        <f>Inputs_Prices!F45</f>
        <v>LV &lt;750MWh</v>
      </c>
      <c r="H60" s="259" t="s">
        <v>52</v>
      </c>
      <c r="I60" s="259" t="s">
        <v>47</v>
      </c>
      <c r="J60" s="259" t="s">
        <v>40</v>
      </c>
      <c r="O60" s="66">
        <f>Inputs_Prices!O45*Inputs_Volumes!O45*Dollars_to_Thousands</f>
        <v>0</v>
      </c>
      <c r="P60" s="66">
        <f>Inputs_Prices!P45*Inputs_Volumes!P45*Dollars_to_Thousands</f>
        <v>0</v>
      </c>
      <c r="Q60" s="66">
        <f>Inputs_Prices!Q45*Inputs_Volumes!Q45*Dollars_to_Thousands</f>
        <v>0</v>
      </c>
      <c r="R60" s="66">
        <f>Inputs_Prices!R45*Inputs_Volumes!R45*Dollars_to_Thousands</f>
        <v>0</v>
      </c>
      <c r="S60" s="66">
        <f>Inputs_Prices!S45*Inputs_Volumes!S45*Dollars_to_Thousands</f>
        <v>0</v>
      </c>
      <c r="U60" s="76" t="str">
        <f>Inputs_Prices!$U45</f>
        <v xml:space="preserve">Revenue from Off–Peak Energy Delivery charges </v>
      </c>
      <c r="W60" s="76" t="str">
        <f>Inputs_Prices!$W45</f>
        <v xml:space="preserve">Revenue from Non residential customers not on demand tariffs </v>
      </c>
    </row>
    <row r="61" spans="3:23" ht="12.75" x14ac:dyDescent="0.35">
      <c r="C61" s="171">
        <f>Inputs_Prices!C46</f>
        <v>4</v>
      </c>
      <c r="D61" s="76" t="str">
        <f>Inputs_Prices!D46</f>
        <v>Unmetered</v>
      </c>
      <c r="E61" s="63" t="s">
        <v>277</v>
      </c>
      <c r="F61" s="63" t="str">
        <f>Inputs_Prices!F46</f>
        <v>LV &lt;750MWh</v>
      </c>
      <c r="H61" s="259" t="s">
        <v>52</v>
      </c>
      <c r="I61" s="259" t="s">
        <v>47</v>
      </c>
      <c r="J61" s="259" t="s">
        <v>40</v>
      </c>
      <c r="O61" s="66">
        <f>Inputs_Prices!O46*Inputs_Volumes!O46*Dollars_to_Thousands</f>
        <v>1759.6843825887242</v>
      </c>
      <c r="P61" s="66">
        <f>Inputs_Prices!P46*Inputs_Volumes!P46*Dollars_to_Thousands</f>
        <v>1964.0915474873575</v>
      </c>
      <c r="Q61" s="66">
        <f>Inputs_Prices!Q46*Inputs_Volumes!Q46*Dollars_to_Thousands</f>
        <v>2192.2429073537442</v>
      </c>
      <c r="R61" s="66">
        <f>Inputs_Prices!R46*Inputs_Volumes!R46*Dollars_to_Thousands</f>
        <v>2446.8966179254589</v>
      </c>
      <c r="S61" s="66">
        <f>Inputs_Prices!S46*Inputs_Volumes!S46*Dollars_to_Thousands</f>
        <v>2547.8453036443871</v>
      </c>
      <c r="U61" s="76" t="str">
        <f>Inputs_Prices!$U46</f>
        <v>Revenue from unmetered supplies</v>
      </c>
      <c r="W61" s="76" t="str">
        <f>Inputs_Prices!$W46</f>
        <v>Revenue from unmetered supplies</v>
      </c>
    </row>
    <row r="62" spans="3:23" ht="12.75" x14ac:dyDescent="0.35">
      <c r="C62" s="171">
        <f>Inputs_Prices!C47</f>
        <v>5</v>
      </c>
      <c r="D62" s="76" t="str">
        <f>Inputs_Prices!D47</f>
        <v>LV Majors</v>
      </c>
      <c r="E62" s="63" t="s">
        <v>277</v>
      </c>
      <c r="F62" s="63" t="str">
        <f>Inputs_Prices!F47</f>
        <v>LV &gt;750MWh</v>
      </c>
      <c r="H62" s="259" t="s">
        <v>52</v>
      </c>
      <c r="I62" s="259" t="s">
        <v>47</v>
      </c>
      <c r="J62" s="259" t="s">
        <v>40</v>
      </c>
      <c r="O62" s="66">
        <f>Inputs_Prices!O47*Inputs_Volumes!O47*Dollars_to_Thousands</f>
        <v>1134.0217574836308</v>
      </c>
      <c r="P62" s="66">
        <f>Inputs_Prices!P47*Inputs_Volumes!P47*Dollars_to_Thousands</f>
        <v>1608.4200635677732</v>
      </c>
      <c r="Q62" s="66">
        <f>Inputs_Prices!Q47*Inputs_Volumes!Q47*Dollars_to_Thousands</f>
        <v>1899.5504652211773</v>
      </c>
      <c r="R62" s="66">
        <f>Inputs_Prices!R47*Inputs_Volumes!R47*Dollars_to_Thousands</f>
        <v>2231.2389623758463</v>
      </c>
      <c r="S62" s="66">
        <f>Inputs_Prices!S47*Inputs_Volumes!S47*Dollars_to_Thousands</f>
        <v>2339.9281863636434</v>
      </c>
      <c r="U62" s="76" t="str">
        <f>Inputs_Prices!$U47</f>
        <v>Revenue from Energy Delivery charges where time of use is not a determinant</v>
      </c>
      <c r="W62" s="76" t="str">
        <f>Inputs_Prices!$W47</f>
        <v xml:space="preserve">Revenue from Non-residential low voltage demand tariff customers </v>
      </c>
    </row>
    <row r="63" spans="3:23" ht="12.75" x14ac:dyDescent="0.35">
      <c r="C63" s="171">
        <f>Inputs_Prices!C48</f>
        <v>6</v>
      </c>
      <c r="D63" s="76" t="str">
        <f>Inputs_Prices!D48</f>
        <v>HV Smart Meters</v>
      </c>
      <c r="E63" s="63" t="s">
        <v>277</v>
      </c>
      <c r="F63" s="63" t="str">
        <f>Inputs_Prices!F48</f>
        <v>HV</v>
      </c>
      <c r="H63" s="259" t="s">
        <v>52</v>
      </c>
      <c r="I63" s="259" t="s">
        <v>47</v>
      </c>
      <c r="J63" s="259" t="s">
        <v>40</v>
      </c>
      <c r="O63" s="66">
        <f>Inputs_Prices!O48*Inputs_Volumes!O48*Dollars_to_Thousands</f>
        <v>4549.6648693472098</v>
      </c>
      <c r="P63" s="66">
        <f>Inputs_Prices!P48*Inputs_Volumes!P48*Dollars_to_Thousands</f>
        <v>4920.2443488650206</v>
      </c>
      <c r="Q63" s="66">
        <f>Inputs_Prices!Q48*Inputs_Volumes!Q48*Dollars_to_Thousands</f>
        <v>5404.2683238347863</v>
      </c>
      <c r="R63" s="66">
        <f>Inputs_Prices!R48*Inputs_Volumes!R48*Dollars_to_Thousands</f>
        <v>5933.7264876872377</v>
      </c>
      <c r="S63" s="66">
        <f>Inputs_Prices!S48*Inputs_Volumes!S48*Dollars_to_Thousands</f>
        <v>5970.7911006134846</v>
      </c>
      <c r="U63" s="76" t="str">
        <f>Inputs_Prices!$U48</f>
        <v>Revenue from Energy Delivery charges where time of use is not a determinant</v>
      </c>
      <c r="W63" s="76" t="str">
        <f>Inputs_Prices!$W48</f>
        <v xml:space="preserve">Revenue from Non-residential high voltage demand tariff customers </v>
      </c>
    </row>
    <row r="64" spans="3:23" ht="12.75" x14ac:dyDescent="0.35">
      <c r="C64" s="171">
        <f>Inputs_Prices!C49</f>
        <v>7</v>
      </c>
      <c r="D64" s="76" t="str">
        <f>Inputs_Prices!D49</f>
        <v>Super Users</v>
      </c>
      <c r="E64" s="63" t="s">
        <v>277</v>
      </c>
      <c r="F64" s="63" t="str">
        <f>Inputs_Prices!F49</f>
        <v>HV</v>
      </c>
      <c r="H64" s="259" t="s">
        <v>52</v>
      </c>
      <c r="I64" s="259" t="s">
        <v>47</v>
      </c>
      <c r="J64" s="259" t="s">
        <v>40</v>
      </c>
      <c r="O64" s="66">
        <f>Inputs_Prices!O49*Inputs_Volumes!O49*Dollars_to_Thousands</f>
        <v>6805.5793496618917</v>
      </c>
      <c r="P64" s="66">
        <f>Inputs_Prices!P49*Inputs_Volumes!P49*Dollars_to_Thousands</f>
        <v>7365.3433030775896</v>
      </c>
      <c r="Q64" s="66">
        <f>Inputs_Prices!Q49*Inputs_Volumes!Q49*Dollars_to_Thousands</f>
        <v>7892.0744664734784</v>
      </c>
      <c r="R64" s="66">
        <f>Inputs_Prices!R49*Inputs_Volumes!R49*Dollars_to_Thousands</f>
        <v>8441.7933318428331</v>
      </c>
      <c r="S64" s="66">
        <f>Inputs_Prices!S49*Inputs_Volumes!S49*Dollars_to_Thousands</f>
        <v>8407.8895020264772</v>
      </c>
      <c r="U64" s="76" t="str">
        <f>Inputs_Prices!$U49</f>
        <v>Revenue from Energy Delivery charges where time of use is not a determinant</v>
      </c>
      <c r="W64" s="76" t="str">
        <f>Inputs_Prices!$W49</f>
        <v xml:space="preserve">Revenue from Non residential customers not on demand tariffs </v>
      </c>
    </row>
    <row r="65" spans="1:23" ht="11.25" customHeight="1" x14ac:dyDescent="0.3"/>
    <row r="66" spans="1:23" ht="13.15" x14ac:dyDescent="0.3">
      <c r="D66" s="62" t="s">
        <v>51</v>
      </c>
      <c r="E66" s="56" t="s">
        <v>21</v>
      </c>
      <c r="F66" s="56" t="s">
        <v>21</v>
      </c>
      <c r="H66" s="56" t="s">
        <v>52</v>
      </c>
      <c r="I66" s="56" t="str">
        <f>Thousands</f>
        <v>$000's</v>
      </c>
      <c r="J66" s="56" t="str">
        <f>Nominal</f>
        <v>Nominal</v>
      </c>
      <c r="O66" s="68">
        <f>SUM(O50:O64)</f>
        <v>83927.475329798588</v>
      </c>
      <c r="P66" s="68">
        <f>SUM(P50:P64)</f>
        <v>90859.702757764418</v>
      </c>
      <c r="Q66" s="68">
        <f>SUM(Q50:Q64)</f>
        <v>101033.97969320828</v>
      </c>
      <c r="R66" s="68">
        <f>SUM(R50:R64)</f>
        <v>111765.48723589908</v>
      </c>
      <c r="S66" s="68">
        <f>SUM(S50:S64)</f>
        <v>116132.35719727544</v>
      </c>
    </row>
    <row r="67" spans="1:23" ht="11.25" customHeight="1" x14ac:dyDescent="0.3"/>
    <row r="68" spans="1:23" ht="11.25" hidden="1" customHeight="1" outlineLevel="1" x14ac:dyDescent="0.3">
      <c r="A68" s="59">
        <f>IF(SUM($O68:$S68)=0,0,1)</f>
        <v>0</v>
      </c>
      <c r="D68" s="81" t="s">
        <v>127</v>
      </c>
      <c r="E68" s="80"/>
      <c r="F68" s="80"/>
      <c r="G68" s="82"/>
      <c r="H68" s="80"/>
      <c r="I68" s="80"/>
      <c r="J68" s="80"/>
      <c r="K68" s="58"/>
      <c r="O68" s="59">
        <f>IF(ISERROR(O66)&lt;&gt;0,0,1)</f>
        <v>0</v>
      </c>
      <c r="P68" s="59">
        <f>IF(ISERROR(P66)&lt;&gt;0,0,1)</f>
        <v>0</v>
      </c>
      <c r="Q68" s="59">
        <f>IF(ISERROR(Q66)&lt;&gt;0,0,1)</f>
        <v>0</v>
      </c>
      <c r="R68" s="59">
        <f>IF(ISERROR(R66)&lt;&gt;0,0,1)</f>
        <v>0</v>
      </c>
      <c r="S68" s="59">
        <f>IF(ISERROR(S66)&lt;&gt;0,0,1)</f>
        <v>0</v>
      </c>
    </row>
    <row r="69" spans="1:23" ht="11.25" customHeight="1" collapsed="1" x14ac:dyDescent="0.3"/>
    <row r="70" spans="1:23" s="8" customFormat="1" ht="13.9" x14ac:dyDescent="0.3">
      <c r="C70" s="8" t="str">
        <f>Inputs_Prices!C52</f>
        <v>Demand</v>
      </c>
    </row>
    <row r="71" spans="1:23" ht="11.25" customHeight="1" x14ac:dyDescent="0.3"/>
    <row r="72" spans="1:23" ht="11.25" customHeight="1" x14ac:dyDescent="0.3">
      <c r="C72" s="172" t="s">
        <v>5</v>
      </c>
      <c r="D72" s="70" t="str">
        <f>D$9</f>
        <v>Tariff</v>
      </c>
      <c r="E72" s="54" t="str">
        <f>E$9</f>
        <v>Tariff Components</v>
      </c>
      <c r="F72" s="54" t="str">
        <f>F$9</f>
        <v>Tariff Class</v>
      </c>
      <c r="H72" s="54" t="str">
        <f>Lookup!E$19</f>
        <v>Source</v>
      </c>
      <c r="I72" s="54" t="str">
        <f>Lookup!F$19</f>
        <v>Unit</v>
      </c>
      <c r="J72" s="54" t="str">
        <f>Lookup!G$19</f>
        <v>Basis</v>
      </c>
      <c r="O72" s="54" t="str">
        <f>O$9</f>
        <v>FY25</v>
      </c>
      <c r="P72" s="54" t="str">
        <f>P$9</f>
        <v>FY26</v>
      </c>
      <c r="Q72" s="54" t="str">
        <f>Q$9</f>
        <v>FY27</v>
      </c>
      <c r="R72" s="54" t="str">
        <f>R$9</f>
        <v>FY28</v>
      </c>
      <c r="S72" s="54" t="str">
        <f>S$9</f>
        <v>FY29</v>
      </c>
      <c r="U72" s="70" t="s">
        <v>513</v>
      </c>
      <c r="W72" s="70" t="s">
        <v>520</v>
      </c>
    </row>
    <row r="73" spans="1:23" ht="11.25" customHeight="1" x14ac:dyDescent="0.3">
      <c r="D73" s="1"/>
    </row>
    <row r="74" spans="1:23" ht="12.75" x14ac:dyDescent="0.35">
      <c r="C74" s="171">
        <f>Inputs_Prices!C56</f>
        <v>5</v>
      </c>
      <c r="D74" s="76" t="str">
        <f>Inputs_Prices!D56</f>
        <v>LV Majors</v>
      </c>
      <c r="E74" s="63" t="s">
        <v>278</v>
      </c>
      <c r="F74" s="63" t="str">
        <f>Inputs_Prices!F56</f>
        <v>LV &gt;750MWh</v>
      </c>
      <c r="H74" s="259" t="s">
        <v>52</v>
      </c>
      <c r="I74" s="259" t="s">
        <v>47</v>
      </c>
      <c r="J74" s="259" t="s">
        <v>40</v>
      </c>
      <c r="O74" s="66">
        <f>Inputs_Prices!O56*Inputs_Volumes!O56*Dollars_to_Thousands</f>
        <v>6129.5496671253386</v>
      </c>
      <c r="P74" s="66">
        <f>Inputs_Prices!P56*Inputs_Volumes!P56*Dollars_to_Thousands</f>
        <v>6467.6259892239868</v>
      </c>
      <c r="Q74" s="66">
        <f>Inputs_Prices!Q56*Inputs_Volumes!Q56*Dollars_to_Thousands</f>
        <v>6779.6512609956662</v>
      </c>
      <c r="R74" s="66">
        <f>Inputs_Prices!R56*Inputs_Volumes!R56*Dollars_to_Thousands</f>
        <v>7103.7711993895064</v>
      </c>
      <c r="S74" s="66">
        <f>Inputs_Prices!S56*Inputs_Volumes!S56*Dollars_to_Thousands</f>
        <v>7409.1988455146875</v>
      </c>
      <c r="U74" s="76" t="str">
        <f>Inputs_Prices!$U56</f>
        <v>Revenue from Measured Maximum Demand charges</v>
      </c>
      <c r="W74" s="76" t="str">
        <f>Inputs_Prices!$W56</f>
        <v xml:space="preserve">Revenue from Non-residential low voltage demand tariff customers </v>
      </c>
    </row>
    <row r="75" spans="1:23" ht="12.75" x14ac:dyDescent="0.35">
      <c r="C75" s="171">
        <f>Inputs_Prices!C57</f>
        <v>5</v>
      </c>
      <c r="D75" s="76" t="str">
        <f>Inputs_Prices!D57</f>
        <v>LV Majors</v>
      </c>
      <c r="E75" s="63" t="s">
        <v>279</v>
      </c>
      <c r="F75" s="63" t="str">
        <f>Inputs_Prices!F57</f>
        <v>LV &gt;750MWh</v>
      </c>
      <c r="H75" s="259" t="s">
        <v>52</v>
      </c>
      <c r="I75" s="259" t="s">
        <v>47</v>
      </c>
      <c r="J75" s="259" t="s">
        <v>40</v>
      </c>
      <c r="O75" s="66">
        <f>Inputs_Prices!O57*Inputs_Volumes!O57*Dollars_to_Thousands</f>
        <v>2043.1832223751128</v>
      </c>
      <c r="P75" s="66">
        <f>Inputs_Prices!P57*Inputs_Volumes!P57*Dollars_to_Thousands</f>
        <v>2155.8753297413291</v>
      </c>
      <c r="Q75" s="66">
        <f>Inputs_Prices!Q57*Inputs_Volumes!Q57*Dollars_to_Thousands</f>
        <v>2259.8837536652218</v>
      </c>
      <c r="R75" s="66">
        <f>Inputs_Prices!R57*Inputs_Volumes!R57*Dollars_to_Thousands</f>
        <v>2367.9237331298355</v>
      </c>
      <c r="S75" s="66">
        <f>Inputs_Prices!S57*Inputs_Volumes!S57*Dollars_to_Thousands</f>
        <v>2469.7329485048954</v>
      </c>
      <c r="U75" s="76" t="str">
        <f>Inputs_Prices!$U57</f>
        <v>Revenue from Measured Maximum Demand charges</v>
      </c>
      <c r="W75" s="76" t="str">
        <f>Inputs_Prices!$W57</f>
        <v xml:space="preserve">Revenue from Non-residential low voltage demand tariff customers </v>
      </c>
    </row>
    <row r="76" spans="1:23" ht="12.75" x14ac:dyDescent="0.35">
      <c r="C76" s="171">
        <f>Inputs_Prices!C58</f>
        <v>6</v>
      </c>
      <c r="D76" s="76" t="str">
        <f>Inputs_Prices!D58</f>
        <v>HV Smart Meters</v>
      </c>
      <c r="E76" s="63" t="s">
        <v>278</v>
      </c>
      <c r="F76" s="63" t="str">
        <f>Inputs_Prices!F58</f>
        <v>HV</v>
      </c>
      <c r="H76" s="259" t="s">
        <v>52</v>
      </c>
      <c r="I76" s="259" t="s">
        <v>47</v>
      </c>
      <c r="J76" s="259" t="s">
        <v>40</v>
      </c>
      <c r="O76" s="66">
        <f>Inputs_Prices!O58*Inputs_Volumes!O58*Dollars_to_Thousands</f>
        <v>1059.3291001543496</v>
      </c>
      <c r="P76" s="66">
        <f>Inputs_Prices!P58*Inputs_Volumes!P58*Dollars_to_Thousands</f>
        <v>1192.9905926893798</v>
      </c>
      <c r="Q76" s="66">
        <f>Inputs_Prices!Q58*Inputs_Volumes!Q58*Dollars_to_Thousands</f>
        <v>1336.878616277977</v>
      </c>
      <c r="R76" s="66">
        <f>Inputs_Prices!R58*Inputs_Volumes!R58*Dollars_to_Thousands</f>
        <v>1338.8583104068</v>
      </c>
      <c r="S76" s="66">
        <f>Inputs_Prices!S58*Inputs_Volumes!S58*Dollars_to_Thousands</f>
        <v>1472.0154330813155</v>
      </c>
      <c r="U76" s="76" t="str">
        <f>Inputs_Prices!$U58</f>
        <v>Revenue from Measured Maximum Demand charges</v>
      </c>
      <c r="W76" s="76" t="str">
        <f>Inputs_Prices!$W58</f>
        <v xml:space="preserve">Revenue from Non-residential high voltage demand tariff customers </v>
      </c>
    </row>
    <row r="77" spans="1:23" ht="12.75" x14ac:dyDescent="0.35">
      <c r="C77" s="171">
        <f>Inputs_Prices!C59</f>
        <v>6</v>
      </c>
      <c r="D77" s="76" t="str">
        <f>Inputs_Prices!D59</f>
        <v>HV Smart Meters</v>
      </c>
      <c r="E77" s="63" t="s">
        <v>279</v>
      </c>
      <c r="F77" s="63" t="str">
        <f>Inputs_Prices!F59</f>
        <v>HV</v>
      </c>
      <c r="H77" s="259" t="s">
        <v>52</v>
      </c>
      <c r="I77" s="259" t="s">
        <v>47</v>
      </c>
      <c r="J77" s="259" t="s">
        <v>40</v>
      </c>
      <c r="O77" s="66">
        <f>Inputs_Prices!O59*Inputs_Volumes!O59*Dollars_to_Thousands</f>
        <v>353.10970005144981</v>
      </c>
      <c r="P77" s="66">
        <f>Inputs_Prices!P59*Inputs_Volumes!P59*Dollars_to_Thousands</f>
        <v>397.66353089645997</v>
      </c>
      <c r="Q77" s="66">
        <f>Inputs_Prices!Q59*Inputs_Volumes!Q59*Dollars_to_Thousands</f>
        <v>445.62620542599228</v>
      </c>
      <c r="R77" s="66">
        <f>Inputs_Prices!R59*Inputs_Volumes!R59*Dollars_to_Thousands</f>
        <v>659.43767527499085</v>
      </c>
      <c r="S77" s="66">
        <f>Inputs_Prices!S59*Inputs_Volumes!S59*Dollars_to_Thousands</f>
        <v>758.31098067825337</v>
      </c>
      <c r="U77" s="76" t="str">
        <f>Inputs_Prices!$U59</f>
        <v>Revenue from Measured Maximum Demand charges</v>
      </c>
      <c r="W77" s="76" t="str">
        <f>Inputs_Prices!$W59</f>
        <v xml:space="preserve">Revenue from Non-residential high voltage demand tariff customers </v>
      </c>
    </row>
    <row r="78" spans="1:23" ht="11.25" customHeight="1" x14ac:dyDescent="0.3"/>
    <row r="79" spans="1:23" ht="11.25" customHeight="1" x14ac:dyDescent="0.3">
      <c r="D79" s="62" t="s">
        <v>51</v>
      </c>
      <c r="E79" s="56" t="s">
        <v>21</v>
      </c>
      <c r="F79" s="56" t="s">
        <v>21</v>
      </c>
      <c r="H79" s="56" t="s">
        <v>52</v>
      </c>
      <c r="I79" s="56" t="str">
        <f>Thousands</f>
        <v>$000's</v>
      </c>
      <c r="J79" s="56" t="str">
        <f>Nominal</f>
        <v>Nominal</v>
      </c>
      <c r="O79" s="68">
        <f>SUM(O74:O77)</f>
        <v>9585.1716897062506</v>
      </c>
      <c r="P79" s="68">
        <f>SUM(P74:P77)</f>
        <v>10214.155442551155</v>
      </c>
      <c r="Q79" s="68">
        <f>SUM(Q74:Q77)</f>
        <v>10822.039836364855</v>
      </c>
      <c r="R79" s="68">
        <f>SUM(R74:R77)</f>
        <v>11469.990918201132</v>
      </c>
      <c r="S79" s="68">
        <f>SUM(S74:S77)</f>
        <v>12109.258207779152</v>
      </c>
    </row>
    <row r="80" spans="1:23" ht="11.25" customHeight="1" x14ac:dyDescent="0.3"/>
    <row r="81" spans="1:19" ht="11.25" hidden="1" customHeight="1" outlineLevel="1" x14ac:dyDescent="0.3">
      <c r="A81" s="59">
        <f>IF(SUM($O81:$S81)=0,0,1)</f>
        <v>0</v>
      </c>
      <c r="D81" s="81" t="s">
        <v>127</v>
      </c>
      <c r="E81" s="80"/>
      <c r="F81" s="80"/>
      <c r="G81" s="82"/>
      <c r="H81" s="80"/>
      <c r="I81" s="80"/>
      <c r="J81" s="80"/>
      <c r="K81" s="58"/>
      <c r="O81" s="59">
        <f>IF(ISERROR(O79)&lt;&gt;0,0,1)</f>
        <v>0</v>
      </c>
      <c r="P81" s="59">
        <f>IF(ISERROR(P79)&lt;&gt;0,0,1)</f>
        <v>0</v>
      </c>
      <c r="Q81" s="59">
        <f>IF(ISERROR(Q79)&lt;&gt;0,0,1)</f>
        <v>0</v>
      </c>
      <c r="R81" s="59">
        <f>IF(ISERROR(R79)&lt;&gt;0,0,1)</f>
        <v>0</v>
      </c>
      <c r="S81" s="59">
        <f>IF(ISERROR(S79)&lt;&gt;0,0,1)</f>
        <v>0</v>
      </c>
    </row>
    <row r="82" spans="1:19" ht="11.25" customHeight="1" collapsed="1" x14ac:dyDescent="0.3"/>
    <row r="83" spans="1:19" s="2" customFormat="1" ht="15" x14ac:dyDescent="0.3">
      <c r="B83" s="2" t="s">
        <v>20</v>
      </c>
    </row>
  </sheetData>
  <conditionalFormatting sqref="B2">
    <cfRule type="cellIs" dxfId="25" priority="1" operator="notEqual">
      <formula>"No Errors Found"</formula>
    </cfRule>
  </conditionalFormatting>
  <dataValidations count="3">
    <dataValidation type="list" allowBlank="1" showInputMessage="1" showErrorMessage="1" sqref="K81 K68 K44 K26" xr:uid="{00000000-0002-0000-0700-000000000000}">
      <formula1>LU_Timing</formula1>
    </dataValidation>
    <dataValidation type="list" allowBlank="1" showInputMessage="1" showErrorMessage="1" sqref="I68 I44 I81 I20:I22 I26 I74:I77 I32:I40 I50:I64" xr:uid="{00000000-0002-0000-0700-000001000000}">
      <formula1>LU_Units</formula1>
    </dataValidation>
    <dataValidation type="list" allowBlank="1" showInputMessage="1" showErrorMessage="1" sqref="J44 J68 J81 J20:J22 J26 J74:J77 J32:J40 J50:J64" xr:uid="{00000000-0002-0000-0700-000002000000}">
      <formula1>LU_Basis</formula1>
    </dataValidation>
  </dataValidations>
  <hyperlinks>
    <hyperlink ref="B3:E3" location="TOC!A1" display="TOC!A1"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6" tint="0.59999389629810485"/>
  </sheetPr>
  <dimension ref="A1:V116"/>
  <sheetViews>
    <sheetView showGridLines="0" zoomScaleNormal="100" workbookViewId="0">
      <pane xSplit="5" ySplit="9" topLeftCell="F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34.33203125" customWidth="1"/>
    <col min="5" max="5" width="17.6640625" customWidth="1"/>
    <col min="6" max="7" width="3.5" customWidth="1"/>
    <col min="8" max="10" width="11.33203125" customWidth="1"/>
    <col min="11" max="12" width="3.5" customWidth="1"/>
    <col min="13" max="19" width="16.33203125" customWidth="1"/>
    <col min="20" max="20" width="4.33203125" customWidth="1"/>
    <col min="21" max="21" width="15.6640625" customWidth="1"/>
    <col min="22" max="22" width="17.5" customWidth="1"/>
    <col min="23" max="24" width="10.83203125" customWidth="1"/>
  </cols>
  <sheetData>
    <row r="1" spans="1:22" ht="18.75" x14ac:dyDescent="0.3">
      <c r="A1" s="59">
        <f ca="1">IF(SUM($A10:$A113)&gt;0,1,0)</f>
        <v>0</v>
      </c>
      <c r="B1" s="3" t="s">
        <v>712</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260"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 x14ac:dyDescent="0.3">
      <c r="B11" s="2" t="s">
        <v>713</v>
      </c>
    </row>
    <row r="12" spans="1:22" ht="11.25" customHeight="1" x14ac:dyDescent="0.3"/>
    <row r="13" spans="1:22" ht="11.25" customHeight="1" x14ac:dyDescent="0.3">
      <c r="D13" s="105" t="s">
        <v>131</v>
      </c>
    </row>
    <row r="14" spans="1:22" ht="11.25" customHeight="1" x14ac:dyDescent="0.3"/>
    <row r="15" spans="1:22" ht="11.25" customHeight="1" x14ac:dyDescent="0.3"/>
    <row r="16" spans="1:22" ht="11.25" customHeight="1" x14ac:dyDescent="0.3">
      <c r="D16" s="70" t="s">
        <v>714</v>
      </c>
      <c r="H16" s="54" t="str">
        <f>Lookup!E$19</f>
        <v>Source</v>
      </c>
      <c r="I16" s="54" t="str">
        <f>Lookup!F$19</f>
        <v>Unit</v>
      </c>
      <c r="J16" s="54" t="str">
        <f>Lookup!G$19</f>
        <v>Basis</v>
      </c>
      <c r="O16" s="54" t="str">
        <f>O$9</f>
        <v>FY25</v>
      </c>
      <c r="P16" s="54" t="str">
        <f>P$9</f>
        <v>FY26</v>
      </c>
      <c r="Q16" s="54" t="str">
        <f>Q$9</f>
        <v>FY27</v>
      </c>
      <c r="R16" s="54" t="str">
        <f>R$9</f>
        <v>FY28</v>
      </c>
      <c r="S16" s="54" t="str">
        <f>S$9</f>
        <v>FY29</v>
      </c>
    </row>
    <row r="17" spans="1:19" ht="11.25" customHeight="1" x14ac:dyDescent="0.3">
      <c r="D17" s="1"/>
    </row>
    <row r="18" spans="1:19" ht="12.75" x14ac:dyDescent="0.3">
      <c r="D18" s="75" t="str">
        <f>Inputs_Other!$D$34</f>
        <v>Real 2024 (End Period) to Nominal (End Period)</v>
      </c>
      <c r="E18" s="82"/>
      <c r="F18" s="82"/>
      <c r="G18" s="82"/>
      <c r="H18" s="259" t="s">
        <v>52</v>
      </c>
      <c r="I18" s="259" t="s">
        <v>45</v>
      </c>
      <c r="J18" s="259" t="s">
        <v>21</v>
      </c>
      <c r="O18" s="142">
        <f>Inputs_Other!O34</f>
        <v>1.0291964004986822</v>
      </c>
      <c r="P18" s="142">
        <f>Inputs_Other!P34</f>
        <v>1.059245230799444</v>
      </c>
      <c r="Q18" s="142">
        <f>Inputs_Other!Q34</f>
        <v>1.0901713787841836</v>
      </c>
      <c r="R18" s="142">
        <f>Inputs_Other!R34</f>
        <v>1.1220004589713672</v>
      </c>
      <c r="S18" s="142">
        <f>Inputs_Other!S34</f>
        <v>1.1547588337312005</v>
      </c>
    </row>
    <row r="19" spans="1:19" ht="11.25" customHeight="1" x14ac:dyDescent="0.3"/>
    <row r="20" spans="1:19" ht="11.25" customHeight="1" x14ac:dyDescent="0.3"/>
    <row r="21" spans="1:19" s="2" customFormat="1" ht="15" x14ac:dyDescent="0.3">
      <c r="B21" s="2" t="s">
        <v>128</v>
      </c>
    </row>
    <row r="22" spans="1:19" ht="11.25" customHeight="1" x14ac:dyDescent="0.3"/>
    <row r="23" spans="1:19" s="8" customFormat="1" ht="13.9" x14ac:dyDescent="0.3">
      <c r="C23" s="8" t="s">
        <v>554</v>
      </c>
    </row>
    <row r="24" spans="1:19" ht="11.25" customHeight="1" x14ac:dyDescent="0.3"/>
    <row r="25" spans="1:19" ht="11.25" customHeight="1" x14ac:dyDescent="0.3">
      <c r="D25" s="70" t="s">
        <v>62</v>
      </c>
      <c r="H25" s="54" t="str">
        <f>Lookup!E$19</f>
        <v>Source</v>
      </c>
      <c r="I25" s="54" t="str">
        <f>Lookup!F$19</f>
        <v>Unit</v>
      </c>
      <c r="J25" s="54" t="str">
        <f>Lookup!G$19</f>
        <v>Basis</v>
      </c>
      <c r="O25" s="54" t="str">
        <f>O$9</f>
        <v>FY25</v>
      </c>
      <c r="P25" s="54" t="str">
        <f>P$9</f>
        <v>FY26</v>
      </c>
      <c r="Q25" s="54" t="str">
        <f>Q$9</f>
        <v>FY27</v>
      </c>
      <c r="R25" s="54" t="str">
        <f>R$9</f>
        <v>FY28</v>
      </c>
      <c r="S25" s="54" t="str">
        <f>S$9</f>
        <v>FY29</v>
      </c>
    </row>
    <row r="26" spans="1:19" ht="11.25" customHeight="1" x14ac:dyDescent="0.3">
      <c r="D26" s="1"/>
    </row>
    <row r="27" spans="1:19" ht="12.75" x14ac:dyDescent="0.3">
      <c r="D27" s="85" t="s">
        <v>64</v>
      </c>
      <c r="E27" s="82"/>
      <c r="F27" s="82"/>
      <c r="G27" s="82"/>
      <c r="H27" s="259" t="s">
        <v>52</v>
      </c>
      <c r="I27" s="259" t="s">
        <v>47</v>
      </c>
      <c r="J27" s="259" t="s">
        <v>40</v>
      </c>
      <c r="O27" s="66">
        <f t="shared" ref="O27:S29" si="0">SUMIF($E$83:$E$91,$D27,O$83:O$91)</f>
        <v>562475.63155045942</v>
      </c>
      <c r="P27" s="66">
        <f t="shared" si="0"/>
        <v>562418.07106050022</v>
      </c>
      <c r="Q27" s="66">
        <f t="shared" si="0"/>
        <v>562080.99040589284</v>
      </c>
      <c r="R27" s="66">
        <f t="shared" si="0"/>
        <v>552868.23254566477</v>
      </c>
      <c r="S27" s="66">
        <f t="shared" si="0"/>
        <v>536808.27556118229</v>
      </c>
    </row>
    <row r="28" spans="1:19" ht="12.75" x14ac:dyDescent="0.3">
      <c r="D28" s="85" t="s">
        <v>70</v>
      </c>
      <c r="E28" s="82"/>
      <c r="F28" s="82"/>
      <c r="G28" s="82"/>
      <c r="H28" s="259" t="s">
        <v>52</v>
      </c>
      <c r="I28" s="259" t="s">
        <v>47</v>
      </c>
      <c r="J28" s="259" t="s">
        <v>40</v>
      </c>
      <c r="O28" s="66">
        <f t="shared" si="0"/>
        <v>74327.160663166651</v>
      </c>
      <c r="P28" s="66">
        <f t="shared" si="0"/>
        <v>76994.466040175321</v>
      </c>
      <c r="Q28" s="66">
        <f t="shared" si="0"/>
        <v>79732.245713510565</v>
      </c>
      <c r="R28" s="66">
        <f t="shared" si="0"/>
        <v>82542.037171022093</v>
      </c>
      <c r="S28" s="66">
        <f t="shared" si="0"/>
        <v>85425.402866485383</v>
      </c>
    </row>
    <row r="29" spans="1:19" ht="12.75" x14ac:dyDescent="0.3">
      <c r="D29" s="85" t="s">
        <v>69</v>
      </c>
      <c r="E29" s="82"/>
      <c r="F29" s="82"/>
      <c r="G29" s="82"/>
      <c r="H29" s="259" t="s">
        <v>52</v>
      </c>
      <c r="I29" s="259" t="s">
        <v>47</v>
      </c>
      <c r="J29" s="259" t="s">
        <v>40</v>
      </c>
      <c r="O29" s="66">
        <f t="shared" si="0"/>
        <v>115751.48022238733</v>
      </c>
      <c r="P29" s="66">
        <f t="shared" si="0"/>
        <v>129467.41332239466</v>
      </c>
      <c r="Q29" s="66">
        <f t="shared" si="0"/>
        <v>141539.67777656397</v>
      </c>
      <c r="R29" s="66">
        <f t="shared" si="0"/>
        <v>154918.74430651934</v>
      </c>
      <c r="S29" s="66">
        <f t="shared" si="0"/>
        <v>169666.6826180408</v>
      </c>
    </row>
    <row r="30" spans="1:19" ht="11.25" customHeight="1" x14ac:dyDescent="0.3"/>
    <row r="31" spans="1:19" ht="12.75" hidden="1" outlineLevel="1" x14ac:dyDescent="0.3">
      <c r="D31" s="81" t="s">
        <v>90</v>
      </c>
      <c r="E31" s="82"/>
      <c r="F31" s="80"/>
      <c r="G31" s="82"/>
      <c r="H31" s="259" t="s">
        <v>52</v>
      </c>
      <c r="I31" s="259" t="s">
        <v>47</v>
      </c>
      <c r="J31" s="259" t="s">
        <v>40</v>
      </c>
      <c r="K31" s="78"/>
      <c r="O31" s="66">
        <f>SUM(O83:O91)</f>
        <v>752554.27243601345</v>
      </c>
      <c r="P31" s="66">
        <f>SUM(P83:P91)</f>
        <v>768879.95042307023</v>
      </c>
      <c r="Q31" s="66">
        <f>SUM(Q83:Q91)</f>
        <v>783352.91389596742</v>
      </c>
      <c r="R31" s="66">
        <f>SUM(R83:R91)</f>
        <v>790329.0140232062</v>
      </c>
      <c r="S31" s="66">
        <f>SUM(S83:S91)</f>
        <v>791900.36104570853</v>
      </c>
    </row>
    <row r="32" spans="1:19" ht="12.75" hidden="1" outlineLevel="1" x14ac:dyDescent="0.3">
      <c r="A32" s="59">
        <f>IF(SUM($M32:$S32)=0,0,1)</f>
        <v>0</v>
      </c>
      <c r="D32" s="81" t="s">
        <v>55</v>
      </c>
      <c r="E32" s="82"/>
      <c r="F32" s="80"/>
      <c r="G32" s="82"/>
      <c r="H32" s="80"/>
      <c r="I32" s="84"/>
      <c r="J32" s="84"/>
      <c r="K32" s="78"/>
      <c r="O32" s="59">
        <f>IF(ROUND(O31-SUM(O27:O29),2)=0,0,1)</f>
        <v>0</v>
      </c>
      <c r="P32" s="59">
        <f>IF(ROUND(P31-SUM(P27:P29),2)=0,0,1)</f>
        <v>0</v>
      </c>
      <c r="Q32" s="59">
        <f>IF(ROUND(Q31-SUM(Q27:Q29),2)=0,0,1)</f>
        <v>0</v>
      </c>
      <c r="R32" s="59">
        <f>IF(ROUND(R31-SUM(R27:R29),2)=0,0,1)</f>
        <v>0</v>
      </c>
      <c r="S32" s="59">
        <f>IF(ROUND(S31-SUM(S27:S29),2)=0,0,1)</f>
        <v>0</v>
      </c>
    </row>
    <row r="33" spans="1:19" ht="11.25" customHeight="1" collapsed="1" x14ac:dyDescent="0.3"/>
    <row r="34" spans="1:19" ht="11.25" customHeight="1" x14ac:dyDescent="0.3"/>
    <row r="35" spans="1:19" s="8" customFormat="1" ht="13.9" x14ac:dyDescent="0.3">
      <c r="C35" s="8" t="s">
        <v>200</v>
      </c>
    </row>
    <row r="36" spans="1:19" ht="11.25" customHeight="1" x14ac:dyDescent="0.3"/>
    <row r="37" spans="1:19" ht="11.25" customHeight="1" x14ac:dyDescent="0.3">
      <c r="D37" s="70" t="s">
        <v>62</v>
      </c>
      <c r="H37" s="54" t="str">
        <f>Lookup!E$19</f>
        <v>Source</v>
      </c>
      <c r="I37" s="54" t="str">
        <f>Lookup!F$19</f>
        <v>Unit</v>
      </c>
      <c r="J37" s="54" t="str">
        <f>Lookup!G$19</f>
        <v>Basis</v>
      </c>
      <c r="O37" s="54" t="str">
        <f>O$9</f>
        <v>FY25</v>
      </c>
      <c r="P37" s="54" t="str">
        <f>P$9</f>
        <v>FY26</v>
      </c>
      <c r="Q37" s="54" t="str">
        <f>Q$9</f>
        <v>FY27</v>
      </c>
      <c r="R37" s="54" t="str">
        <f>R$9</f>
        <v>FY28</v>
      </c>
      <c r="S37" s="54" t="str">
        <f>S$9</f>
        <v>FY29</v>
      </c>
    </row>
    <row r="38" spans="1:19" ht="11.25" customHeight="1" x14ac:dyDescent="0.3">
      <c r="D38" s="1"/>
    </row>
    <row r="39" spans="1:19" ht="12.75" x14ac:dyDescent="0.3">
      <c r="D39" s="85" t="s">
        <v>64</v>
      </c>
      <c r="E39" s="82"/>
      <c r="F39" s="82"/>
      <c r="G39" s="82"/>
      <c r="H39" s="259" t="s">
        <v>52</v>
      </c>
      <c r="I39" s="259" t="s">
        <v>47</v>
      </c>
      <c r="J39" s="259" t="s">
        <v>40</v>
      </c>
      <c r="O39" s="66">
        <f ca="1">SUMIF($E$100:$E$108,$D39,O$100:O$108)</f>
        <v>52119.670366259787</v>
      </c>
      <c r="P39" s="66">
        <f t="shared" ref="P39:S41" ca="1" si="1">SUMIF($E$100:$E$108,$D39,P$100:P$108)</f>
        <v>54901.416853987961</v>
      </c>
      <c r="Q39" s="66">
        <f t="shared" ca="1" si="1"/>
        <v>57455.862463766905</v>
      </c>
      <c r="R39" s="66">
        <f t="shared" ca="1" si="1"/>
        <v>60162.214912858151</v>
      </c>
      <c r="S39" s="66">
        <f t="shared" ca="1" si="1"/>
        <v>62750.317825830527</v>
      </c>
    </row>
    <row r="40" spans="1:19" ht="12.75" x14ac:dyDescent="0.3">
      <c r="D40" s="85" t="s">
        <v>70</v>
      </c>
      <c r="E40" s="82"/>
      <c r="F40" s="82"/>
      <c r="G40" s="82"/>
      <c r="H40" s="259" t="s">
        <v>52</v>
      </c>
      <c r="I40" s="259" t="s">
        <v>47</v>
      </c>
      <c r="J40" s="259" t="s">
        <v>40</v>
      </c>
      <c r="O40" s="66">
        <f ca="1">SUMIF($E$100:$E$108,$D40,O$100:O$108)</f>
        <v>7141.9470334601019</v>
      </c>
      <c r="P40" s="66">
        <f t="shared" ca="1" si="1"/>
        <v>7523.1291463985881</v>
      </c>
      <c r="Q40" s="66">
        <f t="shared" ca="1" si="1"/>
        <v>7873.1642697347907</v>
      </c>
      <c r="R40" s="66">
        <f t="shared" ca="1" si="1"/>
        <v>8244.0151540450097</v>
      </c>
      <c r="S40" s="66">
        <f t="shared" ca="1" si="1"/>
        <v>8598.6623302780827</v>
      </c>
    </row>
    <row r="41" spans="1:19" ht="12.75" x14ac:dyDescent="0.3">
      <c r="D41" s="85" t="s">
        <v>69</v>
      </c>
      <c r="E41" s="82"/>
      <c r="F41" s="82"/>
      <c r="G41" s="82"/>
      <c r="H41" s="259" t="s">
        <v>52</v>
      </c>
      <c r="I41" s="259" t="s">
        <v>47</v>
      </c>
      <c r="J41" s="259" t="s">
        <v>40</v>
      </c>
      <c r="O41" s="66">
        <f ca="1">SUMIF($E$100:$E$108,$D41,O$100:O$108)</f>
        <v>6155.5767379374793</v>
      </c>
      <c r="P41" s="66">
        <f t="shared" ca="1" si="1"/>
        <v>6484.1140032418989</v>
      </c>
      <c r="Q41" s="66">
        <f t="shared" ca="1" si="1"/>
        <v>6785.8059721930495</v>
      </c>
      <c r="R41" s="66">
        <f t="shared" ca="1" si="1"/>
        <v>7105.4388490554211</v>
      </c>
      <c r="S41" s="66">
        <f t="shared" ca="1" si="1"/>
        <v>7411.1059028669179</v>
      </c>
    </row>
    <row r="42" spans="1:19" ht="11.25" customHeight="1" x14ac:dyDescent="0.3"/>
    <row r="43" spans="1:19" ht="12.75" hidden="1" outlineLevel="1" x14ac:dyDescent="0.3">
      <c r="D43" s="81" t="s">
        <v>90</v>
      </c>
      <c r="E43" s="82"/>
      <c r="F43" s="80"/>
      <c r="G43" s="82"/>
      <c r="H43" s="259" t="s">
        <v>52</v>
      </c>
      <c r="I43" s="259" t="s">
        <v>47</v>
      </c>
      <c r="J43" s="259" t="s">
        <v>40</v>
      </c>
      <c r="K43" s="78"/>
      <c r="O43" s="66">
        <f ca="1">SUM(O100:O108)</f>
        <v>65417.194137657367</v>
      </c>
      <c r="P43" s="66">
        <f ca="1">SUM(P100:P108)</f>
        <v>68908.660003628451</v>
      </c>
      <c r="Q43" s="66">
        <f ca="1">SUM(Q100:Q108)</f>
        <v>72114.832705694746</v>
      </c>
      <c r="R43" s="66">
        <f ca="1">SUM(R100:R108)</f>
        <v>75511.668915958595</v>
      </c>
      <c r="S43" s="66">
        <f ca="1">SUM(S100:S108)</f>
        <v>78760.086058975518</v>
      </c>
    </row>
    <row r="44" spans="1:19" ht="12.75" hidden="1" outlineLevel="1" x14ac:dyDescent="0.3">
      <c r="A44" s="59">
        <f ca="1">IF(SUM($M44:$S44)=0,0,1)</f>
        <v>0</v>
      </c>
      <c r="D44" s="81" t="s">
        <v>55</v>
      </c>
      <c r="E44" s="82"/>
      <c r="F44" s="80"/>
      <c r="G44" s="82"/>
      <c r="H44" s="80"/>
      <c r="I44" s="84"/>
      <c r="J44" s="84"/>
      <c r="K44" s="78"/>
      <c r="O44" s="59">
        <f ca="1">IF(ROUND(O43-SUM(O39:O41),2)=0,0,1)</f>
        <v>0</v>
      </c>
      <c r="P44" s="59">
        <f ca="1">IF(ROUND(P43-SUM(P39:P41),2)=0,0,1)</f>
        <v>0</v>
      </c>
      <c r="Q44" s="59">
        <f ca="1">IF(ROUND(Q43-SUM(Q39:Q41),2)=0,0,1)</f>
        <v>0</v>
      </c>
      <c r="R44" s="59">
        <f ca="1">IF(ROUND(R43-SUM(R39:R41),2)=0,0,1)</f>
        <v>0</v>
      </c>
      <c r="S44" s="59">
        <f ca="1">IF(ROUND(S43-SUM(S39:S41),2)=0,0,1)</f>
        <v>0</v>
      </c>
    </row>
    <row r="45" spans="1:19" ht="11.25" customHeight="1" collapsed="1" x14ac:dyDescent="0.3"/>
    <row r="46" spans="1:19" ht="11.25" customHeight="1" x14ac:dyDescent="0.3"/>
    <row r="47" spans="1:19" s="2" customFormat="1" ht="15" x14ac:dyDescent="0.3">
      <c r="B47" s="2" t="s">
        <v>7</v>
      </c>
    </row>
    <row r="48" spans="1:19" ht="11.25" customHeight="1" x14ac:dyDescent="0.3"/>
    <row r="49" spans="3:19" ht="11.25" customHeight="1" x14ac:dyDescent="0.3">
      <c r="D49" s="105" t="s">
        <v>135</v>
      </c>
    </row>
    <row r="50" spans="3:19" ht="11.25" customHeight="1" x14ac:dyDescent="0.3">
      <c r="D50" s="105" t="s">
        <v>136</v>
      </c>
    </row>
    <row r="51" spans="3:19" ht="11.25" customHeight="1" x14ac:dyDescent="0.3"/>
    <row r="52" spans="3:19" ht="11.25" customHeight="1" x14ac:dyDescent="0.3"/>
    <row r="53" spans="3:19" s="8" customFormat="1" ht="13.9" x14ac:dyDescent="0.3">
      <c r="C53" s="8" t="s">
        <v>133</v>
      </c>
    </row>
    <row r="54" spans="3:19" ht="11.25" customHeight="1" x14ac:dyDescent="0.3"/>
    <row r="55" spans="3:19" ht="11.25" customHeight="1" x14ac:dyDescent="0.3">
      <c r="D55" s="70" t="str">
        <f>C53</f>
        <v>Forecast revenue</v>
      </c>
      <c r="H55" s="54" t="str">
        <f>H$9</f>
        <v>Source</v>
      </c>
      <c r="I55" s="54" t="str">
        <f>I$9</f>
        <v>Unit</v>
      </c>
      <c r="J55" s="54" t="str">
        <f>J$9</f>
        <v>Basis</v>
      </c>
      <c r="O55" s="54" t="str">
        <f>O$9</f>
        <v>FY25</v>
      </c>
      <c r="P55" s="54" t="str">
        <f>P$9</f>
        <v>FY26</v>
      </c>
      <c r="Q55" s="54" t="str">
        <f>Q$9</f>
        <v>FY27</v>
      </c>
      <c r="R55" s="54" t="str">
        <f>R$9</f>
        <v>FY28</v>
      </c>
      <c r="S55" s="54" t="str">
        <f>S$9</f>
        <v>FY29</v>
      </c>
    </row>
    <row r="56" spans="3:19" ht="11.25" customHeight="1" x14ac:dyDescent="0.3">
      <c r="D56" s="1"/>
    </row>
    <row r="57" spans="3:19" ht="12.75" x14ac:dyDescent="0.3">
      <c r="D57" s="75" t="s">
        <v>134</v>
      </c>
      <c r="E57" s="82"/>
      <c r="F57" s="82"/>
      <c r="G57" s="82"/>
      <c r="H57" s="259" t="s">
        <v>52</v>
      </c>
      <c r="I57" s="259" t="s">
        <v>47</v>
      </c>
      <c r="J57" s="259" t="s">
        <v>40</v>
      </c>
      <c r="O57" s="66">
        <f>Calc_Revenue!O24</f>
        <v>175968.4382588724</v>
      </c>
      <c r="P57" s="66">
        <f>Calc_Revenue!P24</f>
        <v>196409.15474873575</v>
      </c>
      <c r="Q57" s="66">
        <f>Calc_Revenue!Q24</f>
        <v>219224.29073537441</v>
      </c>
      <c r="R57" s="66">
        <f>Calc_Revenue!R24</f>
        <v>244689.6617925459</v>
      </c>
      <c r="S57" s="66">
        <f>Calc_Revenue!S24</f>
        <v>254784.53036443872</v>
      </c>
    </row>
    <row r="58" spans="3:19" ht="12.75" x14ac:dyDescent="0.3">
      <c r="D58" s="75" t="s">
        <v>296</v>
      </c>
      <c r="E58" s="82"/>
      <c r="F58" s="82"/>
      <c r="G58" s="82"/>
      <c r="H58" s="259" t="s">
        <v>52</v>
      </c>
      <c r="I58" s="259" t="s">
        <v>47</v>
      </c>
      <c r="J58" s="259" t="s">
        <v>40</v>
      </c>
      <c r="O58" s="66">
        <f ca="1">Calc_LRMC_Tariff!O70</f>
        <v>65417.194137657374</v>
      </c>
      <c r="P58" s="66">
        <f ca="1">Calc_LRMC_Tariff!P70</f>
        <v>68908.660003628451</v>
      </c>
      <c r="Q58" s="66">
        <f ca="1">Calc_LRMC_Tariff!Q70</f>
        <v>72114.83270569476</v>
      </c>
      <c r="R58" s="66">
        <f ca="1">Calc_LRMC_Tariff!R70</f>
        <v>75511.66891595858</v>
      </c>
      <c r="S58" s="66">
        <f ca="1">Calc_LRMC_Tariff!S70</f>
        <v>78760.086058975532</v>
      </c>
    </row>
    <row r="59" spans="3:19" ht="11.25" customHeight="1" x14ac:dyDescent="0.3">
      <c r="D59" s="1"/>
    </row>
    <row r="60" spans="3:19" ht="11.25" customHeight="1" x14ac:dyDescent="0.3">
      <c r="D60" s="1"/>
    </row>
    <row r="61" spans="3:19" s="8" customFormat="1" ht="13.9" x14ac:dyDescent="0.3">
      <c r="C61" s="8" t="s">
        <v>74</v>
      </c>
    </row>
    <row r="62" spans="3:19" ht="11.25" customHeight="1" x14ac:dyDescent="0.3"/>
    <row r="63" spans="3:19" ht="11.25" customHeight="1" x14ac:dyDescent="0.3">
      <c r="C63" s="172" t="s">
        <v>5</v>
      </c>
      <c r="D63" s="70" t="s">
        <v>118</v>
      </c>
      <c r="E63" s="54" t="s">
        <v>62</v>
      </c>
      <c r="H63" s="54" t="str">
        <f>H$9</f>
        <v>Source</v>
      </c>
      <c r="I63" s="54" t="str">
        <f>I$9</f>
        <v>Unit</v>
      </c>
      <c r="J63" s="54" t="str">
        <f>J$9</f>
        <v>Basis</v>
      </c>
      <c r="M63" s="54" t="s">
        <v>295</v>
      </c>
      <c r="O63" s="54" t="str">
        <f>O$9</f>
        <v>FY25</v>
      </c>
      <c r="P63" s="54" t="str">
        <f>P$9</f>
        <v>FY26</v>
      </c>
      <c r="Q63" s="54" t="str">
        <f>Q$9</f>
        <v>FY27</v>
      </c>
      <c r="R63" s="54" t="str">
        <f>R$9</f>
        <v>FY28</v>
      </c>
      <c r="S63" s="54" t="str">
        <f>S$9</f>
        <v>FY29</v>
      </c>
    </row>
    <row r="64" spans="3:19" ht="11.25" customHeight="1" x14ac:dyDescent="0.3"/>
    <row r="65" spans="1:19" ht="12.75" x14ac:dyDescent="0.35">
      <c r="C65" s="171">
        <v>1</v>
      </c>
      <c r="D65" s="75" t="str">
        <f t="array" ref="D65:D73">LU_Tariffs</f>
        <v>Residential Accumulation</v>
      </c>
      <c r="E65" s="53" t="str">
        <f>Inputs_Prices!F20</f>
        <v>LV &lt;750MWh</v>
      </c>
      <c r="H65" s="259" t="s">
        <v>52</v>
      </c>
      <c r="I65" s="259" t="s">
        <v>82</v>
      </c>
      <c r="J65" s="259" t="s">
        <v>21</v>
      </c>
      <c r="M65" s="259" t="str">
        <f>Inputs_Other!O188</f>
        <v>Residential</v>
      </c>
      <c r="O65" s="77">
        <f>SUMIF(Inputs_Volumes!$D$35:$D$49,$D65,Inputs_Volumes!O$35:O$49)</f>
        <v>400425960.28682214</v>
      </c>
      <c r="P65" s="77">
        <f>SUMIF(Inputs_Volumes!$D$35:$D$49,$D65,Inputs_Volumes!P$35:P$49)</f>
        <v>377829630.10215068</v>
      </c>
      <c r="Q65" s="77">
        <f>SUMIF(Inputs_Volumes!$D$35:$D$49,$D65,Inputs_Volumes!Q$35:Q$49)</f>
        <v>355640867.96210951</v>
      </c>
      <c r="R65" s="77">
        <f>SUMIF(Inputs_Volumes!$D$35:$D$49,$D65,Inputs_Volumes!R$35:R$49)</f>
        <v>333853825.2984547</v>
      </c>
      <c r="S65" s="77">
        <f>SUMIF(Inputs_Volumes!$D$35:$D$49,$D65,Inputs_Volumes!S$35:S$49)</f>
        <v>312462729.32590675</v>
      </c>
    </row>
    <row r="66" spans="1:19" ht="12.75" x14ac:dyDescent="0.35">
      <c r="C66" s="171">
        <v>2</v>
      </c>
      <c r="D66" s="75" t="str">
        <v>Non-Residential Accumulation</v>
      </c>
      <c r="E66" s="53" t="str">
        <f>Inputs_Prices!F21</f>
        <v>LV &lt;750MWh</v>
      </c>
      <c r="H66" s="259" t="s">
        <v>52</v>
      </c>
      <c r="I66" s="259" t="s">
        <v>82</v>
      </c>
      <c r="J66" s="259" t="s">
        <v>21</v>
      </c>
      <c r="M66" s="259" t="str">
        <f>Inputs_Other!O189</f>
        <v>Commercial</v>
      </c>
      <c r="O66" s="77">
        <f>SUMIF(Inputs_Volumes!$D$35:$D$49,$D66,Inputs_Volumes!O$35:O$49)</f>
        <v>35576298.720509283</v>
      </c>
      <c r="P66" s="77">
        <f>SUMIF(Inputs_Volumes!$D$35:$D$49,$D66,Inputs_Volumes!P$35:P$49)</f>
        <v>19042398.938580561</v>
      </c>
      <c r="Q66" s="77">
        <f>SUMIF(Inputs_Volumes!$D$35:$D$49,$D66,Inputs_Volumes!Q$35:Q$49)</f>
        <v>2832295.1321915495</v>
      </c>
      <c r="R66" s="77">
        <f>SUMIF(Inputs_Volumes!$D$35:$D$49,$D66,Inputs_Volumes!R$35:R$49)</f>
        <v>0</v>
      </c>
      <c r="S66" s="77">
        <f>SUMIF(Inputs_Volumes!$D$35:$D$49,$D66,Inputs_Volumes!S$35:S$49)</f>
        <v>0</v>
      </c>
    </row>
    <row r="67" spans="1:19" ht="12.75" x14ac:dyDescent="0.35">
      <c r="C67" s="171" t="s">
        <v>494</v>
      </c>
      <c r="D67" s="75" t="str">
        <v>LV Smart Meter - Res</v>
      </c>
      <c r="E67" s="53" t="str">
        <f>Inputs_Prices!F22</f>
        <v>LV &lt;750MWh</v>
      </c>
      <c r="H67" s="259" t="s">
        <v>52</v>
      </c>
      <c r="I67" s="259" t="s">
        <v>82</v>
      </c>
      <c r="J67" s="259" t="s">
        <v>21</v>
      </c>
      <c r="M67" s="259" t="str">
        <f>Inputs_Other!O190</f>
        <v>Residential</v>
      </c>
      <c r="O67" s="77">
        <f>SUMIF(Inputs_Volumes!$D$35:$D$49,$D67,Inputs_Volumes!O$35:O$49)</f>
        <v>202433452.41692108</v>
      </c>
      <c r="P67" s="77">
        <f>SUMIF(Inputs_Volumes!$D$35:$D$49,$D67,Inputs_Volumes!P$35:P$49)</f>
        <v>204684562.52787703</v>
      </c>
      <c r="Q67" s="77">
        <f>SUMIF(Inputs_Volumes!$D$35:$D$49,$D67,Inputs_Volumes!Q$35:Q$49)</f>
        <v>206975896.88459009</v>
      </c>
      <c r="R67" s="77">
        <f>SUMIF(Inputs_Volumes!$D$35:$D$49,$D67,Inputs_Volumes!R$35:R$49)</f>
        <v>205823832.7398358</v>
      </c>
      <c r="S67" s="77">
        <f>SUMIF(Inputs_Volumes!$D$35:$D$49,$D67,Inputs_Volumes!S$35:S$49)</f>
        <v>200551402.97716135</v>
      </c>
    </row>
    <row r="68" spans="1:19" ht="12.75" x14ac:dyDescent="0.35">
      <c r="C68" s="171" t="s">
        <v>495</v>
      </c>
      <c r="D68" s="75" t="str">
        <v>LV Smart Meter - Small Comm</v>
      </c>
      <c r="E68" s="53" t="str">
        <f>Inputs_Prices!F23</f>
        <v>LV &lt;750MWh</v>
      </c>
      <c r="H68" s="259" t="s">
        <v>52</v>
      </c>
      <c r="I68" s="259" t="s">
        <v>82</v>
      </c>
      <c r="J68" s="259" t="s">
        <v>21</v>
      </c>
      <c r="M68" s="259" t="str">
        <f>Inputs_Other!O191</f>
        <v>Commercial</v>
      </c>
      <c r="O68" s="77">
        <f>SUMIF(Inputs_Volumes!$D$35:$D$49,$D68,Inputs_Volumes!O$35:O$49)</f>
        <v>230604102.60864362</v>
      </c>
      <c r="P68" s="77">
        <f>SUMIF(Inputs_Volumes!$D$35:$D$49,$D68,Inputs_Volumes!P$35:P$49)</f>
        <v>243320431.07730359</v>
      </c>
      <c r="Q68" s="77">
        <f>SUMIF(Inputs_Volumes!$D$35:$D$49,$D68,Inputs_Volumes!Q$35:Q$49)</f>
        <v>254935142.80817252</v>
      </c>
      <c r="R68" s="77">
        <f>SUMIF(Inputs_Volumes!$D$35:$D$49,$D68,Inputs_Volumes!R$35:R$49)</f>
        <v>242266070.9692136</v>
      </c>
      <c r="S68" s="77">
        <f>SUMIF(Inputs_Volumes!$D$35:$D$49,$D68,Inputs_Volumes!S$35:S$49)</f>
        <v>222670572.6508351</v>
      </c>
    </row>
    <row r="69" spans="1:19" ht="12.75" x14ac:dyDescent="0.35">
      <c r="C69" s="171" t="s">
        <v>496</v>
      </c>
      <c r="D69" s="75" t="str">
        <v>LV Smart Meter - Med Comm</v>
      </c>
      <c r="E69" s="53" t="str">
        <f>Inputs_Prices!F24</f>
        <v>LV &lt;750MWh</v>
      </c>
      <c r="H69" s="259" t="s">
        <v>52</v>
      </c>
      <c r="I69" s="259" t="s">
        <v>82</v>
      </c>
      <c r="J69" s="259" t="s">
        <v>21</v>
      </c>
      <c r="M69" s="259" t="str">
        <f>Inputs_Other!O192</f>
        <v>Commercial</v>
      </c>
      <c r="O69" s="77">
        <f>SUMIF(Inputs_Volumes!$D$35:$D$49,$D69,Inputs_Volumes!O$35:O$49)</f>
        <v>200648875.16062877</v>
      </c>
      <c r="P69" s="77">
        <f>SUMIF(Inputs_Volumes!$D$35:$D$49,$D69,Inputs_Volumes!P$35:P$49)</f>
        <v>195016864.54495469</v>
      </c>
      <c r="Q69" s="77">
        <f>SUMIF(Inputs_Volumes!$D$35:$D$49,$D69,Inputs_Volumes!Q$35:Q$49)</f>
        <v>190079131.00189227</v>
      </c>
      <c r="R69" s="77">
        <f>SUMIF(Inputs_Volumes!$D$35:$D$49,$D69,Inputs_Volumes!R$35:R$49)</f>
        <v>182610757.99656773</v>
      </c>
      <c r="S69" s="77">
        <f>SUMIF(Inputs_Volumes!$D$35:$D$49,$D69,Inputs_Volumes!S$35:S$49)</f>
        <v>172225094.7714465</v>
      </c>
    </row>
    <row r="70" spans="1:19" ht="12.75" x14ac:dyDescent="0.35">
      <c r="C70" s="171">
        <v>4</v>
      </c>
      <c r="D70" s="75" t="str">
        <v>Unmetered</v>
      </c>
      <c r="E70" s="53" t="str">
        <f>Inputs_Prices!F25</f>
        <v>LV &lt;750MWh</v>
      </c>
      <c r="H70" s="259" t="s">
        <v>52</v>
      </c>
      <c r="I70" s="259" t="s">
        <v>82</v>
      </c>
      <c r="J70" s="259" t="s">
        <v>21</v>
      </c>
      <c r="M70" s="259" t="str">
        <f>Inputs_Other!O193</f>
        <v>N/A</v>
      </c>
      <c r="O70" s="77">
        <f>SUMIF(Inputs_Volumes!$D$35:$D$49,$D70,Inputs_Volumes!O$35:O$49)</f>
        <v>16314046.260000002</v>
      </c>
      <c r="P70" s="77">
        <f>SUMIF(Inputs_Volumes!$D$35:$D$49,$D70,Inputs_Volumes!P$35:P$49)</f>
        <v>16640327.1852</v>
      </c>
      <c r="Q70" s="77">
        <f>SUMIF(Inputs_Volumes!$D$35:$D$49,$D70,Inputs_Volumes!Q$35:Q$49)</f>
        <v>16973133.728903998</v>
      </c>
      <c r="R70" s="77">
        <f>SUMIF(Inputs_Volumes!$D$35:$D$49,$D70,Inputs_Volumes!R$35:R$49)</f>
        <v>17312596.40348208</v>
      </c>
      <c r="S70" s="77">
        <f>SUMIF(Inputs_Volumes!$D$35:$D$49,$D70,Inputs_Volumes!S$35:S$49)</f>
        <v>17658848.331551723</v>
      </c>
    </row>
    <row r="71" spans="1:19" ht="12.75" x14ac:dyDescent="0.35">
      <c r="C71" s="171">
        <v>5</v>
      </c>
      <c r="D71" s="75" t="str">
        <v>LV Majors</v>
      </c>
      <c r="E71" s="53" t="str">
        <f>Inputs_Prices!F26</f>
        <v>LV &gt;750MWh</v>
      </c>
      <c r="H71" s="259" t="s">
        <v>52</v>
      </c>
      <c r="I71" s="259" t="s">
        <v>82</v>
      </c>
      <c r="J71" s="259" t="s">
        <v>21</v>
      </c>
      <c r="M71" s="259" t="str">
        <f>Inputs_Other!O194</f>
        <v>N/A</v>
      </c>
      <c r="O71" s="77">
        <f>SUMIF(Inputs_Volumes!$D$35:$D$49,$D71,Inputs_Volumes!O$35:O$49)</f>
        <v>245892445.41075316</v>
      </c>
      <c r="P71" s="77">
        <f>SUMIF(Inputs_Volumes!$D$35:$D$49,$D71,Inputs_Volumes!P$35:P$49)</f>
        <v>247490706.85232043</v>
      </c>
      <c r="Q71" s="77">
        <f>SUMIF(Inputs_Volumes!$D$35:$D$49,$D71,Inputs_Volumes!Q$35:Q$49)</f>
        <v>249020512.38465446</v>
      </c>
      <c r="R71" s="77">
        <f>SUMIF(Inputs_Volumes!$D$35:$D$49,$D71,Inputs_Volumes!R$35:R$49)</f>
        <v>250482881.41422519</v>
      </c>
      <c r="S71" s="77">
        <f>SUMIF(Inputs_Volumes!$D$35:$D$49,$D71,Inputs_Volumes!S$35:S$49)</f>
        <v>251878816.63035405</v>
      </c>
    </row>
    <row r="72" spans="1:19" ht="12.75" x14ac:dyDescent="0.35">
      <c r="C72" s="171">
        <v>6</v>
      </c>
      <c r="D72" s="75" t="str">
        <v>HV Smart Meters</v>
      </c>
      <c r="E72" s="53" t="str">
        <f>Inputs_Prices!F27</f>
        <v>HV</v>
      </c>
      <c r="H72" s="259" t="s">
        <v>52</v>
      </c>
      <c r="I72" s="259" t="s">
        <v>82</v>
      </c>
      <c r="J72" s="259" t="s">
        <v>21</v>
      </c>
      <c r="M72" s="259" t="str">
        <f>Inputs_Other!O195</f>
        <v>N/A</v>
      </c>
      <c r="O72" s="77">
        <f>SUMIF(Inputs_Volumes!$D$35:$D$49,$D72,Inputs_Volumes!O$35:O$49)</f>
        <v>136048283.21997887</v>
      </c>
      <c r="P72" s="77">
        <f>SUMIF(Inputs_Volumes!$D$35:$D$49,$D72,Inputs_Volumes!P$35:P$49)</f>
        <v>146149240.61691999</v>
      </c>
      <c r="Q72" s="77">
        <f>SUMIF(Inputs_Volumes!$D$35:$D$49,$D72,Inputs_Volumes!Q$35:Q$49)</f>
        <v>157204614.48351121</v>
      </c>
      <c r="R72" s="77">
        <f>SUMIF(Inputs_Volumes!$D$35:$D$49,$D72,Inputs_Volumes!R$35:R$49)</f>
        <v>169182605.99016112</v>
      </c>
      <c r="S72" s="77">
        <f>SUMIF(Inputs_Volumes!$D$35:$D$49,$D72,Inputs_Volumes!S$35:S$49)</f>
        <v>182052073.84626728</v>
      </c>
    </row>
    <row r="73" spans="1:19" ht="12.75" x14ac:dyDescent="0.35">
      <c r="C73" s="171">
        <v>7</v>
      </c>
      <c r="D73" s="75" t="str">
        <v>Super Users</v>
      </c>
      <c r="E73" s="53" t="str">
        <f>Inputs_Prices!F28</f>
        <v>HV</v>
      </c>
      <c r="H73" s="259" t="s">
        <v>52</v>
      </c>
      <c r="I73" s="259" t="s">
        <v>82</v>
      </c>
      <c r="J73" s="259" t="s">
        <v>21</v>
      </c>
      <c r="M73" s="259" t="str">
        <f>Inputs_Other!O196</f>
        <v>N/A</v>
      </c>
      <c r="O73" s="77">
        <f>SUMIF(Inputs_Volumes!$D$35:$D$49,$D73,Inputs_Volumes!O$35:O$49)</f>
        <v>292304390.94860667</v>
      </c>
      <c r="P73" s="77">
        <f>SUMIF(Inputs_Volumes!$D$35:$D$49,$D73,Inputs_Volumes!P$35:P$49)</f>
        <v>319575529.75283527</v>
      </c>
      <c r="Q73" s="77">
        <f>SUMIF(Inputs_Volumes!$D$35:$D$49,$D73,Inputs_Volumes!Q$35:Q$49)</f>
        <v>337266105.644903</v>
      </c>
      <c r="R73" s="77">
        <f>SUMIF(Inputs_Volumes!$D$35:$D$49,$D73,Inputs_Volumes!R$35:R$49)</f>
        <v>356433034.80894285</v>
      </c>
      <c r="S73" s="77">
        <f>SUMIF(Inputs_Volumes!$D$35:$D$49,$D73,Inputs_Volumes!S$35:S$49)</f>
        <v>377026485.60909849</v>
      </c>
    </row>
    <row r="74" spans="1:19" ht="11.25" customHeight="1" x14ac:dyDescent="0.3">
      <c r="O74" s="71"/>
      <c r="P74" s="71"/>
      <c r="Q74" s="71"/>
      <c r="R74" s="71"/>
      <c r="S74" s="71"/>
    </row>
    <row r="75" spans="1:19" ht="12.75" hidden="1" outlineLevel="1" x14ac:dyDescent="0.3">
      <c r="D75" s="81" t="s">
        <v>90</v>
      </c>
      <c r="E75" s="82"/>
      <c r="F75" s="80"/>
      <c r="G75" s="82"/>
      <c r="H75" s="259" t="s">
        <v>52</v>
      </c>
      <c r="I75" s="259" t="s">
        <v>47</v>
      </c>
      <c r="J75" s="259" t="s">
        <v>40</v>
      </c>
      <c r="K75" s="78"/>
      <c r="O75" s="77">
        <f>SUM(Inputs_Volumes!O35:O49)</f>
        <v>1760247855.0328639</v>
      </c>
      <c r="P75" s="77">
        <f>SUM(Inputs_Volumes!P35:P49)</f>
        <v>1769749691.5981421</v>
      </c>
      <c r="Q75" s="77">
        <f>SUM(Inputs_Volumes!Q35:Q49)</f>
        <v>1770927700.0309286</v>
      </c>
      <c r="R75" s="77">
        <f>SUM(Inputs_Volumes!R35:R49)</f>
        <v>1757965605.620883</v>
      </c>
      <c r="S75" s="77">
        <f>SUM(Inputs_Volumes!S35:S49)</f>
        <v>1736526024.142621</v>
      </c>
    </row>
    <row r="76" spans="1:19" ht="12.75" hidden="1" outlineLevel="1" x14ac:dyDescent="0.3">
      <c r="A76" s="59">
        <f>IF(SUM($M76:$S76)=0,0,1)</f>
        <v>0</v>
      </c>
      <c r="D76" s="81" t="s">
        <v>55</v>
      </c>
      <c r="E76" s="82"/>
      <c r="F76" s="80"/>
      <c r="G76" s="82"/>
      <c r="H76" s="80"/>
      <c r="I76" s="84"/>
      <c r="J76" s="84"/>
      <c r="K76" s="78"/>
      <c r="O76" s="59">
        <f>IF(ROUND(O75-SUM(O65:O73),2)=0,0,1)</f>
        <v>0</v>
      </c>
      <c r="P76" s="59">
        <f>IF(ROUND(P75-SUM(P65:P73),2)=0,0,1)</f>
        <v>0</v>
      </c>
      <c r="Q76" s="59">
        <f>IF(ROUND(Q75-SUM(Q65:Q73),2)=0,0,1)</f>
        <v>0</v>
      </c>
      <c r="R76" s="59">
        <f>IF(ROUND(R75-SUM(R65:R73),2)=0,0,1)</f>
        <v>0</v>
      </c>
      <c r="S76" s="59">
        <f>IF(ROUND(S75-SUM(S65:S73),2)=0,0,1)</f>
        <v>0</v>
      </c>
    </row>
    <row r="77" spans="1:19" ht="11.25" customHeight="1" collapsed="1" x14ac:dyDescent="0.3"/>
    <row r="78" spans="1:19" ht="11.25" customHeight="1" x14ac:dyDescent="0.3"/>
    <row r="79" spans="1:19" s="8" customFormat="1" ht="13.9" x14ac:dyDescent="0.3">
      <c r="C79" s="8" t="s">
        <v>104</v>
      </c>
    </row>
    <row r="80" spans="1:19" ht="11.25" customHeight="1" x14ac:dyDescent="0.3"/>
    <row r="81" spans="1:19" ht="11.25" customHeight="1" x14ac:dyDescent="0.3">
      <c r="C81" s="172" t="s">
        <v>5</v>
      </c>
      <c r="D81" s="70" t="s">
        <v>118</v>
      </c>
      <c r="E81" s="54" t="s">
        <v>62</v>
      </c>
      <c r="H81" s="54" t="str">
        <f>H$9</f>
        <v>Source</v>
      </c>
      <c r="I81" s="54" t="str">
        <f>I$9</f>
        <v>Unit</v>
      </c>
      <c r="J81" s="54" t="str">
        <f>J$9</f>
        <v>Basis</v>
      </c>
      <c r="M81" s="54" t="s">
        <v>297</v>
      </c>
      <c r="O81" s="54" t="str">
        <f>O$9</f>
        <v>FY25</v>
      </c>
      <c r="P81" s="54" t="str">
        <f>P$9</f>
        <v>FY26</v>
      </c>
      <c r="Q81" s="54" t="str">
        <f>Q$9</f>
        <v>FY27</v>
      </c>
      <c r="R81" s="54" t="str">
        <f>R$9</f>
        <v>FY28</v>
      </c>
      <c r="S81" s="54" t="str">
        <f>S$9</f>
        <v>FY29</v>
      </c>
    </row>
    <row r="82" spans="1:19" ht="11.25" customHeight="1" x14ac:dyDescent="0.3"/>
    <row r="83" spans="1:19" ht="12.75" x14ac:dyDescent="0.35">
      <c r="C83" s="171">
        <v>1</v>
      </c>
      <c r="D83" s="75" t="str">
        <f t="array" ref="D83:D91">LU_Tariffs</f>
        <v>Residential Accumulation</v>
      </c>
      <c r="E83" s="53" t="str">
        <f>Inputs_Prices!F20</f>
        <v>LV &lt;750MWh</v>
      </c>
      <c r="H83" s="259" t="s">
        <v>52</v>
      </c>
      <c r="I83" s="259" t="s">
        <v>47</v>
      </c>
      <c r="J83" s="259" t="s">
        <v>40</v>
      </c>
      <c r="M83" s="87">
        <f>Inputs_Other!$M173</f>
        <v>0.58246772800655788</v>
      </c>
      <c r="O83" s="66">
        <f t="shared" ref="O83:S91" si="2">O65*$M83*O$18*Dollars_to_Thousands</f>
        <v>240044.82761293696</v>
      </c>
      <c r="P83" s="66">
        <f t="shared" si="2"/>
        <v>233111.87544266862</v>
      </c>
      <c r="Q83" s="66">
        <f t="shared" si="2"/>
        <v>225828.26889954225</v>
      </c>
      <c r="R83" s="66">
        <f t="shared" si="2"/>
        <v>218183.1760102011</v>
      </c>
      <c r="S83" s="66">
        <f t="shared" si="2"/>
        <v>210165.47959321723</v>
      </c>
    </row>
    <row r="84" spans="1:19" ht="12.75" x14ac:dyDescent="0.35">
      <c r="C84" s="171">
        <v>2</v>
      </c>
      <c r="D84" s="75" t="str">
        <v>Non-Residential Accumulation</v>
      </c>
      <c r="E84" s="53" t="str">
        <f>Inputs_Prices!F21</f>
        <v>LV &lt;750MWh</v>
      </c>
      <c r="H84" s="259" t="s">
        <v>52</v>
      </c>
      <c r="I84" s="259" t="s">
        <v>47</v>
      </c>
      <c r="J84" s="259" t="s">
        <v>40</v>
      </c>
      <c r="M84" s="87">
        <f>Inputs_Other!$M174</f>
        <v>0.43462968913722722</v>
      </c>
      <c r="O84" s="66">
        <f t="shared" si="2"/>
        <v>15913.965453286219</v>
      </c>
      <c r="P84" s="66">
        <f t="shared" si="2"/>
        <v>8766.7286812471484</v>
      </c>
      <c r="Q84" s="66">
        <f t="shared" si="2"/>
        <v>1342.0004798124296</v>
      </c>
      <c r="R84" s="66">
        <f t="shared" si="2"/>
        <v>0</v>
      </c>
      <c r="S84" s="66">
        <f t="shared" si="2"/>
        <v>0</v>
      </c>
    </row>
    <row r="85" spans="1:19" ht="12.75" x14ac:dyDescent="0.35">
      <c r="C85" s="171" t="s">
        <v>494</v>
      </c>
      <c r="D85" s="75" t="str">
        <v>LV Smart Meter - Res</v>
      </c>
      <c r="E85" s="53" t="str">
        <f>Inputs_Prices!F22</f>
        <v>LV &lt;750MWh</v>
      </c>
      <c r="H85" s="259" t="s">
        <v>52</v>
      </c>
      <c r="I85" s="259" t="s">
        <v>47</v>
      </c>
      <c r="J85" s="259" t="s">
        <v>40</v>
      </c>
      <c r="M85" s="87">
        <f>Inputs_Other!$M175</f>
        <v>0.58246772800655788</v>
      </c>
      <c r="O85" s="66">
        <f t="shared" si="2"/>
        <v>121353.52851174939</v>
      </c>
      <c r="P85" s="66">
        <f t="shared" si="2"/>
        <v>126285.49601082223</v>
      </c>
      <c r="Q85" s="66">
        <f t="shared" si="2"/>
        <v>131427.55152188244</v>
      </c>
      <c r="R85" s="66">
        <f t="shared" si="2"/>
        <v>134511.85555721607</v>
      </c>
      <c r="S85" s="66">
        <f t="shared" si="2"/>
        <v>134892.82987676014</v>
      </c>
    </row>
    <row r="86" spans="1:19" ht="12.75" x14ac:dyDescent="0.35">
      <c r="C86" s="171" t="s">
        <v>495</v>
      </c>
      <c r="D86" s="75" t="str">
        <v>LV Smart Meter - Small Comm</v>
      </c>
      <c r="E86" s="53" t="str">
        <f>Inputs_Prices!F23</f>
        <v>LV &lt;750MWh</v>
      </c>
      <c r="H86" s="259" t="s">
        <v>52</v>
      </c>
      <c r="I86" s="259" t="s">
        <v>47</v>
      </c>
      <c r="J86" s="259" t="s">
        <v>40</v>
      </c>
      <c r="M86" s="87">
        <f>Inputs_Other!$M176</f>
        <v>0.43462968913722722</v>
      </c>
      <c r="O86" s="66">
        <f t="shared" si="2"/>
        <v>103153.66843331617</v>
      </c>
      <c r="P86" s="66">
        <f t="shared" si="2"/>
        <v>112019.72024317975</v>
      </c>
      <c r="Q86" s="66">
        <f t="shared" si="2"/>
        <v>120793.58541455834</v>
      </c>
      <c r="R86" s="66">
        <f t="shared" si="2"/>
        <v>118142.19074959756</v>
      </c>
      <c r="S86" s="66">
        <f t="shared" si="2"/>
        <v>111756.68435714795</v>
      </c>
    </row>
    <row r="87" spans="1:19" ht="12.75" x14ac:dyDescent="0.35">
      <c r="C87" s="171" t="s">
        <v>496</v>
      </c>
      <c r="D87" s="75" t="str">
        <v>LV Smart Meter - Med Comm</v>
      </c>
      <c r="E87" s="53" t="str">
        <f>Inputs_Prices!F24</f>
        <v>LV &lt;750MWh</v>
      </c>
      <c r="H87" s="259" t="s">
        <v>52</v>
      </c>
      <c r="I87" s="259" t="s">
        <v>47</v>
      </c>
      <c r="J87" s="259" t="s">
        <v>40</v>
      </c>
      <c r="M87" s="87">
        <f>Inputs_Other!$M177</f>
        <v>0.37761392060597815</v>
      </c>
      <c r="O87" s="66">
        <f t="shared" si="2"/>
        <v>77979.955693964119</v>
      </c>
      <c r="P87" s="66">
        <f t="shared" si="2"/>
        <v>78003.965752214746</v>
      </c>
      <c r="Q87" s="66">
        <f t="shared" si="2"/>
        <v>78248.714186210782</v>
      </c>
      <c r="R87" s="66">
        <f t="shared" si="2"/>
        <v>77369.072362083636</v>
      </c>
      <c r="S87" s="66">
        <f t="shared" si="2"/>
        <v>75099.271069006063</v>
      </c>
    </row>
    <row r="88" spans="1:19" ht="12.75" x14ac:dyDescent="0.35">
      <c r="C88" s="171">
        <v>4</v>
      </c>
      <c r="D88" s="75" t="str">
        <v>Unmetered</v>
      </c>
      <c r="E88" s="53" t="str">
        <f>Inputs_Prices!F25</f>
        <v>LV &lt;750MWh</v>
      </c>
      <c r="H88" s="259" t="s">
        <v>52</v>
      </c>
      <c r="I88" s="259" t="s">
        <v>47</v>
      </c>
      <c r="J88" s="259" t="s">
        <v>40</v>
      </c>
      <c r="M88" s="87">
        <f>Inputs_Other!$M178</f>
        <v>0.24</v>
      </c>
      <c r="O88" s="66">
        <f t="shared" si="2"/>
        <v>4029.6858452066376</v>
      </c>
      <c r="P88" s="66">
        <f t="shared" si="2"/>
        <v>4230.2849303677049</v>
      </c>
      <c r="Q88" s="66">
        <f t="shared" si="2"/>
        <v>4440.8699038866243</v>
      </c>
      <c r="R88" s="66">
        <f t="shared" si="2"/>
        <v>4661.9378665663044</v>
      </c>
      <c r="S88" s="66">
        <f t="shared" si="2"/>
        <v>4894.0106650509179</v>
      </c>
    </row>
    <row r="89" spans="1:19" ht="12.75" x14ac:dyDescent="0.35">
      <c r="C89" s="171">
        <v>5</v>
      </c>
      <c r="D89" s="75" t="str">
        <v>LV Majors</v>
      </c>
      <c r="E89" s="53" t="str">
        <f>Inputs_Prices!F26</f>
        <v>LV &gt;750MWh</v>
      </c>
      <c r="H89" s="259" t="s">
        <v>52</v>
      </c>
      <c r="I89" s="259" t="s">
        <v>47</v>
      </c>
      <c r="J89" s="259" t="s">
        <v>40</v>
      </c>
      <c r="M89" s="87">
        <f>Inputs_Other!$M179</f>
        <v>0.29370010253806522</v>
      </c>
      <c r="O89" s="66">
        <f t="shared" si="2"/>
        <v>74327.160663166651</v>
      </c>
      <c r="P89" s="66">
        <f t="shared" si="2"/>
        <v>76994.466040175321</v>
      </c>
      <c r="Q89" s="66">
        <f t="shared" si="2"/>
        <v>79732.245713510565</v>
      </c>
      <c r="R89" s="66">
        <f t="shared" si="2"/>
        <v>82542.037171022093</v>
      </c>
      <c r="S89" s="66">
        <f t="shared" si="2"/>
        <v>85425.402866485383</v>
      </c>
    </row>
    <row r="90" spans="1:19" ht="12.75" x14ac:dyDescent="0.35">
      <c r="C90" s="171">
        <v>6</v>
      </c>
      <c r="D90" s="75" t="str">
        <v>HV Smart Meters</v>
      </c>
      <c r="E90" s="53" t="str">
        <f>Inputs_Prices!F27</f>
        <v>HV</v>
      </c>
      <c r="H90" s="259" t="s">
        <v>52</v>
      </c>
      <c r="I90" s="259" t="s">
        <v>47</v>
      </c>
      <c r="J90" s="259" t="s">
        <v>40</v>
      </c>
      <c r="M90" s="87">
        <f>Inputs_Other!$M180</f>
        <v>0.28343234534436584</v>
      </c>
      <c r="O90" s="66">
        <f t="shared" si="2"/>
        <v>39686.311327199102</v>
      </c>
      <c r="P90" s="66">
        <f t="shared" si="2"/>
        <v>43877.562237516606</v>
      </c>
      <c r="Q90" s="66">
        <f t="shared" si="2"/>
        <v>48574.627217050234</v>
      </c>
      <c r="R90" s="66">
        <f t="shared" si="2"/>
        <v>53801.967198262901</v>
      </c>
      <c r="S90" s="66">
        <f t="shared" si="2"/>
        <v>59584.9163902086</v>
      </c>
    </row>
    <row r="91" spans="1:19" ht="12.75" x14ac:dyDescent="0.35">
      <c r="C91" s="171">
        <v>7</v>
      </c>
      <c r="D91" s="75" t="str">
        <v>Super Users</v>
      </c>
      <c r="E91" s="53" t="str">
        <f>Inputs_Prices!F28</f>
        <v>HV</v>
      </c>
      <c r="H91" s="259" t="s">
        <v>52</v>
      </c>
      <c r="I91" s="259" t="s">
        <v>47</v>
      </c>
      <c r="J91" s="259" t="s">
        <v>40</v>
      </c>
      <c r="M91" s="87">
        <f>Inputs_Other!$M181</f>
        <v>0.25284375763216493</v>
      </c>
      <c r="O91" s="66">
        <f t="shared" si="2"/>
        <v>76065.168895188224</v>
      </c>
      <c r="P91" s="66">
        <f t="shared" si="2"/>
        <v>85589.851084878042</v>
      </c>
      <c r="Q91" s="66">
        <f t="shared" si="2"/>
        <v>92965.050559513751</v>
      </c>
      <c r="R91" s="66">
        <f t="shared" si="2"/>
        <v>101116.77710825644</v>
      </c>
      <c r="S91" s="66">
        <f t="shared" si="2"/>
        <v>110081.76622783219</v>
      </c>
    </row>
    <row r="92" spans="1:19" ht="11.25" customHeight="1" x14ac:dyDescent="0.3">
      <c r="O92" s="71"/>
      <c r="P92" s="71"/>
      <c r="Q92" s="71"/>
      <c r="R92" s="71"/>
      <c r="S92" s="71"/>
    </row>
    <row r="93" spans="1:19" ht="12.75" hidden="1" outlineLevel="1" x14ac:dyDescent="0.3">
      <c r="A93" s="59">
        <f>IF(SUM($O93:$S93)=0,0,1)</f>
        <v>0</v>
      </c>
      <c r="D93" s="81" t="s">
        <v>127</v>
      </c>
      <c r="E93" s="80"/>
      <c r="F93" s="80"/>
      <c r="G93" s="82"/>
      <c r="H93" s="80"/>
      <c r="I93" s="80"/>
      <c r="J93" s="80"/>
      <c r="K93" s="58"/>
      <c r="O93" s="59">
        <f>IF(ISERROR(SUM(O83:O91))&lt;&gt;0,0,1)</f>
        <v>0</v>
      </c>
      <c r="P93" s="59">
        <f>IF(ISERROR(SUM(P83:P91))&lt;&gt;0,0,1)</f>
        <v>0</v>
      </c>
      <c r="Q93" s="59">
        <f>IF(ISERROR(SUM(Q83:Q91))&lt;&gt;0,0,1)</f>
        <v>0</v>
      </c>
      <c r="R93" s="59">
        <f>IF(ISERROR(SUM(R83:R91))&lt;&gt;0,0,1)</f>
        <v>0</v>
      </c>
      <c r="S93" s="59">
        <f>IF(ISERROR(SUM(S83:S91))&lt;&gt;0,0,1)</f>
        <v>0</v>
      </c>
    </row>
    <row r="94" spans="1:19" ht="11.25" customHeight="1" collapsed="1" x14ac:dyDescent="0.3"/>
    <row r="95" spans="1:19" ht="11.25" customHeight="1" x14ac:dyDescent="0.3"/>
    <row r="96" spans="1:19" s="8" customFormat="1" ht="13.9" x14ac:dyDescent="0.3">
      <c r="C96" s="8" t="s">
        <v>715</v>
      </c>
    </row>
    <row r="97" spans="1:19" ht="11.25" customHeight="1" x14ac:dyDescent="0.3"/>
    <row r="98" spans="1:19" ht="11.25" customHeight="1" x14ac:dyDescent="0.3">
      <c r="C98" s="172" t="s">
        <v>5</v>
      </c>
      <c r="D98" s="70" t="s">
        <v>118</v>
      </c>
      <c r="E98" s="54" t="s">
        <v>62</v>
      </c>
      <c r="H98" s="54" t="str">
        <f>H$9</f>
        <v>Source</v>
      </c>
      <c r="I98" s="54" t="str">
        <f>I$9</f>
        <v>Unit</v>
      </c>
      <c r="J98" s="54" t="str">
        <f>J$9</f>
        <v>Basis</v>
      </c>
      <c r="M98" s="54" t="s">
        <v>291</v>
      </c>
      <c r="O98" s="54" t="str">
        <f>O$9</f>
        <v>FY25</v>
      </c>
      <c r="P98" s="54" t="str">
        <f>P$9</f>
        <v>FY26</v>
      </c>
      <c r="Q98" s="54" t="str">
        <f>Q$9</f>
        <v>FY27</v>
      </c>
      <c r="R98" s="54" t="str">
        <f>R$9</f>
        <v>FY28</v>
      </c>
      <c r="S98" s="54" t="str">
        <f>S$9</f>
        <v>FY29</v>
      </c>
    </row>
    <row r="99" spans="1:19" ht="11.25" customHeight="1" x14ac:dyDescent="0.3"/>
    <row r="100" spans="1:19" ht="12.75" x14ac:dyDescent="0.35">
      <c r="C100" s="171">
        <v>1</v>
      </c>
      <c r="D100" s="75" t="str">
        <f t="array" ref="D100:D108">LU_Tariffs</f>
        <v>Residential Accumulation</v>
      </c>
      <c r="E100" s="53" t="str">
        <f>Inputs_Prices!F20</f>
        <v>LV &lt;750MWh</v>
      </c>
      <c r="H100" s="259" t="s">
        <v>52</v>
      </c>
      <c r="I100" s="259" t="s">
        <v>47</v>
      </c>
      <c r="J100" s="259" t="s">
        <v>40</v>
      </c>
      <c r="M100" s="126">
        <f>Inputs_Other!$M188</f>
        <v>0.47189845777771766</v>
      </c>
      <c r="O100" s="66">
        <f t="shared" ref="O100:S108" ca="1" si="3">O$58*$M100*IF($M65=NA,1,SUMIF($D$65:$D$73,$D65,O$65:O$73)/SUMIF($M$65:$M$73,$M65,O$65:O$73))</f>
        <v>20504.380391435137</v>
      </c>
      <c r="P100" s="66">
        <f t="shared" ca="1" si="3"/>
        <v>21091.713559339343</v>
      </c>
      <c r="Q100" s="66">
        <f t="shared" ca="1" si="3"/>
        <v>21511.572113355298</v>
      </c>
      <c r="R100" s="66">
        <f t="shared" ca="1" si="3"/>
        <v>22043.702666128982</v>
      </c>
      <c r="S100" s="66">
        <f t="shared" ca="1" si="3"/>
        <v>22637.248218817524</v>
      </c>
    </row>
    <row r="101" spans="1:19" ht="12.75" x14ac:dyDescent="0.35">
      <c r="C101" s="171">
        <v>2</v>
      </c>
      <c r="D101" s="75" t="str">
        <v>Non-Residential Accumulation</v>
      </c>
      <c r="E101" s="53" t="str">
        <f>Inputs_Prices!F21</f>
        <v>LV &lt;750MWh</v>
      </c>
      <c r="H101" s="259" t="s">
        <v>52</v>
      </c>
      <c r="I101" s="259" t="s">
        <v>47</v>
      </c>
      <c r="J101" s="259" t="s">
        <v>40</v>
      </c>
      <c r="M101" s="126">
        <f>Inputs_Other!$M189</f>
        <v>0.31325964328802514</v>
      </c>
      <c r="O101" s="66">
        <f t="shared" ca="1" si="3"/>
        <v>1561.7051421515951</v>
      </c>
      <c r="P101" s="66">
        <f t="shared" ca="1" si="3"/>
        <v>898.71715772102755</v>
      </c>
      <c r="Q101" s="66">
        <f t="shared" ca="1" si="3"/>
        <v>142.86909839317633</v>
      </c>
      <c r="R101" s="66">
        <f t="shared" ca="1" si="3"/>
        <v>0</v>
      </c>
      <c r="S101" s="66">
        <f t="shared" ca="1" si="3"/>
        <v>0</v>
      </c>
    </row>
    <row r="102" spans="1:19" ht="12.75" x14ac:dyDescent="0.35">
      <c r="C102" s="171" t="s">
        <v>494</v>
      </c>
      <c r="D102" s="75" t="str">
        <v>LV Smart Meter - Res</v>
      </c>
      <c r="E102" s="53" t="str">
        <f>Inputs_Prices!F22</f>
        <v>LV &lt;750MWh</v>
      </c>
      <c r="H102" s="259" t="s">
        <v>52</v>
      </c>
      <c r="I102" s="259" t="s">
        <v>47</v>
      </c>
      <c r="J102" s="259" t="s">
        <v>40</v>
      </c>
      <c r="M102" s="126">
        <f>Inputs_Other!$M190</f>
        <v>0.47189845777771766</v>
      </c>
      <c r="O102" s="66">
        <f t="shared" ca="1" si="3"/>
        <v>10365.892634270931</v>
      </c>
      <c r="P102" s="66">
        <f t="shared" ca="1" si="3"/>
        <v>11426.176823902017</v>
      </c>
      <c r="Q102" s="66">
        <f t="shared" ca="1" si="3"/>
        <v>12519.30622336017</v>
      </c>
      <c r="R102" s="66">
        <f t="shared" ca="1" si="3"/>
        <v>13590.137439533497</v>
      </c>
      <c r="S102" s="66">
        <f t="shared" ca="1" si="3"/>
        <v>14529.514926853353</v>
      </c>
    </row>
    <row r="103" spans="1:19" ht="12.75" x14ac:dyDescent="0.35">
      <c r="C103" s="171" t="s">
        <v>495</v>
      </c>
      <c r="D103" s="75" t="str">
        <v>LV Smart Meter - Small Comm</v>
      </c>
      <c r="E103" s="53" t="str">
        <f>Inputs_Prices!F23</f>
        <v>LV &lt;750MWh</v>
      </c>
      <c r="H103" s="259" t="s">
        <v>52</v>
      </c>
      <c r="I103" s="259" t="s">
        <v>47</v>
      </c>
      <c r="J103" s="259" t="s">
        <v>40</v>
      </c>
      <c r="M103" s="126">
        <f>Inputs_Other!$M191</f>
        <v>0.31325964328802514</v>
      </c>
      <c r="O103" s="66">
        <f t="shared" ca="1" si="3"/>
        <v>10122.908391185709</v>
      </c>
      <c r="P103" s="66">
        <f t="shared" ca="1" si="3"/>
        <v>11483.650087290409</v>
      </c>
      <c r="Q103" s="66">
        <f t="shared" ca="1" si="3"/>
        <v>12859.660558593227</v>
      </c>
      <c r="R103" s="66">
        <f t="shared" ca="1" si="3"/>
        <v>13488.015827755129</v>
      </c>
      <c r="S103" s="66">
        <f t="shared" ca="1" si="3"/>
        <v>13912.048664355705</v>
      </c>
    </row>
    <row r="104" spans="1:19" ht="12.75" x14ac:dyDescent="0.35">
      <c r="C104" s="171" t="s">
        <v>496</v>
      </c>
      <c r="D104" s="75" t="str">
        <v>LV Smart Meter - Med Comm</v>
      </c>
      <c r="E104" s="53" t="str">
        <f>Inputs_Prices!F24</f>
        <v>LV &lt;750MWh</v>
      </c>
      <c r="H104" s="259" t="s">
        <v>52</v>
      </c>
      <c r="I104" s="259" t="s">
        <v>47</v>
      </c>
      <c r="J104" s="259" t="s">
        <v>40</v>
      </c>
      <c r="M104" s="126">
        <f>Inputs_Other!$M192</f>
        <v>0.31325964328802514</v>
      </c>
      <c r="O104" s="66">
        <f t="shared" ca="1" si="3"/>
        <v>8807.9533671287336</v>
      </c>
      <c r="P104" s="66">
        <f t="shared" ca="1" si="3"/>
        <v>9203.9350071810186</v>
      </c>
      <c r="Q104" s="66">
        <f t="shared" ca="1" si="3"/>
        <v>9588.1371121751436</v>
      </c>
      <c r="R104" s="66">
        <f t="shared" ca="1" si="3"/>
        <v>10166.742640941513</v>
      </c>
      <c r="S104" s="66">
        <f t="shared" ca="1" si="3"/>
        <v>10760.307799813128</v>
      </c>
    </row>
    <row r="105" spans="1:19" ht="12.75" x14ac:dyDescent="0.35">
      <c r="C105" s="171">
        <v>4</v>
      </c>
      <c r="D105" s="75" t="str">
        <v>Unmetered</v>
      </c>
      <c r="E105" s="53" t="str">
        <f>Inputs_Prices!F25</f>
        <v>LV &lt;750MWh</v>
      </c>
      <c r="H105" s="259" t="s">
        <v>52</v>
      </c>
      <c r="I105" s="259" t="s">
        <v>47</v>
      </c>
      <c r="J105" s="259" t="s">
        <v>40</v>
      </c>
      <c r="M105" s="126">
        <f>Inputs_Other!$M193</f>
        <v>1.1569289237552519E-2</v>
      </c>
      <c r="O105" s="66">
        <f t="shared" ca="1" si="3"/>
        <v>756.8304400876832</v>
      </c>
      <c r="P105" s="66">
        <f t="shared" ca="1" si="3"/>
        <v>797.22421855414439</v>
      </c>
      <c r="Q105" s="66">
        <f t="shared" ca="1" si="3"/>
        <v>834.31735788989477</v>
      </c>
      <c r="R105" s="66">
        <f t="shared" ca="1" si="3"/>
        <v>873.61633849902876</v>
      </c>
      <c r="S105" s="66">
        <f t="shared" ca="1" si="3"/>
        <v>911.19821599081581</v>
      </c>
    </row>
    <row r="106" spans="1:19" ht="12.75" x14ac:dyDescent="0.35">
      <c r="C106" s="171">
        <v>5</v>
      </c>
      <c r="D106" s="75" t="str">
        <v>LV Majors</v>
      </c>
      <c r="E106" s="53" t="str">
        <f>Inputs_Prices!F26</f>
        <v>LV &gt;750MWh</v>
      </c>
      <c r="H106" s="259" t="s">
        <v>52</v>
      </c>
      <c r="I106" s="259" t="s">
        <v>47</v>
      </c>
      <c r="J106" s="259" t="s">
        <v>40</v>
      </c>
      <c r="M106" s="126">
        <f>Inputs_Other!$M194</f>
        <v>0.10917538007563128</v>
      </c>
      <c r="O106" s="66">
        <f t="shared" ca="1" si="3"/>
        <v>7141.9470334601019</v>
      </c>
      <c r="P106" s="66">
        <f t="shared" ca="1" si="3"/>
        <v>7523.1291463985881</v>
      </c>
      <c r="Q106" s="66">
        <f t="shared" ca="1" si="3"/>
        <v>7873.1642697347907</v>
      </c>
      <c r="R106" s="66">
        <f t="shared" ca="1" si="3"/>
        <v>8244.0151540450097</v>
      </c>
      <c r="S106" s="66">
        <f t="shared" ca="1" si="3"/>
        <v>8598.6623302780827</v>
      </c>
    </row>
    <row r="107" spans="1:19" ht="12.75" x14ac:dyDescent="0.35">
      <c r="C107" s="171">
        <v>6</v>
      </c>
      <c r="D107" s="75" t="str">
        <v>HV Smart Meters</v>
      </c>
      <c r="E107" s="53" t="str">
        <f>Inputs_Prices!F27</f>
        <v>HV</v>
      </c>
      <c r="H107" s="259" t="s">
        <v>52</v>
      </c>
      <c r="I107" s="259" t="s">
        <v>47</v>
      </c>
      <c r="J107" s="259" t="s">
        <v>40</v>
      </c>
      <c r="M107" s="126">
        <f>Inputs_Other!$M195</f>
        <v>6.9662466869726769E-2</v>
      </c>
      <c r="O107" s="66">
        <f t="shared" ca="1" si="3"/>
        <v>4557.1231193250414</v>
      </c>
      <c r="P107" s="66">
        <f t="shared" ca="1" si="3"/>
        <v>4800.347244540033</v>
      </c>
      <c r="Q107" s="66">
        <f t="shared" ca="1" si="3"/>
        <v>5023.6971441763499</v>
      </c>
      <c r="R107" s="66">
        <f t="shared" ca="1" si="3"/>
        <v>5260.3291341357417</v>
      </c>
      <c r="S107" s="66">
        <f t="shared" ca="1" si="3"/>
        <v>5486.6218857402118</v>
      </c>
    </row>
    <row r="108" spans="1:19" ht="12.75" x14ac:dyDescent="0.35">
      <c r="C108" s="171">
        <v>7</v>
      </c>
      <c r="D108" s="75" t="str">
        <v>Super Users</v>
      </c>
      <c r="E108" s="53" t="str">
        <f>Inputs_Prices!F28</f>
        <v>HV</v>
      </c>
      <c r="H108" s="259" t="s">
        <v>52</v>
      </c>
      <c r="I108" s="259" t="s">
        <v>47</v>
      </c>
      <c r="J108" s="259" t="s">
        <v>40</v>
      </c>
      <c r="M108" s="126">
        <f>Inputs_Other!$M196</f>
        <v>2.4434762751346574E-2</v>
      </c>
      <c r="O108" s="66">
        <f t="shared" ca="1" si="3"/>
        <v>1598.4536186124378</v>
      </c>
      <c r="P108" s="66">
        <f t="shared" ca="1" si="3"/>
        <v>1683.7667587018659</v>
      </c>
      <c r="Q108" s="66">
        <f t="shared" ca="1" si="3"/>
        <v>1762.1088280167</v>
      </c>
      <c r="R108" s="66">
        <f t="shared" ca="1" si="3"/>
        <v>1845.1097149196796</v>
      </c>
      <c r="S108" s="66">
        <f t="shared" ca="1" si="3"/>
        <v>1924.484017126706</v>
      </c>
    </row>
    <row r="109" spans="1:19" x14ac:dyDescent="0.3">
      <c r="O109" s="71"/>
      <c r="P109" s="71"/>
      <c r="Q109" s="71"/>
      <c r="R109" s="71"/>
      <c r="S109" s="71"/>
    </row>
    <row r="110" spans="1:19" ht="11.25" hidden="1" customHeight="1" outlineLevel="1" x14ac:dyDescent="0.3">
      <c r="A110" s="59">
        <f ca="1">IF(SUM($O110:$S110)=0,0,1)</f>
        <v>0</v>
      </c>
      <c r="D110" s="81" t="s">
        <v>127</v>
      </c>
      <c r="E110" s="80"/>
      <c r="F110" s="80"/>
      <c r="G110" s="82"/>
      <c r="H110" s="80"/>
      <c r="I110" s="80"/>
      <c r="J110" s="80"/>
      <c r="K110" s="58"/>
      <c r="O110" s="59">
        <f ca="1">IF(ISERROR(SUM(O100:O108))&lt;&gt;0,0,1)</f>
        <v>0</v>
      </c>
      <c r="P110" s="59">
        <f ca="1">IF(ISERROR(SUM(P100:P108))&lt;&gt;0,0,1)</f>
        <v>0</v>
      </c>
      <c r="Q110" s="59">
        <f ca="1">IF(ISERROR(SUM(Q100:Q108))&lt;&gt;0,0,1)</f>
        <v>0</v>
      </c>
      <c r="R110" s="59">
        <f ca="1">IF(ISERROR(SUM(R100:R108))&lt;&gt;0,0,1)</f>
        <v>0</v>
      </c>
      <c r="S110" s="59">
        <f ca="1">IF(ISERROR(SUM(S100:S108))&lt;&gt;0,0,1)</f>
        <v>0</v>
      </c>
    </row>
    <row r="111" spans="1:19" ht="11.25" customHeight="1" collapsed="1" x14ac:dyDescent="0.3"/>
    <row r="112" spans="1:19" ht="11.25" customHeight="1" x14ac:dyDescent="0.3"/>
    <row r="113" spans="2:16" s="2" customFormat="1" ht="15" x14ac:dyDescent="0.3">
      <c r="B113" s="2" t="s">
        <v>20</v>
      </c>
    </row>
    <row r="116" spans="2:16" x14ac:dyDescent="0.3">
      <c r="P116" s="169"/>
    </row>
  </sheetData>
  <conditionalFormatting sqref="B2">
    <cfRule type="cellIs" dxfId="24" priority="2" operator="notEqual">
      <formula>"No Errors Found"</formula>
    </cfRule>
  </conditionalFormatting>
  <dataValidations count="4">
    <dataValidation type="list" allowBlank="1" showInputMessage="1" showErrorMessage="1" sqref="J31:J32 J27:J29 J43:J44 J39:J41 J100:J108 J83:J91 J93 J75:J76 J65:J73 J57:J58 J110 J18" xr:uid="{00000000-0002-0000-0800-000000000000}">
      <formula1>LU_Basis</formula1>
    </dataValidation>
    <dataValidation type="list" allowBlank="1" showInputMessage="1" showErrorMessage="1" sqref="I31:I32 I27:I29 I43:I44 I39:I41 I100:I108 I83:I91 I93 I75:I76 I65:I73 I57:I58 I110 I18" xr:uid="{00000000-0002-0000-0800-000001000000}">
      <formula1>LU_Units</formula1>
    </dataValidation>
    <dataValidation type="list" allowBlank="1" showInputMessage="1" showErrorMessage="1" sqref="D27:D29 D39:D41" xr:uid="{00000000-0002-0000-0800-000002000000}">
      <formula1>LU_Tariff_Classes</formula1>
    </dataValidation>
    <dataValidation type="list" allowBlank="1" showInputMessage="1" showErrorMessage="1" sqref="K43:K44 K31:K32 K93 K75:K76 K110" xr:uid="{00000000-0002-0000-0800-000003000000}">
      <formula1>LU_Timing</formula1>
    </dataValidation>
  </dataValidations>
  <hyperlinks>
    <hyperlink ref="B3:E3" location="TOC!A1" display="TOC!A1"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2C4AB-B1F8-4730-B6A3-CCD09A5F694B}">
  <sheetPr codeName="Sheet12">
    <tabColor theme="6" tint="0.59999389629810485"/>
  </sheetPr>
  <dimension ref="A1:AI201"/>
  <sheetViews>
    <sheetView showGridLines="0" zoomScaleNormal="100" workbookViewId="0">
      <pane xSplit="10" ySplit="9" topLeftCell="K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34.33203125" bestFit="1" customWidth="1"/>
    <col min="5" max="7" width="2.6640625" customWidth="1"/>
    <col min="8" max="8" width="12.33203125" bestFit="1" customWidth="1"/>
    <col min="9" max="9" width="10.83203125" customWidth="1"/>
    <col min="10" max="10" width="12.83203125" customWidth="1"/>
    <col min="11" max="11" width="2.6640625" customWidth="1"/>
    <col min="12" max="37" width="15.5" customWidth="1"/>
  </cols>
  <sheetData>
    <row r="1" spans="1:35" ht="18.75" x14ac:dyDescent="0.3">
      <c r="A1" s="59">
        <f ca="1">IF(SUM($A10:$A201)&gt;0,1,0)</f>
        <v>0</v>
      </c>
      <c r="B1" s="3" t="s">
        <v>716</v>
      </c>
    </row>
    <row r="2" spans="1:35" x14ac:dyDescent="0.3">
      <c r="B2" s="13" t="str">
        <f ca="1">Title_Msg</f>
        <v>No Errors Found</v>
      </c>
    </row>
    <row r="3" spans="1:35" x14ac:dyDescent="0.3">
      <c r="B3" s="46" t="str">
        <f>TOC!B1</f>
        <v>Table of contents</v>
      </c>
      <c r="C3" s="42"/>
      <c r="D3" s="42"/>
      <c r="E3" s="42"/>
    </row>
    <row r="4" spans="1:35" ht="13.15" x14ac:dyDescent="0.3">
      <c r="B4" s="40" t="str">
        <f>Model_Name</f>
        <v>Pricing Model - Power and Water Corporation</v>
      </c>
    </row>
    <row r="5" spans="1:35" ht="12.75" hidden="1" outlineLevel="1" x14ac:dyDescent="0.3">
      <c r="B5" s="10"/>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1:35" ht="12.75" hidden="1" outlineLevel="1" x14ac:dyDescent="0.3">
      <c r="B6" s="10"/>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12.75" hidden="1" outlineLevel="1" x14ac:dyDescent="0.3">
      <c r="B7" s="10"/>
      <c r="J7" s="52"/>
      <c r="K7" s="52"/>
      <c r="L7" s="52"/>
      <c r="M7" s="52"/>
      <c r="N7" s="52"/>
      <c r="O7" s="52"/>
      <c r="P7" s="52"/>
      <c r="Q7" s="52"/>
      <c r="R7" s="52"/>
      <c r="S7" s="52"/>
      <c r="T7" s="52"/>
      <c r="U7" s="52"/>
      <c r="V7" s="52"/>
      <c r="W7" s="52"/>
      <c r="X7" s="52"/>
      <c r="Y7" s="52"/>
      <c r="Z7" s="52"/>
      <c r="AA7" s="52"/>
      <c r="AB7" s="52"/>
      <c r="AC7" s="52"/>
      <c r="AD7" s="52"/>
      <c r="AE7" s="52"/>
      <c r="AF7" s="52"/>
      <c r="AG7" s="52"/>
      <c r="AH7" s="52"/>
      <c r="AI7" s="52"/>
    </row>
    <row r="8" spans="1:35" ht="12.75" hidden="1" outlineLevel="1" x14ac:dyDescent="0.3">
      <c r="B8" s="10" t="str">
        <f>Lookup!B18</f>
        <v>Year</v>
      </c>
      <c r="J8" s="53"/>
      <c r="K8" s="53"/>
      <c r="L8" s="53">
        <f>Lookup!L18</f>
        <v>2022</v>
      </c>
      <c r="M8" s="53">
        <f>Lookup!M18</f>
        <v>2023</v>
      </c>
      <c r="N8" s="53">
        <f>Lookup!N18</f>
        <v>2024</v>
      </c>
      <c r="O8" s="53">
        <f>Lookup!O18</f>
        <v>2025</v>
      </c>
      <c r="P8" s="53">
        <f>Lookup!P18</f>
        <v>2026</v>
      </c>
      <c r="Q8" s="53">
        <f>Lookup!Q18</f>
        <v>2027</v>
      </c>
      <c r="R8" s="53">
        <f>Lookup!R18</f>
        <v>2028</v>
      </c>
      <c r="S8" s="53">
        <f>Lookup!S18</f>
        <v>2029</v>
      </c>
      <c r="T8" s="53">
        <f>Lookup!T18</f>
        <v>2030</v>
      </c>
      <c r="U8" s="53">
        <f>Lookup!U18</f>
        <v>2031</v>
      </c>
      <c r="V8" s="53">
        <f>Lookup!V18</f>
        <v>2032</v>
      </c>
      <c r="W8" s="53">
        <f>Lookup!W18</f>
        <v>2033</v>
      </c>
      <c r="X8" s="53">
        <f>Lookup!X18</f>
        <v>2034</v>
      </c>
      <c r="Y8" s="53">
        <f>Lookup!Y18</f>
        <v>2035</v>
      </c>
      <c r="Z8" s="53">
        <f>Lookup!Z18</f>
        <v>2036</v>
      </c>
      <c r="AA8" s="53">
        <f>Lookup!AA18</f>
        <v>2037</v>
      </c>
      <c r="AB8" s="53">
        <f>Lookup!AB18</f>
        <v>2038</v>
      </c>
      <c r="AC8" s="53">
        <f>Lookup!AC18</f>
        <v>2039</v>
      </c>
      <c r="AD8" s="53">
        <f>Lookup!AD18</f>
        <v>2040</v>
      </c>
      <c r="AE8" s="53">
        <f>Lookup!AE18</f>
        <v>2041</v>
      </c>
      <c r="AF8" s="53">
        <f>Lookup!AF18</f>
        <v>2042</v>
      </c>
      <c r="AG8" s="53">
        <f>Lookup!AG18</f>
        <v>2043</v>
      </c>
      <c r="AH8" s="53">
        <f>Lookup!AH18</f>
        <v>2044</v>
      </c>
      <c r="AI8" s="53">
        <f>Lookup!AI18</f>
        <v>2045</v>
      </c>
    </row>
    <row r="9" spans="1:35" ht="13.15" collapsed="1" x14ac:dyDescent="0.3">
      <c r="B9" s="5" t="str">
        <f>Lookup!B19</f>
        <v>FY</v>
      </c>
      <c r="D9" s="50"/>
      <c r="E9" s="50"/>
      <c r="F9" s="50"/>
      <c r="H9" s="50" t="str">
        <f>Lookup!E19</f>
        <v>Source</v>
      </c>
      <c r="I9" s="50" t="str">
        <f>Lookup!F19</f>
        <v>Unit</v>
      </c>
      <c r="J9" s="50" t="str">
        <f>Lookup!G19</f>
        <v>Basis</v>
      </c>
      <c r="K9" s="50"/>
      <c r="L9" s="50" t="str">
        <f>Lookup!L19</f>
        <v>FY22</v>
      </c>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 x14ac:dyDescent="0.3">
      <c r="B11" s="2" t="s">
        <v>717</v>
      </c>
    </row>
    <row r="12" spans="1:35" ht="11.25" customHeight="1" x14ac:dyDescent="0.3"/>
    <row r="13" spans="1:35" ht="11.25" customHeight="1" x14ac:dyDescent="0.3">
      <c r="D13" s="105" t="s">
        <v>484</v>
      </c>
    </row>
    <row r="14" spans="1:35" ht="11.25" customHeight="1" x14ac:dyDescent="0.3"/>
    <row r="15" spans="1:35" ht="11.25" customHeight="1" x14ac:dyDescent="0.3"/>
    <row r="16" spans="1:35" s="8" customFormat="1" ht="13.9" x14ac:dyDescent="0.3">
      <c r="C16" s="8" t="s">
        <v>481</v>
      </c>
    </row>
    <row r="17" spans="1:34" ht="11.25" customHeight="1" x14ac:dyDescent="0.3"/>
    <row r="18" spans="1:34" ht="11.25" customHeight="1" x14ac:dyDescent="0.3">
      <c r="N18" s="273" t="s">
        <v>719</v>
      </c>
      <c r="O18" s="273"/>
      <c r="P18" s="273"/>
      <c r="Q18" s="273"/>
      <c r="T18" s="273" t="s">
        <v>720</v>
      </c>
      <c r="U18" s="273"/>
      <c r="V18" s="273"/>
      <c r="Z18" s="273" t="s">
        <v>492</v>
      </c>
      <c r="AA18" s="273"/>
      <c r="AB18" s="273"/>
      <c r="AC18" s="273"/>
      <c r="AE18" s="273" t="s">
        <v>493</v>
      </c>
      <c r="AF18" s="273"/>
      <c r="AG18" s="273"/>
      <c r="AH18" s="273"/>
    </row>
    <row r="19" spans="1:34" ht="39.4" x14ac:dyDescent="0.3">
      <c r="D19" s="70" t="s">
        <v>718</v>
      </c>
      <c r="H19" s="54" t="str">
        <f>Lookup!E$19</f>
        <v>Source</v>
      </c>
      <c r="I19" s="54" t="str">
        <f>Lookup!F$19</f>
        <v>Unit</v>
      </c>
      <c r="J19" s="54" t="str">
        <f>Lookup!G$19</f>
        <v>Basis</v>
      </c>
      <c r="M19" s="61" t="s">
        <v>722</v>
      </c>
      <c r="N19" s="61" t="s">
        <v>490</v>
      </c>
      <c r="O19" s="61" t="s">
        <v>491</v>
      </c>
      <c r="P19" s="61" t="s">
        <v>489</v>
      </c>
      <c r="Q19" s="61" t="s">
        <v>51</v>
      </c>
      <c r="R19" s="61" t="s">
        <v>483</v>
      </c>
      <c r="T19" s="61" t="s">
        <v>258</v>
      </c>
      <c r="U19" s="61" t="s">
        <v>69</v>
      </c>
      <c r="V19" s="61" t="s">
        <v>257</v>
      </c>
      <c r="X19" s="61" t="s">
        <v>721</v>
      </c>
      <c r="Z19" s="61" t="s">
        <v>490</v>
      </c>
      <c r="AA19" s="61" t="s">
        <v>491</v>
      </c>
      <c r="AB19" s="61" t="s">
        <v>489</v>
      </c>
      <c r="AC19" s="61" t="s">
        <v>51</v>
      </c>
      <c r="AE19" s="61" t="s">
        <v>490</v>
      </c>
      <c r="AF19" s="61" t="s">
        <v>491</v>
      </c>
      <c r="AG19" s="61" t="s">
        <v>489</v>
      </c>
      <c r="AH19" s="61" t="s">
        <v>51</v>
      </c>
    </row>
    <row r="20" spans="1:34" ht="11.25" customHeight="1" x14ac:dyDescent="0.3">
      <c r="D20" s="1"/>
    </row>
    <row r="21" spans="1:34" ht="12.75" x14ac:dyDescent="0.3">
      <c r="D21" s="75" t="s">
        <v>258</v>
      </c>
      <c r="E21" s="82"/>
      <c r="F21" s="82"/>
      <c r="G21" s="82"/>
      <c r="H21" s="259" t="s">
        <v>52</v>
      </c>
      <c r="I21" s="259" t="s">
        <v>44</v>
      </c>
      <c r="J21" s="259" t="s">
        <v>239</v>
      </c>
      <c r="M21" s="87">
        <f ca="1">NPV(Inputs_LRMC!$M$27,OFFSET(Calc_LRMC!$M195,0,0,1,Inputs_LRMC!$M$25))-SUM($M22:$M$24)</f>
        <v>0</v>
      </c>
      <c r="N21" s="66">
        <f ca="1">NPV(Inputs_LRMC!$M$27,OFFSET($M103,0,0,1,Inputs_LRMC!$M$25))</f>
        <v>1137.8392032124134</v>
      </c>
      <c r="O21" s="66">
        <f ca="1">NPV(Inputs_LRMC!$M$27,OFFSET($M154,0,0,1,Inputs_LRMC!$M$25))</f>
        <v>1979.6904344300369</v>
      </c>
      <c r="P21" s="66">
        <f ca="1">NPV(Inputs_LRMC!$M$27,OFFSET($M52,0,0,1,Inputs_LRMC!$M$25))</f>
        <v>1661.8812013696161</v>
      </c>
      <c r="Q21" s="66">
        <f ca="1">NPV(Inputs_LRMC!$M$27,OFFSET($M64,0,0,1,Inputs_LRMC!$M$25))</f>
        <v>4779.4108390120673</v>
      </c>
      <c r="R21" s="126">
        <f>Inputs_LRMC!Q40</f>
        <v>0.93850000000000022</v>
      </c>
      <c r="T21" s="166">
        <f ca="1">$M21/$M$25</f>
        <v>0</v>
      </c>
      <c r="U21" s="167"/>
      <c r="V21" s="95"/>
      <c r="X21" s="66" cm="1">
        <f t="array" aca="1" ref="X21" ca="1">SUMPRODUCT(TRANSPOSE($T21:$V21),Q$21:Q$23)</f>
        <v>0</v>
      </c>
      <c r="Z21" s="87">
        <f t="shared" ref="Z21:AB23" ca="1" si="0">$AC21*N21/$Q21</f>
        <v>9.3309693868005503</v>
      </c>
      <c r="AA21" s="87">
        <f t="shared" ca="1" si="0"/>
        <v>16.234658453370319</v>
      </c>
      <c r="AB21" s="170">
        <f t="shared" ca="1" si="0"/>
        <v>13.628430599595317</v>
      </c>
      <c r="AC21" s="87">
        <f ca="1">IFERROR(X$21/$M$21,Q21/SUM($M$22:$M$23))</f>
        <v>39.194058439766195</v>
      </c>
      <c r="AE21" s="87">
        <f t="shared" ref="AE21:AH23" ca="1" si="1">Z21/$R21</f>
        <v>9.9424287552483204</v>
      </c>
      <c r="AF21" s="87">
        <f t="shared" ca="1" si="1"/>
        <v>17.298517265178813</v>
      </c>
      <c r="AG21" s="87">
        <f t="shared" ca="1" si="1"/>
        <v>14.521503036329584</v>
      </c>
      <c r="AH21" s="87">
        <f t="shared" ca="1" si="1"/>
        <v>41.762449056756722</v>
      </c>
    </row>
    <row r="22" spans="1:34" ht="12.75" x14ac:dyDescent="0.3">
      <c r="D22" s="75" t="s">
        <v>69</v>
      </c>
      <c r="H22" s="259" t="s">
        <v>52</v>
      </c>
      <c r="I22" s="259" t="s">
        <v>44</v>
      </c>
      <c r="J22" s="259" t="s">
        <v>239</v>
      </c>
      <c r="M22" s="87">
        <f ca="1">NPV(Inputs_LRMC!$M$27,OFFSET(Calc_LRMC!$M196,0,0,1,Inputs_LRMC!$M$25))-SUM($M23:$M$24)</f>
        <v>37.590308027159224</v>
      </c>
      <c r="N22" s="66">
        <f ca="1">NPV(Inputs_LRMC!$M$27,OFFSET($M104,0,0,1,Inputs_LRMC!$M$25))</f>
        <v>2294.5029668798825</v>
      </c>
      <c r="O22" s="66">
        <f ca="1">NPV(Inputs_LRMC!$M$27,OFFSET($M155,0,0,1,Inputs_LRMC!$M$25))</f>
        <v>2690.0715802971622</v>
      </c>
      <c r="P22" s="66">
        <f ca="1">NPV(Inputs_LRMC!$M$27,OFFSET($M53,0,0,1,Inputs_LRMC!$M$25))</f>
        <v>2657.1586158338432</v>
      </c>
      <c r="Q22" s="66">
        <f ca="1">NPV(Inputs_LRMC!$M$27,OFFSET($M65,0,0,1,Inputs_LRMC!$M$25))</f>
        <v>7641.7331630108902</v>
      </c>
      <c r="R22" s="126">
        <f>Inputs_LRMC!Q41</f>
        <v>0.97991949999999983</v>
      </c>
      <c r="T22" s="166">
        <f ca="1">$M22/$M$25</f>
        <v>0.30826325235723701</v>
      </c>
      <c r="U22" s="166">
        <f ca="1">$M22/SUM($M$22:$M$23)</f>
        <v>0.30826325235723701</v>
      </c>
      <c r="V22" s="95"/>
      <c r="X22" s="66" cm="1">
        <f t="array" aca="1" ref="X22" ca="1">SUMPRODUCT(TRANSPOSE($T22:$V22),Q$21:Q$23)</f>
        <v>3828.9822480611838</v>
      </c>
      <c r="Z22" s="87">
        <f t="shared" ca="1" si="0"/>
        <v>30.58469988005865</v>
      </c>
      <c r="AA22" s="87">
        <f t="shared" ca="1" si="0"/>
        <v>35.857452845721646</v>
      </c>
      <c r="AB22" s="170">
        <f t="shared" ca="1" si="0"/>
        <v>35.418737727544006</v>
      </c>
      <c r="AC22" s="87">
        <f ca="1">X22/$M22</f>
        <v>101.86089045332433</v>
      </c>
      <c r="AE22" s="87">
        <f t="shared" ca="1" si="1"/>
        <v>31.211441225589098</v>
      </c>
      <c r="AF22" s="87">
        <f t="shared" ca="1" si="1"/>
        <v>36.592243389096403</v>
      </c>
      <c r="AG22" s="87">
        <f t="shared" ca="1" si="1"/>
        <v>36.144538125370516</v>
      </c>
      <c r="AH22" s="87">
        <f t="shared" ca="1" si="1"/>
        <v>103.94822274005604</v>
      </c>
    </row>
    <row r="23" spans="1:34" ht="12.75" x14ac:dyDescent="0.3">
      <c r="D23" s="75" t="s">
        <v>257</v>
      </c>
      <c r="H23" s="259" t="s">
        <v>52</v>
      </c>
      <c r="I23" s="259" t="s">
        <v>44</v>
      </c>
      <c r="J23" s="259" t="s">
        <v>239</v>
      </c>
      <c r="M23" s="87">
        <f ca="1">NPV(Inputs_LRMC!$M$27,OFFSET(Calc_LRMC!$M197,0,0,1,Inputs_LRMC!$M$25))-SUM($M24:$M$24)</f>
        <v>84.35192070011361</v>
      </c>
      <c r="N23" s="66">
        <f ca="1">NPV(Inputs_LRMC!$M$27,OFFSET($M105,0,0,1,Inputs_LRMC!$M$25))</f>
        <v>803.37187471543348</v>
      </c>
      <c r="O23" s="66">
        <f ca="1">NPV(Inputs_LRMC!$M$27,OFFSET($M156,0,0,1,Inputs_LRMC!$M$25))</f>
        <v>2665.3887437375352</v>
      </c>
      <c r="P23" s="66">
        <f ca="1">NPV(Inputs_LRMC!$M$27,OFFSET($M54,0,0,1,Inputs_LRMC!$M$25))</f>
        <v>1849.1141172334173</v>
      </c>
      <c r="Q23" s="66">
        <f ca="1">NPV(Inputs_LRMC!$M$27,OFFSET($M66,0,0,1,Inputs_LRMC!$M$25))</f>
        <v>5317.8747356863851</v>
      </c>
      <c r="R23" s="126">
        <f>Inputs_LRMC!Q42</f>
        <v>1</v>
      </c>
      <c r="T23" s="166">
        <f ca="1">$M23/$M$25</f>
        <v>0.69173674764276294</v>
      </c>
      <c r="U23" s="166">
        <f ca="1">$M23/SUM($M$22:$M$23)</f>
        <v>0.69173674764276294</v>
      </c>
      <c r="V23" s="57">
        <v>1</v>
      </c>
      <c r="X23" s="66" cm="1">
        <f t="array" aca="1" ref="X23" ca="1">SUMPRODUCT(TRANSPOSE($T23:$V23),Q$21:Q$23)</f>
        <v>13910.036489648159</v>
      </c>
      <c r="Z23" s="87">
        <f t="shared" ca="1" si="0"/>
        <v>24.912184611062727</v>
      </c>
      <c r="AA23" s="87">
        <f t="shared" ca="1" si="0"/>
        <v>82.652453408028705</v>
      </c>
      <c r="AB23" s="170">
        <f t="shared" ca="1" si="0"/>
        <v>57.340160522495609</v>
      </c>
      <c r="AC23" s="87">
        <f ca="1">X23/$M23</f>
        <v>164.90479854158701</v>
      </c>
      <c r="AE23" s="87">
        <f t="shared" ca="1" si="1"/>
        <v>24.912184611062727</v>
      </c>
      <c r="AF23" s="87">
        <f t="shared" ca="1" si="1"/>
        <v>82.652453408028705</v>
      </c>
      <c r="AG23" s="87">
        <f t="shared" ca="1" si="1"/>
        <v>57.340160522495609</v>
      </c>
      <c r="AH23" s="87">
        <f t="shared" ca="1" si="1"/>
        <v>164.90479854158701</v>
      </c>
    </row>
    <row r="24" spans="1:34" ht="11.25" customHeight="1" x14ac:dyDescent="0.3"/>
    <row r="25" spans="1:34" ht="13.15" x14ac:dyDescent="0.3">
      <c r="D25" s="62" t="s">
        <v>51</v>
      </c>
      <c r="H25" s="56" t="s">
        <v>52</v>
      </c>
      <c r="I25" s="56" t="s">
        <v>44</v>
      </c>
      <c r="J25" s="163" t="s">
        <v>239</v>
      </c>
      <c r="M25" s="164">
        <f ca="1">SUM(M21:M23)</f>
        <v>121.94222872727283</v>
      </c>
      <c r="N25" s="68">
        <f ca="1">SUM(N21:N23)</f>
        <v>4235.7140448077298</v>
      </c>
      <c r="O25" s="68">
        <f ca="1">SUM(O21:O23)</f>
        <v>7335.1507584647343</v>
      </c>
      <c r="P25" s="68">
        <f ca="1">SUM(P21:P23)</f>
        <v>6168.1539344368766</v>
      </c>
      <c r="Q25" s="68">
        <f ca="1">SUM(Q21:Q23)</f>
        <v>17739.018737709343</v>
      </c>
      <c r="T25" s="165">
        <f ca="1">SUM(T21:T23)</f>
        <v>1</v>
      </c>
      <c r="U25" s="165">
        <f ca="1">SUM(U21:U23)</f>
        <v>1</v>
      </c>
      <c r="V25" s="165">
        <f>SUM(V21:V23)</f>
        <v>1</v>
      </c>
      <c r="X25" s="68">
        <f ca="1">SUM(X21:X23)</f>
        <v>17739.018737709343</v>
      </c>
    </row>
    <row r="26" spans="1:34" ht="11.25" customHeight="1" x14ac:dyDescent="0.3"/>
    <row r="27" spans="1:34" ht="12.75" hidden="1" outlineLevel="1" x14ac:dyDescent="0.3">
      <c r="D27" s="81" t="s">
        <v>90</v>
      </c>
      <c r="E27" s="82"/>
      <c r="G27" s="82"/>
      <c r="H27" s="259" t="s">
        <v>52</v>
      </c>
      <c r="I27" s="259" t="s">
        <v>47</v>
      </c>
      <c r="J27" s="259" t="s">
        <v>40</v>
      </c>
      <c r="K27" s="78"/>
      <c r="Q27" s="66">
        <f ca="1">NPV(Inputs_LRMC!$M$27,OFFSET($M68,0,0,1,Inputs_LRMC!$M$25))</f>
        <v>17739.018737709339</v>
      </c>
      <c r="T27" s="57">
        <v>1</v>
      </c>
      <c r="U27" s="57">
        <v>1</v>
      </c>
      <c r="V27" s="57">
        <v>1</v>
      </c>
      <c r="X27" s="66">
        <f ca="1">Q25</f>
        <v>17739.018737709343</v>
      </c>
    </row>
    <row r="28" spans="1:34" ht="12.75" hidden="1" outlineLevel="1" x14ac:dyDescent="0.3">
      <c r="A28" s="59">
        <f ca="1">IF(SUM($M28:$V28)=0,0,1)</f>
        <v>0</v>
      </c>
      <c r="D28" s="81" t="s">
        <v>55</v>
      </c>
      <c r="E28" s="82"/>
      <c r="F28" s="80"/>
      <c r="G28" s="82"/>
      <c r="H28" s="80"/>
      <c r="I28" s="84"/>
      <c r="J28" s="84"/>
      <c r="K28" s="78"/>
      <c r="Q28" s="59">
        <f ca="1">IF(ROUND(Q27-Q25,2)=0,0,1)</f>
        <v>0</v>
      </c>
      <c r="T28" s="59">
        <f ca="1">IF(ROUND(T27-SUM(T21:T23),2)=0,0,1)</f>
        <v>0</v>
      </c>
      <c r="U28" s="59">
        <f ca="1">IF(ROUND(U27-SUM(U21:U23),2)=0,0,1)</f>
        <v>0</v>
      </c>
      <c r="V28" s="59">
        <f>IF(ROUND(V27-SUM(V21:V23),2)=0,0,1)</f>
        <v>0</v>
      </c>
      <c r="X28" s="59">
        <f ca="1">IF(ROUND(X27-X25,2)=0,0,1)</f>
        <v>0</v>
      </c>
    </row>
    <row r="29" spans="1:34" ht="11.25" customHeight="1" collapsed="1" x14ac:dyDescent="0.3"/>
    <row r="30" spans="1:34" ht="11.25" customHeight="1" x14ac:dyDescent="0.3"/>
    <row r="31" spans="1:34" s="2" customFormat="1" ht="15" x14ac:dyDescent="0.3">
      <c r="B31" s="2" t="s">
        <v>309</v>
      </c>
    </row>
    <row r="32" spans="1:34" ht="11.25" customHeight="1" x14ac:dyDescent="0.3"/>
    <row r="33" spans="1:35" ht="11.25" customHeight="1" x14ac:dyDescent="0.3">
      <c r="D33" s="105" t="s">
        <v>673</v>
      </c>
    </row>
    <row r="34" spans="1:35" ht="11.25" customHeight="1" x14ac:dyDescent="0.3"/>
    <row r="35" spans="1:35" ht="11.25" customHeight="1" x14ac:dyDescent="0.3"/>
    <row r="36" spans="1:35" s="8" customFormat="1" ht="13.9" x14ac:dyDescent="0.3">
      <c r="C36" s="8" t="s">
        <v>723</v>
      </c>
    </row>
    <row r="37" spans="1:35" ht="11.25" customHeight="1" x14ac:dyDescent="0.3"/>
    <row r="38" spans="1:35" ht="11.25" customHeight="1" x14ac:dyDescent="0.3">
      <c r="D38" s="70" t="s">
        <v>724</v>
      </c>
      <c r="H38" s="54" t="str">
        <f>Lookup!E$19</f>
        <v>Source</v>
      </c>
      <c r="I38" s="54" t="str">
        <f>Lookup!F$19</f>
        <v>Unit</v>
      </c>
      <c r="J38" s="54" t="str">
        <f>Lookup!G$19</f>
        <v>Basis</v>
      </c>
      <c r="M38" s="54" t="str">
        <f t="shared" ref="M38:S38" si="2">M$9</f>
        <v>FY23</v>
      </c>
      <c r="N38" s="54" t="str">
        <f t="shared" si="2"/>
        <v>FY24</v>
      </c>
      <c r="O38" s="54" t="str">
        <f t="shared" si="2"/>
        <v>FY25</v>
      </c>
      <c r="P38" s="54" t="str">
        <f t="shared" si="2"/>
        <v>FY26</v>
      </c>
      <c r="Q38" s="54" t="str">
        <f t="shared" si="2"/>
        <v>FY27</v>
      </c>
      <c r="R38" s="54" t="str">
        <f t="shared" si="2"/>
        <v>FY28</v>
      </c>
      <c r="S38" s="54" t="str">
        <f t="shared" si="2"/>
        <v>FY29</v>
      </c>
      <c r="T38" s="54" t="str">
        <f t="shared" ref="T38:AI38" si="3">T$9</f>
        <v>FY30</v>
      </c>
      <c r="U38" s="54" t="str">
        <f t="shared" si="3"/>
        <v>FY31</v>
      </c>
      <c r="V38" s="54" t="str">
        <f t="shared" si="3"/>
        <v>FY32</v>
      </c>
      <c r="W38" s="54" t="str">
        <f t="shared" si="3"/>
        <v>FY33</v>
      </c>
      <c r="X38" s="54" t="str">
        <f t="shared" si="3"/>
        <v>FY34</v>
      </c>
      <c r="Y38" s="54" t="str">
        <f t="shared" si="3"/>
        <v>FY35</v>
      </c>
      <c r="Z38" s="54" t="str">
        <f t="shared" si="3"/>
        <v>FY36</v>
      </c>
      <c r="AA38" s="54" t="str">
        <f t="shared" si="3"/>
        <v>FY37</v>
      </c>
      <c r="AB38" s="54" t="str">
        <f t="shared" si="3"/>
        <v>FY38</v>
      </c>
      <c r="AC38" s="54" t="str">
        <f t="shared" si="3"/>
        <v>FY39</v>
      </c>
      <c r="AD38" s="54" t="str">
        <f t="shared" si="3"/>
        <v>FY40</v>
      </c>
      <c r="AE38" s="54" t="str">
        <f t="shared" si="3"/>
        <v>FY41</v>
      </c>
      <c r="AF38" s="54" t="str">
        <f t="shared" si="3"/>
        <v>FY42</v>
      </c>
      <c r="AG38" s="54" t="str">
        <f t="shared" si="3"/>
        <v>FY43</v>
      </c>
      <c r="AH38" s="54" t="str">
        <f t="shared" si="3"/>
        <v>FY44</v>
      </c>
      <c r="AI38" s="54" t="str">
        <f t="shared" si="3"/>
        <v>FY45</v>
      </c>
    </row>
    <row r="39" spans="1:35" ht="11.25" customHeight="1" x14ac:dyDescent="0.3">
      <c r="D39" s="1"/>
    </row>
    <row r="40" spans="1:35" ht="12.75" x14ac:dyDescent="0.3">
      <c r="D40" s="75" t="s">
        <v>258</v>
      </c>
      <c r="E40" s="82"/>
      <c r="F40" s="82"/>
      <c r="G40" s="82"/>
      <c r="H40" s="259" t="s">
        <v>52</v>
      </c>
      <c r="I40" s="259" t="s">
        <v>47</v>
      </c>
      <c r="J40" s="259" t="s">
        <v>239</v>
      </c>
      <c r="M40" s="66">
        <f>M103+M154</f>
        <v>267.05843006187945</v>
      </c>
      <c r="N40" s="66">
        <f t="shared" ref="N40:AI40" si="4">N103+N154</f>
        <v>433.20179076179818</v>
      </c>
      <c r="O40" s="66">
        <f t="shared" si="4"/>
        <v>243.3260111177475</v>
      </c>
      <c r="P40" s="66">
        <f t="shared" si="4"/>
        <v>259.30579624479117</v>
      </c>
      <c r="Q40" s="66">
        <f t="shared" si="4"/>
        <v>207.06700284660343</v>
      </c>
      <c r="R40" s="66">
        <f t="shared" si="4"/>
        <v>138.26081476362873</v>
      </c>
      <c r="S40" s="66">
        <f t="shared" si="4"/>
        <v>131.86193181952439</v>
      </c>
      <c r="T40" s="66">
        <f t="shared" si="4"/>
        <v>240.01168251656753</v>
      </c>
      <c r="U40" s="66">
        <f t="shared" si="4"/>
        <v>240.01168251656753</v>
      </c>
      <c r="V40" s="66">
        <f t="shared" si="4"/>
        <v>171.48704625716169</v>
      </c>
      <c r="W40" s="66">
        <f t="shared" si="4"/>
        <v>171.72345325584553</v>
      </c>
      <c r="X40" s="66">
        <f t="shared" si="4"/>
        <v>171.72345325584553</v>
      </c>
      <c r="Y40" s="66">
        <f t="shared" si="4"/>
        <v>171.72345325584553</v>
      </c>
      <c r="Z40" s="66">
        <f t="shared" si="4"/>
        <v>171.72345325584553</v>
      </c>
      <c r="AA40" s="66">
        <f t="shared" si="4"/>
        <v>171.72345325584487</v>
      </c>
      <c r="AB40" s="66">
        <f t="shared" si="4"/>
        <v>171.72345325584553</v>
      </c>
      <c r="AC40" s="66">
        <f t="shared" si="4"/>
        <v>171.72345325584553</v>
      </c>
      <c r="AD40" s="66">
        <f t="shared" si="4"/>
        <v>171.72345325584683</v>
      </c>
      <c r="AE40" s="66">
        <f t="shared" si="4"/>
        <v>171.72345325584553</v>
      </c>
      <c r="AF40" s="66">
        <f t="shared" si="4"/>
        <v>171.72345325584487</v>
      </c>
      <c r="AG40" s="66">
        <f t="shared" si="4"/>
        <v>171.72345325584553</v>
      </c>
      <c r="AH40" s="66">
        <f t="shared" si="4"/>
        <v>171.72345325584553</v>
      </c>
      <c r="AI40" s="66">
        <f t="shared" si="4"/>
        <v>171.72345325584553</v>
      </c>
    </row>
    <row r="41" spans="1:35" ht="12.75" x14ac:dyDescent="0.3">
      <c r="D41" s="75" t="s">
        <v>69</v>
      </c>
      <c r="H41" s="259" t="s">
        <v>52</v>
      </c>
      <c r="I41" s="259" t="s">
        <v>47</v>
      </c>
      <c r="J41" s="259" t="s">
        <v>239</v>
      </c>
      <c r="M41" s="66">
        <f t="shared" ref="M41:AI41" si="5">M104+M155</f>
        <v>358.37238247293317</v>
      </c>
      <c r="N41" s="66">
        <f t="shared" si="5"/>
        <v>607.83909939106923</v>
      </c>
      <c r="O41" s="66">
        <f t="shared" si="5"/>
        <v>555.10004469206763</v>
      </c>
      <c r="P41" s="66">
        <f t="shared" si="5"/>
        <v>384.83569273061238</v>
      </c>
      <c r="Q41" s="66">
        <f t="shared" si="5"/>
        <v>292.74634170448115</v>
      </c>
      <c r="R41" s="66">
        <f t="shared" si="5"/>
        <v>251.7149052308331</v>
      </c>
      <c r="S41" s="66">
        <f t="shared" si="5"/>
        <v>240.31194257048736</v>
      </c>
      <c r="T41" s="66">
        <f t="shared" si="5"/>
        <v>384.41720125606912</v>
      </c>
      <c r="U41" s="66">
        <f t="shared" si="5"/>
        <v>384.41720125606912</v>
      </c>
      <c r="V41" s="66">
        <f t="shared" si="5"/>
        <v>274.66400669599767</v>
      </c>
      <c r="W41" s="66">
        <f t="shared" si="5"/>
        <v>275.04265041799692</v>
      </c>
      <c r="X41" s="66">
        <f t="shared" si="5"/>
        <v>275.04265041799692</v>
      </c>
      <c r="Y41" s="66">
        <f t="shared" si="5"/>
        <v>275.04265041799692</v>
      </c>
      <c r="Z41" s="66">
        <f t="shared" si="5"/>
        <v>275.04265041799692</v>
      </c>
      <c r="AA41" s="66">
        <f t="shared" si="5"/>
        <v>275.0426504179959</v>
      </c>
      <c r="AB41" s="66">
        <f t="shared" si="5"/>
        <v>275.04265041799692</v>
      </c>
      <c r="AC41" s="66">
        <f t="shared" si="5"/>
        <v>275.04265041799692</v>
      </c>
      <c r="AD41" s="66">
        <f t="shared" si="5"/>
        <v>275.04265041799903</v>
      </c>
      <c r="AE41" s="66">
        <f t="shared" si="5"/>
        <v>275.04265041799692</v>
      </c>
      <c r="AF41" s="66">
        <f t="shared" si="5"/>
        <v>275.0426504179959</v>
      </c>
      <c r="AG41" s="66">
        <f t="shared" si="5"/>
        <v>275.04265041799692</v>
      </c>
      <c r="AH41" s="66">
        <f t="shared" si="5"/>
        <v>275.04265041799692</v>
      </c>
      <c r="AI41" s="66">
        <f t="shared" si="5"/>
        <v>275.04265041799692</v>
      </c>
    </row>
    <row r="42" spans="1:35" ht="12.75" x14ac:dyDescent="0.3">
      <c r="D42" s="75" t="s">
        <v>257</v>
      </c>
      <c r="H42" s="259" t="s">
        <v>52</v>
      </c>
      <c r="I42" s="259" t="s">
        <v>47</v>
      </c>
      <c r="J42" s="259" t="s">
        <v>239</v>
      </c>
      <c r="M42" s="66">
        <f t="shared" ref="M42:AI42" si="6">M105+M156</f>
        <v>232.64321386375548</v>
      </c>
      <c r="N42" s="66">
        <f t="shared" si="6"/>
        <v>257.36388288256444</v>
      </c>
      <c r="O42" s="66">
        <f t="shared" si="6"/>
        <v>328.26017304469246</v>
      </c>
      <c r="P42" s="66">
        <f t="shared" si="6"/>
        <v>282.43117376893304</v>
      </c>
      <c r="Q42" s="66">
        <f t="shared" si="6"/>
        <v>274.20344484664167</v>
      </c>
      <c r="R42" s="66">
        <f t="shared" si="6"/>
        <v>257.60452353087868</v>
      </c>
      <c r="S42" s="66">
        <f t="shared" si="6"/>
        <v>253.31743764549566</v>
      </c>
      <c r="T42" s="66">
        <f t="shared" si="6"/>
        <v>269.40340708328023</v>
      </c>
      <c r="U42" s="66">
        <f t="shared" si="6"/>
        <v>269.40340708328023</v>
      </c>
      <c r="V42" s="66">
        <f t="shared" si="6"/>
        <v>192.48727415232574</v>
      </c>
      <c r="W42" s="66">
        <f t="shared" si="6"/>
        <v>192.75263144758674</v>
      </c>
      <c r="X42" s="66">
        <f t="shared" si="6"/>
        <v>192.75263144758674</v>
      </c>
      <c r="Y42" s="66">
        <f t="shared" si="6"/>
        <v>192.75263144758674</v>
      </c>
      <c r="Z42" s="66">
        <f t="shared" si="6"/>
        <v>192.75263144758674</v>
      </c>
      <c r="AA42" s="66">
        <f t="shared" si="6"/>
        <v>192.75263144758674</v>
      </c>
      <c r="AB42" s="66">
        <f t="shared" si="6"/>
        <v>192.75263144758674</v>
      </c>
      <c r="AC42" s="66">
        <f t="shared" si="6"/>
        <v>192.75263144758674</v>
      </c>
      <c r="AD42" s="66">
        <f t="shared" si="6"/>
        <v>192.75263144758884</v>
      </c>
      <c r="AE42" s="66">
        <f t="shared" si="6"/>
        <v>192.75263144758674</v>
      </c>
      <c r="AF42" s="66">
        <f t="shared" si="6"/>
        <v>192.75263144758674</v>
      </c>
      <c r="AG42" s="66">
        <f t="shared" si="6"/>
        <v>192.75263144758674</v>
      </c>
      <c r="AH42" s="66">
        <f t="shared" si="6"/>
        <v>192.75263144758674</v>
      </c>
      <c r="AI42" s="66">
        <f t="shared" si="6"/>
        <v>192.75263144758674</v>
      </c>
    </row>
    <row r="43" spans="1:35" ht="11.25" customHeight="1" x14ac:dyDescent="0.3"/>
    <row r="44" spans="1:35" ht="13.15" x14ac:dyDescent="0.3">
      <c r="D44" s="62" t="s">
        <v>51</v>
      </c>
      <c r="H44" s="56" t="s">
        <v>52</v>
      </c>
      <c r="I44" s="56" t="str">
        <f>Thousands</f>
        <v>$000's</v>
      </c>
      <c r="J44" s="163" t="s">
        <v>239</v>
      </c>
      <c r="M44" s="68">
        <f t="shared" ref="M44:S44" si="7">SUM(M40:M42)</f>
        <v>858.07402639856809</v>
      </c>
      <c r="N44" s="68">
        <f t="shared" si="7"/>
        <v>1298.4047730354318</v>
      </c>
      <c r="O44" s="68">
        <f t="shared" si="7"/>
        <v>1126.6862288545076</v>
      </c>
      <c r="P44" s="68">
        <f t="shared" si="7"/>
        <v>926.57266274433653</v>
      </c>
      <c r="Q44" s="68">
        <f t="shared" si="7"/>
        <v>774.01678939772626</v>
      </c>
      <c r="R44" s="68">
        <f t="shared" si="7"/>
        <v>647.58024352534051</v>
      </c>
      <c r="S44" s="68">
        <f t="shared" si="7"/>
        <v>625.49131203550746</v>
      </c>
      <c r="T44" s="68">
        <f t="shared" ref="T44:AI44" si="8">SUM(T40:T42)</f>
        <v>893.83229085591688</v>
      </c>
      <c r="U44" s="68">
        <f t="shared" si="8"/>
        <v>893.83229085591688</v>
      </c>
      <c r="V44" s="68">
        <f t="shared" si="8"/>
        <v>638.63832710548513</v>
      </c>
      <c r="W44" s="68">
        <f t="shared" si="8"/>
        <v>639.51873512142924</v>
      </c>
      <c r="X44" s="68">
        <f t="shared" si="8"/>
        <v>639.51873512142924</v>
      </c>
      <c r="Y44" s="68">
        <f t="shared" si="8"/>
        <v>639.51873512142924</v>
      </c>
      <c r="Z44" s="68">
        <f t="shared" si="8"/>
        <v>639.51873512142924</v>
      </c>
      <c r="AA44" s="68">
        <f t="shared" si="8"/>
        <v>639.51873512142754</v>
      </c>
      <c r="AB44" s="68">
        <f t="shared" si="8"/>
        <v>639.51873512142924</v>
      </c>
      <c r="AC44" s="68">
        <f t="shared" si="8"/>
        <v>639.51873512142924</v>
      </c>
      <c r="AD44" s="68">
        <f t="shared" si="8"/>
        <v>639.5187351214347</v>
      </c>
      <c r="AE44" s="68">
        <f t="shared" si="8"/>
        <v>639.51873512142924</v>
      </c>
      <c r="AF44" s="68">
        <f t="shared" si="8"/>
        <v>639.51873512142754</v>
      </c>
      <c r="AG44" s="68">
        <f t="shared" si="8"/>
        <v>639.51873512142924</v>
      </c>
      <c r="AH44" s="68">
        <f t="shared" si="8"/>
        <v>639.51873512142924</v>
      </c>
      <c r="AI44" s="68">
        <f t="shared" si="8"/>
        <v>639.51873512142924</v>
      </c>
    </row>
    <row r="45" spans="1:35" ht="11.25" customHeight="1" x14ac:dyDescent="0.3">
      <c r="M45" s="145"/>
    </row>
    <row r="46" spans="1:35" ht="12.75" hidden="1" outlineLevel="1" x14ac:dyDescent="0.3">
      <c r="D46" s="81" t="s">
        <v>90</v>
      </c>
      <c r="E46" s="82"/>
      <c r="G46" s="82"/>
      <c r="H46" s="259" t="s">
        <v>52</v>
      </c>
      <c r="I46" s="259" t="s">
        <v>47</v>
      </c>
      <c r="J46" s="259" t="s">
        <v>40</v>
      </c>
      <c r="K46" s="78"/>
      <c r="M46" s="66">
        <f t="shared" ref="M46:AI46" si="9">M109+M160</f>
        <v>858.07402639856809</v>
      </c>
      <c r="N46" s="66">
        <f t="shared" si="9"/>
        <v>1298.4047730354318</v>
      </c>
      <c r="O46" s="66">
        <f t="shared" si="9"/>
        <v>1126.6862288545076</v>
      </c>
      <c r="P46" s="66">
        <f t="shared" si="9"/>
        <v>926.57266274433653</v>
      </c>
      <c r="Q46" s="66">
        <f t="shared" si="9"/>
        <v>774.01678939772626</v>
      </c>
      <c r="R46" s="66">
        <f t="shared" si="9"/>
        <v>647.58024352534039</v>
      </c>
      <c r="S46" s="66">
        <f t="shared" si="9"/>
        <v>625.49131203550746</v>
      </c>
      <c r="T46" s="66">
        <f t="shared" si="9"/>
        <v>893.83229085591688</v>
      </c>
      <c r="U46" s="66">
        <f t="shared" si="9"/>
        <v>893.83229085591688</v>
      </c>
      <c r="V46" s="66">
        <f t="shared" si="9"/>
        <v>638.63832710548513</v>
      </c>
      <c r="W46" s="66">
        <f t="shared" si="9"/>
        <v>639.51873512142924</v>
      </c>
      <c r="X46" s="66">
        <f t="shared" si="9"/>
        <v>639.51873512142924</v>
      </c>
      <c r="Y46" s="66">
        <f t="shared" si="9"/>
        <v>639.51873512142924</v>
      </c>
      <c r="Z46" s="66">
        <f t="shared" si="9"/>
        <v>639.51873512142924</v>
      </c>
      <c r="AA46" s="66">
        <f t="shared" si="9"/>
        <v>639.51873512142743</v>
      </c>
      <c r="AB46" s="66">
        <f t="shared" si="9"/>
        <v>639.51873512142924</v>
      </c>
      <c r="AC46" s="66">
        <f t="shared" si="9"/>
        <v>639.51873512142924</v>
      </c>
      <c r="AD46" s="66">
        <f t="shared" si="9"/>
        <v>639.51873512143482</v>
      </c>
      <c r="AE46" s="66">
        <f t="shared" si="9"/>
        <v>639.51873512142924</v>
      </c>
      <c r="AF46" s="66">
        <f t="shared" si="9"/>
        <v>639.51873512142743</v>
      </c>
      <c r="AG46" s="66">
        <f t="shared" si="9"/>
        <v>639.51873512142924</v>
      </c>
      <c r="AH46" s="66">
        <f t="shared" si="9"/>
        <v>639.51873512142924</v>
      </c>
      <c r="AI46" s="66">
        <f t="shared" si="9"/>
        <v>639.51873512142924</v>
      </c>
    </row>
    <row r="47" spans="1:35" ht="12.75" hidden="1" outlineLevel="1" x14ac:dyDescent="0.3">
      <c r="A47" s="59">
        <f>IF(SUM($M47:$AI47)=0,0,1)</f>
        <v>0</v>
      </c>
      <c r="D47" s="81" t="s">
        <v>55</v>
      </c>
      <c r="E47" s="82"/>
      <c r="F47" s="80"/>
      <c r="G47" s="82"/>
      <c r="H47" s="80"/>
      <c r="I47" s="84"/>
      <c r="J47" s="84"/>
      <c r="K47" s="78"/>
      <c r="M47" s="59">
        <f t="shared" ref="M47:S47" si="10">IF(ROUND(M46-M44,2)=0,0,1)</f>
        <v>0</v>
      </c>
      <c r="N47" s="59">
        <f t="shared" si="10"/>
        <v>0</v>
      </c>
      <c r="O47" s="59">
        <f t="shared" si="10"/>
        <v>0</v>
      </c>
      <c r="P47" s="59">
        <f t="shared" si="10"/>
        <v>0</v>
      </c>
      <c r="Q47" s="59">
        <f t="shared" si="10"/>
        <v>0</v>
      </c>
      <c r="R47" s="59">
        <f t="shared" si="10"/>
        <v>0</v>
      </c>
      <c r="S47" s="59">
        <f t="shared" si="10"/>
        <v>0</v>
      </c>
      <c r="T47" s="59">
        <f t="shared" ref="T47" si="11">IF(ROUND(T46-T44,2)=0,0,1)</f>
        <v>0</v>
      </c>
      <c r="U47" s="59">
        <f t="shared" ref="U47" si="12">IF(ROUND(U46-U44,2)=0,0,1)</f>
        <v>0</v>
      </c>
      <c r="V47" s="59">
        <f t="shared" ref="V47" si="13">IF(ROUND(V46-V44,2)=0,0,1)</f>
        <v>0</v>
      </c>
      <c r="W47" s="59">
        <f t="shared" ref="W47" si="14">IF(ROUND(W46-W44,2)=0,0,1)</f>
        <v>0</v>
      </c>
      <c r="X47" s="59">
        <f t="shared" ref="X47" si="15">IF(ROUND(X46-X44,2)=0,0,1)</f>
        <v>0</v>
      </c>
      <c r="Y47" s="59">
        <f t="shared" ref="Y47" si="16">IF(ROUND(Y46-Y44,2)=0,0,1)</f>
        <v>0</v>
      </c>
      <c r="Z47" s="59">
        <f t="shared" ref="Z47" si="17">IF(ROUND(Z46-Z44,2)=0,0,1)</f>
        <v>0</v>
      </c>
      <c r="AA47" s="59">
        <f t="shared" ref="AA47" si="18">IF(ROUND(AA46-AA44,2)=0,0,1)</f>
        <v>0</v>
      </c>
      <c r="AB47" s="59">
        <f t="shared" ref="AB47" si="19">IF(ROUND(AB46-AB44,2)=0,0,1)</f>
        <v>0</v>
      </c>
      <c r="AC47" s="59">
        <f t="shared" ref="AC47" si="20">IF(ROUND(AC46-AC44,2)=0,0,1)</f>
        <v>0</v>
      </c>
      <c r="AD47" s="59">
        <f t="shared" ref="AD47" si="21">IF(ROUND(AD46-AD44,2)=0,0,1)</f>
        <v>0</v>
      </c>
      <c r="AE47" s="59">
        <f t="shared" ref="AE47" si="22">IF(ROUND(AE46-AE44,2)=0,0,1)</f>
        <v>0</v>
      </c>
      <c r="AF47" s="59">
        <f t="shared" ref="AF47" si="23">IF(ROUND(AF46-AF44,2)=0,0,1)</f>
        <v>0</v>
      </c>
      <c r="AG47" s="59">
        <f t="shared" ref="AG47" si="24">IF(ROUND(AG46-AG44,2)=0,0,1)</f>
        <v>0</v>
      </c>
      <c r="AH47" s="59">
        <f t="shared" ref="AH47" si="25">IF(ROUND(AH46-AH44,2)=0,0,1)</f>
        <v>0</v>
      </c>
      <c r="AI47" s="59">
        <f t="shared" ref="AI47" si="26">IF(ROUND(AI46-AI44,2)=0,0,1)</f>
        <v>0</v>
      </c>
    </row>
    <row r="48" spans="1:35" ht="11.25" customHeight="1" collapsed="1" x14ac:dyDescent="0.3"/>
    <row r="49" spans="1:35" ht="11.25" customHeight="1" x14ac:dyDescent="0.3"/>
    <row r="50" spans="1:35" ht="11.25" customHeight="1" x14ac:dyDescent="0.3">
      <c r="D50" s="70" t="s">
        <v>489</v>
      </c>
      <c r="H50" s="54" t="str">
        <f>Lookup!E$19</f>
        <v>Source</v>
      </c>
      <c r="I50" s="54" t="str">
        <f>Lookup!F$19</f>
        <v>Unit</v>
      </c>
      <c r="J50" s="54" t="str">
        <f>Lookup!G$19</f>
        <v>Basis</v>
      </c>
      <c r="M50" s="54" t="str">
        <f t="shared" ref="M50:S50" si="27">M$9</f>
        <v>FY23</v>
      </c>
      <c r="N50" s="54" t="str">
        <f t="shared" si="27"/>
        <v>FY24</v>
      </c>
      <c r="O50" s="54" t="str">
        <f t="shared" si="27"/>
        <v>FY25</v>
      </c>
      <c r="P50" s="54" t="str">
        <f t="shared" si="27"/>
        <v>FY26</v>
      </c>
      <c r="Q50" s="54" t="str">
        <f t="shared" si="27"/>
        <v>FY27</v>
      </c>
      <c r="R50" s="54" t="str">
        <f t="shared" si="27"/>
        <v>FY28</v>
      </c>
      <c r="S50" s="54" t="str">
        <f t="shared" si="27"/>
        <v>FY29</v>
      </c>
      <c r="T50" s="54" t="str">
        <f t="shared" ref="T50:AI50" si="28">T$9</f>
        <v>FY30</v>
      </c>
      <c r="U50" s="54" t="str">
        <f t="shared" si="28"/>
        <v>FY31</v>
      </c>
      <c r="V50" s="54" t="str">
        <f t="shared" si="28"/>
        <v>FY32</v>
      </c>
      <c r="W50" s="54" t="str">
        <f t="shared" si="28"/>
        <v>FY33</v>
      </c>
      <c r="X50" s="54" t="str">
        <f t="shared" si="28"/>
        <v>FY34</v>
      </c>
      <c r="Y50" s="54" t="str">
        <f t="shared" si="28"/>
        <v>FY35</v>
      </c>
      <c r="Z50" s="54" t="str">
        <f t="shared" si="28"/>
        <v>FY36</v>
      </c>
      <c r="AA50" s="54" t="str">
        <f t="shared" si="28"/>
        <v>FY37</v>
      </c>
      <c r="AB50" s="54" t="str">
        <f t="shared" si="28"/>
        <v>FY38</v>
      </c>
      <c r="AC50" s="54" t="str">
        <f t="shared" si="28"/>
        <v>FY39</v>
      </c>
      <c r="AD50" s="54" t="str">
        <f t="shared" si="28"/>
        <v>FY40</v>
      </c>
      <c r="AE50" s="54" t="str">
        <f t="shared" si="28"/>
        <v>FY41</v>
      </c>
      <c r="AF50" s="54" t="str">
        <f t="shared" si="28"/>
        <v>FY42</v>
      </c>
      <c r="AG50" s="54" t="str">
        <f t="shared" si="28"/>
        <v>FY43</v>
      </c>
      <c r="AH50" s="54" t="str">
        <f t="shared" si="28"/>
        <v>FY44</v>
      </c>
      <c r="AI50" s="54" t="str">
        <f t="shared" si="28"/>
        <v>FY45</v>
      </c>
    </row>
    <row r="51" spans="1:35" ht="11.25" customHeight="1" x14ac:dyDescent="0.3">
      <c r="D51" s="1"/>
    </row>
    <row r="52" spans="1:35" ht="12.75" x14ac:dyDescent="0.3">
      <c r="D52" s="75" t="s">
        <v>258</v>
      </c>
      <c r="E52" s="82"/>
      <c r="F52" s="82"/>
      <c r="G52" s="82"/>
      <c r="H52" s="259" t="s">
        <v>52</v>
      </c>
      <c r="I52" s="259" t="s">
        <v>47</v>
      </c>
      <c r="J52" s="259" t="s">
        <v>239</v>
      </c>
      <c r="M52" s="66">
        <f>Inputs_LRMC!$O40*(M91+M142)</f>
        <v>142.36252295030198</v>
      </c>
      <c r="N52" s="66">
        <f>Inputs_LRMC!$O40*(N91+N142)</f>
        <v>230.92961291335612</v>
      </c>
      <c r="O52" s="66">
        <f>Inputs_LRMC!$O40*(O91+O142)</f>
        <v>129.71133258788831</v>
      </c>
      <c r="P52" s="66">
        <f>Inputs_LRMC!$O40*(P91+P142)</f>
        <v>138.22977750783534</v>
      </c>
      <c r="Q52" s="66">
        <f>Inputs_LRMC!$O40*(Q91+Q142)</f>
        <v>110.38251418676211</v>
      </c>
      <c r="R52" s="66">
        <f>Inputs_LRMC!$O40*(R91+R142)</f>
        <v>73.70356520988237</v>
      </c>
      <c r="S52" s="66">
        <f>Inputs_LRMC!$O40*(S91+S142)</f>
        <v>70.292472289972395</v>
      </c>
      <c r="T52" s="66">
        <f>Inputs_LRMC!$O40*(T91+T142)</f>
        <v>127.94454252085693</v>
      </c>
      <c r="U52" s="66">
        <f>Inputs_LRMC!$O40*(U91+U142)</f>
        <v>127.94454252085693</v>
      </c>
      <c r="V52" s="66">
        <f>Inputs_LRMC!$O40*(V91+V142)</f>
        <v>91.415682151684663</v>
      </c>
      <c r="W52" s="66">
        <f>Inputs_LRMC!$O40*(W91+W142)</f>
        <v>91.541705122642497</v>
      </c>
      <c r="X52" s="66">
        <f>Inputs_LRMC!$O40*(X91+X142)</f>
        <v>91.541705122642497</v>
      </c>
      <c r="Y52" s="66">
        <f>Inputs_LRMC!$O40*(Y91+Y142)</f>
        <v>91.541705122642497</v>
      </c>
      <c r="Z52" s="66">
        <f>Inputs_LRMC!$O40*(Z91+Z142)</f>
        <v>91.541705122642497</v>
      </c>
      <c r="AA52" s="66">
        <f>Inputs_LRMC!$O40*(AA91+AA142)</f>
        <v>91.541705122642156</v>
      </c>
      <c r="AB52" s="66">
        <f>Inputs_LRMC!$O40*(AB91+AB142)</f>
        <v>91.541705122642497</v>
      </c>
      <c r="AC52" s="66">
        <f>Inputs_LRMC!$O40*(AC91+AC142)</f>
        <v>91.541705122642497</v>
      </c>
      <c r="AD52" s="66">
        <f>Inputs_LRMC!$O40*(AD91+AD142)</f>
        <v>91.541705122643208</v>
      </c>
      <c r="AE52" s="66">
        <f>Inputs_LRMC!$O40*(AE91+AE142)</f>
        <v>91.541705122642497</v>
      </c>
      <c r="AF52" s="66">
        <f>Inputs_LRMC!$O40*(AF91+AF142)</f>
        <v>91.541705122642156</v>
      </c>
      <c r="AG52" s="66">
        <f>Inputs_LRMC!$O40*(AG91+AG142)</f>
        <v>91.541705122642497</v>
      </c>
      <c r="AH52" s="66">
        <f>Inputs_LRMC!$O40*(AH91+AH142)</f>
        <v>91.541705122642497</v>
      </c>
      <c r="AI52" s="66">
        <f>Inputs_LRMC!$O40*(AI91+AI142)</f>
        <v>91.541705122642497</v>
      </c>
    </row>
    <row r="53" spans="1:35" ht="12.75" x14ac:dyDescent="0.3">
      <c r="D53" s="75" t="s">
        <v>69</v>
      </c>
      <c r="H53" s="259" t="s">
        <v>52</v>
      </c>
      <c r="I53" s="259" t="s">
        <v>47</v>
      </c>
      <c r="J53" s="259" t="s">
        <v>239</v>
      </c>
      <c r="M53" s="66">
        <f>Inputs_LRMC!$O41*(M92+M143)</f>
        <v>191.03982792355927</v>
      </c>
      <c r="N53" s="66">
        <f>Inputs_LRMC!$O41*(N92+N143)</f>
        <v>324.0246253117773</v>
      </c>
      <c r="O53" s="66">
        <f>Inputs_LRMC!$O41*(O92+O143)</f>
        <v>295.91068454149655</v>
      </c>
      <c r="P53" s="66">
        <f>Inputs_LRMC!$O41*(P92+P143)</f>
        <v>205.14679175550756</v>
      </c>
      <c r="Q53" s="66">
        <f>Inputs_LRMC!$O41*(Q92+Q143)</f>
        <v>156.05614014829814</v>
      </c>
      <c r="R53" s="66">
        <f>Inputs_LRMC!$O41*(R92+R143)</f>
        <v>134.1832533223324</v>
      </c>
      <c r="S53" s="66">
        <f>Inputs_LRMC!$O41*(S92+S143)</f>
        <v>128.10460404300142</v>
      </c>
      <c r="T53" s="66">
        <f>Inputs_LRMC!$O41*(T92+T143)</f>
        <v>204.92370386371036</v>
      </c>
      <c r="U53" s="66">
        <f>Inputs_LRMC!$O41*(U92+U143)</f>
        <v>204.92370386371036</v>
      </c>
      <c r="V53" s="66">
        <f>Inputs_LRMC!$O41*(V92+V143)</f>
        <v>146.41687569203737</v>
      </c>
      <c r="W53" s="66">
        <f>Inputs_LRMC!$O41*(W92+W143)</f>
        <v>146.61872169087221</v>
      </c>
      <c r="X53" s="66">
        <f>Inputs_LRMC!$O41*(X92+X143)</f>
        <v>146.61872169087221</v>
      </c>
      <c r="Y53" s="66">
        <f>Inputs_LRMC!$O41*(Y92+Y143)</f>
        <v>146.61872169087221</v>
      </c>
      <c r="Z53" s="66">
        <f>Inputs_LRMC!$O41*(Z92+Z143)</f>
        <v>146.61872169087221</v>
      </c>
      <c r="AA53" s="66">
        <f>Inputs_LRMC!$O41*(AA92+AA143)</f>
        <v>146.61872169087167</v>
      </c>
      <c r="AB53" s="66">
        <f>Inputs_LRMC!$O41*(AB92+AB143)</f>
        <v>146.61872169087221</v>
      </c>
      <c r="AC53" s="66">
        <f>Inputs_LRMC!$O41*(AC92+AC143)</f>
        <v>146.61872169087221</v>
      </c>
      <c r="AD53" s="66">
        <f>Inputs_LRMC!$O41*(AD92+AD143)</f>
        <v>146.61872169087334</v>
      </c>
      <c r="AE53" s="66">
        <f>Inputs_LRMC!$O41*(AE92+AE143)</f>
        <v>146.61872169087221</v>
      </c>
      <c r="AF53" s="66">
        <f>Inputs_LRMC!$O41*(AF92+AF143)</f>
        <v>146.61872169087167</v>
      </c>
      <c r="AG53" s="66">
        <f>Inputs_LRMC!$O41*(AG92+AG143)</f>
        <v>146.61872169087221</v>
      </c>
      <c r="AH53" s="66">
        <f>Inputs_LRMC!$O41*(AH92+AH143)</f>
        <v>146.61872169087221</v>
      </c>
      <c r="AI53" s="66">
        <f>Inputs_LRMC!$O41*(AI92+AI143)</f>
        <v>146.61872169087221</v>
      </c>
    </row>
    <row r="54" spans="1:35" ht="12.75" x14ac:dyDescent="0.3">
      <c r="D54" s="75" t="s">
        <v>257</v>
      </c>
      <c r="H54" s="259" t="s">
        <v>52</v>
      </c>
      <c r="I54" s="259" t="s">
        <v>47</v>
      </c>
      <c r="J54" s="259" t="s">
        <v>239</v>
      </c>
      <c r="M54" s="66">
        <f>Inputs_LRMC!$O42*(M93+M144)</f>
        <v>124.01658642731039</v>
      </c>
      <c r="N54" s="66">
        <f>Inputs_LRMC!$O42*(N93+N144)</f>
        <v>137.19458949473483</v>
      </c>
      <c r="O54" s="66">
        <f>Inputs_LRMC!$O42*(O93+O144)</f>
        <v>174.98772237939457</v>
      </c>
      <c r="P54" s="66">
        <f>Inputs_LRMC!$O42*(P93+P144)</f>
        <v>150.55736846893035</v>
      </c>
      <c r="Q54" s="66">
        <f>Inputs_LRMC!$O42*(Q93+Q144)</f>
        <v>146.17136107999619</v>
      </c>
      <c r="R54" s="66">
        <f>Inputs_LRMC!$O42*(R93+R144)</f>
        <v>137.3228693240234</v>
      </c>
      <c r="S54" s="66">
        <f>Inputs_LRMC!$O42*(S93+S144)</f>
        <v>135.03752539158759</v>
      </c>
      <c r="T54" s="66">
        <f>Inputs_LRMC!$O42*(T93+T144)</f>
        <v>143.61257465228249</v>
      </c>
      <c r="U54" s="66">
        <f>Inputs_LRMC!$O42*(U93+U144)</f>
        <v>143.61257465228249</v>
      </c>
      <c r="V54" s="66">
        <f>Inputs_LRMC!$O42*(V93+V144)</f>
        <v>102.61040618639922</v>
      </c>
      <c r="W54" s="66">
        <f>Inputs_LRMC!$O42*(W93+W144)</f>
        <v>102.75186187468388</v>
      </c>
      <c r="X54" s="66">
        <f>Inputs_LRMC!$O42*(X93+X144)</f>
        <v>102.75186187468388</v>
      </c>
      <c r="Y54" s="66">
        <f>Inputs_LRMC!$O42*(Y93+Y144)</f>
        <v>102.75186187468388</v>
      </c>
      <c r="Z54" s="66">
        <f>Inputs_LRMC!$O42*(Z93+Z144)</f>
        <v>102.75186187468388</v>
      </c>
      <c r="AA54" s="66">
        <f>Inputs_LRMC!$O42*(AA93+AA144)</f>
        <v>102.75186187468388</v>
      </c>
      <c r="AB54" s="66">
        <f>Inputs_LRMC!$O42*(AB93+AB144)</f>
        <v>102.75186187468388</v>
      </c>
      <c r="AC54" s="66">
        <f>Inputs_LRMC!$O42*(AC93+AC144)</f>
        <v>102.75186187468388</v>
      </c>
      <c r="AD54" s="66">
        <f>Inputs_LRMC!$O42*(AD93+AD144)</f>
        <v>102.75186187468501</v>
      </c>
      <c r="AE54" s="66">
        <f>Inputs_LRMC!$O42*(AE93+AE144)</f>
        <v>102.75186187468388</v>
      </c>
      <c r="AF54" s="66">
        <f>Inputs_LRMC!$O42*(AF93+AF144)</f>
        <v>102.75186187468388</v>
      </c>
      <c r="AG54" s="66">
        <f>Inputs_LRMC!$O42*(AG93+AG144)</f>
        <v>102.75186187468388</v>
      </c>
      <c r="AH54" s="66">
        <f>Inputs_LRMC!$O42*(AH93+AH144)</f>
        <v>102.75186187468388</v>
      </c>
      <c r="AI54" s="66">
        <f>Inputs_LRMC!$O42*(AI93+AI144)</f>
        <v>102.75186187468388</v>
      </c>
    </row>
    <row r="55" spans="1:35" ht="11.25" customHeight="1" x14ac:dyDescent="0.3"/>
    <row r="56" spans="1:35" ht="11.25" customHeight="1" x14ac:dyDescent="0.3">
      <c r="D56" s="62" t="s">
        <v>51</v>
      </c>
      <c r="H56" s="56" t="s">
        <v>52</v>
      </c>
      <c r="I56" s="56" t="str">
        <f>Thousands</f>
        <v>$000's</v>
      </c>
      <c r="J56" s="163" t="s">
        <v>239</v>
      </c>
      <c r="M56" s="68">
        <f t="shared" ref="M56:S56" si="29">SUM(M52:M54)</f>
        <v>457.41893730117158</v>
      </c>
      <c r="N56" s="68">
        <f t="shared" si="29"/>
        <v>692.14882771986822</v>
      </c>
      <c r="O56" s="68">
        <f t="shared" si="29"/>
        <v>600.6097395087794</v>
      </c>
      <c r="P56" s="68">
        <f t="shared" si="29"/>
        <v>493.93393773227325</v>
      </c>
      <c r="Q56" s="68">
        <f t="shared" si="29"/>
        <v>412.61001541505647</v>
      </c>
      <c r="R56" s="68">
        <f t="shared" si="29"/>
        <v>345.20968785623813</v>
      </c>
      <c r="S56" s="68">
        <f t="shared" si="29"/>
        <v>333.43460172456139</v>
      </c>
      <c r="T56" s="68">
        <f t="shared" ref="T56:AI56" si="30">SUM(T52:T54)</f>
        <v>476.48082103684976</v>
      </c>
      <c r="U56" s="68">
        <f t="shared" si="30"/>
        <v>476.48082103684976</v>
      </c>
      <c r="V56" s="68">
        <f t="shared" si="30"/>
        <v>340.44296403012129</v>
      </c>
      <c r="W56" s="68">
        <f t="shared" si="30"/>
        <v>340.9122886881986</v>
      </c>
      <c r="X56" s="68">
        <f t="shared" si="30"/>
        <v>340.9122886881986</v>
      </c>
      <c r="Y56" s="68">
        <f t="shared" si="30"/>
        <v>340.9122886881986</v>
      </c>
      <c r="Z56" s="68">
        <f t="shared" si="30"/>
        <v>340.9122886881986</v>
      </c>
      <c r="AA56" s="68">
        <f t="shared" si="30"/>
        <v>340.91228868819769</v>
      </c>
      <c r="AB56" s="68">
        <f t="shared" si="30"/>
        <v>340.9122886881986</v>
      </c>
      <c r="AC56" s="68">
        <f t="shared" si="30"/>
        <v>340.9122886881986</v>
      </c>
      <c r="AD56" s="68">
        <f t="shared" si="30"/>
        <v>340.91228868820156</v>
      </c>
      <c r="AE56" s="68">
        <f t="shared" si="30"/>
        <v>340.9122886881986</v>
      </c>
      <c r="AF56" s="68">
        <f t="shared" si="30"/>
        <v>340.91228868819769</v>
      </c>
      <c r="AG56" s="68">
        <f t="shared" si="30"/>
        <v>340.9122886881986</v>
      </c>
      <c r="AH56" s="68">
        <f t="shared" si="30"/>
        <v>340.9122886881986</v>
      </c>
      <c r="AI56" s="68">
        <f t="shared" si="30"/>
        <v>340.9122886881986</v>
      </c>
    </row>
    <row r="57" spans="1:35" ht="11.25" customHeight="1" x14ac:dyDescent="0.3"/>
    <row r="58" spans="1:35" ht="12.75" hidden="1" outlineLevel="1" x14ac:dyDescent="0.3">
      <c r="D58" s="81" t="s">
        <v>90</v>
      </c>
      <c r="E58" s="82"/>
      <c r="G58" s="82"/>
      <c r="H58" s="259" t="s">
        <v>52</v>
      </c>
      <c r="I58" s="259" t="s">
        <v>47</v>
      </c>
      <c r="J58" s="259" t="s">
        <v>40</v>
      </c>
      <c r="K58" s="78"/>
      <c r="M58" s="66" cm="1">
        <f t="array" ref="M58">SUMPRODUCT(--M91:M93+M142:M144,Inputs_LRMC!$O$40:$O$42)</f>
        <v>457.41893730117158</v>
      </c>
      <c r="N58" s="66" cm="1">
        <f t="array" ref="N58">SUMPRODUCT(--N91:N93+N142:N144,Inputs_LRMC!$O$40:$O$42)</f>
        <v>692.14882771986822</v>
      </c>
      <c r="O58" s="66" cm="1">
        <f t="array" ref="O58">SUMPRODUCT(--O91:O93+O142:O144,Inputs_LRMC!$O$40:$O$42)</f>
        <v>600.6097395087794</v>
      </c>
      <c r="P58" s="66" cm="1">
        <f t="array" ref="P58">SUMPRODUCT(--P91:P93+P142:P144,Inputs_LRMC!$O$40:$O$42)</f>
        <v>493.93393773227325</v>
      </c>
      <c r="Q58" s="66" cm="1">
        <f t="array" ref="Q58">SUMPRODUCT(--Q91:Q93+Q142:Q144,Inputs_LRMC!$O$40:$O$42)</f>
        <v>412.61001541505647</v>
      </c>
      <c r="R58" s="66" cm="1">
        <f t="array" ref="R58">SUMPRODUCT(--R91:R93+R142:R144,Inputs_LRMC!$O$40:$O$42)</f>
        <v>345.20968785623813</v>
      </c>
      <c r="S58" s="66" cm="1">
        <f t="array" ref="S58">SUMPRODUCT(--S91:S93+S142:S144,Inputs_LRMC!$O$40:$O$42)</f>
        <v>333.43460172456139</v>
      </c>
      <c r="T58" s="66" cm="1">
        <f t="array" ref="T58">SUMPRODUCT(--T91:T93+T142:T144,Inputs_LRMC!$O$40:$O$42)</f>
        <v>476.48082103684976</v>
      </c>
      <c r="U58" s="66" cm="1">
        <f t="array" ref="U58">SUMPRODUCT(--U91:U93+U142:U144,Inputs_LRMC!$O$40:$O$42)</f>
        <v>476.48082103684976</v>
      </c>
      <c r="V58" s="66" cm="1">
        <f t="array" ref="V58">SUMPRODUCT(--V91:V93+V142:V144,Inputs_LRMC!$O$40:$O$42)</f>
        <v>340.44296403012129</v>
      </c>
      <c r="W58" s="66" cm="1">
        <f t="array" ref="W58">SUMPRODUCT(--W91:W93+W142:W144,Inputs_LRMC!$O$40:$O$42)</f>
        <v>340.9122886881986</v>
      </c>
      <c r="X58" s="66" cm="1">
        <f t="array" ref="X58">SUMPRODUCT(--X91:X93+X142:X144,Inputs_LRMC!$O$40:$O$42)</f>
        <v>340.9122886881986</v>
      </c>
      <c r="Y58" s="66" cm="1">
        <f t="array" ref="Y58">SUMPRODUCT(--Y91:Y93+Y142:Y144,Inputs_LRMC!$O$40:$O$42)</f>
        <v>340.9122886881986</v>
      </c>
      <c r="Z58" s="66" cm="1">
        <f t="array" ref="Z58">SUMPRODUCT(--Z91:Z93+Z142:Z144,Inputs_LRMC!$O$40:$O$42)</f>
        <v>340.9122886881986</v>
      </c>
      <c r="AA58" s="66" cm="1">
        <f t="array" ref="AA58">SUMPRODUCT(--AA91:AA93+AA142:AA144,Inputs_LRMC!$O$40:$O$42)</f>
        <v>340.91228868819769</v>
      </c>
      <c r="AB58" s="66" cm="1">
        <f t="array" ref="AB58">SUMPRODUCT(--AB91:AB93+AB142:AB144,Inputs_LRMC!$O$40:$O$42)</f>
        <v>340.9122886881986</v>
      </c>
      <c r="AC58" s="66" cm="1">
        <f t="array" ref="AC58">SUMPRODUCT(--AC91:AC93+AC142:AC144,Inputs_LRMC!$O$40:$O$42)</f>
        <v>340.9122886881986</v>
      </c>
      <c r="AD58" s="66" cm="1">
        <f t="array" ref="AD58">SUMPRODUCT(--AD91:AD93+AD142:AD144,Inputs_LRMC!$O$40:$O$42)</f>
        <v>340.91228868820156</v>
      </c>
      <c r="AE58" s="66" cm="1">
        <f t="array" ref="AE58">SUMPRODUCT(--AE91:AE93+AE142:AE144,Inputs_LRMC!$O$40:$O$42)</f>
        <v>340.9122886881986</v>
      </c>
      <c r="AF58" s="66" cm="1">
        <f t="array" ref="AF58">SUMPRODUCT(--AF91:AF93+AF142:AF144,Inputs_LRMC!$O$40:$O$42)</f>
        <v>340.91228868819769</v>
      </c>
      <c r="AG58" s="66" cm="1">
        <f t="array" ref="AG58">SUMPRODUCT(--AG91:AG93+AG142:AG144,Inputs_LRMC!$O$40:$O$42)</f>
        <v>340.9122886881986</v>
      </c>
      <c r="AH58" s="66" cm="1">
        <f t="array" ref="AH58">SUMPRODUCT(--AH91:AH93+AH142:AH144,Inputs_LRMC!$O$40:$O$42)</f>
        <v>340.9122886881986</v>
      </c>
      <c r="AI58" s="66" cm="1">
        <f t="array" ref="AI58">SUMPRODUCT(--AI91:AI93+AI142:AI144,Inputs_LRMC!$O$40:$O$42)</f>
        <v>340.9122886881986</v>
      </c>
    </row>
    <row r="59" spans="1:35" ht="12.75" hidden="1" outlineLevel="1" x14ac:dyDescent="0.3">
      <c r="A59" s="59">
        <f>IF(SUM($M59:$AI59)=0,0,1)</f>
        <v>0</v>
      </c>
      <c r="D59" s="81" t="s">
        <v>55</v>
      </c>
      <c r="E59" s="82"/>
      <c r="F59" s="80"/>
      <c r="G59" s="82"/>
      <c r="H59" s="80"/>
      <c r="I59" s="84"/>
      <c r="J59" s="84"/>
      <c r="K59" s="78"/>
      <c r="M59" s="59">
        <f t="shared" ref="M59:S59" si="31">IF(ROUND(M58-M56,2)=0,0,1)</f>
        <v>0</v>
      </c>
      <c r="N59" s="59">
        <f t="shared" si="31"/>
        <v>0</v>
      </c>
      <c r="O59" s="59">
        <f t="shared" si="31"/>
        <v>0</v>
      </c>
      <c r="P59" s="59">
        <f t="shared" si="31"/>
        <v>0</v>
      </c>
      <c r="Q59" s="59">
        <f t="shared" si="31"/>
        <v>0</v>
      </c>
      <c r="R59" s="59">
        <f t="shared" si="31"/>
        <v>0</v>
      </c>
      <c r="S59" s="59">
        <f t="shared" si="31"/>
        <v>0</v>
      </c>
      <c r="T59" s="59">
        <f t="shared" ref="T59" si="32">IF(ROUND(T58-T56,2)=0,0,1)</f>
        <v>0</v>
      </c>
      <c r="U59" s="59">
        <f t="shared" ref="U59" si="33">IF(ROUND(U58-U56,2)=0,0,1)</f>
        <v>0</v>
      </c>
      <c r="V59" s="59">
        <f t="shared" ref="V59" si="34">IF(ROUND(V58-V56,2)=0,0,1)</f>
        <v>0</v>
      </c>
      <c r="W59" s="59">
        <f t="shared" ref="W59" si="35">IF(ROUND(W58-W56,2)=0,0,1)</f>
        <v>0</v>
      </c>
      <c r="X59" s="59">
        <f t="shared" ref="X59" si="36">IF(ROUND(X58-X56,2)=0,0,1)</f>
        <v>0</v>
      </c>
      <c r="Y59" s="59">
        <f t="shared" ref="Y59" si="37">IF(ROUND(Y58-Y56,2)=0,0,1)</f>
        <v>0</v>
      </c>
      <c r="Z59" s="59">
        <f t="shared" ref="Z59" si="38">IF(ROUND(Z58-Z56,2)=0,0,1)</f>
        <v>0</v>
      </c>
      <c r="AA59" s="59">
        <f t="shared" ref="AA59" si="39">IF(ROUND(AA58-AA56,2)=0,0,1)</f>
        <v>0</v>
      </c>
      <c r="AB59" s="59">
        <f t="shared" ref="AB59" si="40">IF(ROUND(AB58-AB56,2)=0,0,1)</f>
        <v>0</v>
      </c>
      <c r="AC59" s="59">
        <f t="shared" ref="AC59" si="41">IF(ROUND(AC58-AC56,2)=0,0,1)</f>
        <v>0</v>
      </c>
      <c r="AD59" s="59">
        <f t="shared" ref="AD59" si="42">IF(ROUND(AD58-AD56,2)=0,0,1)</f>
        <v>0</v>
      </c>
      <c r="AE59" s="59">
        <f t="shared" ref="AE59" si="43">IF(ROUND(AE58-AE56,2)=0,0,1)</f>
        <v>0</v>
      </c>
      <c r="AF59" s="59">
        <f t="shared" ref="AF59" si="44">IF(ROUND(AF58-AF56,2)=0,0,1)</f>
        <v>0</v>
      </c>
      <c r="AG59" s="59">
        <f t="shared" ref="AG59" si="45">IF(ROUND(AG58-AG56,2)=0,0,1)</f>
        <v>0</v>
      </c>
      <c r="AH59" s="59">
        <f t="shared" ref="AH59" si="46">IF(ROUND(AH58-AH56,2)=0,0,1)</f>
        <v>0</v>
      </c>
      <c r="AI59" s="59">
        <f t="shared" ref="AI59" si="47">IF(ROUND(AI58-AI56,2)=0,0,1)</f>
        <v>0</v>
      </c>
    </row>
    <row r="60" spans="1:35" ht="11.25" customHeight="1" collapsed="1" x14ac:dyDescent="0.3"/>
    <row r="61" spans="1:35" ht="11.25" customHeight="1" x14ac:dyDescent="0.3"/>
    <row r="62" spans="1:35" ht="11.25" customHeight="1" x14ac:dyDescent="0.3">
      <c r="D62" s="70" t="s">
        <v>51</v>
      </c>
      <c r="H62" s="54" t="str">
        <f>Lookup!E$19</f>
        <v>Source</v>
      </c>
      <c r="I62" s="54" t="str">
        <f>Lookup!F$19</f>
        <v>Unit</v>
      </c>
      <c r="J62" s="54" t="str">
        <f>Lookup!G$19</f>
        <v>Basis</v>
      </c>
      <c r="M62" s="54" t="str">
        <f t="shared" ref="M62:S62" si="48">M$9</f>
        <v>FY23</v>
      </c>
      <c r="N62" s="54" t="str">
        <f t="shared" si="48"/>
        <v>FY24</v>
      </c>
      <c r="O62" s="54" t="str">
        <f t="shared" si="48"/>
        <v>FY25</v>
      </c>
      <c r="P62" s="54" t="str">
        <f t="shared" si="48"/>
        <v>FY26</v>
      </c>
      <c r="Q62" s="54" t="str">
        <f t="shared" si="48"/>
        <v>FY27</v>
      </c>
      <c r="R62" s="54" t="str">
        <f t="shared" si="48"/>
        <v>FY28</v>
      </c>
      <c r="S62" s="54" t="str">
        <f t="shared" si="48"/>
        <v>FY29</v>
      </c>
      <c r="T62" s="54" t="str">
        <f t="shared" ref="T62:AI62" si="49">T$9</f>
        <v>FY30</v>
      </c>
      <c r="U62" s="54" t="str">
        <f t="shared" si="49"/>
        <v>FY31</v>
      </c>
      <c r="V62" s="54" t="str">
        <f t="shared" si="49"/>
        <v>FY32</v>
      </c>
      <c r="W62" s="54" t="str">
        <f t="shared" si="49"/>
        <v>FY33</v>
      </c>
      <c r="X62" s="54" t="str">
        <f t="shared" si="49"/>
        <v>FY34</v>
      </c>
      <c r="Y62" s="54" t="str">
        <f t="shared" si="49"/>
        <v>FY35</v>
      </c>
      <c r="Z62" s="54" t="str">
        <f t="shared" si="49"/>
        <v>FY36</v>
      </c>
      <c r="AA62" s="54" t="str">
        <f t="shared" si="49"/>
        <v>FY37</v>
      </c>
      <c r="AB62" s="54" t="str">
        <f t="shared" si="49"/>
        <v>FY38</v>
      </c>
      <c r="AC62" s="54" t="str">
        <f t="shared" si="49"/>
        <v>FY39</v>
      </c>
      <c r="AD62" s="54" t="str">
        <f t="shared" si="49"/>
        <v>FY40</v>
      </c>
      <c r="AE62" s="54" t="str">
        <f t="shared" si="49"/>
        <v>FY41</v>
      </c>
      <c r="AF62" s="54" t="str">
        <f t="shared" si="49"/>
        <v>FY42</v>
      </c>
      <c r="AG62" s="54" t="str">
        <f t="shared" si="49"/>
        <v>FY43</v>
      </c>
      <c r="AH62" s="54" t="str">
        <f t="shared" si="49"/>
        <v>FY44</v>
      </c>
      <c r="AI62" s="54" t="str">
        <f t="shared" si="49"/>
        <v>FY45</v>
      </c>
    </row>
    <row r="63" spans="1:35" ht="11.25" customHeight="1" x14ac:dyDescent="0.3">
      <c r="D63" s="1"/>
    </row>
    <row r="64" spans="1:35" ht="12.75" x14ac:dyDescent="0.3">
      <c r="D64" s="75" t="s">
        <v>258</v>
      </c>
      <c r="E64" s="82"/>
      <c r="F64" s="82"/>
      <c r="G64" s="82"/>
      <c r="H64" s="259" t="s">
        <v>52</v>
      </c>
      <c r="I64" s="259" t="s">
        <v>47</v>
      </c>
      <c r="J64" s="259" t="s">
        <v>239</v>
      </c>
      <c r="M64" s="66">
        <f>M40+M52</f>
        <v>409.42095301218143</v>
      </c>
      <c r="N64" s="66">
        <f t="shared" ref="N64:AI64" si="50">N40+N52</f>
        <v>664.13140367515427</v>
      </c>
      <c r="O64" s="66">
        <f t="shared" si="50"/>
        <v>373.03734370563581</v>
      </c>
      <c r="P64" s="66">
        <f t="shared" si="50"/>
        <v>397.53557375262653</v>
      </c>
      <c r="Q64" s="66">
        <f t="shared" si="50"/>
        <v>317.44951703336551</v>
      </c>
      <c r="R64" s="66">
        <f t="shared" si="50"/>
        <v>211.96437997351109</v>
      </c>
      <c r="S64" s="66">
        <f t="shared" si="50"/>
        <v>202.1544041094968</v>
      </c>
      <c r="T64" s="66">
        <f t="shared" si="50"/>
        <v>367.95622503742447</v>
      </c>
      <c r="U64" s="66">
        <f t="shared" si="50"/>
        <v>367.95622503742447</v>
      </c>
      <c r="V64" s="66">
        <f t="shared" si="50"/>
        <v>262.90272840884637</v>
      </c>
      <c r="W64" s="66">
        <f t="shared" si="50"/>
        <v>263.26515837848802</v>
      </c>
      <c r="X64" s="66">
        <f t="shared" si="50"/>
        <v>263.26515837848802</v>
      </c>
      <c r="Y64" s="66">
        <f t="shared" si="50"/>
        <v>263.26515837848802</v>
      </c>
      <c r="Z64" s="66">
        <f t="shared" si="50"/>
        <v>263.26515837848802</v>
      </c>
      <c r="AA64" s="66">
        <f t="shared" si="50"/>
        <v>263.26515837848706</v>
      </c>
      <c r="AB64" s="66">
        <f t="shared" si="50"/>
        <v>263.26515837848802</v>
      </c>
      <c r="AC64" s="66">
        <f t="shared" si="50"/>
        <v>263.26515837848802</v>
      </c>
      <c r="AD64" s="66">
        <f t="shared" si="50"/>
        <v>263.26515837849001</v>
      </c>
      <c r="AE64" s="66">
        <f t="shared" si="50"/>
        <v>263.26515837848802</v>
      </c>
      <c r="AF64" s="66">
        <f t="shared" si="50"/>
        <v>263.26515837848706</v>
      </c>
      <c r="AG64" s="66">
        <f t="shared" si="50"/>
        <v>263.26515837848802</v>
      </c>
      <c r="AH64" s="66">
        <f t="shared" si="50"/>
        <v>263.26515837848802</v>
      </c>
      <c r="AI64" s="66">
        <f t="shared" si="50"/>
        <v>263.26515837848802</v>
      </c>
    </row>
    <row r="65" spans="1:35" ht="12.75" x14ac:dyDescent="0.3">
      <c r="D65" s="75" t="s">
        <v>69</v>
      </c>
      <c r="H65" s="259" t="s">
        <v>52</v>
      </c>
      <c r="I65" s="259" t="s">
        <v>47</v>
      </c>
      <c r="J65" s="259" t="s">
        <v>239</v>
      </c>
      <c r="M65" s="66">
        <f t="shared" ref="M65:AI65" si="51">M41+M53</f>
        <v>549.41221039649247</v>
      </c>
      <c r="N65" s="66">
        <f t="shared" si="51"/>
        <v>931.86372470284653</v>
      </c>
      <c r="O65" s="66">
        <f t="shared" si="51"/>
        <v>851.01072923356423</v>
      </c>
      <c r="P65" s="66">
        <f t="shared" si="51"/>
        <v>589.98248448611992</v>
      </c>
      <c r="Q65" s="66">
        <f t="shared" si="51"/>
        <v>448.80248185277929</v>
      </c>
      <c r="R65" s="66">
        <f t="shared" si="51"/>
        <v>385.8981585531655</v>
      </c>
      <c r="S65" s="66">
        <f t="shared" si="51"/>
        <v>368.41654661348878</v>
      </c>
      <c r="T65" s="66">
        <f t="shared" si="51"/>
        <v>589.34090511977945</v>
      </c>
      <c r="U65" s="66">
        <f t="shared" si="51"/>
        <v>589.34090511977945</v>
      </c>
      <c r="V65" s="66">
        <f t="shared" si="51"/>
        <v>421.08088238803504</v>
      </c>
      <c r="W65" s="66">
        <f t="shared" si="51"/>
        <v>421.66137210886916</v>
      </c>
      <c r="X65" s="66">
        <f t="shared" si="51"/>
        <v>421.66137210886916</v>
      </c>
      <c r="Y65" s="66">
        <f t="shared" si="51"/>
        <v>421.66137210886916</v>
      </c>
      <c r="Z65" s="66">
        <f t="shared" si="51"/>
        <v>421.66137210886916</v>
      </c>
      <c r="AA65" s="66">
        <f t="shared" si="51"/>
        <v>421.66137210886757</v>
      </c>
      <c r="AB65" s="66">
        <f t="shared" si="51"/>
        <v>421.66137210886916</v>
      </c>
      <c r="AC65" s="66">
        <f t="shared" si="51"/>
        <v>421.66137210886916</v>
      </c>
      <c r="AD65" s="66">
        <f t="shared" si="51"/>
        <v>421.66137210887234</v>
      </c>
      <c r="AE65" s="66">
        <f t="shared" si="51"/>
        <v>421.66137210886916</v>
      </c>
      <c r="AF65" s="66">
        <f t="shared" si="51"/>
        <v>421.66137210886757</v>
      </c>
      <c r="AG65" s="66">
        <f t="shared" si="51"/>
        <v>421.66137210886916</v>
      </c>
      <c r="AH65" s="66">
        <f t="shared" si="51"/>
        <v>421.66137210886916</v>
      </c>
      <c r="AI65" s="66">
        <f t="shared" si="51"/>
        <v>421.66137210886916</v>
      </c>
    </row>
    <row r="66" spans="1:35" ht="12.75" x14ac:dyDescent="0.3">
      <c r="D66" s="75" t="s">
        <v>257</v>
      </c>
      <c r="H66" s="259" t="s">
        <v>52</v>
      </c>
      <c r="I66" s="259" t="s">
        <v>47</v>
      </c>
      <c r="J66" s="259" t="s">
        <v>239</v>
      </c>
      <c r="M66" s="66">
        <f t="shared" ref="M66:AI66" si="52">M42+M54</f>
        <v>356.65980029106584</v>
      </c>
      <c r="N66" s="66">
        <f t="shared" si="52"/>
        <v>394.55847237729927</v>
      </c>
      <c r="O66" s="66">
        <f t="shared" si="52"/>
        <v>503.24789542408701</v>
      </c>
      <c r="P66" s="66">
        <f t="shared" si="52"/>
        <v>432.98854223786338</v>
      </c>
      <c r="Q66" s="66">
        <f t="shared" si="52"/>
        <v>420.37480592663786</v>
      </c>
      <c r="R66" s="66">
        <f t="shared" si="52"/>
        <v>394.92739285490211</v>
      </c>
      <c r="S66" s="66">
        <f t="shared" si="52"/>
        <v>388.35496303708328</v>
      </c>
      <c r="T66" s="66">
        <f t="shared" si="52"/>
        <v>413.01598173556272</v>
      </c>
      <c r="U66" s="66">
        <f t="shared" si="52"/>
        <v>413.01598173556272</v>
      </c>
      <c r="V66" s="66">
        <f t="shared" si="52"/>
        <v>295.09768033872496</v>
      </c>
      <c r="W66" s="66">
        <f t="shared" si="52"/>
        <v>295.5044933222706</v>
      </c>
      <c r="X66" s="66">
        <f t="shared" si="52"/>
        <v>295.5044933222706</v>
      </c>
      <c r="Y66" s="66">
        <f t="shared" si="52"/>
        <v>295.5044933222706</v>
      </c>
      <c r="Z66" s="66">
        <f t="shared" si="52"/>
        <v>295.5044933222706</v>
      </c>
      <c r="AA66" s="66">
        <f t="shared" si="52"/>
        <v>295.5044933222706</v>
      </c>
      <c r="AB66" s="66">
        <f t="shared" si="52"/>
        <v>295.5044933222706</v>
      </c>
      <c r="AC66" s="66">
        <f t="shared" si="52"/>
        <v>295.5044933222706</v>
      </c>
      <c r="AD66" s="66">
        <f t="shared" si="52"/>
        <v>295.50449332227385</v>
      </c>
      <c r="AE66" s="66">
        <f t="shared" si="52"/>
        <v>295.5044933222706</v>
      </c>
      <c r="AF66" s="66">
        <f t="shared" si="52"/>
        <v>295.5044933222706</v>
      </c>
      <c r="AG66" s="66">
        <f t="shared" si="52"/>
        <v>295.5044933222706</v>
      </c>
      <c r="AH66" s="66">
        <f t="shared" si="52"/>
        <v>295.5044933222706</v>
      </c>
      <c r="AI66" s="66">
        <f t="shared" si="52"/>
        <v>295.5044933222706</v>
      </c>
    </row>
    <row r="67" spans="1:35" ht="11.25" customHeight="1" x14ac:dyDescent="0.3"/>
    <row r="68" spans="1:35" ht="11.25" customHeight="1" x14ac:dyDescent="0.3">
      <c r="D68" s="62" t="s">
        <v>51</v>
      </c>
      <c r="H68" s="56" t="s">
        <v>52</v>
      </c>
      <c r="I68" s="56" t="str">
        <f>Thousands</f>
        <v>$000's</v>
      </c>
      <c r="J68" s="163" t="s">
        <v>239</v>
      </c>
      <c r="M68" s="68">
        <f t="shared" ref="M68:S68" si="53">SUM(M64:M66)</f>
        <v>1315.4929636997399</v>
      </c>
      <c r="N68" s="68">
        <f t="shared" si="53"/>
        <v>1990.5536007553001</v>
      </c>
      <c r="O68" s="68">
        <f t="shared" si="53"/>
        <v>1727.2959683632871</v>
      </c>
      <c r="P68" s="68">
        <f t="shared" si="53"/>
        <v>1420.5066004766099</v>
      </c>
      <c r="Q68" s="68">
        <f t="shared" si="53"/>
        <v>1186.6268048127827</v>
      </c>
      <c r="R68" s="68">
        <f t="shared" si="53"/>
        <v>992.78993138157875</v>
      </c>
      <c r="S68" s="68">
        <f t="shared" si="53"/>
        <v>958.92591376006885</v>
      </c>
      <c r="T68" s="68">
        <f t="shared" ref="T68:AI68" si="54">SUM(T64:T66)</f>
        <v>1370.3131118927668</v>
      </c>
      <c r="U68" s="68">
        <f t="shared" si="54"/>
        <v>1370.3131118927668</v>
      </c>
      <c r="V68" s="68">
        <f t="shared" si="54"/>
        <v>979.08129113560631</v>
      </c>
      <c r="W68" s="68">
        <f t="shared" si="54"/>
        <v>980.43102380962785</v>
      </c>
      <c r="X68" s="68">
        <f t="shared" si="54"/>
        <v>980.43102380962785</v>
      </c>
      <c r="Y68" s="68">
        <f t="shared" si="54"/>
        <v>980.43102380962785</v>
      </c>
      <c r="Z68" s="68">
        <f t="shared" si="54"/>
        <v>980.43102380962785</v>
      </c>
      <c r="AA68" s="68">
        <f t="shared" si="54"/>
        <v>980.43102380962523</v>
      </c>
      <c r="AB68" s="68">
        <f t="shared" si="54"/>
        <v>980.43102380962785</v>
      </c>
      <c r="AC68" s="68">
        <f t="shared" si="54"/>
        <v>980.43102380962785</v>
      </c>
      <c r="AD68" s="68">
        <f t="shared" si="54"/>
        <v>980.43102380963614</v>
      </c>
      <c r="AE68" s="68">
        <f t="shared" si="54"/>
        <v>980.43102380962785</v>
      </c>
      <c r="AF68" s="68">
        <f t="shared" si="54"/>
        <v>980.43102380962523</v>
      </c>
      <c r="AG68" s="68">
        <f t="shared" si="54"/>
        <v>980.43102380962785</v>
      </c>
      <c r="AH68" s="68">
        <f t="shared" si="54"/>
        <v>980.43102380962785</v>
      </c>
      <c r="AI68" s="68">
        <f t="shared" si="54"/>
        <v>980.43102380962785</v>
      </c>
    </row>
    <row r="69" spans="1:35" ht="11.25" customHeight="1" x14ac:dyDescent="0.3"/>
    <row r="70" spans="1:35" ht="12.75" hidden="1" outlineLevel="1" x14ac:dyDescent="0.3">
      <c r="D70" s="81" t="s">
        <v>90</v>
      </c>
      <c r="E70" s="82"/>
      <c r="G70" s="82"/>
      <c r="H70" s="259" t="s">
        <v>52</v>
      </c>
      <c r="I70" s="259" t="s">
        <v>47</v>
      </c>
      <c r="J70" s="259" t="s">
        <v>40</v>
      </c>
      <c r="K70" s="78"/>
      <c r="M70" s="66">
        <f>M44+M56</f>
        <v>1315.4929636997397</v>
      </c>
      <c r="N70" s="66">
        <f t="shared" ref="N70:AI70" si="55">N44+N56</f>
        <v>1990.5536007553001</v>
      </c>
      <c r="O70" s="66">
        <f t="shared" si="55"/>
        <v>1727.2959683632871</v>
      </c>
      <c r="P70" s="66">
        <f t="shared" si="55"/>
        <v>1420.5066004766097</v>
      </c>
      <c r="Q70" s="66">
        <f t="shared" si="55"/>
        <v>1186.6268048127827</v>
      </c>
      <c r="R70" s="66">
        <f t="shared" si="55"/>
        <v>992.78993138157864</v>
      </c>
      <c r="S70" s="66">
        <f t="shared" si="55"/>
        <v>958.92591376006885</v>
      </c>
      <c r="T70" s="66">
        <f t="shared" si="55"/>
        <v>1370.3131118927668</v>
      </c>
      <c r="U70" s="66">
        <f t="shared" si="55"/>
        <v>1370.3131118927668</v>
      </c>
      <c r="V70" s="66">
        <f t="shared" si="55"/>
        <v>979.08129113560642</v>
      </c>
      <c r="W70" s="66">
        <f t="shared" si="55"/>
        <v>980.43102380962785</v>
      </c>
      <c r="X70" s="66">
        <f t="shared" si="55"/>
        <v>980.43102380962785</v>
      </c>
      <c r="Y70" s="66">
        <f t="shared" si="55"/>
        <v>980.43102380962785</v>
      </c>
      <c r="Z70" s="66">
        <f t="shared" si="55"/>
        <v>980.43102380962785</v>
      </c>
      <c r="AA70" s="66">
        <f t="shared" si="55"/>
        <v>980.43102380962523</v>
      </c>
      <c r="AB70" s="66">
        <f t="shared" si="55"/>
        <v>980.43102380962785</v>
      </c>
      <c r="AC70" s="66">
        <f t="shared" si="55"/>
        <v>980.43102380962785</v>
      </c>
      <c r="AD70" s="66">
        <f t="shared" si="55"/>
        <v>980.43102380963626</v>
      </c>
      <c r="AE70" s="66">
        <f t="shared" si="55"/>
        <v>980.43102380962785</v>
      </c>
      <c r="AF70" s="66">
        <f t="shared" si="55"/>
        <v>980.43102380962523</v>
      </c>
      <c r="AG70" s="66">
        <f t="shared" si="55"/>
        <v>980.43102380962785</v>
      </c>
      <c r="AH70" s="66">
        <f t="shared" si="55"/>
        <v>980.43102380962785</v>
      </c>
      <c r="AI70" s="66">
        <f t="shared" si="55"/>
        <v>980.43102380962785</v>
      </c>
    </row>
    <row r="71" spans="1:35" ht="12.75" hidden="1" outlineLevel="1" x14ac:dyDescent="0.3">
      <c r="A71" s="59">
        <f>IF(SUM($M71:$AI71)=0,0,1)</f>
        <v>0</v>
      </c>
      <c r="D71" s="81" t="s">
        <v>55</v>
      </c>
      <c r="E71" s="82"/>
      <c r="F71" s="80"/>
      <c r="G71" s="82"/>
      <c r="H71" s="80"/>
      <c r="I71" s="84"/>
      <c r="J71" s="84"/>
      <c r="K71" s="78"/>
      <c r="M71" s="59">
        <f t="shared" ref="M71:S71" si="56">IF(ROUND(M70-M68,2)=0,0,1)</f>
        <v>0</v>
      </c>
      <c r="N71" s="59">
        <f t="shared" si="56"/>
        <v>0</v>
      </c>
      <c r="O71" s="59">
        <f t="shared" si="56"/>
        <v>0</v>
      </c>
      <c r="P71" s="59">
        <f t="shared" si="56"/>
        <v>0</v>
      </c>
      <c r="Q71" s="59">
        <f t="shared" si="56"/>
        <v>0</v>
      </c>
      <c r="R71" s="59">
        <f t="shared" si="56"/>
        <v>0</v>
      </c>
      <c r="S71" s="59">
        <f t="shared" si="56"/>
        <v>0</v>
      </c>
      <c r="T71" s="59">
        <f t="shared" ref="T71" si="57">IF(ROUND(T70-T68,2)=0,0,1)</f>
        <v>0</v>
      </c>
      <c r="U71" s="59">
        <f t="shared" ref="U71" si="58">IF(ROUND(U70-U68,2)=0,0,1)</f>
        <v>0</v>
      </c>
      <c r="V71" s="59">
        <f t="shared" ref="V71" si="59">IF(ROUND(V70-V68,2)=0,0,1)</f>
        <v>0</v>
      </c>
      <c r="W71" s="59">
        <f t="shared" ref="W71" si="60">IF(ROUND(W70-W68,2)=0,0,1)</f>
        <v>0</v>
      </c>
      <c r="X71" s="59">
        <f t="shared" ref="X71" si="61">IF(ROUND(X70-X68,2)=0,0,1)</f>
        <v>0</v>
      </c>
      <c r="Y71" s="59">
        <f t="shared" ref="Y71" si="62">IF(ROUND(Y70-Y68,2)=0,0,1)</f>
        <v>0</v>
      </c>
      <c r="Z71" s="59">
        <f t="shared" ref="Z71" si="63">IF(ROUND(Z70-Z68,2)=0,0,1)</f>
        <v>0</v>
      </c>
      <c r="AA71" s="59">
        <f t="shared" ref="AA71" si="64">IF(ROUND(AA70-AA68,2)=0,0,1)</f>
        <v>0</v>
      </c>
      <c r="AB71" s="59">
        <f t="shared" ref="AB71" si="65">IF(ROUND(AB70-AB68,2)=0,0,1)</f>
        <v>0</v>
      </c>
      <c r="AC71" s="59">
        <f t="shared" ref="AC71" si="66">IF(ROUND(AC70-AC68,2)=0,0,1)</f>
        <v>0</v>
      </c>
      <c r="AD71" s="59">
        <f t="shared" ref="AD71" si="67">IF(ROUND(AD70-AD68,2)=0,0,1)</f>
        <v>0</v>
      </c>
      <c r="AE71" s="59">
        <f t="shared" ref="AE71" si="68">IF(ROUND(AE70-AE68,2)=0,0,1)</f>
        <v>0</v>
      </c>
      <c r="AF71" s="59">
        <f t="shared" ref="AF71" si="69">IF(ROUND(AF70-AF68,2)=0,0,1)</f>
        <v>0</v>
      </c>
      <c r="AG71" s="59">
        <f t="shared" ref="AG71" si="70">IF(ROUND(AG70-AG68,2)=0,0,1)</f>
        <v>0</v>
      </c>
      <c r="AH71" s="59">
        <f t="shared" ref="AH71" si="71">IF(ROUND(AH70-AH68,2)=0,0,1)</f>
        <v>0</v>
      </c>
      <c r="AI71" s="59">
        <f t="shared" ref="AI71" si="72">IF(ROUND(AI70-AI68,2)=0,0,1)</f>
        <v>0</v>
      </c>
    </row>
    <row r="72" spans="1:35" ht="11.25" customHeight="1" collapsed="1" x14ac:dyDescent="0.3"/>
    <row r="73" spans="1:35" ht="11.25" customHeight="1" x14ac:dyDescent="0.3"/>
    <row r="74" spans="1:35" s="8" customFormat="1" ht="13.9" x14ac:dyDescent="0.3">
      <c r="C74" s="8" t="s">
        <v>725</v>
      </c>
    </row>
    <row r="75" spans="1:35" ht="11.25" customHeight="1" x14ac:dyDescent="0.3"/>
    <row r="76" spans="1:35" ht="11.25" customHeight="1" x14ac:dyDescent="0.3">
      <c r="D76" s="70" t="s">
        <v>726</v>
      </c>
      <c r="H76" s="54" t="str">
        <f>Lookup!E$19</f>
        <v>Source</v>
      </c>
      <c r="I76" s="54" t="str">
        <f>Lookup!F$19</f>
        <v>Unit</v>
      </c>
      <c r="J76" s="54" t="str">
        <f>Lookup!G$19</f>
        <v>Basis</v>
      </c>
      <c r="M76" s="54" t="str">
        <f t="shared" ref="M76:S76" si="73">M$9</f>
        <v>FY23</v>
      </c>
      <c r="N76" s="54" t="str">
        <f t="shared" si="73"/>
        <v>FY24</v>
      </c>
      <c r="O76" s="54" t="str">
        <f t="shared" si="73"/>
        <v>FY25</v>
      </c>
      <c r="P76" s="54" t="str">
        <f t="shared" si="73"/>
        <v>FY26</v>
      </c>
      <c r="Q76" s="54" t="str">
        <f t="shared" si="73"/>
        <v>FY27</v>
      </c>
      <c r="R76" s="54" t="str">
        <f t="shared" si="73"/>
        <v>FY28</v>
      </c>
      <c r="S76" s="54" t="str">
        <f t="shared" si="73"/>
        <v>FY29</v>
      </c>
      <c r="U76" s="54" t="s">
        <v>674</v>
      </c>
    </row>
    <row r="77" spans="1:35" ht="11.25" customHeight="1" x14ac:dyDescent="0.3">
      <c r="D77" s="1"/>
    </row>
    <row r="78" spans="1:35" ht="12.75" x14ac:dyDescent="0.3">
      <c r="D78" s="75" t="s">
        <v>258</v>
      </c>
      <c r="E78" s="82"/>
      <c r="F78" s="82"/>
      <c r="G78" s="82"/>
      <c r="H78" s="259" t="s">
        <v>52</v>
      </c>
      <c r="I78" s="259" t="s">
        <v>47</v>
      </c>
      <c r="J78" s="259" t="s">
        <v>239</v>
      </c>
      <c r="M78" s="66">
        <f>SUMIF(Inputs_LRMC!$U$49:$U$57,$D78,Inputs_LRMC!M$49:M$57)+SUMIF(Inputs_LRMC!$U$65:$U$71,$D78,Inputs_LRMC!M$65:M$71)/Inputs_LRMC!M$73*Inputs_LRMC!M$49</f>
        <v>1780.7204873274163</v>
      </c>
      <c r="N78" s="66">
        <f>SUMIF(Inputs_LRMC!$U$49:$U$57,$D78,Inputs_LRMC!N$49:N$57)+SUMIF(Inputs_LRMC!$U$65:$U$71,$D78,Inputs_LRMC!N$65:N$71)/Inputs_LRMC!N$73*Inputs_LRMC!N$49</f>
        <v>3386.1099629985874</v>
      </c>
      <c r="O78" s="66">
        <f>SUMIF(Inputs_LRMC!$U$49:$U$57,$D78,Inputs_LRMC!O$49:O$57)+SUMIF(Inputs_LRMC!$U$65:$U$71,$D78,Inputs_LRMC!O$65:O$71)/Inputs_LRMC!O$73*Inputs_LRMC!O$49</f>
        <v>1486.7811499634063</v>
      </c>
      <c r="P78" s="66">
        <f>SUMIF(Inputs_LRMC!$U$49:$U$57,$D78,Inputs_LRMC!P$49:P$57)+SUMIF(Inputs_LRMC!$U$65:$U$71,$D78,Inputs_LRMC!P$65:P$71)/Inputs_LRMC!P$73*Inputs_LRMC!P$49</f>
        <v>1504.0531068916725</v>
      </c>
      <c r="Q78" s="66">
        <f>SUMIF(Inputs_LRMC!$U$49:$U$57,$D78,Inputs_LRMC!Q$49:Q$57)+SUMIF(Inputs_LRMC!$U$65:$U$71,$D78,Inputs_LRMC!Q$65:Q$71)/Inputs_LRMC!Q$73*Inputs_LRMC!Q$49</f>
        <v>1512.5680783263517</v>
      </c>
      <c r="R78" s="66">
        <f>SUMIF(Inputs_LRMC!$U$49:$U$57,$D78,Inputs_LRMC!R$49:R$57)+SUMIF(Inputs_LRMC!$U$65:$U$71,$D78,Inputs_LRMC!R$65:R$71)/Inputs_LRMC!R$73*Inputs_LRMC!R$49</f>
        <v>1517.2328970649528</v>
      </c>
      <c r="S78" s="66">
        <f>SUMIF(Inputs_LRMC!$U$49:$U$57,$D78,Inputs_LRMC!S$49:S$57)+SUMIF(Inputs_LRMC!$U$65:$U$71,$D78,Inputs_LRMC!S$65:S$71)/Inputs_LRMC!S$73*Inputs_LRMC!S$49</f>
        <v>1525.6322513117088</v>
      </c>
      <c r="U78" s="126">
        <f t="array" ref="U78">AVERAGE($M78:$S78/($M$83:$S$83-$M$81:$S$81))</f>
        <v>0.28260347319350948</v>
      </c>
    </row>
    <row r="79" spans="1:35" ht="12.75" x14ac:dyDescent="0.3">
      <c r="D79" s="75" t="s">
        <v>69</v>
      </c>
      <c r="H79" s="259" t="s">
        <v>52</v>
      </c>
      <c r="I79" s="259" t="s">
        <v>47</v>
      </c>
      <c r="J79" s="259" t="s">
        <v>239</v>
      </c>
      <c r="M79" s="66">
        <f>SUMIF(Inputs_LRMC!$U$49:$U$57,$D79,Inputs_LRMC!M$49:M$57)+SUMIF(Inputs_LRMC!$U$65:$U$71,$D79,Inputs_LRMC!M$65:M$71)/Inputs_LRMC!M$73*Inputs_LRMC!M$49</f>
        <v>3252.4455868429591</v>
      </c>
      <c r="N79" s="66">
        <f>SUMIF(Inputs_LRMC!$U$49:$U$57,$D79,Inputs_LRMC!N$49:N$57)+SUMIF(Inputs_LRMC!$U$65:$U$71,$D79,Inputs_LRMC!N$65:N$71)/Inputs_LRMC!N$73*Inputs_LRMC!N$49</f>
        <v>8638.4626818786401</v>
      </c>
      <c r="O79" s="66">
        <f>SUMIF(Inputs_LRMC!$U$49:$U$57,$D79,Inputs_LRMC!O$49:O$57)+SUMIF(Inputs_LRMC!$U$65:$U$71,$D79,Inputs_LRMC!O$65:O$71)/Inputs_LRMC!O$73*Inputs_LRMC!O$49</f>
        <v>6048.5885502403107</v>
      </c>
      <c r="P79" s="66">
        <f>SUMIF(Inputs_LRMC!$U$49:$U$57,$D79,Inputs_LRMC!P$49:P$57)+SUMIF(Inputs_LRMC!$U$65:$U$71,$D79,Inputs_LRMC!P$65:P$71)/Inputs_LRMC!P$73*Inputs_LRMC!P$49</f>
        <v>2726.2540930622604</v>
      </c>
      <c r="Q79" s="66">
        <f>SUMIF(Inputs_LRMC!$U$49:$U$57,$D79,Inputs_LRMC!Q$49:Q$57)+SUMIF(Inputs_LRMC!$U$65:$U$71,$D79,Inputs_LRMC!Q$65:Q$71)/Inputs_LRMC!Q$73*Inputs_LRMC!Q$49</f>
        <v>1718.1460637152511</v>
      </c>
      <c r="R79" s="66">
        <f>SUMIF(Inputs_LRMC!$U$49:$U$57,$D79,Inputs_LRMC!R$49:R$57)+SUMIF(Inputs_LRMC!$U$65:$U$71,$D79,Inputs_LRMC!R$65:R$71)/Inputs_LRMC!R$73*Inputs_LRMC!R$49</f>
        <v>1723.4448929504556</v>
      </c>
      <c r="S79" s="66">
        <f>SUMIF(Inputs_LRMC!$U$49:$U$57,$D79,Inputs_LRMC!S$49:S$57)+SUMIF(Inputs_LRMC!$U$65:$U$71,$D79,Inputs_LRMC!S$65:S$71)/Inputs_LRMC!S$73*Inputs_LRMC!S$49</f>
        <v>1732.9858304088093</v>
      </c>
      <c r="U79" s="126">
        <f t="array" ref="U79">AVERAGE($M79:$S79/($M$83:$S$83-$M$81:$S$81))</f>
        <v>0.49810710117488899</v>
      </c>
    </row>
    <row r="80" spans="1:35" ht="12.75" x14ac:dyDescent="0.3">
      <c r="D80" s="75" t="s">
        <v>257</v>
      </c>
      <c r="H80" s="259" t="s">
        <v>52</v>
      </c>
      <c r="I80" s="259" t="s">
        <v>47</v>
      </c>
      <c r="J80" s="259" t="s">
        <v>239</v>
      </c>
      <c r="M80" s="66">
        <f>SUMIF(Inputs_LRMC!$U$49:$U$57,$D80,Inputs_LRMC!M$49:M$57)+SUMIF(Inputs_LRMC!$U$65:$U$71,$D80,Inputs_LRMC!M$65:M$71)/Inputs_LRMC!M$73*Inputs_LRMC!M$49</f>
        <v>1126.0095823249985</v>
      </c>
      <c r="N80" s="66">
        <f>SUMIF(Inputs_LRMC!$U$49:$U$57,$D80,Inputs_LRMC!N$49:N$57)+SUMIF(Inputs_LRMC!$U$65:$U$71,$D80,Inputs_LRMC!N$65:N$71)/Inputs_LRMC!N$73*Inputs_LRMC!N$49</f>
        <v>1126.2699598894196</v>
      </c>
      <c r="O80" s="66">
        <f>SUMIF(Inputs_LRMC!$U$49:$U$57,$D80,Inputs_LRMC!O$49:O$57)+SUMIF(Inputs_LRMC!$U$65:$U$71,$D80,Inputs_LRMC!O$65:O$71)/Inputs_LRMC!O$73*Inputs_LRMC!O$49</f>
        <v>1315.3619950729499</v>
      </c>
      <c r="P80" s="66">
        <f>SUMIF(Inputs_LRMC!$U$49:$U$57,$D80,Inputs_LRMC!P$49:P$57)+SUMIF(Inputs_LRMC!$U$65:$U$71,$D80,Inputs_LRMC!P$65:P$71)/Inputs_LRMC!P$73*Inputs_LRMC!P$49</f>
        <v>1330.6425733373014</v>
      </c>
      <c r="Q80" s="66">
        <f>SUMIF(Inputs_LRMC!$U$49:$U$57,$D80,Inputs_LRMC!Q$49:Q$57)+SUMIF(Inputs_LRMC!$U$65:$U$71,$D80,Inputs_LRMC!Q$65:Q$71)/Inputs_LRMC!Q$73*Inputs_LRMC!Q$49</f>
        <v>1338.1758070042633</v>
      </c>
      <c r="R80" s="66">
        <f>SUMIF(Inputs_LRMC!$U$49:$U$57,$D80,Inputs_LRMC!R$49:R$57)+SUMIF(Inputs_LRMC!$U$65:$U$71,$D80,Inputs_LRMC!R$65:R$71)/Inputs_LRMC!R$73*Inputs_LRMC!R$49</f>
        <v>1342.302793200457</v>
      </c>
      <c r="S80" s="66">
        <f>SUMIF(Inputs_LRMC!$U$49:$U$57,$D80,Inputs_LRMC!S$49:S$57)+SUMIF(Inputs_LRMC!$U$65:$U$71,$D80,Inputs_LRMC!S$65:S$71)/Inputs_LRMC!S$73*Inputs_LRMC!S$49</f>
        <v>1349.7337398193388</v>
      </c>
      <c r="U80" s="126">
        <f t="array" ref="U80">AVERAGE($M80:$S80/($M$83:$S$83-$M$81:$S$81))</f>
        <v>0.2192894256316015</v>
      </c>
    </row>
    <row r="81" spans="1:35" ht="12.75" x14ac:dyDescent="0.3">
      <c r="D81" s="75" t="s">
        <v>320</v>
      </c>
      <c r="H81" s="259" t="s">
        <v>52</v>
      </c>
      <c r="I81" s="259" t="s">
        <v>47</v>
      </c>
      <c r="J81" s="259" t="s">
        <v>239</v>
      </c>
      <c r="M81" s="66">
        <f>SUMIF(Inputs_LRMC!$U$49:$U$57,$D81,Inputs_LRMC!M$49:M$57)+SUMIF(Inputs_LRMC!$U$65:$U$71,$D81,Inputs_LRMC!M$65:M$71)/Inputs_LRMC!M$73*Inputs_LRMC!M$49</f>
        <v>221.10330672609282</v>
      </c>
      <c r="N81" s="66">
        <f>SUMIF(Inputs_LRMC!$U$49:$U$57,$D81,Inputs_LRMC!N$49:N$57)+SUMIF(Inputs_LRMC!$U$65:$U$71,$D81,Inputs_LRMC!N$65:N$71)/Inputs_LRMC!N$73*Inputs_LRMC!N$49</f>
        <v>303.09211169028725</v>
      </c>
      <c r="O81" s="66">
        <f>SUMIF(Inputs_LRMC!$U$49:$U$57,$D81,Inputs_LRMC!O$49:O$57)+SUMIF(Inputs_LRMC!$U$65:$U$71,$D81,Inputs_LRMC!O$65:O$71)/Inputs_LRMC!O$73*Inputs_LRMC!O$49</f>
        <v>634.44456103390439</v>
      </c>
      <c r="P81" s="66">
        <f>SUMIF(Inputs_LRMC!$U$49:$U$57,$D81,Inputs_LRMC!P$49:P$57)+SUMIF(Inputs_LRMC!$U$65:$U$71,$D81,Inputs_LRMC!P$65:P$71)/Inputs_LRMC!P$73*Inputs_LRMC!P$49</f>
        <v>506.1108724462751</v>
      </c>
      <c r="Q81" s="66">
        <f>SUMIF(Inputs_LRMC!$U$49:$U$57,$D81,Inputs_LRMC!Q$49:Q$57)+SUMIF(Inputs_LRMC!$U$65:$U$71,$D81,Inputs_LRMC!Q$65:Q$71)/Inputs_LRMC!Q$73*Inputs_LRMC!Q$49</f>
        <v>2719.7843137968644</v>
      </c>
      <c r="R81" s="66">
        <f>SUMIF(Inputs_LRMC!$U$49:$U$57,$D81,Inputs_LRMC!R$49:R$57)+SUMIF(Inputs_LRMC!$U$65:$U$71,$D81,Inputs_LRMC!R$65:R$71)/Inputs_LRMC!R$73*Inputs_LRMC!R$49</f>
        <v>818.55553143869201</v>
      </c>
      <c r="S81" s="66">
        <f>SUMIF(Inputs_LRMC!$U$49:$U$57,$D81,Inputs_LRMC!S$49:S$57)+SUMIF(Inputs_LRMC!$U$65:$U$71,$D81,Inputs_LRMC!S$65:S$71)/Inputs_LRMC!S$73*Inputs_LRMC!S$49</f>
        <v>364.25026215366648</v>
      </c>
    </row>
    <row r="82" spans="1:35" ht="11.25" customHeight="1" x14ac:dyDescent="0.3"/>
    <row r="83" spans="1:35" ht="11.25" customHeight="1" x14ac:dyDescent="0.3">
      <c r="D83" s="62" t="s">
        <v>51</v>
      </c>
      <c r="H83" s="56" t="s">
        <v>52</v>
      </c>
      <c r="I83" s="56" t="str">
        <f>Thousands</f>
        <v>$000's</v>
      </c>
      <c r="J83" s="163" t="s">
        <v>239</v>
      </c>
      <c r="M83" s="68">
        <f t="shared" ref="M83" si="74">SUM(M78:M81)</f>
        <v>6380.2789632214672</v>
      </c>
      <c r="N83" s="68">
        <f t="shared" ref="N83:U83" si="75">SUM(N78:N81)</f>
        <v>13453.934716456934</v>
      </c>
      <c r="O83" s="68">
        <f t="shared" si="75"/>
        <v>9485.1762563105713</v>
      </c>
      <c r="P83" s="68">
        <f t="shared" si="75"/>
        <v>6067.0606457375097</v>
      </c>
      <c r="Q83" s="68">
        <f t="shared" si="75"/>
        <v>7288.674262842731</v>
      </c>
      <c r="R83" s="68">
        <f t="shared" si="75"/>
        <v>5401.5361146545574</v>
      </c>
      <c r="S83" s="68">
        <f t="shared" si="75"/>
        <v>4972.602083693524</v>
      </c>
      <c r="U83" s="162">
        <f t="shared" si="75"/>
        <v>0.99999999999999989</v>
      </c>
    </row>
    <row r="84" spans="1:35" ht="11.25" customHeight="1" x14ac:dyDescent="0.3"/>
    <row r="85" spans="1:35" ht="12.75" hidden="1" outlineLevel="1" x14ac:dyDescent="0.3">
      <c r="D85" s="81" t="s">
        <v>90</v>
      </c>
      <c r="E85" s="82"/>
      <c r="G85" s="82"/>
      <c r="H85" s="259" t="s">
        <v>52</v>
      </c>
      <c r="I85" s="259" t="s">
        <v>47</v>
      </c>
      <c r="J85" s="259" t="s">
        <v>40</v>
      </c>
      <c r="K85" s="78"/>
      <c r="M85" s="66">
        <f>Inputs_LRMC!M59</f>
        <v>6380.2789632214672</v>
      </c>
      <c r="N85" s="66">
        <f>Inputs_LRMC!N59</f>
        <v>13453.934716456935</v>
      </c>
      <c r="O85" s="66">
        <f>Inputs_LRMC!O59</f>
        <v>9485.1762563105694</v>
      </c>
      <c r="P85" s="66">
        <f>Inputs_LRMC!P59</f>
        <v>6067.0606457375088</v>
      </c>
      <c r="Q85" s="66">
        <f>Inputs_LRMC!Q59</f>
        <v>7288.674262842731</v>
      </c>
      <c r="R85" s="66">
        <f>Inputs_LRMC!R59</f>
        <v>5401.5361146545574</v>
      </c>
      <c r="S85" s="66">
        <f>Inputs_LRMC!S59</f>
        <v>4972.6020836935231</v>
      </c>
    </row>
    <row r="86" spans="1:35" ht="12.75" hidden="1" outlineLevel="1" x14ac:dyDescent="0.3">
      <c r="A86" s="59">
        <f>IF(SUM($M86:$S86)=0,0,1)</f>
        <v>0</v>
      </c>
      <c r="D86" s="81" t="s">
        <v>55</v>
      </c>
      <c r="E86" s="82"/>
      <c r="F86" s="80"/>
      <c r="G86" s="82"/>
      <c r="H86" s="80"/>
      <c r="I86" s="84"/>
      <c r="J86" s="84"/>
      <c r="K86" s="78"/>
      <c r="M86" s="59">
        <f t="shared" ref="M86:S86" si="76">IF(ROUND(M85-M83,2)=0,0,1)</f>
        <v>0</v>
      </c>
      <c r="N86" s="59">
        <f t="shared" si="76"/>
        <v>0</v>
      </c>
      <c r="O86" s="59">
        <f t="shared" si="76"/>
        <v>0</v>
      </c>
      <c r="P86" s="59">
        <f t="shared" si="76"/>
        <v>0</v>
      </c>
      <c r="Q86" s="59">
        <f t="shared" si="76"/>
        <v>0</v>
      </c>
      <c r="R86" s="59">
        <f t="shared" si="76"/>
        <v>0</v>
      </c>
      <c r="S86" s="59">
        <f t="shared" si="76"/>
        <v>0</v>
      </c>
    </row>
    <row r="87" spans="1:35" ht="11.25" customHeight="1" collapsed="1" x14ac:dyDescent="0.3"/>
    <row r="88" spans="1:35" ht="11.25" customHeight="1" x14ac:dyDescent="0.3"/>
    <row r="89" spans="1:35" ht="11.25" customHeight="1" x14ac:dyDescent="0.3">
      <c r="D89" s="70" t="s">
        <v>727</v>
      </c>
      <c r="H89" s="54" t="str">
        <f>Lookup!E$19</f>
        <v>Source</v>
      </c>
      <c r="I89" s="54" t="str">
        <f>Lookup!F$19</f>
        <v>Unit</v>
      </c>
      <c r="J89" s="54" t="str">
        <f>Lookup!G$19</f>
        <v>Basis</v>
      </c>
      <c r="M89" s="54" t="str">
        <f t="shared" ref="M89:S89" si="77">M$9</f>
        <v>FY23</v>
      </c>
      <c r="N89" s="54" t="str">
        <f t="shared" si="77"/>
        <v>FY24</v>
      </c>
      <c r="O89" s="54" t="str">
        <f t="shared" si="77"/>
        <v>FY25</v>
      </c>
      <c r="P89" s="54" t="str">
        <f t="shared" si="77"/>
        <v>FY26</v>
      </c>
      <c r="Q89" s="54" t="str">
        <f t="shared" si="77"/>
        <v>FY27</v>
      </c>
      <c r="R89" s="54" t="str">
        <f t="shared" si="77"/>
        <v>FY28</v>
      </c>
      <c r="S89" s="54" t="str">
        <f t="shared" si="77"/>
        <v>FY29</v>
      </c>
      <c r="T89" s="54" t="str">
        <f t="shared" ref="T89:AI89" si="78">T$9</f>
        <v>FY30</v>
      </c>
      <c r="U89" s="54" t="str">
        <f t="shared" si="78"/>
        <v>FY31</v>
      </c>
      <c r="V89" s="54" t="str">
        <f t="shared" si="78"/>
        <v>FY32</v>
      </c>
      <c r="W89" s="54" t="str">
        <f t="shared" si="78"/>
        <v>FY33</v>
      </c>
      <c r="X89" s="54" t="str">
        <f t="shared" si="78"/>
        <v>FY34</v>
      </c>
      <c r="Y89" s="54" t="str">
        <f t="shared" si="78"/>
        <v>FY35</v>
      </c>
      <c r="Z89" s="54" t="str">
        <f t="shared" si="78"/>
        <v>FY36</v>
      </c>
      <c r="AA89" s="54" t="str">
        <f t="shared" si="78"/>
        <v>FY37</v>
      </c>
      <c r="AB89" s="54" t="str">
        <f t="shared" si="78"/>
        <v>FY38</v>
      </c>
      <c r="AC89" s="54" t="str">
        <f t="shared" si="78"/>
        <v>FY39</v>
      </c>
      <c r="AD89" s="54" t="str">
        <f t="shared" si="78"/>
        <v>FY40</v>
      </c>
      <c r="AE89" s="54" t="str">
        <f t="shared" si="78"/>
        <v>FY41</v>
      </c>
      <c r="AF89" s="54" t="str">
        <f t="shared" si="78"/>
        <v>FY42</v>
      </c>
      <c r="AG89" s="54" t="str">
        <f t="shared" si="78"/>
        <v>FY43</v>
      </c>
      <c r="AH89" s="54" t="str">
        <f t="shared" si="78"/>
        <v>FY44</v>
      </c>
      <c r="AI89" s="54" t="str">
        <f t="shared" si="78"/>
        <v>FY45</v>
      </c>
    </row>
    <row r="90" spans="1:35" ht="11.25" customHeight="1" x14ac:dyDescent="0.3">
      <c r="D90" s="1"/>
    </row>
    <row r="91" spans="1:35" ht="12.75" x14ac:dyDescent="0.3">
      <c r="D91" s="75" t="s">
        <v>258</v>
      </c>
      <c r="E91" s="82"/>
      <c r="F91" s="82"/>
      <c r="G91" s="82"/>
      <c r="H91" s="259" t="s">
        <v>52</v>
      </c>
      <c r="I91" s="259" t="s">
        <v>47</v>
      </c>
      <c r="J91" s="259" t="s">
        <v>239</v>
      </c>
      <c r="M91" s="66">
        <f>M78+M$81*$U78</f>
        <v>1843.2050497427799</v>
      </c>
      <c r="N91" s="66">
        <f t="shared" ref="N91:S91" si="79">N78+N$81*$U78</f>
        <v>3471.7648464598178</v>
      </c>
      <c r="O91" s="66">
        <f t="shared" si="79"/>
        <v>1666.0773864603191</v>
      </c>
      <c r="P91" s="66">
        <f t="shared" si="79"/>
        <v>1647.0817972659872</v>
      </c>
      <c r="Q91" s="66">
        <f t="shared" si="79"/>
        <v>2281.1885717425712</v>
      </c>
      <c r="R91" s="66">
        <f t="shared" si="79"/>
        <v>1748.5595332512862</v>
      </c>
      <c r="S91" s="96">
        <f t="shared" si="79"/>
        <v>1628.5706405079814</v>
      </c>
      <c r="T91" s="66">
        <f>AVERAGE($M91:$S91)</f>
        <v>2040.9211179186773</v>
      </c>
      <c r="U91" s="96">
        <f>AVERAGE($M91:$S91)</f>
        <v>2040.9211179186773</v>
      </c>
      <c r="V91" s="66">
        <f>Calc_LRMC!V195*SUM($M91:$U91)/SUM(Calc_LRMC!$M195:$U195)</f>
        <v>1458.2270766406514</v>
      </c>
      <c r="W91" s="66">
        <f>Calc_LRMC!W195*SUM($M91:$U91)/SUM(Calc_LRMC!$M195:$U195)</f>
        <v>1460.237345603306</v>
      </c>
      <c r="X91" s="66">
        <f>Calc_LRMC!X195*SUM($M91:$U91)/SUM(Calc_LRMC!$M195:$U195)</f>
        <v>1460.237345603306</v>
      </c>
      <c r="Y91" s="66">
        <f>Calc_LRMC!Y195*SUM($M91:$U91)/SUM(Calc_LRMC!$M195:$U195)</f>
        <v>1460.237345603306</v>
      </c>
      <c r="Z91" s="66">
        <f>Calc_LRMC!Z195*SUM($M91:$U91)/SUM(Calc_LRMC!$M195:$U195)</f>
        <v>1460.237345603306</v>
      </c>
      <c r="AA91" s="66">
        <f>Calc_LRMC!AA195*SUM($M91:$U91)/SUM(Calc_LRMC!$M195:$U195)</f>
        <v>1460.2373456033004</v>
      </c>
      <c r="AB91" s="66">
        <f>Calc_LRMC!AB195*SUM($M91:$U91)/SUM(Calc_LRMC!$M195:$U195)</f>
        <v>1460.237345603306</v>
      </c>
      <c r="AC91" s="66">
        <f>Calc_LRMC!AC195*SUM($M91:$U91)/SUM(Calc_LRMC!$M195:$U195)</f>
        <v>1460.237345603306</v>
      </c>
      <c r="AD91" s="66">
        <f>Calc_LRMC!AD195*SUM($M91:$U91)/SUM(Calc_LRMC!$M195:$U195)</f>
        <v>1460.2373456033174</v>
      </c>
      <c r="AE91" s="66">
        <f>Calc_LRMC!AE195*SUM($M91:$U91)/SUM(Calc_LRMC!$M195:$U195)</f>
        <v>1460.237345603306</v>
      </c>
      <c r="AF91" s="66">
        <f>Calc_LRMC!AF195*SUM($M91:$U91)/SUM(Calc_LRMC!$M195:$U195)</f>
        <v>1460.2373456033004</v>
      </c>
      <c r="AG91" s="66">
        <f>Calc_LRMC!AG195*SUM($M91:$U91)/SUM(Calc_LRMC!$M195:$U195)</f>
        <v>1460.237345603306</v>
      </c>
      <c r="AH91" s="66">
        <f>Calc_LRMC!AH195*SUM($M91:$U91)/SUM(Calc_LRMC!$M195:$U195)</f>
        <v>1460.237345603306</v>
      </c>
      <c r="AI91" s="66">
        <f>Calc_LRMC!AI195*SUM($M91:$U91)/SUM(Calc_LRMC!$M195:$U195)</f>
        <v>1460.237345603306</v>
      </c>
    </row>
    <row r="92" spans="1:35" ht="12.75" x14ac:dyDescent="0.3">
      <c r="D92" s="75" t="s">
        <v>69</v>
      </c>
      <c r="H92" s="259" t="s">
        <v>52</v>
      </c>
      <c r="I92" s="259" t="s">
        <v>47</v>
      </c>
      <c r="J92" s="259" t="s">
        <v>239</v>
      </c>
      <c r="M92" s="66">
        <f t="shared" ref="M92:S92" si="80">M79+M$81*$U79</f>
        <v>3362.5787140164757</v>
      </c>
      <c r="N92" s="66">
        <f t="shared" si="80"/>
        <v>8789.4350150216651</v>
      </c>
      <c r="O92" s="66">
        <f t="shared" si="80"/>
        <v>6364.6098913930837</v>
      </c>
      <c r="P92" s="66">
        <f t="shared" si="80"/>
        <v>2978.3515126095685</v>
      </c>
      <c r="Q92" s="66">
        <f t="shared" si="80"/>
        <v>3072.8899440815421</v>
      </c>
      <c r="R92" s="66">
        <f t="shared" si="80"/>
        <v>2131.1732158660534</v>
      </c>
      <c r="S92" s="96">
        <f t="shared" si="80"/>
        <v>1914.4214725923655</v>
      </c>
      <c r="T92" s="66">
        <f t="shared" ref="T92:U93" si="81">AVERAGE($M92:$S92)</f>
        <v>4087.6371093686789</v>
      </c>
      <c r="U92" s="96">
        <f t="shared" si="81"/>
        <v>4087.6371093686789</v>
      </c>
      <c r="V92" s="66">
        <f>Calc_LRMC!V196*SUM($M92:$U92)/SUM(Calc_LRMC!$M196:$U196)</f>
        <v>2920.5945590103115</v>
      </c>
      <c r="W92" s="66">
        <f>Calc_LRMC!W196*SUM($M92:$U92)/SUM(Calc_LRMC!$M196:$U196)</f>
        <v>2924.6208047771929</v>
      </c>
      <c r="X92" s="66">
        <f>Calc_LRMC!X196*SUM($M92:$U92)/SUM(Calc_LRMC!$M196:$U196)</f>
        <v>2924.6208047771929</v>
      </c>
      <c r="Y92" s="66">
        <f>Calc_LRMC!Y196*SUM($M92:$U92)/SUM(Calc_LRMC!$M196:$U196)</f>
        <v>2924.6208047771929</v>
      </c>
      <c r="Z92" s="66">
        <f>Calc_LRMC!Z196*SUM($M92:$U92)/SUM(Calc_LRMC!$M196:$U196)</f>
        <v>2924.6208047771929</v>
      </c>
      <c r="AA92" s="66">
        <f>Calc_LRMC!AA196*SUM($M92:$U92)/SUM(Calc_LRMC!$M196:$U196)</f>
        <v>2924.6208047771815</v>
      </c>
      <c r="AB92" s="66">
        <f>Calc_LRMC!AB196*SUM($M92:$U92)/SUM(Calc_LRMC!$M196:$U196)</f>
        <v>2924.6208047771929</v>
      </c>
      <c r="AC92" s="66">
        <f>Calc_LRMC!AC196*SUM($M92:$U92)/SUM(Calc_LRMC!$M196:$U196)</f>
        <v>2924.6208047771929</v>
      </c>
      <c r="AD92" s="66">
        <f>Calc_LRMC!AD196*SUM($M92:$U92)/SUM(Calc_LRMC!$M196:$U196)</f>
        <v>2924.6208047772152</v>
      </c>
      <c r="AE92" s="66">
        <f>Calc_LRMC!AE196*SUM($M92:$U92)/SUM(Calc_LRMC!$M196:$U196)</f>
        <v>2924.6208047771929</v>
      </c>
      <c r="AF92" s="66">
        <f>Calc_LRMC!AF196*SUM($M92:$U92)/SUM(Calc_LRMC!$M196:$U196)</f>
        <v>2924.6208047771815</v>
      </c>
      <c r="AG92" s="66">
        <f>Calc_LRMC!AG196*SUM($M92:$U92)/SUM(Calc_LRMC!$M196:$U196)</f>
        <v>2924.6208047771929</v>
      </c>
      <c r="AH92" s="66">
        <f>Calc_LRMC!AH196*SUM($M92:$U92)/SUM(Calc_LRMC!$M196:$U196)</f>
        <v>2924.6208047771929</v>
      </c>
      <c r="AI92" s="66">
        <f>Calc_LRMC!AI196*SUM($M92:$U92)/SUM(Calc_LRMC!$M196:$U196)</f>
        <v>2924.6208047771929</v>
      </c>
    </row>
    <row r="93" spans="1:35" ht="12.75" x14ac:dyDescent="0.3">
      <c r="D93" s="75" t="s">
        <v>257</v>
      </c>
      <c r="H93" s="259" t="s">
        <v>52</v>
      </c>
      <c r="I93" s="259" t="s">
        <v>47</v>
      </c>
      <c r="J93" s="259" t="s">
        <v>239</v>
      </c>
      <c r="M93" s="66">
        <f t="shared" ref="M93:S93" si="82">M80+M$81*$U80</f>
        <v>1174.4951994622113</v>
      </c>
      <c r="N93" s="66">
        <f t="shared" si="82"/>
        <v>1192.734854975452</v>
      </c>
      <c r="O93" s="66">
        <f t="shared" si="82"/>
        <v>1454.4889784571683</v>
      </c>
      <c r="P93" s="66">
        <f t="shared" si="82"/>
        <v>1441.6273358619537</v>
      </c>
      <c r="Q93" s="66">
        <f t="shared" si="82"/>
        <v>1934.5957470186172</v>
      </c>
      <c r="R93" s="66">
        <f t="shared" si="82"/>
        <v>1521.803365537218</v>
      </c>
      <c r="S93" s="96">
        <f t="shared" si="82"/>
        <v>1429.6099705931765</v>
      </c>
      <c r="T93" s="66">
        <f t="shared" si="81"/>
        <v>1449.9079217008282</v>
      </c>
      <c r="U93" s="96">
        <f t="shared" si="81"/>
        <v>1449.9079217008282</v>
      </c>
      <c r="V93" s="66">
        <f>Calc_LRMC!V197*SUM($M93:$U93)/SUM(Calc_LRMC!$M197:$U197)</f>
        <v>1035.9513513271265</v>
      </c>
      <c r="W93" s="66">
        <f>Calc_LRMC!W197*SUM($M93:$U93)/SUM(Calc_LRMC!$M197:$U197)</f>
        <v>1037.3794833936265</v>
      </c>
      <c r="X93" s="66">
        <f>Calc_LRMC!X197*SUM($M93:$U93)/SUM(Calc_LRMC!$M197:$U197)</f>
        <v>1037.3794833936265</v>
      </c>
      <c r="Y93" s="66">
        <f>Calc_LRMC!Y197*SUM($M93:$U93)/SUM(Calc_LRMC!$M197:$U197)</f>
        <v>1037.3794833936265</v>
      </c>
      <c r="Z93" s="66">
        <f>Calc_LRMC!Z197*SUM($M93:$U93)/SUM(Calc_LRMC!$M197:$U197)</f>
        <v>1037.3794833936265</v>
      </c>
      <c r="AA93" s="66">
        <f>Calc_LRMC!AA197*SUM($M93:$U93)/SUM(Calc_LRMC!$M197:$U197)</f>
        <v>1037.3794833936265</v>
      </c>
      <c r="AB93" s="66">
        <f>Calc_LRMC!AB197*SUM($M93:$U93)/SUM(Calc_LRMC!$M197:$U197)</f>
        <v>1037.3794833936265</v>
      </c>
      <c r="AC93" s="66">
        <f>Calc_LRMC!AC197*SUM($M93:$U93)/SUM(Calc_LRMC!$M197:$U197)</f>
        <v>1037.3794833936265</v>
      </c>
      <c r="AD93" s="66">
        <f>Calc_LRMC!AD197*SUM($M93:$U93)/SUM(Calc_LRMC!$M197:$U197)</f>
        <v>1037.3794833936379</v>
      </c>
      <c r="AE93" s="66">
        <f>Calc_LRMC!AE197*SUM($M93:$U93)/SUM(Calc_LRMC!$M197:$U197)</f>
        <v>1037.3794833936265</v>
      </c>
      <c r="AF93" s="66">
        <f>Calc_LRMC!AF197*SUM($M93:$U93)/SUM(Calc_LRMC!$M197:$U197)</f>
        <v>1037.3794833936265</v>
      </c>
      <c r="AG93" s="66">
        <f>Calc_LRMC!AG197*SUM($M93:$U93)/SUM(Calc_LRMC!$M197:$U197)</f>
        <v>1037.3794833936265</v>
      </c>
      <c r="AH93" s="66">
        <f>Calc_LRMC!AH197*SUM($M93:$U93)/SUM(Calc_LRMC!$M197:$U197)</f>
        <v>1037.3794833936265</v>
      </c>
      <c r="AI93" s="66">
        <f>Calc_LRMC!AI197*SUM($M93:$U93)/SUM(Calc_LRMC!$M197:$U197)</f>
        <v>1037.3794833936265</v>
      </c>
    </row>
    <row r="94" spans="1:35" ht="11.25" customHeight="1" x14ac:dyDescent="0.3"/>
    <row r="95" spans="1:35" ht="11.25" customHeight="1" x14ac:dyDescent="0.3">
      <c r="D95" s="62" t="s">
        <v>51</v>
      </c>
      <c r="H95" s="56" t="s">
        <v>52</v>
      </c>
      <c r="I95" s="56" t="str">
        <f>Thousands</f>
        <v>$000's</v>
      </c>
      <c r="J95" s="163" t="s">
        <v>239</v>
      </c>
      <c r="M95" s="68">
        <f t="shared" ref="M95:S95" si="83">SUM(M91:M93)</f>
        <v>6380.2789632214672</v>
      </c>
      <c r="N95" s="68">
        <f t="shared" si="83"/>
        <v>13453.934716456935</v>
      </c>
      <c r="O95" s="68">
        <f t="shared" si="83"/>
        <v>9485.1762563105713</v>
      </c>
      <c r="P95" s="68">
        <f t="shared" si="83"/>
        <v>6067.0606457375097</v>
      </c>
      <c r="Q95" s="68">
        <f t="shared" si="83"/>
        <v>7288.674262842731</v>
      </c>
      <c r="R95" s="68">
        <f t="shared" si="83"/>
        <v>5401.5361146545574</v>
      </c>
      <c r="S95" s="68">
        <f t="shared" si="83"/>
        <v>4972.6020836935231</v>
      </c>
      <c r="T95" s="68">
        <f t="shared" ref="T95:AI95" si="84">SUM(T91:T93)</f>
        <v>7578.4661489881846</v>
      </c>
      <c r="U95" s="68">
        <f t="shared" si="84"/>
        <v>7578.4661489881846</v>
      </c>
      <c r="V95" s="68">
        <f t="shared" si="84"/>
        <v>5414.7729869780896</v>
      </c>
      <c r="W95" s="68">
        <f t="shared" si="84"/>
        <v>5422.2376337741252</v>
      </c>
      <c r="X95" s="68">
        <f t="shared" si="84"/>
        <v>5422.2376337741252</v>
      </c>
      <c r="Y95" s="68">
        <f t="shared" si="84"/>
        <v>5422.2376337741252</v>
      </c>
      <c r="Z95" s="68">
        <f t="shared" si="84"/>
        <v>5422.2376337741252</v>
      </c>
      <c r="AA95" s="68">
        <f t="shared" si="84"/>
        <v>5422.237633774108</v>
      </c>
      <c r="AB95" s="68">
        <f t="shared" si="84"/>
        <v>5422.2376337741252</v>
      </c>
      <c r="AC95" s="68">
        <f t="shared" si="84"/>
        <v>5422.2376337741252</v>
      </c>
      <c r="AD95" s="68">
        <f t="shared" si="84"/>
        <v>5422.2376337741707</v>
      </c>
      <c r="AE95" s="68">
        <f t="shared" si="84"/>
        <v>5422.2376337741252</v>
      </c>
      <c r="AF95" s="68">
        <f t="shared" si="84"/>
        <v>5422.237633774108</v>
      </c>
      <c r="AG95" s="68">
        <f t="shared" si="84"/>
        <v>5422.2376337741252</v>
      </c>
      <c r="AH95" s="68">
        <f t="shared" si="84"/>
        <v>5422.2376337741252</v>
      </c>
      <c r="AI95" s="68">
        <f t="shared" si="84"/>
        <v>5422.2376337741252</v>
      </c>
    </row>
    <row r="96" spans="1:35" ht="11.25" customHeight="1" x14ac:dyDescent="0.3"/>
    <row r="97" spans="1:35" ht="12.75" hidden="1" outlineLevel="1" x14ac:dyDescent="0.3">
      <c r="D97" s="81" t="s">
        <v>90</v>
      </c>
      <c r="E97" s="82"/>
      <c r="G97" s="82"/>
      <c r="H97" s="259" t="s">
        <v>52</v>
      </c>
      <c r="I97" s="259" t="s">
        <v>47</v>
      </c>
      <c r="J97" s="259" t="s">
        <v>40</v>
      </c>
      <c r="K97" s="78"/>
      <c r="M97" s="66">
        <f>M83</f>
        <v>6380.2789632214672</v>
      </c>
      <c r="N97" s="66">
        <f t="shared" ref="N97:S97" si="85">N83</f>
        <v>13453.934716456934</v>
      </c>
      <c r="O97" s="66">
        <f t="shared" si="85"/>
        <v>9485.1762563105713</v>
      </c>
      <c r="P97" s="66">
        <f t="shared" si="85"/>
        <v>6067.0606457375097</v>
      </c>
      <c r="Q97" s="66">
        <f t="shared" si="85"/>
        <v>7288.674262842731</v>
      </c>
      <c r="R97" s="66">
        <f t="shared" si="85"/>
        <v>5401.5361146545574</v>
      </c>
      <c r="S97" s="96">
        <f t="shared" si="85"/>
        <v>4972.602083693524</v>
      </c>
      <c r="T97" s="66">
        <f t="shared" ref="T97:U97" si="86">AVERAGE($M97:$S97)</f>
        <v>7578.4661489881837</v>
      </c>
      <c r="U97" s="66">
        <f t="shared" si="86"/>
        <v>7578.4661489881837</v>
      </c>
    </row>
    <row r="98" spans="1:35" ht="12.75" hidden="1" outlineLevel="1" x14ac:dyDescent="0.3">
      <c r="A98" s="59">
        <f>IF(SUM($M98:$U98)=0,0,1)</f>
        <v>0</v>
      </c>
      <c r="D98" s="81" t="s">
        <v>55</v>
      </c>
      <c r="E98" s="82"/>
      <c r="F98" s="80"/>
      <c r="G98" s="82"/>
      <c r="H98" s="80"/>
      <c r="I98" s="84"/>
      <c r="J98" s="84"/>
      <c r="K98" s="78"/>
      <c r="M98" s="59">
        <f t="shared" ref="M98:S98" si="87">IF(ROUND(M97-M95,2)=0,0,1)</f>
        <v>0</v>
      </c>
      <c r="N98" s="59">
        <f t="shared" si="87"/>
        <v>0</v>
      </c>
      <c r="O98" s="59">
        <f t="shared" si="87"/>
        <v>0</v>
      </c>
      <c r="P98" s="59">
        <f t="shared" si="87"/>
        <v>0</v>
      </c>
      <c r="Q98" s="59">
        <f t="shared" si="87"/>
        <v>0</v>
      </c>
      <c r="R98" s="59">
        <f t="shared" si="87"/>
        <v>0</v>
      </c>
      <c r="S98" s="59">
        <f t="shared" si="87"/>
        <v>0</v>
      </c>
      <c r="T98" s="59">
        <f t="shared" ref="T98:U98" si="88">IF(ROUND(T97-T95,2)=0,0,1)</f>
        <v>0</v>
      </c>
      <c r="U98" s="59">
        <f t="shared" si="88"/>
        <v>0</v>
      </c>
    </row>
    <row r="99" spans="1:35" ht="11.25" customHeight="1" collapsed="1" x14ac:dyDescent="0.3"/>
    <row r="100" spans="1:35" ht="11.25" customHeight="1" x14ac:dyDescent="0.3"/>
    <row r="101" spans="1:35" ht="11.25" customHeight="1" x14ac:dyDescent="0.3">
      <c r="D101" s="70" t="s">
        <v>728</v>
      </c>
      <c r="H101" s="54" t="str">
        <f>Lookup!E$19</f>
        <v>Source</v>
      </c>
      <c r="I101" s="54" t="str">
        <f>Lookup!F$19</f>
        <v>Unit</v>
      </c>
      <c r="J101" s="54" t="str">
        <f>Lookup!G$19</f>
        <v>Basis</v>
      </c>
      <c r="M101" s="54" t="str">
        <f t="shared" ref="M101:AI101" si="89">M$9</f>
        <v>FY23</v>
      </c>
      <c r="N101" s="54" t="str">
        <f t="shared" si="89"/>
        <v>FY24</v>
      </c>
      <c r="O101" s="54" t="str">
        <f t="shared" si="89"/>
        <v>FY25</v>
      </c>
      <c r="P101" s="54" t="str">
        <f t="shared" si="89"/>
        <v>FY26</v>
      </c>
      <c r="Q101" s="54" t="str">
        <f t="shared" si="89"/>
        <v>FY27</v>
      </c>
      <c r="R101" s="54" t="str">
        <f t="shared" si="89"/>
        <v>FY28</v>
      </c>
      <c r="S101" s="54" t="str">
        <f t="shared" si="89"/>
        <v>FY29</v>
      </c>
      <c r="T101" s="54" t="str">
        <f t="shared" si="89"/>
        <v>FY30</v>
      </c>
      <c r="U101" s="54" t="str">
        <f t="shared" si="89"/>
        <v>FY31</v>
      </c>
      <c r="V101" s="54" t="str">
        <f t="shared" si="89"/>
        <v>FY32</v>
      </c>
      <c r="W101" s="54" t="str">
        <f t="shared" si="89"/>
        <v>FY33</v>
      </c>
      <c r="X101" s="54" t="str">
        <f t="shared" si="89"/>
        <v>FY34</v>
      </c>
      <c r="Y101" s="54" t="str">
        <f t="shared" si="89"/>
        <v>FY35</v>
      </c>
      <c r="Z101" s="54" t="str">
        <f t="shared" si="89"/>
        <v>FY36</v>
      </c>
      <c r="AA101" s="54" t="str">
        <f t="shared" si="89"/>
        <v>FY37</v>
      </c>
      <c r="AB101" s="54" t="str">
        <f t="shared" si="89"/>
        <v>FY38</v>
      </c>
      <c r="AC101" s="54" t="str">
        <f t="shared" si="89"/>
        <v>FY39</v>
      </c>
      <c r="AD101" s="54" t="str">
        <f t="shared" si="89"/>
        <v>FY40</v>
      </c>
      <c r="AE101" s="54" t="str">
        <f t="shared" si="89"/>
        <v>FY41</v>
      </c>
      <c r="AF101" s="54" t="str">
        <f t="shared" si="89"/>
        <v>FY42</v>
      </c>
      <c r="AG101" s="54" t="str">
        <f t="shared" si="89"/>
        <v>FY43</v>
      </c>
      <c r="AH101" s="54" t="str">
        <f t="shared" si="89"/>
        <v>FY44</v>
      </c>
      <c r="AI101" s="54" t="str">
        <f t="shared" si="89"/>
        <v>FY45</v>
      </c>
    </row>
    <row r="102" spans="1:35" ht="11.25" customHeight="1" x14ac:dyDescent="0.3">
      <c r="D102" s="1"/>
    </row>
    <row r="103" spans="1:35" ht="12.75" x14ac:dyDescent="0.3">
      <c r="D103" s="75" t="s">
        <v>258</v>
      </c>
      <c r="E103" s="82"/>
      <c r="F103" s="82"/>
      <c r="G103" s="82"/>
      <c r="H103" s="259" t="s">
        <v>52</v>
      </c>
      <c r="I103" s="259" t="s">
        <v>47</v>
      </c>
      <c r="J103" s="259" t="s">
        <v>239</v>
      </c>
      <c r="M103" s="66">
        <f>-PMT(Inputs_LRMC!$M$27,Inputs_LRMC!$M$26,M91)</f>
        <v>79.526542823916671</v>
      </c>
      <c r="N103" s="66">
        <f>-PMT(Inputs_LRMC!$M$27,Inputs_LRMC!$M$26,N91)</f>
        <v>149.79204607489802</v>
      </c>
      <c r="O103" s="66">
        <f>-PMT(Inputs_LRMC!$M$27,Inputs_LRMC!$M$26,O91)</f>
        <v>71.884229397475778</v>
      </c>
      <c r="P103" s="66">
        <f>-PMT(Inputs_LRMC!$M$27,Inputs_LRMC!$M$26,P91)</f>
        <v>71.064649645489226</v>
      </c>
      <c r="Q103" s="66">
        <f>-PMT(Inputs_LRMC!$M$27,Inputs_LRMC!$M$26,Q91)</f>
        <v>98.423689033095627</v>
      </c>
      <c r="R103" s="66">
        <f>-PMT(Inputs_LRMC!$M$27,Inputs_LRMC!$M$26,R91)</f>
        <v>75.442986997394357</v>
      </c>
      <c r="S103" s="66">
        <f>-PMT(Inputs_LRMC!$M$27,Inputs_LRMC!$M$26,S91)</f>
        <v>70.265971114936576</v>
      </c>
      <c r="T103" s="66">
        <f>-PMT(Inputs_LRMC!$M$27,Inputs_LRMC!$M$26,T91)</f>
        <v>88.057159298172309</v>
      </c>
      <c r="U103" s="66">
        <f>-PMT(Inputs_LRMC!$M$27,Inputs_LRMC!$M$26,U91)</f>
        <v>88.057159298172309</v>
      </c>
      <c r="V103" s="66">
        <f>-PMT(Inputs_LRMC!$M$27,Inputs_LRMC!$M$26,V91)</f>
        <v>62.916363034943359</v>
      </c>
      <c r="W103" s="66">
        <f>-PMT(Inputs_LRMC!$M$27,Inputs_LRMC!$M$26,W91)</f>
        <v>63.003097682707306</v>
      </c>
      <c r="X103" s="66">
        <f>-PMT(Inputs_LRMC!$M$27,Inputs_LRMC!$M$26,X91)</f>
        <v>63.003097682707306</v>
      </c>
      <c r="Y103" s="66">
        <f>-PMT(Inputs_LRMC!$M$27,Inputs_LRMC!$M$26,Y91)</f>
        <v>63.003097682707306</v>
      </c>
      <c r="Z103" s="66">
        <f>-PMT(Inputs_LRMC!$M$27,Inputs_LRMC!$M$26,Z91)</f>
        <v>63.003097682707306</v>
      </c>
      <c r="AA103" s="66">
        <f>-PMT(Inputs_LRMC!$M$27,Inputs_LRMC!$M$26,AA91)</f>
        <v>63.003097682707057</v>
      </c>
      <c r="AB103" s="66">
        <f>-PMT(Inputs_LRMC!$M$27,Inputs_LRMC!$M$26,AB91)</f>
        <v>63.003097682707306</v>
      </c>
      <c r="AC103" s="66">
        <f>-PMT(Inputs_LRMC!$M$27,Inputs_LRMC!$M$26,AC91)</f>
        <v>63.003097682707306</v>
      </c>
      <c r="AD103" s="66">
        <f>-PMT(Inputs_LRMC!$M$27,Inputs_LRMC!$M$26,AD91)</f>
        <v>63.003097682707789</v>
      </c>
      <c r="AE103" s="66">
        <f>-PMT(Inputs_LRMC!$M$27,Inputs_LRMC!$M$26,AE91)</f>
        <v>63.003097682707306</v>
      </c>
      <c r="AF103" s="66">
        <f>-PMT(Inputs_LRMC!$M$27,Inputs_LRMC!$M$26,AF91)</f>
        <v>63.003097682707057</v>
      </c>
      <c r="AG103" s="66">
        <f>-PMT(Inputs_LRMC!$M$27,Inputs_LRMC!$M$26,AG91)</f>
        <v>63.003097682707306</v>
      </c>
      <c r="AH103" s="66">
        <f>-PMT(Inputs_LRMC!$M$27,Inputs_LRMC!$M$26,AH91)</f>
        <v>63.003097682707306</v>
      </c>
      <c r="AI103" s="66">
        <f>-PMT(Inputs_LRMC!$M$27,Inputs_LRMC!$M$26,AI91)</f>
        <v>63.003097682707306</v>
      </c>
    </row>
    <row r="104" spans="1:35" ht="12.75" x14ac:dyDescent="0.3">
      <c r="D104" s="75" t="s">
        <v>69</v>
      </c>
      <c r="H104" s="259" t="s">
        <v>52</v>
      </c>
      <c r="I104" s="259" t="s">
        <v>47</v>
      </c>
      <c r="J104" s="259" t="s">
        <v>239</v>
      </c>
      <c r="M104" s="66">
        <f>-PMT(Inputs_LRMC!$M$27,Inputs_LRMC!$M$26,M92)</f>
        <v>145.08112384801666</v>
      </c>
      <c r="N104" s="66">
        <f>-PMT(Inputs_LRMC!$M$27,Inputs_LRMC!$M$26,N92)</f>
        <v>379.22714036493011</v>
      </c>
      <c r="O104" s="66">
        <f>-PMT(Inputs_LRMC!$M$27,Inputs_LRMC!$M$26,O92)</f>
        <v>274.60613845216511</v>
      </c>
      <c r="P104" s="66">
        <f>-PMT(Inputs_LRMC!$M$27,Inputs_LRMC!$M$26,P92)</f>
        <v>128.50333669890688</v>
      </c>
      <c r="Q104" s="66">
        <f>-PMT(Inputs_LRMC!$M$27,Inputs_LRMC!$M$26,Q92)</f>
        <v>132.58227225738477</v>
      </c>
      <c r="R104" s="66">
        <f>-PMT(Inputs_LRMC!$M$27,Inputs_LRMC!$M$26,R92)</f>
        <v>91.951157599317341</v>
      </c>
      <c r="S104" s="66">
        <f>-PMT(Inputs_LRMC!$M$27,Inputs_LRMC!$M$26,S92)</f>
        <v>82.599231834997724</v>
      </c>
      <c r="T104" s="66">
        <f>-PMT(Inputs_LRMC!$M$27,Inputs_LRMC!$M$26,T92)</f>
        <v>176.3643430079598</v>
      </c>
      <c r="U104" s="66">
        <f>-PMT(Inputs_LRMC!$M$27,Inputs_LRMC!$M$26,U92)</f>
        <v>176.3643430079598</v>
      </c>
      <c r="V104" s="66">
        <f>-PMT(Inputs_LRMC!$M$27,Inputs_LRMC!$M$26,V92)</f>
        <v>126.01136715681429</v>
      </c>
      <c r="W104" s="66">
        <f>-PMT(Inputs_LRMC!$M$27,Inputs_LRMC!$M$26,W92)</f>
        <v>126.18508272169092</v>
      </c>
      <c r="X104" s="66">
        <f>-PMT(Inputs_LRMC!$M$27,Inputs_LRMC!$M$26,X92)</f>
        <v>126.18508272169092</v>
      </c>
      <c r="Y104" s="66">
        <f>-PMT(Inputs_LRMC!$M$27,Inputs_LRMC!$M$26,Y92)</f>
        <v>126.18508272169092</v>
      </c>
      <c r="Z104" s="66">
        <f>-PMT(Inputs_LRMC!$M$27,Inputs_LRMC!$M$26,Z92)</f>
        <v>126.18508272169092</v>
      </c>
      <c r="AA104" s="66">
        <f>-PMT(Inputs_LRMC!$M$27,Inputs_LRMC!$M$26,AA92)</f>
        <v>126.18508272169043</v>
      </c>
      <c r="AB104" s="66">
        <f>-PMT(Inputs_LRMC!$M$27,Inputs_LRMC!$M$26,AB92)</f>
        <v>126.18508272169092</v>
      </c>
      <c r="AC104" s="66">
        <f>-PMT(Inputs_LRMC!$M$27,Inputs_LRMC!$M$26,AC92)</f>
        <v>126.18508272169092</v>
      </c>
      <c r="AD104" s="66">
        <f>-PMT(Inputs_LRMC!$M$27,Inputs_LRMC!$M$26,AD92)</f>
        <v>126.18508272169187</v>
      </c>
      <c r="AE104" s="66">
        <f>-PMT(Inputs_LRMC!$M$27,Inputs_LRMC!$M$26,AE92)</f>
        <v>126.18508272169092</v>
      </c>
      <c r="AF104" s="66">
        <f>-PMT(Inputs_LRMC!$M$27,Inputs_LRMC!$M$26,AF92)</f>
        <v>126.18508272169043</v>
      </c>
      <c r="AG104" s="66">
        <f>-PMT(Inputs_LRMC!$M$27,Inputs_LRMC!$M$26,AG92)</f>
        <v>126.18508272169092</v>
      </c>
      <c r="AH104" s="66">
        <f>-PMT(Inputs_LRMC!$M$27,Inputs_LRMC!$M$26,AH92)</f>
        <v>126.18508272169092</v>
      </c>
      <c r="AI104" s="66">
        <f>-PMT(Inputs_LRMC!$M$27,Inputs_LRMC!$M$26,AI92)</f>
        <v>126.18508272169092</v>
      </c>
    </row>
    <row r="105" spans="1:35" ht="12.75" x14ac:dyDescent="0.3">
      <c r="D105" s="75" t="s">
        <v>257</v>
      </c>
      <c r="H105" s="259" t="s">
        <v>52</v>
      </c>
      <c r="I105" s="259" t="s">
        <v>47</v>
      </c>
      <c r="J105" s="259" t="s">
        <v>239</v>
      </c>
      <c r="M105" s="66">
        <f>-PMT(Inputs_LRMC!$M$27,Inputs_LRMC!$M$26,M93)</f>
        <v>50.674526303815533</v>
      </c>
      <c r="N105" s="66">
        <f>-PMT(Inputs_LRMC!$M$27,Inputs_LRMC!$M$26,N93)</f>
        <v>51.46149069796671</v>
      </c>
      <c r="O105" s="66">
        <f>-PMT(Inputs_LRMC!$M$27,Inputs_LRMC!$M$26,O93)</f>
        <v>62.755079825942694</v>
      </c>
      <c r="P105" s="66">
        <f>-PMT(Inputs_LRMC!$M$27,Inputs_LRMC!$M$26,P93)</f>
        <v>62.200154061835775</v>
      </c>
      <c r="Q105" s="66">
        <f>-PMT(Inputs_LRMC!$M$27,Inputs_LRMC!$M$26,Q93)</f>
        <v>83.46966689555957</v>
      </c>
      <c r="R105" s="66">
        <f>-PMT(Inputs_LRMC!$M$27,Inputs_LRMC!$M$26,R93)</f>
        <v>65.659412410933342</v>
      </c>
      <c r="S105" s="66">
        <f>-PMT(Inputs_LRMC!$M$27,Inputs_LRMC!$M$26,S93)</f>
        <v>61.681655312165226</v>
      </c>
      <c r="T105" s="66">
        <f>-PMT(Inputs_LRMC!$M$27,Inputs_LRMC!$M$26,T93)</f>
        <v>62.55742650117412</v>
      </c>
      <c r="U105" s="66">
        <f>-PMT(Inputs_LRMC!$M$27,Inputs_LRMC!$M$26,U93)</f>
        <v>62.55742650117412</v>
      </c>
      <c r="V105" s="66">
        <f>-PMT(Inputs_LRMC!$M$27,Inputs_LRMC!$M$26,V93)</f>
        <v>44.696942164035427</v>
      </c>
      <c r="W105" s="66">
        <f>-PMT(Inputs_LRMC!$M$27,Inputs_LRMC!$M$26,W93)</f>
        <v>44.758560054004086</v>
      </c>
      <c r="X105" s="66">
        <f>-PMT(Inputs_LRMC!$M$27,Inputs_LRMC!$M$26,X93)</f>
        <v>44.758560054004086</v>
      </c>
      <c r="Y105" s="66">
        <f>-PMT(Inputs_LRMC!$M$27,Inputs_LRMC!$M$26,Y93)</f>
        <v>44.758560054004086</v>
      </c>
      <c r="Z105" s="66">
        <f>-PMT(Inputs_LRMC!$M$27,Inputs_LRMC!$M$26,Z93)</f>
        <v>44.758560054004086</v>
      </c>
      <c r="AA105" s="66">
        <f>-PMT(Inputs_LRMC!$M$27,Inputs_LRMC!$M$26,AA93)</f>
        <v>44.758560054004086</v>
      </c>
      <c r="AB105" s="66">
        <f>-PMT(Inputs_LRMC!$M$27,Inputs_LRMC!$M$26,AB93)</f>
        <v>44.758560054004086</v>
      </c>
      <c r="AC105" s="66">
        <f>-PMT(Inputs_LRMC!$M$27,Inputs_LRMC!$M$26,AC93)</f>
        <v>44.758560054004086</v>
      </c>
      <c r="AD105" s="66">
        <f>-PMT(Inputs_LRMC!$M$27,Inputs_LRMC!$M$26,AD93)</f>
        <v>44.758560054004569</v>
      </c>
      <c r="AE105" s="66">
        <f>-PMT(Inputs_LRMC!$M$27,Inputs_LRMC!$M$26,AE93)</f>
        <v>44.758560054004086</v>
      </c>
      <c r="AF105" s="66">
        <f>-PMT(Inputs_LRMC!$M$27,Inputs_LRMC!$M$26,AF93)</f>
        <v>44.758560054004086</v>
      </c>
      <c r="AG105" s="66">
        <f>-PMT(Inputs_LRMC!$M$27,Inputs_LRMC!$M$26,AG93)</f>
        <v>44.758560054004086</v>
      </c>
      <c r="AH105" s="66">
        <f>-PMT(Inputs_LRMC!$M$27,Inputs_LRMC!$M$26,AH93)</f>
        <v>44.758560054004086</v>
      </c>
      <c r="AI105" s="66">
        <f>-PMT(Inputs_LRMC!$M$27,Inputs_LRMC!$M$26,AI93)</f>
        <v>44.758560054004086</v>
      </c>
    </row>
    <row r="106" spans="1:35" ht="11.25" customHeight="1" x14ac:dyDescent="0.3"/>
    <row r="107" spans="1:35" ht="11.25" customHeight="1" x14ac:dyDescent="0.3">
      <c r="D107" s="62" t="s">
        <v>51</v>
      </c>
      <c r="H107" s="56" t="s">
        <v>52</v>
      </c>
      <c r="I107" s="56" t="str">
        <f>Thousands</f>
        <v>$000's</v>
      </c>
      <c r="J107" s="163" t="s">
        <v>239</v>
      </c>
      <c r="M107" s="68">
        <f t="shared" ref="M107:S107" si="90">SUM(M103:M105)</f>
        <v>275.28219297574884</v>
      </c>
      <c r="N107" s="68">
        <f t="shared" si="90"/>
        <v>580.48067713779483</v>
      </c>
      <c r="O107" s="68">
        <f t="shared" si="90"/>
        <v>409.24544767558359</v>
      </c>
      <c r="P107" s="68">
        <f t="shared" si="90"/>
        <v>261.76814040623185</v>
      </c>
      <c r="Q107" s="68">
        <f t="shared" si="90"/>
        <v>314.47562818603996</v>
      </c>
      <c r="R107" s="68">
        <f t="shared" si="90"/>
        <v>233.05355700764505</v>
      </c>
      <c r="S107" s="68">
        <f t="shared" si="90"/>
        <v>214.54685826209953</v>
      </c>
      <c r="T107" s="68">
        <f t="shared" ref="T107:AI107" si="91">SUM(T103:T105)</f>
        <v>326.9789288073062</v>
      </c>
      <c r="U107" s="68">
        <f t="shared" si="91"/>
        <v>326.9789288073062</v>
      </c>
      <c r="V107" s="68">
        <f t="shared" si="91"/>
        <v>233.62467235579305</v>
      </c>
      <c r="W107" s="68">
        <f t="shared" si="91"/>
        <v>233.9467404584023</v>
      </c>
      <c r="X107" s="68">
        <f t="shared" si="91"/>
        <v>233.9467404584023</v>
      </c>
      <c r="Y107" s="68">
        <f t="shared" si="91"/>
        <v>233.9467404584023</v>
      </c>
      <c r="Z107" s="68">
        <f t="shared" si="91"/>
        <v>233.9467404584023</v>
      </c>
      <c r="AA107" s="68">
        <f t="shared" si="91"/>
        <v>233.94674045840156</v>
      </c>
      <c r="AB107" s="68">
        <f t="shared" si="91"/>
        <v>233.9467404584023</v>
      </c>
      <c r="AC107" s="68">
        <f t="shared" si="91"/>
        <v>233.9467404584023</v>
      </c>
      <c r="AD107" s="68">
        <f t="shared" si="91"/>
        <v>233.94674045840421</v>
      </c>
      <c r="AE107" s="68">
        <f t="shared" si="91"/>
        <v>233.9467404584023</v>
      </c>
      <c r="AF107" s="68">
        <f t="shared" si="91"/>
        <v>233.94674045840156</v>
      </c>
      <c r="AG107" s="68">
        <f t="shared" si="91"/>
        <v>233.9467404584023</v>
      </c>
      <c r="AH107" s="68">
        <f t="shared" si="91"/>
        <v>233.9467404584023</v>
      </c>
      <c r="AI107" s="68">
        <f t="shared" si="91"/>
        <v>233.9467404584023</v>
      </c>
    </row>
    <row r="108" spans="1:35" ht="11.25" customHeight="1" x14ac:dyDescent="0.3">
      <c r="M108" s="145"/>
    </row>
    <row r="109" spans="1:35" ht="12.75" hidden="1" outlineLevel="1" x14ac:dyDescent="0.3">
      <c r="D109" s="81" t="s">
        <v>90</v>
      </c>
      <c r="E109" s="82"/>
      <c r="G109" s="82"/>
      <c r="H109" s="259" t="s">
        <v>52</v>
      </c>
      <c r="I109" s="259" t="s">
        <v>47</v>
      </c>
      <c r="J109" s="259" t="s">
        <v>40</v>
      </c>
      <c r="K109" s="78"/>
      <c r="M109" s="66">
        <f>-PMT(Inputs_LRMC!$M$27,Inputs_LRMC!$M$26,M95)</f>
        <v>275.28219297574884</v>
      </c>
      <c r="N109" s="66">
        <f>-PMT(Inputs_LRMC!$M$27,Inputs_LRMC!$M$26,N95)</f>
        <v>580.48067713779483</v>
      </c>
      <c r="O109" s="66">
        <f>-PMT(Inputs_LRMC!$M$27,Inputs_LRMC!$M$26,O95)</f>
        <v>409.24544767558365</v>
      </c>
      <c r="P109" s="66">
        <f>-PMT(Inputs_LRMC!$M$27,Inputs_LRMC!$M$26,P95)</f>
        <v>261.76814040623185</v>
      </c>
      <c r="Q109" s="66">
        <f>-PMT(Inputs_LRMC!$M$27,Inputs_LRMC!$M$26,Q95)</f>
        <v>314.47562818603996</v>
      </c>
      <c r="R109" s="66">
        <f>-PMT(Inputs_LRMC!$M$27,Inputs_LRMC!$M$26,R95)</f>
        <v>233.05355700764505</v>
      </c>
      <c r="S109" s="66">
        <f>-PMT(Inputs_LRMC!$M$27,Inputs_LRMC!$M$26,S95)</f>
        <v>214.54685826209951</v>
      </c>
      <c r="T109" s="66">
        <f>-PMT(Inputs_LRMC!$M$27,Inputs_LRMC!$M$26,T95)</f>
        <v>326.9789288073062</v>
      </c>
      <c r="U109" s="66">
        <f>-PMT(Inputs_LRMC!$M$27,Inputs_LRMC!$M$26,U95)</f>
        <v>326.9789288073062</v>
      </c>
      <c r="V109" s="66">
        <f>-PMT(Inputs_LRMC!$M$27,Inputs_LRMC!$M$26,V95)</f>
        <v>233.62467235579308</v>
      </c>
      <c r="W109" s="66">
        <f>-PMT(Inputs_LRMC!$M$27,Inputs_LRMC!$M$26,W95)</f>
        <v>233.94674045840227</v>
      </c>
      <c r="X109" s="66">
        <f>-PMT(Inputs_LRMC!$M$27,Inputs_LRMC!$M$26,X95)</f>
        <v>233.94674045840227</v>
      </c>
      <c r="Y109" s="66">
        <f>-PMT(Inputs_LRMC!$M$27,Inputs_LRMC!$M$26,Y95)</f>
        <v>233.94674045840227</v>
      </c>
      <c r="Z109" s="66">
        <f>-PMT(Inputs_LRMC!$M$27,Inputs_LRMC!$M$26,Z95)</f>
        <v>233.94674045840227</v>
      </c>
      <c r="AA109" s="66">
        <f>-PMT(Inputs_LRMC!$M$27,Inputs_LRMC!$M$26,AA95)</f>
        <v>233.94674045840154</v>
      </c>
      <c r="AB109" s="66">
        <f>-PMT(Inputs_LRMC!$M$27,Inputs_LRMC!$M$26,AB95)</f>
        <v>233.94674045840227</v>
      </c>
      <c r="AC109" s="66">
        <f>-PMT(Inputs_LRMC!$M$27,Inputs_LRMC!$M$26,AC95)</f>
        <v>233.94674045840227</v>
      </c>
      <c r="AD109" s="66">
        <f>-PMT(Inputs_LRMC!$M$27,Inputs_LRMC!$M$26,AD95)</f>
        <v>233.94674045840426</v>
      </c>
      <c r="AE109" s="66">
        <f>-PMT(Inputs_LRMC!$M$27,Inputs_LRMC!$M$26,AE95)</f>
        <v>233.94674045840227</v>
      </c>
      <c r="AF109" s="66">
        <f>-PMT(Inputs_LRMC!$M$27,Inputs_LRMC!$M$26,AF95)</f>
        <v>233.94674045840154</v>
      </c>
      <c r="AG109" s="66">
        <f>-PMT(Inputs_LRMC!$M$27,Inputs_LRMC!$M$26,AG95)</f>
        <v>233.94674045840227</v>
      </c>
      <c r="AH109" s="66">
        <f>-PMT(Inputs_LRMC!$M$27,Inputs_LRMC!$M$26,AH95)</f>
        <v>233.94674045840227</v>
      </c>
      <c r="AI109" s="66">
        <f>-PMT(Inputs_LRMC!$M$27,Inputs_LRMC!$M$26,AI95)</f>
        <v>233.94674045840227</v>
      </c>
    </row>
    <row r="110" spans="1:35" ht="12.75" hidden="1" outlineLevel="1" x14ac:dyDescent="0.3">
      <c r="A110" s="59">
        <f>IF(SUM($M110:$AI110)=0,0,1)</f>
        <v>0</v>
      </c>
      <c r="D110" s="81" t="s">
        <v>55</v>
      </c>
      <c r="E110" s="82"/>
      <c r="F110" s="80"/>
      <c r="G110" s="82"/>
      <c r="H110" s="80"/>
      <c r="I110" s="84"/>
      <c r="J110" s="84"/>
      <c r="K110" s="78"/>
      <c r="M110" s="59">
        <f t="shared" ref="M110:AI110" si="92">IF(ROUND(M109-M107,2)=0,0,1)</f>
        <v>0</v>
      </c>
      <c r="N110" s="59">
        <f t="shared" si="92"/>
        <v>0</v>
      </c>
      <c r="O110" s="59">
        <f t="shared" si="92"/>
        <v>0</v>
      </c>
      <c r="P110" s="59">
        <f t="shared" si="92"/>
        <v>0</v>
      </c>
      <c r="Q110" s="59">
        <f t="shared" si="92"/>
        <v>0</v>
      </c>
      <c r="R110" s="59">
        <f t="shared" si="92"/>
        <v>0</v>
      </c>
      <c r="S110" s="59">
        <f t="shared" si="92"/>
        <v>0</v>
      </c>
      <c r="T110" s="59">
        <f t="shared" si="92"/>
        <v>0</v>
      </c>
      <c r="U110" s="59">
        <f t="shared" si="92"/>
        <v>0</v>
      </c>
      <c r="V110" s="59">
        <f t="shared" si="92"/>
        <v>0</v>
      </c>
      <c r="W110" s="59">
        <f t="shared" si="92"/>
        <v>0</v>
      </c>
      <c r="X110" s="59">
        <f t="shared" si="92"/>
        <v>0</v>
      </c>
      <c r="Y110" s="59">
        <f t="shared" si="92"/>
        <v>0</v>
      </c>
      <c r="Z110" s="59">
        <f t="shared" si="92"/>
        <v>0</v>
      </c>
      <c r="AA110" s="59">
        <f t="shared" si="92"/>
        <v>0</v>
      </c>
      <c r="AB110" s="59">
        <f t="shared" si="92"/>
        <v>0</v>
      </c>
      <c r="AC110" s="59">
        <f t="shared" si="92"/>
        <v>0</v>
      </c>
      <c r="AD110" s="59">
        <f t="shared" si="92"/>
        <v>0</v>
      </c>
      <c r="AE110" s="59">
        <f t="shared" si="92"/>
        <v>0</v>
      </c>
      <c r="AF110" s="59">
        <f t="shared" si="92"/>
        <v>0</v>
      </c>
      <c r="AG110" s="59">
        <f t="shared" si="92"/>
        <v>0</v>
      </c>
      <c r="AH110" s="59">
        <f t="shared" si="92"/>
        <v>0</v>
      </c>
      <c r="AI110" s="59">
        <f t="shared" si="92"/>
        <v>0</v>
      </c>
    </row>
    <row r="111" spans="1:35" ht="11.25" customHeight="1" collapsed="1" x14ac:dyDescent="0.3"/>
    <row r="112" spans="1:35" ht="11.25" customHeight="1" x14ac:dyDescent="0.3"/>
    <row r="113" spans="1:35" s="8" customFormat="1" ht="13.9" x14ac:dyDescent="0.3">
      <c r="C113" s="8" t="s">
        <v>729</v>
      </c>
    </row>
    <row r="114" spans="1:35" ht="11.25" customHeight="1" x14ac:dyDescent="0.3"/>
    <row r="115" spans="1:35" ht="11.25" customHeight="1" x14ac:dyDescent="0.3">
      <c r="D115" s="70" t="s">
        <v>730</v>
      </c>
      <c r="H115" s="54" t="str">
        <f>Lookup!E$19</f>
        <v>Source</v>
      </c>
      <c r="I115" s="54" t="str">
        <f>Lookup!F$19</f>
        <v>Unit</v>
      </c>
      <c r="J115" s="54" t="str">
        <f>Lookup!G$19</f>
        <v>Basis</v>
      </c>
      <c r="M115" s="54" t="str">
        <f t="shared" ref="M115:S115" si="93">M$9</f>
        <v>FY23</v>
      </c>
      <c r="N115" s="54" t="str">
        <f t="shared" si="93"/>
        <v>FY24</v>
      </c>
      <c r="O115" s="54" t="str">
        <f t="shared" si="93"/>
        <v>FY25</v>
      </c>
      <c r="P115" s="54" t="str">
        <f t="shared" si="93"/>
        <v>FY26</v>
      </c>
      <c r="Q115" s="54" t="str">
        <f t="shared" si="93"/>
        <v>FY27</v>
      </c>
      <c r="R115" s="54" t="str">
        <f t="shared" si="93"/>
        <v>FY28</v>
      </c>
      <c r="S115" s="54" t="str">
        <f t="shared" si="93"/>
        <v>FY29</v>
      </c>
      <c r="U115" s="54" t="s">
        <v>737</v>
      </c>
    </row>
    <row r="116" spans="1:35" ht="11.25" customHeight="1" x14ac:dyDescent="0.3">
      <c r="D116" s="1"/>
    </row>
    <row r="117" spans="1:35" ht="12.75" x14ac:dyDescent="0.3">
      <c r="D117" s="75" t="s">
        <v>258</v>
      </c>
      <c r="E117" s="82"/>
      <c r="F117" s="82"/>
      <c r="G117" s="82"/>
      <c r="H117" s="259" t="s">
        <v>52</v>
      </c>
      <c r="I117" s="259" t="s">
        <v>47</v>
      </c>
      <c r="J117" s="259" t="s">
        <v>239</v>
      </c>
      <c r="M117" s="66">
        <f>SUMIF(Inputs_LRMC!$U$80:$U$221,$D117,Inputs_LRMC!M$80:M$221)</f>
        <v>8535.3331553829648</v>
      </c>
      <c r="N117" s="66">
        <f>SUMIF(Inputs_LRMC!$U$80:$U$221,$D117,Inputs_LRMC!N$80:N$221)</f>
        <v>13602.400858135221</v>
      </c>
      <c r="O117" s="66">
        <f>SUMIF(Inputs_LRMC!$U$80:$U$221,$D117,Inputs_LRMC!O$80:O$221)</f>
        <v>5399.9640303080714</v>
      </c>
      <c r="P117" s="66">
        <f>SUMIF(Inputs_LRMC!$U$80:$U$221,$D117,Inputs_LRMC!P$80:P$221)</f>
        <v>8756.92184872711</v>
      </c>
      <c r="Q117" s="66">
        <f>SUMIF(Inputs_LRMC!$U$80:$U$221,$D117,Inputs_LRMC!Q$80:Q$221)</f>
        <v>4978.5730028591679</v>
      </c>
      <c r="R117" s="66">
        <f>SUMIF(Inputs_LRMC!$U$80:$U$221,$D117,Inputs_LRMC!R$80:R$221)</f>
        <v>2026.0762282626754</v>
      </c>
      <c r="S117" s="66">
        <f>SUMIF(Inputs_LRMC!$U$80:$U$221,$D117,Inputs_LRMC!S$80:S$221)</f>
        <v>2116.6207015029854</v>
      </c>
      <c r="U117" s="126" cm="1">
        <f t="array" ref="U117">AVERAGE($M117:$S117/($M$122:$S$122-$M$120:$S$120))</f>
        <v>0.25876496284111955</v>
      </c>
    </row>
    <row r="118" spans="1:35" ht="12.75" x14ac:dyDescent="0.3">
      <c r="D118" s="75" t="s">
        <v>69</v>
      </c>
      <c r="H118" s="259" t="s">
        <v>52</v>
      </c>
      <c r="I118" s="259" t="s">
        <v>47</v>
      </c>
      <c r="J118" s="259" t="s">
        <v>239</v>
      </c>
      <c r="M118" s="66">
        <f>SUMIF(Inputs_LRMC!$U$80:$U$221,$D118,Inputs_LRMC!M$80:M$221)</f>
        <v>8599.82981265122</v>
      </c>
      <c r="N118" s="66">
        <f>SUMIF(Inputs_LRMC!$U$80:$U$221,$D118,Inputs_LRMC!N$80:N$221)</f>
        <v>7790.4703289085292</v>
      </c>
      <c r="O118" s="66">
        <f>SUMIF(Inputs_LRMC!$U$80:$U$221,$D118,Inputs_LRMC!O$80:O$221)</f>
        <v>10105.281624648665</v>
      </c>
      <c r="P118" s="66">
        <f>SUMIF(Inputs_LRMC!$U$80:$U$221,$D118,Inputs_LRMC!P$80:P$221)</f>
        <v>11698.468471332029</v>
      </c>
      <c r="Q118" s="66">
        <f>SUMIF(Inputs_LRMC!$U$80:$U$221,$D118,Inputs_LRMC!Q$80:Q$221)</f>
        <v>7453.7263619285932</v>
      </c>
      <c r="R118" s="66">
        <f>SUMIF(Inputs_LRMC!$U$80:$U$221,$D118,Inputs_LRMC!R$80:R$221)</f>
        <v>7544.0142350411388</v>
      </c>
      <c r="S118" s="66">
        <f>SUMIF(Inputs_LRMC!$U$80:$U$221,$D118,Inputs_LRMC!S$80:S$221)</f>
        <v>7652.1210162829757</v>
      </c>
      <c r="U118" s="126" cm="1">
        <f t="array" ref="U118">AVERAGE($M118:$S118/($M$122:$S$122-$M$120:$S$120))</f>
        <v>0.36813808189253988</v>
      </c>
    </row>
    <row r="119" spans="1:35" ht="12.75" x14ac:dyDescent="0.3">
      <c r="D119" s="75" t="s">
        <v>257</v>
      </c>
      <c r="H119" s="259" t="s">
        <v>52</v>
      </c>
      <c r="I119" s="259" t="s">
        <v>47</v>
      </c>
      <c r="J119" s="259" t="s">
        <v>239</v>
      </c>
      <c r="M119" s="66">
        <f>SUMIF(Inputs_LRMC!$U$80:$U$221,$D119,Inputs_LRMC!M$80:M$221)</f>
        <v>6451.2132364546687</v>
      </c>
      <c r="N119" s="66">
        <f>SUMIF(Inputs_LRMC!$U$80:$U$221,$D119,Inputs_LRMC!N$80:N$221)</f>
        <v>6187.6442922843198</v>
      </c>
      <c r="O119" s="66">
        <f>SUMIF(Inputs_LRMC!$U$80:$U$221,$D119,Inputs_LRMC!O$80:O$221)</f>
        <v>8998.631049341926</v>
      </c>
      <c r="P119" s="66">
        <f>SUMIF(Inputs_LRMC!$U$80:$U$221,$D119,Inputs_LRMC!P$80:P$221)</f>
        <v>9236.7452781386783</v>
      </c>
      <c r="Q119" s="66">
        <f>SUMIF(Inputs_LRMC!$U$80:$U$221,$D119,Inputs_LRMC!Q$80:Q$221)</f>
        <v>9435.6087526843967</v>
      </c>
      <c r="R119" s="66">
        <f>SUMIF(Inputs_LRMC!$U$80:$U$221,$D119,Inputs_LRMC!R$80:R$221)</f>
        <v>9634.1947609007439</v>
      </c>
      <c r="S119" s="66">
        <f>SUMIF(Inputs_LRMC!$U$80:$U$221,$D119,Inputs_LRMC!S$80:S$221)</f>
        <v>9860.9243452574156</v>
      </c>
      <c r="U119" s="126" cm="1">
        <f t="array" ref="U119">AVERAGE($M119:$S119/($M$122:$S$122-$M$120:$S$120))</f>
        <v>0.37309695526634057</v>
      </c>
    </row>
    <row r="120" spans="1:35" ht="12.75" x14ac:dyDescent="0.3">
      <c r="D120" s="75" t="s">
        <v>320</v>
      </c>
      <c r="H120" s="259" t="s">
        <v>52</v>
      </c>
      <c r="I120" s="259" t="s">
        <v>47</v>
      </c>
      <c r="J120" s="259" t="s">
        <v>239</v>
      </c>
      <c r="M120" s="66">
        <f>SUMIF(Inputs_LRMC!$U$80:$U$221,$D120,Inputs_LRMC!M$80:M$221)</f>
        <v>15006.483565334489</v>
      </c>
      <c r="N120" s="66">
        <f>SUMIF(Inputs_LRMC!$U$80:$U$221,$D120,Inputs_LRMC!N$80:N$221)</f>
        <v>19960.891879846931</v>
      </c>
      <c r="O120" s="66">
        <f>SUMIF(Inputs_LRMC!$U$80:$U$221,$D120,Inputs_LRMC!O$80:O$221)</f>
        <v>23005.525235283494</v>
      </c>
      <c r="P120" s="66">
        <f>SUMIF(Inputs_LRMC!$U$80:$U$221,$D120,Inputs_LRMC!P$80:P$221)</f>
        <v>14331.658548424615</v>
      </c>
      <c r="Q120" s="66">
        <f>SUMIF(Inputs_LRMC!$U$80:$U$221,$D120,Inputs_LRMC!Q$80:Q$221)</f>
        <v>8563.2108104376093</v>
      </c>
      <c r="R120" s="66">
        <f>SUMIF(Inputs_LRMC!$U$80:$U$221,$D120,Inputs_LRMC!R$80:R$221)</f>
        <v>8245.9454862530038</v>
      </c>
      <c r="S120" s="66">
        <f>SUMIF(Inputs_LRMC!$U$80:$U$221,$D120,Inputs_LRMC!S$80:S$221)</f>
        <v>7583.3468313181638</v>
      </c>
    </row>
    <row r="121" spans="1:35" ht="11.25" customHeight="1" x14ac:dyDescent="0.3"/>
    <row r="122" spans="1:35" ht="11.25" customHeight="1" x14ac:dyDescent="0.3">
      <c r="D122" s="62" t="s">
        <v>51</v>
      </c>
      <c r="H122" s="56" t="s">
        <v>52</v>
      </c>
      <c r="I122" s="56" t="str">
        <f>Thousands</f>
        <v>$000's</v>
      </c>
      <c r="J122" s="163" t="s">
        <v>239</v>
      </c>
      <c r="M122" s="68">
        <f t="shared" ref="M122:S122" si="94">SUM(M117:M120)</f>
        <v>38592.85976982335</v>
      </c>
      <c r="N122" s="68">
        <f t="shared" si="94"/>
        <v>47541.407359175006</v>
      </c>
      <c r="O122" s="68">
        <f t="shared" si="94"/>
        <v>47509.401939582152</v>
      </c>
      <c r="P122" s="68">
        <f t="shared" si="94"/>
        <v>44023.794146622429</v>
      </c>
      <c r="Q122" s="68">
        <f t="shared" si="94"/>
        <v>30431.118927909767</v>
      </c>
      <c r="R122" s="68">
        <f t="shared" si="94"/>
        <v>27450.230710457559</v>
      </c>
      <c r="S122" s="68">
        <f t="shared" si="94"/>
        <v>27213.012894361542</v>
      </c>
      <c r="U122" s="162">
        <f t="shared" ref="U122" si="95">SUM(U117:U120)</f>
        <v>1</v>
      </c>
    </row>
    <row r="123" spans="1:35" ht="11.25" customHeight="1" x14ac:dyDescent="0.3"/>
    <row r="124" spans="1:35" ht="12.75" hidden="1" outlineLevel="1" x14ac:dyDescent="0.3">
      <c r="D124" s="81" t="s">
        <v>90</v>
      </c>
      <c r="E124" s="82"/>
      <c r="G124" s="82"/>
      <c r="H124" s="259" t="s">
        <v>52</v>
      </c>
      <c r="I124" s="259" t="s">
        <v>47</v>
      </c>
      <c r="J124" s="259" t="s">
        <v>40</v>
      </c>
      <c r="K124" s="78"/>
      <c r="M124" s="66">
        <f>Inputs_LRMC!M223</f>
        <v>38592.859769823335</v>
      </c>
      <c r="N124" s="66">
        <f>Inputs_LRMC!N223</f>
        <v>47541.407359174991</v>
      </c>
      <c r="O124" s="66">
        <f>Inputs_LRMC!O223</f>
        <v>47509.401939582145</v>
      </c>
      <c r="P124" s="66">
        <f>Inputs_LRMC!P223</f>
        <v>44023.794146622422</v>
      </c>
      <c r="Q124" s="66">
        <f>Inputs_LRMC!Q223</f>
        <v>30431.118927909771</v>
      </c>
      <c r="R124" s="66">
        <f>Inputs_LRMC!R223</f>
        <v>27450.230710457559</v>
      </c>
      <c r="S124" s="66">
        <f>Inputs_LRMC!S223</f>
        <v>27213.012894361549</v>
      </c>
    </row>
    <row r="125" spans="1:35" ht="12.75" hidden="1" outlineLevel="1" x14ac:dyDescent="0.3">
      <c r="A125" s="59">
        <f>IF(SUM($M125:$S125)=0,0,1)</f>
        <v>0</v>
      </c>
      <c r="D125" s="81" t="s">
        <v>55</v>
      </c>
      <c r="E125" s="82"/>
      <c r="F125" s="80"/>
      <c r="G125" s="82"/>
      <c r="H125" s="80"/>
      <c r="I125" s="84"/>
      <c r="J125" s="84"/>
      <c r="K125" s="78"/>
      <c r="M125" s="59">
        <f t="shared" ref="M125:S125" si="96">IF(ROUND(M124-M122,2)=0,0,1)</f>
        <v>0</v>
      </c>
      <c r="N125" s="59">
        <f t="shared" si="96"/>
        <v>0</v>
      </c>
      <c r="O125" s="59">
        <f t="shared" si="96"/>
        <v>0</v>
      </c>
      <c r="P125" s="59">
        <f t="shared" si="96"/>
        <v>0</v>
      </c>
      <c r="Q125" s="59">
        <f t="shared" si="96"/>
        <v>0</v>
      </c>
      <c r="R125" s="59">
        <f t="shared" si="96"/>
        <v>0</v>
      </c>
      <c r="S125" s="59">
        <f t="shared" si="96"/>
        <v>0</v>
      </c>
    </row>
    <row r="126" spans="1:35" ht="11.25" customHeight="1" collapsed="1" x14ac:dyDescent="0.3"/>
    <row r="127" spans="1:35" ht="11.25" customHeight="1" x14ac:dyDescent="0.3"/>
    <row r="128" spans="1:35" ht="11.25" customHeight="1" x14ac:dyDescent="0.3">
      <c r="D128" s="70" t="s">
        <v>731</v>
      </c>
      <c r="H128" s="54" t="str">
        <f>Lookup!E$19</f>
        <v>Source</v>
      </c>
      <c r="I128" s="54" t="str">
        <f>Lookup!F$19</f>
        <v>Unit</v>
      </c>
      <c r="J128" s="54" t="str">
        <f>Lookup!G$19</f>
        <v>Basis</v>
      </c>
      <c r="M128" s="54" t="str">
        <f t="shared" ref="M128:S128" si="97">M$9</f>
        <v>FY23</v>
      </c>
      <c r="N128" s="54" t="str">
        <f t="shared" si="97"/>
        <v>FY24</v>
      </c>
      <c r="O128" s="54" t="str">
        <f t="shared" si="97"/>
        <v>FY25</v>
      </c>
      <c r="P128" s="54" t="str">
        <f t="shared" si="97"/>
        <v>FY26</v>
      </c>
      <c r="Q128" s="54" t="str">
        <f t="shared" si="97"/>
        <v>FY27</v>
      </c>
      <c r="R128" s="54" t="str">
        <f t="shared" si="97"/>
        <v>FY28</v>
      </c>
      <c r="S128" s="54" t="str">
        <f t="shared" si="97"/>
        <v>FY29</v>
      </c>
      <c r="T128" s="54" t="str">
        <f t="shared" ref="T128:AI128" si="98">T$9</f>
        <v>FY30</v>
      </c>
      <c r="U128" s="54" t="str">
        <f t="shared" si="98"/>
        <v>FY31</v>
      </c>
      <c r="V128" s="54" t="str">
        <f t="shared" si="98"/>
        <v>FY32</v>
      </c>
      <c r="W128" s="54" t="str">
        <f t="shared" si="98"/>
        <v>FY33</v>
      </c>
      <c r="X128" s="54" t="str">
        <f t="shared" si="98"/>
        <v>FY34</v>
      </c>
      <c r="Y128" s="54" t="str">
        <f t="shared" si="98"/>
        <v>FY35</v>
      </c>
      <c r="Z128" s="54" t="str">
        <f t="shared" si="98"/>
        <v>FY36</v>
      </c>
      <c r="AA128" s="54" t="str">
        <f t="shared" si="98"/>
        <v>FY37</v>
      </c>
      <c r="AB128" s="54" t="str">
        <f t="shared" si="98"/>
        <v>FY38</v>
      </c>
      <c r="AC128" s="54" t="str">
        <f t="shared" si="98"/>
        <v>FY39</v>
      </c>
      <c r="AD128" s="54" t="str">
        <f t="shared" si="98"/>
        <v>FY40</v>
      </c>
      <c r="AE128" s="54" t="str">
        <f t="shared" si="98"/>
        <v>FY41</v>
      </c>
      <c r="AF128" s="54" t="str">
        <f t="shared" si="98"/>
        <v>FY42</v>
      </c>
      <c r="AG128" s="54" t="str">
        <f t="shared" si="98"/>
        <v>FY43</v>
      </c>
      <c r="AH128" s="54" t="str">
        <f t="shared" si="98"/>
        <v>FY44</v>
      </c>
      <c r="AI128" s="54" t="str">
        <f t="shared" si="98"/>
        <v>FY45</v>
      </c>
    </row>
    <row r="129" spans="1:35" ht="11.25" customHeight="1" x14ac:dyDescent="0.3">
      <c r="D129" s="1"/>
    </row>
    <row r="130" spans="1:35" ht="12.75" x14ac:dyDescent="0.3">
      <c r="D130" s="75" t="s">
        <v>258</v>
      </c>
      <c r="E130" s="82"/>
      <c r="F130" s="82"/>
      <c r="G130" s="82"/>
      <c r="H130" s="259" t="s">
        <v>52</v>
      </c>
      <c r="I130" s="259" t="s">
        <v>47</v>
      </c>
      <c r="J130" s="259" t="s">
        <v>239</v>
      </c>
      <c r="M130" s="66">
        <f>M117+M$120*$U117</f>
        <v>12418.485317542614</v>
      </c>
      <c r="N130" s="66">
        <f t="shared" ref="N130:S130" si="99">N117+N$120*$U117</f>
        <v>18767.580303699418</v>
      </c>
      <c r="O130" s="66">
        <f t="shared" si="99"/>
        <v>11352.987912956643</v>
      </c>
      <c r="P130" s="66">
        <f t="shared" si="99"/>
        <v>12465.452940461819</v>
      </c>
      <c r="Q130" s="66">
        <f t="shared" si="99"/>
        <v>7194.4319300227289</v>
      </c>
      <c r="R130" s="66">
        <f t="shared" si="99"/>
        <v>4159.8380056028318</v>
      </c>
      <c r="S130" s="96">
        <f t="shared" si="99"/>
        <v>4078.9251625203515</v>
      </c>
      <c r="T130" s="66">
        <f>AVERAGE($M130:$S130)</f>
        <v>10062.528796115201</v>
      </c>
      <c r="U130" s="96">
        <f>AVERAGE($M130:$S130)</f>
        <v>10062.528796115201</v>
      </c>
      <c r="V130" s="66">
        <f>Calc_LRMC!V195*SUM($M130:$U130)/SUM(Calc_LRMC!$M195:$U195)</f>
        <v>7189.6222843415753</v>
      </c>
      <c r="W130" s="66">
        <f>Calc_LRMC!W195*SUM($M130:$U130)/SUM(Calc_LRMC!$M195:$U195)</f>
        <v>7199.5336861821706</v>
      </c>
      <c r="X130" s="66">
        <f>Calc_LRMC!X195*SUM($M130:$U130)/SUM(Calc_LRMC!$M195:$U195)</f>
        <v>7199.5336861821706</v>
      </c>
      <c r="Y130" s="66">
        <f>Calc_LRMC!Y195*SUM($M130:$U130)/SUM(Calc_LRMC!$M195:$U195)</f>
        <v>7199.5336861821706</v>
      </c>
      <c r="Z130" s="66">
        <f>Calc_LRMC!Z195*SUM($M130:$U130)/SUM(Calc_LRMC!$M195:$U195)</f>
        <v>7199.5336861821706</v>
      </c>
      <c r="AA130" s="66">
        <f>Calc_LRMC!AA195*SUM($M130:$U130)/SUM(Calc_LRMC!$M195:$U195)</f>
        <v>7199.5336861821424</v>
      </c>
      <c r="AB130" s="66">
        <f>Calc_LRMC!AB195*SUM($M130:$U130)/SUM(Calc_LRMC!$M195:$U195)</f>
        <v>7199.5336861821706</v>
      </c>
      <c r="AC130" s="66">
        <f>Calc_LRMC!AC195*SUM($M130:$U130)/SUM(Calc_LRMC!$M195:$U195)</f>
        <v>7199.5336861821706</v>
      </c>
      <c r="AD130" s="66">
        <f>Calc_LRMC!AD195*SUM($M130:$U130)/SUM(Calc_LRMC!$M195:$U195)</f>
        <v>7199.5336861822261</v>
      </c>
      <c r="AE130" s="66">
        <f>Calc_LRMC!AE195*SUM($M130:$U130)/SUM(Calc_LRMC!$M195:$U195)</f>
        <v>7199.5336861821706</v>
      </c>
      <c r="AF130" s="66">
        <f>Calc_LRMC!AF195*SUM($M130:$U130)/SUM(Calc_LRMC!$M195:$U195)</f>
        <v>7199.5336861821424</v>
      </c>
      <c r="AG130" s="66">
        <f>Calc_LRMC!AG195*SUM($M130:$U130)/SUM(Calc_LRMC!$M195:$U195)</f>
        <v>7199.5336861821706</v>
      </c>
      <c r="AH130" s="66">
        <f>Calc_LRMC!AH195*SUM($M130:$U130)/SUM(Calc_LRMC!$M195:$U195)</f>
        <v>7199.5336861821706</v>
      </c>
      <c r="AI130" s="66">
        <f>Calc_LRMC!AI195*SUM($M130:$U130)/SUM(Calc_LRMC!$M195:$U195)</f>
        <v>7199.5336861821706</v>
      </c>
    </row>
    <row r="131" spans="1:35" ht="12.75" x14ac:dyDescent="0.3">
      <c r="D131" s="75" t="s">
        <v>69</v>
      </c>
      <c r="H131" s="259" t="s">
        <v>52</v>
      </c>
      <c r="I131" s="259" t="s">
        <v>47</v>
      </c>
      <c r="J131" s="259" t="s">
        <v>239</v>
      </c>
      <c r="M131" s="66">
        <f t="shared" ref="M131:S131" si="100">M118+M$120*$U118</f>
        <v>14124.287888345381</v>
      </c>
      <c r="N131" s="66">
        <f t="shared" si="100"/>
        <v>15138.834778419754</v>
      </c>
      <c r="O131" s="66">
        <f t="shared" si="100"/>
        <v>18574.491557696354</v>
      </c>
      <c r="P131" s="66">
        <f t="shared" si="100"/>
        <v>16974.497759687889</v>
      </c>
      <c r="Q131" s="66">
        <f t="shared" si="100"/>
        <v>10606.170364524556</v>
      </c>
      <c r="R131" s="66">
        <f t="shared" si="100"/>
        <v>10579.660789740767</v>
      </c>
      <c r="S131" s="96">
        <f t="shared" si="100"/>
        <v>10443.839773090314</v>
      </c>
      <c r="T131" s="66">
        <f t="shared" ref="T131:U132" si="101">AVERAGE($M131:$S131)</f>
        <v>13777.39755878643</v>
      </c>
      <c r="U131" s="96">
        <f t="shared" si="101"/>
        <v>13777.39755878643</v>
      </c>
      <c r="V131" s="66">
        <f>Calc_LRMC!V196*SUM($M131:$U131)/SUM(Calc_LRMC!$M196:$U196)</f>
        <v>9843.8758800994055</v>
      </c>
      <c r="W131" s="66">
        <f>Calc_LRMC!W196*SUM($M131:$U131)/SUM(Calc_LRMC!$M196:$U196)</f>
        <v>9857.4463578878003</v>
      </c>
      <c r="X131" s="66">
        <f>Calc_LRMC!X196*SUM($M131:$U131)/SUM(Calc_LRMC!$M196:$U196)</f>
        <v>9857.4463578878003</v>
      </c>
      <c r="Y131" s="66">
        <f>Calc_LRMC!Y196*SUM($M131:$U131)/SUM(Calc_LRMC!$M196:$U196)</f>
        <v>9857.4463578878003</v>
      </c>
      <c r="Z131" s="66">
        <f>Calc_LRMC!Z196*SUM($M131:$U131)/SUM(Calc_LRMC!$M196:$U196)</f>
        <v>9857.4463578878003</v>
      </c>
      <c r="AA131" s="66">
        <f>Calc_LRMC!AA196*SUM($M131:$U131)/SUM(Calc_LRMC!$M196:$U196)</f>
        <v>9857.4463578877621</v>
      </c>
      <c r="AB131" s="66">
        <f>Calc_LRMC!AB196*SUM($M131:$U131)/SUM(Calc_LRMC!$M196:$U196)</f>
        <v>9857.4463578878003</v>
      </c>
      <c r="AC131" s="66">
        <f>Calc_LRMC!AC196*SUM($M131:$U131)/SUM(Calc_LRMC!$M196:$U196)</f>
        <v>9857.4463578878003</v>
      </c>
      <c r="AD131" s="66">
        <f>Calc_LRMC!AD196*SUM($M131:$U131)/SUM(Calc_LRMC!$M196:$U196)</f>
        <v>9857.4463578878767</v>
      </c>
      <c r="AE131" s="66">
        <f>Calc_LRMC!AE196*SUM($M131:$U131)/SUM(Calc_LRMC!$M196:$U196)</f>
        <v>9857.4463578878003</v>
      </c>
      <c r="AF131" s="66">
        <f>Calc_LRMC!AF196*SUM($M131:$U131)/SUM(Calc_LRMC!$M196:$U196)</f>
        <v>9857.4463578877621</v>
      </c>
      <c r="AG131" s="66">
        <f>Calc_LRMC!AG196*SUM($M131:$U131)/SUM(Calc_LRMC!$M196:$U196)</f>
        <v>9857.4463578878003</v>
      </c>
      <c r="AH131" s="66">
        <f>Calc_LRMC!AH196*SUM($M131:$U131)/SUM(Calc_LRMC!$M196:$U196)</f>
        <v>9857.4463578878003</v>
      </c>
      <c r="AI131" s="66">
        <f>Calc_LRMC!AI196*SUM($M131:$U131)/SUM(Calc_LRMC!$M196:$U196)</f>
        <v>9857.4463578878003</v>
      </c>
    </row>
    <row r="132" spans="1:35" ht="12.75" x14ac:dyDescent="0.3">
      <c r="D132" s="75" t="s">
        <v>257</v>
      </c>
      <c r="H132" s="259" t="s">
        <v>52</v>
      </c>
      <c r="I132" s="259" t="s">
        <v>47</v>
      </c>
      <c r="J132" s="259" t="s">
        <v>239</v>
      </c>
      <c r="M132" s="66">
        <f t="shared" ref="M132:S132" si="102">M119+M$120*$U119</f>
        <v>12050.086563935345</v>
      </c>
      <c r="N132" s="66">
        <f t="shared" si="102"/>
        <v>13634.992277055831</v>
      </c>
      <c r="O132" s="66">
        <f t="shared" si="102"/>
        <v>17581.922468929159</v>
      </c>
      <c r="P132" s="66">
        <f t="shared" si="102"/>
        <v>14583.843446472725</v>
      </c>
      <c r="Q132" s="66">
        <f t="shared" si="102"/>
        <v>12630.516633362482</v>
      </c>
      <c r="R132" s="66">
        <f t="shared" si="102"/>
        <v>12710.731915113964</v>
      </c>
      <c r="S132" s="96">
        <f t="shared" si="102"/>
        <v>12690.247958750875</v>
      </c>
      <c r="T132" s="66">
        <f t="shared" si="101"/>
        <v>13697.477323374342</v>
      </c>
      <c r="U132" s="96">
        <f t="shared" si="101"/>
        <v>13697.477323374342</v>
      </c>
      <c r="V132" s="66">
        <f>Calc_LRMC!V197*SUM($M132:$U132)/SUM(Calc_LRMC!$M197:$U197)</f>
        <v>9786.7733050776787</v>
      </c>
      <c r="W132" s="66">
        <f>Calc_LRMC!W197*SUM($M132:$U132)/SUM(Calc_LRMC!$M197:$U197)</f>
        <v>9800.265062935463</v>
      </c>
      <c r="X132" s="66">
        <f>Calc_LRMC!X197*SUM($M132:$U132)/SUM(Calc_LRMC!$M197:$U197)</f>
        <v>9800.265062935463</v>
      </c>
      <c r="Y132" s="66">
        <f>Calc_LRMC!Y197*SUM($M132:$U132)/SUM(Calc_LRMC!$M197:$U197)</f>
        <v>9800.265062935463</v>
      </c>
      <c r="Z132" s="66">
        <f>Calc_LRMC!Z197*SUM($M132:$U132)/SUM(Calc_LRMC!$M197:$U197)</f>
        <v>9800.265062935463</v>
      </c>
      <c r="AA132" s="66">
        <f>Calc_LRMC!AA197*SUM($M132:$U132)/SUM(Calc_LRMC!$M197:$U197)</f>
        <v>9800.265062935463</v>
      </c>
      <c r="AB132" s="66">
        <f>Calc_LRMC!AB197*SUM($M132:$U132)/SUM(Calc_LRMC!$M197:$U197)</f>
        <v>9800.265062935463</v>
      </c>
      <c r="AC132" s="66">
        <f>Calc_LRMC!AC197*SUM($M132:$U132)/SUM(Calc_LRMC!$M197:$U197)</f>
        <v>9800.265062935463</v>
      </c>
      <c r="AD132" s="66">
        <f>Calc_LRMC!AD197*SUM($M132:$U132)/SUM(Calc_LRMC!$M197:$U197)</f>
        <v>9800.2650629355703</v>
      </c>
      <c r="AE132" s="66">
        <f>Calc_LRMC!AE197*SUM($M132:$U132)/SUM(Calc_LRMC!$M197:$U197)</f>
        <v>9800.265062935463</v>
      </c>
      <c r="AF132" s="66">
        <f>Calc_LRMC!AF197*SUM($M132:$U132)/SUM(Calc_LRMC!$M197:$U197)</f>
        <v>9800.265062935463</v>
      </c>
      <c r="AG132" s="66">
        <f>Calc_LRMC!AG197*SUM($M132:$U132)/SUM(Calc_LRMC!$M197:$U197)</f>
        <v>9800.265062935463</v>
      </c>
      <c r="AH132" s="66">
        <f>Calc_LRMC!AH197*SUM($M132:$U132)/SUM(Calc_LRMC!$M197:$U197)</f>
        <v>9800.265062935463</v>
      </c>
      <c r="AI132" s="66">
        <f>Calc_LRMC!AI197*SUM($M132:$U132)/SUM(Calc_LRMC!$M197:$U197)</f>
        <v>9800.265062935463</v>
      </c>
    </row>
    <row r="133" spans="1:35" ht="11.25" customHeight="1" x14ac:dyDescent="0.3"/>
    <row r="134" spans="1:35" ht="11.25" customHeight="1" x14ac:dyDescent="0.3">
      <c r="D134" s="62" t="s">
        <v>51</v>
      </c>
      <c r="H134" s="56" t="s">
        <v>52</v>
      </c>
      <c r="I134" s="56" t="str">
        <f>Thousands</f>
        <v>$000's</v>
      </c>
      <c r="J134" s="163" t="s">
        <v>239</v>
      </c>
      <c r="M134" s="68">
        <f t="shared" ref="M134:S134" si="103">SUM(M130:M132)</f>
        <v>38592.859769823343</v>
      </c>
      <c r="N134" s="68">
        <f t="shared" si="103"/>
        <v>47541.407359175006</v>
      </c>
      <c r="O134" s="68">
        <f t="shared" si="103"/>
        <v>47509.401939582152</v>
      </c>
      <c r="P134" s="68">
        <f t="shared" si="103"/>
        <v>44023.794146622429</v>
      </c>
      <c r="Q134" s="68">
        <f t="shared" si="103"/>
        <v>30431.118927909767</v>
      </c>
      <c r="R134" s="68">
        <f t="shared" si="103"/>
        <v>27450.230710457563</v>
      </c>
      <c r="S134" s="68">
        <f t="shared" si="103"/>
        <v>27213.012894361542</v>
      </c>
      <c r="T134" s="68">
        <f t="shared" ref="T134:AI134" si="104">SUM(T130:T132)</f>
        <v>37537.403678275972</v>
      </c>
      <c r="U134" s="68">
        <f t="shared" si="104"/>
        <v>37537.403678275972</v>
      </c>
      <c r="V134" s="68">
        <f t="shared" si="104"/>
        <v>26820.271469518659</v>
      </c>
      <c r="W134" s="68">
        <f t="shared" si="104"/>
        <v>26857.24510700543</v>
      </c>
      <c r="X134" s="68">
        <f t="shared" si="104"/>
        <v>26857.24510700543</v>
      </c>
      <c r="Y134" s="68">
        <f t="shared" si="104"/>
        <v>26857.24510700543</v>
      </c>
      <c r="Z134" s="68">
        <f t="shared" si="104"/>
        <v>26857.24510700543</v>
      </c>
      <c r="AA134" s="68">
        <f t="shared" si="104"/>
        <v>26857.245107005365</v>
      </c>
      <c r="AB134" s="68">
        <f t="shared" si="104"/>
        <v>26857.24510700543</v>
      </c>
      <c r="AC134" s="68">
        <f t="shared" si="104"/>
        <v>26857.24510700543</v>
      </c>
      <c r="AD134" s="68">
        <f t="shared" si="104"/>
        <v>26857.245107005674</v>
      </c>
      <c r="AE134" s="68">
        <f t="shared" si="104"/>
        <v>26857.24510700543</v>
      </c>
      <c r="AF134" s="68">
        <f t="shared" si="104"/>
        <v>26857.245107005365</v>
      </c>
      <c r="AG134" s="68">
        <f t="shared" si="104"/>
        <v>26857.24510700543</v>
      </c>
      <c r="AH134" s="68">
        <f t="shared" si="104"/>
        <v>26857.24510700543</v>
      </c>
      <c r="AI134" s="68">
        <f t="shared" si="104"/>
        <v>26857.24510700543</v>
      </c>
    </row>
    <row r="135" spans="1:35" ht="11.25" customHeight="1" x14ac:dyDescent="0.3"/>
    <row r="136" spans="1:35" ht="12.75" hidden="1" outlineLevel="1" x14ac:dyDescent="0.3">
      <c r="D136" s="81" t="s">
        <v>90</v>
      </c>
      <c r="E136" s="82"/>
      <c r="G136" s="82"/>
      <c r="H136" s="259" t="s">
        <v>52</v>
      </c>
      <c r="I136" s="259" t="s">
        <v>47</v>
      </c>
      <c r="J136" s="259" t="s">
        <v>40</v>
      </c>
      <c r="K136" s="78"/>
      <c r="M136" s="66">
        <f>M122</f>
        <v>38592.85976982335</v>
      </c>
      <c r="N136" s="66">
        <f t="shared" ref="N136:S136" si="105">N122</f>
        <v>47541.407359175006</v>
      </c>
      <c r="O136" s="66">
        <f t="shared" si="105"/>
        <v>47509.401939582152</v>
      </c>
      <c r="P136" s="66">
        <f t="shared" si="105"/>
        <v>44023.794146622429</v>
      </c>
      <c r="Q136" s="66">
        <f t="shared" si="105"/>
        <v>30431.118927909767</v>
      </c>
      <c r="R136" s="66">
        <f t="shared" si="105"/>
        <v>27450.230710457559</v>
      </c>
      <c r="S136" s="96">
        <f t="shared" si="105"/>
        <v>27213.012894361542</v>
      </c>
      <c r="T136" s="66">
        <f t="shared" ref="T136:U136" si="106">AVERAGE($M136:$S136)</f>
        <v>37537.403678275958</v>
      </c>
      <c r="U136" s="66">
        <f t="shared" si="106"/>
        <v>37537.403678275958</v>
      </c>
    </row>
    <row r="137" spans="1:35" ht="12.75" hidden="1" outlineLevel="1" x14ac:dyDescent="0.3">
      <c r="A137" s="59">
        <f>IF(SUM($M137:$U137)=0,0,1)</f>
        <v>0</v>
      </c>
      <c r="D137" s="81" t="s">
        <v>55</v>
      </c>
      <c r="E137" s="82"/>
      <c r="F137" s="80"/>
      <c r="G137" s="82"/>
      <c r="H137" s="80"/>
      <c r="I137" s="84"/>
      <c r="J137" s="84"/>
      <c r="K137" s="78"/>
      <c r="M137" s="59">
        <f t="shared" ref="M137:S137" si="107">IF(ROUND(M136-M134,2)=0,0,1)</f>
        <v>0</v>
      </c>
      <c r="N137" s="59">
        <f t="shared" si="107"/>
        <v>0</v>
      </c>
      <c r="O137" s="59">
        <f t="shared" si="107"/>
        <v>0</v>
      </c>
      <c r="P137" s="59">
        <f t="shared" si="107"/>
        <v>0</v>
      </c>
      <c r="Q137" s="59">
        <f t="shared" si="107"/>
        <v>0</v>
      </c>
      <c r="R137" s="59">
        <f t="shared" si="107"/>
        <v>0</v>
      </c>
      <c r="S137" s="59">
        <f t="shared" si="107"/>
        <v>0</v>
      </c>
      <c r="T137" s="59">
        <f t="shared" ref="T137" si="108">IF(ROUND(T136-T134,2)=0,0,1)</f>
        <v>0</v>
      </c>
      <c r="U137" s="59">
        <f t="shared" ref="U137" si="109">IF(ROUND(U136-U134,2)=0,0,1)</f>
        <v>0</v>
      </c>
    </row>
    <row r="138" spans="1:35" ht="11.25" customHeight="1" collapsed="1" x14ac:dyDescent="0.3"/>
    <row r="139" spans="1:35" ht="11.25" customHeight="1" x14ac:dyDescent="0.3"/>
    <row r="140" spans="1:35" ht="11.25" customHeight="1" x14ac:dyDescent="0.3">
      <c r="D140" s="70" t="s">
        <v>732</v>
      </c>
      <c r="H140" s="54" t="str">
        <f>Lookup!E$19</f>
        <v>Source</v>
      </c>
      <c r="I140" s="54" t="str">
        <f>Lookup!F$19</f>
        <v>Unit</v>
      </c>
      <c r="J140" s="54" t="str">
        <f>Lookup!G$19</f>
        <v>Basis</v>
      </c>
      <c r="M140" s="54" t="str">
        <f t="shared" ref="M140:AI140" si="110">M$9</f>
        <v>FY23</v>
      </c>
      <c r="N140" s="54" t="str">
        <f t="shared" si="110"/>
        <v>FY24</v>
      </c>
      <c r="O140" s="54" t="str">
        <f t="shared" si="110"/>
        <v>FY25</v>
      </c>
      <c r="P140" s="54" t="str">
        <f t="shared" si="110"/>
        <v>FY26</v>
      </c>
      <c r="Q140" s="54" t="str">
        <f t="shared" si="110"/>
        <v>FY27</v>
      </c>
      <c r="R140" s="54" t="str">
        <f t="shared" si="110"/>
        <v>FY28</v>
      </c>
      <c r="S140" s="54" t="str">
        <f t="shared" si="110"/>
        <v>FY29</v>
      </c>
      <c r="T140" s="54" t="str">
        <f t="shared" si="110"/>
        <v>FY30</v>
      </c>
      <c r="U140" s="54" t="str">
        <f t="shared" si="110"/>
        <v>FY31</v>
      </c>
      <c r="V140" s="54" t="str">
        <f t="shared" si="110"/>
        <v>FY32</v>
      </c>
      <c r="W140" s="54" t="str">
        <f t="shared" si="110"/>
        <v>FY33</v>
      </c>
      <c r="X140" s="54" t="str">
        <f t="shared" si="110"/>
        <v>FY34</v>
      </c>
      <c r="Y140" s="54" t="str">
        <f t="shared" si="110"/>
        <v>FY35</v>
      </c>
      <c r="Z140" s="54" t="str">
        <f t="shared" si="110"/>
        <v>FY36</v>
      </c>
      <c r="AA140" s="54" t="str">
        <f t="shared" si="110"/>
        <v>FY37</v>
      </c>
      <c r="AB140" s="54" t="str">
        <f t="shared" si="110"/>
        <v>FY38</v>
      </c>
      <c r="AC140" s="54" t="str">
        <f t="shared" si="110"/>
        <v>FY39</v>
      </c>
      <c r="AD140" s="54" t="str">
        <f t="shared" si="110"/>
        <v>FY40</v>
      </c>
      <c r="AE140" s="54" t="str">
        <f t="shared" si="110"/>
        <v>FY41</v>
      </c>
      <c r="AF140" s="54" t="str">
        <f t="shared" si="110"/>
        <v>FY42</v>
      </c>
      <c r="AG140" s="54" t="str">
        <f t="shared" si="110"/>
        <v>FY43</v>
      </c>
      <c r="AH140" s="54" t="str">
        <f t="shared" si="110"/>
        <v>FY44</v>
      </c>
      <c r="AI140" s="54" t="str">
        <f t="shared" si="110"/>
        <v>FY45</v>
      </c>
    </row>
    <row r="141" spans="1:35" ht="11.25" customHeight="1" x14ac:dyDescent="0.3">
      <c r="D141" s="1"/>
    </row>
    <row r="142" spans="1:35" ht="12.75" x14ac:dyDescent="0.3">
      <c r="D142" s="75" t="s">
        <v>258</v>
      </c>
      <c r="E142" s="82"/>
      <c r="F142" s="82"/>
      <c r="G142" s="82"/>
      <c r="H142" s="259" t="s">
        <v>52</v>
      </c>
      <c r="I142" s="259" t="s">
        <v>47</v>
      </c>
      <c r="J142" s="259" t="s">
        <v>239</v>
      </c>
      <c r="M142" s="66">
        <f>M130*Inputs_LRMC!$M40</f>
        <v>4346.4698611399144</v>
      </c>
      <c r="N142" s="66">
        <f>N130*Inputs_LRMC!$M40</f>
        <v>6568.6531062947961</v>
      </c>
      <c r="O142" s="66">
        <f>O130*Inputs_LRMC!$M40</f>
        <v>3973.545769534825</v>
      </c>
      <c r="P142" s="66">
        <f>P130*Inputs_LRMC!$M40</f>
        <v>4362.9085291616366</v>
      </c>
      <c r="Q142" s="66">
        <f>Q130*Inputs_LRMC!$M40</f>
        <v>2518.0511755079551</v>
      </c>
      <c r="R142" s="66">
        <f>R130*Inputs_LRMC!$M40</f>
        <v>1455.943301960991</v>
      </c>
      <c r="S142" s="66">
        <f>S130*Inputs_LRMC!$M40</f>
        <v>1427.6238068821228</v>
      </c>
      <c r="T142" s="66">
        <f>T130*Inputs_LRMC!$M40</f>
        <v>3521.88507864032</v>
      </c>
      <c r="U142" s="66">
        <f>U130*Inputs_LRMC!$M40</f>
        <v>3521.88507864032</v>
      </c>
      <c r="V142" s="66">
        <f>V130*Inputs_LRMC!$M40</f>
        <v>2516.3677995195512</v>
      </c>
      <c r="W142" s="66">
        <f>W130*Inputs_LRMC!$M40</f>
        <v>2519.8367901637594</v>
      </c>
      <c r="X142" s="66">
        <f>X130*Inputs_LRMC!$M40</f>
        <v>2519.8367901637594</v>
      </c>
      <c r="Y142" s="66">
        <f>Y130*Inputs_LRMC!$M40</f>
        <v>2519.8367901637594</v>
      </c>
      <c r="Z142" s="66">
        <f>Z130*Inputs_LRMC!$M40</f>
        <v>2519.8367901637594</v>
      </c>
      <c r="AA142" s="66">
        <f>AA130*Inputs_LRMC!$M40</f>
        <v>2519.8367901637498</v>
      </c>
      <c r="AB142" s="66">
        <f>AB130*Inputs_LRMC!$M40</f>
        <v>2519.8367901637594</v>
      </c>
      <c r="AC142" s="66">
        <f>AC130*Inputs_LRMC!$M40</f>
        <v>2519.8367901637594</v>
      </c>
      <c r="AD142" s="66">
        <f>AD130*Inputs_LRMC!$M40</f>
        <v>2519.8367901637789</v>
      </c>
      <c r="AE142" s="66">
        <f>AE130*Inputs_LRMC!$M40</f>
        <v>2519.8367901637594</v>
      </c>
      <c r="AF142" s="66">
        <f>AF130*Inputs_LRMC!$M40</f>
        <v>2519.8367901637498</v>
      </c>
      <c r="AG142" s="66">
        <f>AG130*Inputs_LRMC!$M40</f>
        <v>2519.8367901637594</v>
      </c>
      <c r="AH142" s="66">
        <f>AH130*Inputs_LRMC!$M40</f>
        <v>2519.8367901637594</v>
      </c>
      <c r="AI142" s="66">
        <f>AI130*Inputs_LRMC!$M40</f>
        <v>2519.8367901637594</v>
      </c>
    </row>
    <row r="143" spans="1:35" ht="12.75" x14ac:dyDescent="0.3">
      <c r="D143" s="75" t="s">
        <v>69</v>
      </c>
      <c r="H143" s="259" t="s">
        <v>52</v>
      </c>
      <c r="I143" s="259" t="s">
        <v>47</v>
      </c>
      <c r="J143" s="259" t="s">
        <v>239</v>
      </c>
      <c r="M143" s="66">
        <f>M131*Inputs_LRMC!$M41</f>
        <v>4943.5007609208833</v>
      </c>
      <c r="N143" s="66">
        <f>N131*Inputs_LRMC!$M41</f>
        <v>5298.5921724469135</v>
      </c>
      <c r="O143" s="66">
        <f>O131*Inputs_LRMC!$M41</f>
        <v>6501.0720451937232</v>
      </c>
      <c r="P143" s="66">
        <f>P131*Inputs_LRMC!$M41</f>
        <v>5941.0742158907606</v>
      </c>
      <c r="Q143" s="66">
        <f>Q131*Inputs_LRMC!$M41</f>
        <v>3712.1596275835946</v>
      </c>
      <c r="R143" s="66">
        <f>R131*Inputs_LRMC!$M41</f>
        <v>3702.8812764092681</v>
      </c>
      <c r="S143" s="66">
        <f>S131*Inputs_LRMC!$M41</f>
        <v>3655.3439205816098</v>
      </c>
      <c r="T143" s="66">
        <f>T131*Inputs_LRMC!$M41</f>
        <v>4822.0891455752499</v>
      </c>
      <c r="U143" s="66">
        <f>U131*Inputs_LRMC!$M41</f>
        <v>4822.0891455752499</v>
      </c>
      <c r="V143" s="66">
        <f>V131*Inputs_LRMC!$M41</f>
        <v>3445.3565580347918</v>
      </c>
      <c r="W143" s="66">
        <f>W131*Inputs_LRMC!$M41</f>
        <v>3450.1062252607298</v>
      </c>
      <c r="X143" s="66">
        <f>X131*Inputs_LRMC!$M41</f>
        <v>3450.1062252607298</v>
      </c>
      <c r="Y143" s="66">
        <f>Y131*Inputs_LRMC!$M41</f>
        <v>3450.1062252607298</v>
      </c>
      <c r="Z143" s="66">
        <f>Z131*Inputs_LRMC!$M41</f>
        <v>3450.1062252607298</v>
      </c>
      <c r="AA143" s="66">
        <f>AA131*Inputs_LRMC!$M41</f>
        <v>3450.1062252607167</v>
      </c>
      <c r="AB143" s="66">
        <f>AB131*Inputs_LRMC!$M41</f>
        <v>3450.1062252607298</v>
      </c>
      <c r="AC143" s="66">
        <f>AC131*Inputs_LRMC!$M41</f>
        <v>3450.1062252607298</v>
      </c>
      <c r="AD143" s="66">
        <f>AD131*Inputs_LRMC!$M41</f>
        <v>3450.1062252607567</v>
      </c>
      <c r="AE143" s="66">
        <f>AE131*Inputs_LRMC!$M41</f>
        <v>3450.1062252607298</v>
      </c>
      <c r="AF143" s="66">
        <f>AF131*Inputs_LRMC!$M41</f>
        <v>3450.1062252607167</v>
      </c>
      <c r="AG143" s="66">
        <f>AG131*Inputs_LRMC!$M41</f>
        <v>3450.1062252607298</v>
      </c>
      <c r="AH143" s="66">
        <f>AH131*Inputs_LRMC!$M41</f>
        <v>3450.1062252607298</v>
      </c>
      <c r="AI143" s="66">
        <f>AI131*Inputs_LRMC!$M41</f>
        <v>3450.1062252607298</v>
      </c>
    </row>
    <row r="144" spans="1:35" ht="12.75" x14ac:dyDescent="0.3">
      <c r="D144" s="75" t="s">
        <v>257</v>
      </c>
      <c r="H144" s="259" t="s">
        <v>52</v>
      </c>
      <c r="I144" s="259" t="s">
        <v>47</v>
      </c>
      <c r="J144" s="259" t="s">
        <v>239</v>
      </c>
      <c r="M144" s="66">
        <f>M132*Inputs_LRMC!$M42</f>
        <v>4217.5302973773705</v>
      </c>
      <c r="N144" s="66">
        <f>N132*Inputs_LRMC!$M42</f>
        <v>4772.2472969695409</v>
      </c>
      <c r="O144" s="66">
        <f>O132*Inputs_LRMC!$M42</f>
        <v>6153.6728641252048</v>
      </c>
      <c r="P144" s="66">
        <f>P132*Inputs_LRMC!$M42</f>
        <v>5104.3452062654533</v>
      </c>
      <c r="Q144" s="66">
        <f>Q132*Inputs_LRMC!$M42</f>
        <v>4420.6808216768686</v>
      </c>
      <c r="R144" s="66">
        <f>R132*Inputs_LRMC!$M42</f>
        <v>4448.7561702898865</v>
      </c>
      <c r="S144" s="66">
        <f>S132*Inputs_LRMC!$M42</f>
        <v>4441.5867855628057</v>
      </c>
      <c r="T144" s="66">
        <f>T132*Inputs_LRMC!$M42</f>
        <v>4794.1170631810191</v>
      </c>
      <c r="U144" s="66">
        <f>U132*Inputs_LRMC!$M42</f>
        <v>4794.1170631810191</v>
      </c>
      <c r="V144" s="66">
        <f>V132*Inputs_LRMC!$M42</f>
        <v>3425.3706567771874</v>
      </c>
      <c r="W144" s="66">
        <f>W132*Inputs_LRMC!$M42</f>
        <v>3430.0927720274117</v>
      </c>
      <c r="X144" s="66">
        <f>X132*Inputs_LRMC!$M42</f>
        <v>3430.0927720274117</v>
      </c>
      <c r="Y144" s="66">
        <f>Y132*Inputs_LRMC!$M42</f>
        <v>3430.0927720274117</v>
      </c>
      <c r="Z144" s="66">
        <f>Z132*Inputs_LRMC!$M42</f>
        <v>3430.0927720274117</v>
      </c>
      <c r="AA144" s="66">
        <f>AA132*Inputs_LRMC!$M42</f>
        <v>3430.0927720274117</v>
      </c>
      <c r="AB144" s="66">
        <f>AB132*Inputs_LRMC!$M42</f>
        <v>3430.0927720274117</v>
      </c>
      <c r="AC144" s="66">
        <f>AC132*Inputs_LRMC!$M42</f>
        <v>3430.0927720274117</v>
      </c>
      <c r="AD144" s="66">
        <f>AD132*Inputs_LRMC!$M42</f>
        <v>3430.0927720274494</v>
      </c>
      <c r="AE144" s="66">
        <f>AE132*Inputs_LRMC!$M42</f>
        <v>3430.0927720274117</v>
      </c>
      <c r="AF144" s="66">
        <f>AF132*Inputs_LRMC!$M42</f>
        <v>3430.0927720274117</v>
      </c>
      <c r="AG144" s="66">
        <f>AG132*Inputs_LRMC!$M42</f>
        <v>3430.0927720274117</v>
      </c>
      <c r="AH144" s="66">
        <f>AH132*Inputs_LRMC!$M42</f>
        <v>3430.0927720274117</v>
      </c>
      <c r="AI144" s="66">
        <f>AI132*Inputs_LRMC!$M42</f>
        <v>3430.0927720274117</v>
      </c>
    </row>
    <row r="145" spans="1:35" ht="11.25" customHeight="1" x14ac:dyDescent="0.3"/>
    <row r="146" spans="1:35" ht="11.25" customHeight="1" x14ac:dyDescent="0.3">
      <c r="D146" s="62" t="s">
        <v>51</v>
      </c>
      <c r="H146" s="56" t="s">
        <v>52</v>
      </c>
      <c r="I146" s="56" t="str">
        <f>Thousands</f>
        <v>$000's</v>
      </c>
      <c r="J146" s="163" t="s">
        <v>239</v>
      </c>
      <c r="M146" s="68">
        <f t="shared" ref="M146:AI146" si="111">SUM(M142:M144)</f>
        <v>13507.500919438169</v>
      </c>
      <c r="N146" s="68">
        <f t="shared" si="111"/>
        <v>16639.492575711251</v>
      </c>
      <c r="O146" s="68">
        <f t="shared" si="111"/>
        <v>16628.290678853751</v>
      </c>
      <c r="P146" s="68">
        <f t="shared" si="111"/>
        <v>15408.32795131785</v>
      </c>
      <c r="Q146" s="68">
        <f t="shared" si="111"/>
        <v>10650.891624768417</v>
      </c>
      <c r="R146" s="68">
        <f t="shared" si="111"/>
        <v>9607.5807486601443</v>
      </c>
      <c r="S146" s="68">
        <f t="shared" si="111"/>
        <v>9524.5545130265382</v>
      </c>
      <c r="T146" s="68">
        <f t="shared" si="111"/>
        <v>13138.09128739659</v>
      </c>
      <c r="U146" s="68">
        <f t="shared" si="111"/>
        <v>13138.09128739659</v>
      </c>
      <c r="V146" s="68">
        <f t="shared" si="111"/>
        <v>9387.0950143315313</v>
      </c>
      <c r="W146" s="68">
        <f t="shared" si="111"/>
        <v>9400.0357874519013</v>
      </c>
      <c r="X146" s="68">
        <f t="shared" si="111"/>
        <v>9400.0357874519013</v>
      </c>
      <c r="Y146" s="68">
        <f t="shared" si="111"/>
        <v>9400.0357874519013</v>
      </c>
      <c r="Z146" s="68">
        <f t="shared" si="111"/>
        <v>9400.0357874519013</v>
      </c>
      <c r="AA146" s="68">
        <f t="shared" si="111"/>
        <v>9400.0357874518777</v>
      </c>
      <c r="AB146" s="68">
        <f t="shared" si="111"/>
        <v>9400.0357874519013</v>
      </c>
      <c r="AC146" s="68">
        <f t="shared" si="111"/>
        <v>9400.0357874519013</v>
      </c>
      <c r="AD146" s="68">
        <f t="shared" si="111"/>
        <v>9400.035787451985</v>
      </c>
      <c r="AE146" s="68">
        <f t="shared" si="111"/>
        <v>9400.0357874519013</v>
      </c>
      <c r="AF146" s="68">
        <f t="shared" si="111"/>
        <v>9400.0357874518777</v>
      </c>
      <c r="AG146" s="68">
        <f t="shared" si="111"/>
        <v>9400.0357874519013</v>
      </c>
      <c r="AH146" s="68">
        <f t="shared" si="111"/>
        <v>9400.0357874519013</v>
      </c>
      <c r="AI146" s="68">
        <f t="shared" si="111"/>
        <v>9400.0357874519013</v>
      </c>
    </row>
    <row r="147" spans="1:35" ht="11.25" customHeight="1" x14ac:dyDescent="0.3"/>
    <row r="148" spans="1:35" ht="12.75" hidden="1" outlineLevel="1" x14ac:dyDescent="0.3">
      <c r="D148" s="81" t="s">
        <v>90</v>
      </c>
      <c r="E148" s="82"/>
      <c r="G148" s="82"/>
      <c r="H148" s="259" t="s">
        <v>52</v>
      </c>
      <c r="I148" s="259" t="s">
        <v>47</v>
      </c>
      <c r="J148" s="259" t="s">
        <v>40</v>
      </c>
      <c r="K148" s="78"/>
      <c r="M148" s="66">
        <f>SUMPRODUCT(M$130:M$132,Inputs_LRMC!$M$40:$M$42)</f>
        <v>13507.500919438169</v>
      </c>
      <c r="N148" s="66">
        <f>SUMPRODUCT(N$130:N$132,Inputs_LRMC!$M$40:$M$42)</f>
        <v>16639.492575711251</v>
      </c>
      <c r="O148" s="66">
        <f>SUMPRODUCT(O$130:O$132,Inputs_LRMC!$M$40:$M$42)</f>
        <v>16628.290678853751</v>
      </c>
      <c r="P148" s="66">
        <f>SUMPRODUCT(P$130:P$132,Inputs_LRMC!$M$40:$M$42)</f>
        <v>15408.32795131785</v>
      </c>
      <c r="Q148" s="66">
        <f>SUMPRODUCT(Q$130:Q$132,Inputs_LRMC!$M$40:$M$42)</f>
        <v>10650.891624768417</v>
      </c>
      <c r="R148" s="66">
        <f>SUMPRODUCT(R$130:R$132,Inputs_LRMC!$M$40:$M$42)</f>
        <v>9607.5807486601443</v>
      </c>
      <c r="S148" s="66">
        <f>SUMPRODUCT(S$130:S$132,Inputs_LRMC!$M$40:$M$42)</f>
        <v>9524.5545130265382</v>
      </c>
      <c r="T148" s="66">
        <f>SUMPRODUCT(T$130:T$132,Inputs_LRMC!$M$40:$M$42)</f>
        <v>13138.09128739659</v>
      </c>
      <c r="U148" s="66">
        <f>SUMPRODUCT(U$130:U$132,Inputs_LRMC!$M$40:$M$42)</f>
        <v>13138.09128739659</v>
      </c>
      <c r="V148" s="66">
        <f>SUMPRODUCT(V$130:V$132,Inputs_LRMC!$M$40:$M$42)</f>
        <v>9387.0950143315313</v>
      </c>
      <c r="W148" s="66">
        <f>SUMPRODUCT(W$130:W$132,Inputs_LRMC!$M$40:$M$42)</f>
        <v>9400.0357874519013</v>
      </c>
      <c r="X148" s="66">
        <f>SUMPRODUCT(X$130:X$132,Inputs_LRMC!$M$40:$M$42)</f>
        <v>9400.0357874519013</v>
      </c>
      <c r="Y148" s="66">
        <f>SUMPRODUCT(Y$130:Y$132,Inputs_LRMC!$M$40:$M$42)</f>
        <v>9400.0357874519013</v>
      </c>
      <c r="Z148" s="66">
        <f>SUMPRODUCT(Z$130:Z$132,Inputs_LRMC!$M$40:$M$42)</f>
        <v>9400.0357874519013</v>
      </c>
      <c r="AA148" s="66">
        <f>SUMPRODUCT(AA$130:AA$132,Inputs_LRMC!$M$40:$M$42)</f>
        <v>9400.0357874518777</v>
      </c>
      <c r="AB148" s="66">
        <f>SUMPRODUCT(AB$130:AB$132,Inputs_LRMC!$M$40:$M$42)</f>
        <v>9400.0357874519013</v>
      </c>
      <c r="AC148" s="66">
        <f>SUMPRODUCT(AC$130:AC$132,Inputs_LRMC!$M$40:$M$42)</f>
        <v>9400.0357874519013</v>
      </c>
      <c r="AD148" s="66">
        <f>SUMPRODUCT(AD$130:AD$132,Inputs_LRMC!$M$40:$M$42)</f>
        <v>9400.035787451985</v>
      </c>
      <c r="AE148" s="66">
        <f>SUMPRODUCT(AE$130:AE$132,Inputs_LRMC!$M$40:$M$42)</f>
        <v>9400.0357874519013</v>
      </c>
      <c r="AF148" s="66">
        <f>SUMPRODUCT(AF$130:AF$132,Inputs_LRMC!$M$40:$M$42)</f>
        <v>9400.0357874518777</v>
      </c>
      <c r="AG148" s="66">
        <f>SUMPRODUCT(AG$130:AG$132,Inputs_LRMC!$M$40:$M$42)</f>
        <v>9400.0357874519013</v>
      </c>
      <c r="AH148" s="66">
        <f>SUMPRODUCT(AH$130:AH$132,Inputs_LRMC!$M$40:$M$42)</f>
        <v>9400.0357874519013</v>
      </c>
      <c r="AI148" s="66">
        <f>SUMPRODUCT(AI$130:AI$132,Inputs_LRMC!$M$40:$M$42)</f>
        <v>9400.0357874519013</v>
      </c>
    </row>
    <row r="149" spans="1:35" ht="12.75" hidden="1" outlineLevel="1" x14ac:dyDescent="0.3">
      <c r="A149" s="59">
        <f>IF(SUM($M149:$U149)=0,0,1)</f>
        <v>0</v>
      </c>
      <c r="D149" s="81" t="s">
        <v>55</v>
      </c>
      <c r="E149" s="82"/>
      <c r="F149" s="80"/>
      <c r="G149" s="82"/>
      <c r="H149" s="80"/>
      <c r="I149" s="84"/>
      <c r="J149" s="84"/>
      <c r="K149" s="78"/>
      <c r="M149" s="59">
        <f t="shared" ref="M149:U149" si="112">IF(ROUND(M148-M146,2)=0,0,1)</f>
        <v>0</v>
      </c>
      <c r="N149" s="59">
        <f t="shared" si="112"/>
        <v>0</v>
      </c>
      <c r="O149" s="59">
        <f t="shared" si="112"/>
        <v>0</v>
      </c>
      <c r="P149" s="59">
        <f t="shared" si="112"/>
        <v>0</v>
      </c>
      <c r="Q149" s="59">
        <f t="shared" si="112"/>
        <v>0</v>
      </c>
      <c r="R149" s="59">
        <f t="shared" si="112"/>
        <v>0</v>
      </c>
      <c r="S149" s="59">
        <f t="shared" si="112"/>
        <v>0</v>
      </c>
      <c r="T149" s="59">
        <f t="shared" si="112"/>
        <v>0</v>
      </c>
      <c r="U149" s="59">
        <f t="shared" si="112"/>
        <v>0</v>
      </c>
      <c r="V149" s="59">
        <f t="shared" ref="V149:AI149" si="113">IF(ROUND(V148-V146,2)=0,0,1)</f>
        <v>0</v>
      </c>
      <c r="W149" s="59">
        <f t="shared" si="113"/>
        <v>0</v>
      </c>
      <c r="X149" s="59">
        <f t="shared" si="113"/>
        <v>0</v>
      </c>
      <c r="Y149" s="59">
        <f t="shared" si="113"/>
        <v>0</v>
      </c>
      <c r="Z149" s="59">
        <f t="shared" si="113"/>
        <v>0</v>
      </c>
      <c r="AA149" s="59">
        <f t="shared" si="113"/>
        <v>0</v>
      </c>
      <c r="AB149" s="59">
        <f t="shared" si="113"/>
        <v>0</v>
      </c>
      <c r="AC149" s="59">
        <f t="shared" si="113"/>
        <v>0</v>
      </c>
      <c r="AD149" s="59">
        <f t="shared" si="113"/>
        <v>0</v>
      </c>
      <c r="AE149" s="59">
        <f t="shared" si="113"/>
        <v>0</v>
      </c>
      <c r="AF149" s="59">
        <f t="shared" si="113"/>
        <v>0</v>
      </c>
      <c r="AG149" s="59">
        <f t="shared" si="113"/>
        <v>0</v>
      </c>
      <c r="AH149" s="59">
        <f t="shared" si="113"/>
        <v>0</v>
      </c>
      <c r="AI149" s="59">
        <f t="shared" si="113"/>
        <v>0</v>
      </c>
    </row>
    <row r="150" spans="1:35" ht="11.25" customHeight="1" collapsed="1" x14ac:dyDescent="0.3"/>
    <row r="151" spans="1:35" ht="11.25" customHeight="1" x14ac:dyDescent="0.3"/>
    <row r="152" spans="1:35" ht="11.25" customHeight="1" x14ac:dyDescent="0.3">
      <c r="D152" s="70" t="s">
        <v>733</v>
      </c>
      <c r="H152" s="54" t="str">
        <f>Lookup!E$19</f>
        <v>Source</v>
      </c>
      <c r="I152" s="54" t="str">
        <f>Lookup!F$19</f>
        <v>Unit</v>
      </c>
      <c r="J152" s="54" t="str">
        <f>Lookup!G$19</f>
        <v>Basis</v>
      </c>
      <c r="M152" s="54" t="str">
        <f t="shared" ref="M152:AI152" si="114">M$9</f>
        <v>FY23</v>
      </c>
      <c r="N152" s="54" t="str">
        <f t="shared" si="114"/>
        <v>FY24</v>
      </c>
      <c r="O152" s="54" t="str">
        <f t="shared" si="114"/>
        <v>FY25</v>
      </c>
      <c r="P152" s="54" t="str">
        <f t="shared" si="114"/>
        <v>FY26</v>
      </c>
      <c r="Q152" s="54" t="str">
        <f t="shared" si="114"/>
        <v>FY27</v>
      </c>
      <c r="R152" s="54" t="str">
        <f t="shared" si="114"/>
        <v>FY28</v>
      </c>
      <c r="S152" s="54" t="str">
        <f t="shared" si="114"/>
        <v>FY29</v>
      </c>
      <c r="T152" s="54" t="str">
        <f t="shared" si="114"/>
        <v>FY30</v>
      </c>
      <c r="U152" s="54" t="str">
        <f t="shared" si="114"/>
        <v>FY31</v>
      </c>
      <c r="V152" s="54" t="str">
        <f t="shared" si="114"/>
        <v>FY32</v>
      </c>
      <c r="W152" s="54" t="str">
        <f t="shared" si="114"/>
        <v>FY33</v>
      </c>
      <c r="X152" s="54" t="str">
        <f t="shared" si="114"/>
        <v>FY34</v>
      </c>
      <c r="Y152" s="54" t="str">
        <f t="shared" si="114"/>
        <v>FY35</v>
      </c>
      <c r="Z152" s="54" t="str">
        <f t="shared" si="114"/>
        <v>FY36</v>
      </c>
      <c r="AA152" s="54" t="str">
        <f t="shared" si="114"/>
        <v>FY37</v>
      </c>
      <c r="AB152" s="54" t="str">
        <f t="shared" si="114"/>
        <v>FY38</v>
      </c>
      <c r="AC152" s="54" t="str">
        <f t="shared" si="114"/>
        <v>FY39</v>
      </c>
      <c r="AD152" s="54" t="str">
        <f t="shared" si="114"/>
        <v>FY40</v>
      </c>
      <c r="AE152" s="54" t="str">
        <f t="shared" si="114"/>
        <v>FY41</v>
      </c>
      <c r="AF152" s="54" t="str">
        <f t="shared" si="114"/>
        <v>FY42</v>
      </c>
      <c r="AG152" s="54" t="str">
        <f t="shared" si="114"/>
        <v>FY43</v>
      </c>
      <c r="AH152" s="54" t="str">
        <f t="shared" si="114"/>
        <v>FY44</v>
      </c>
      <c r="AI152" s="54" t="str">
        <f t="shared" si="114"/>
        <v>FY45</v>
      </c>
    </row>
    <row r="153" spans="1:35" ht="11.25" customHeight="1" x14ac:dyDescent="0.3">
      <c r="D153" s="1"/>
    </row>
    <row r="154" spans="1:35" ht="12.75" x14ac:dyDescent="0.3">
      <c r="D154" s="75" t="s">
        <v>258</v>
      </c>
      <c r="E154" s="82"/>
      <c r="F154" s="82"/>
      <c r="G154" s="82"/>
      <c r="H154" s="259" t="s">
        <v>52</v>
      </c>
      <c r="I154" s="259" t="s">
        <v>47</v>
      </c>
      <c r="J154" s="259" t="s">
        <v>239</v>
      </c>
      <c r="M154" s="66">
        <f>-PMT(Inputs_LRMC!$M$27,Inputs_LRMC!$M$26,M142)</f>
        <v>187.53188723796276</v>
      </c>
      <c r="N154" s="66">
        <f>-PMT(Inputs_LRMC!$M$27,Inputs_LRMC!$M$26,N142)</f>
        <v>283.40974468690018</v>
      </c>
      <c r="O154" s="66">
        <f>-PMT(Inputs_LRMC!$M$27,Inputs_LRMC!$M$26,O142)</f>
        <v>171.44178172027171</v>
      </c>
      <c r="P154" s="66">
        <f>-PMT(Inputs_LRMC!$M$27,Inputs_LRMC!$M$26,P142)</f>
        <v>188.24114659930194</v>
      </c>
      <c r="Q154" s="66">
        <f>-PMT(Inputs_LRMC!$M$27,Inputs_LRMC!$M$26,Q142)</f>
        <v>108.64331381350782</v>
      </c>
      <c r="R154" s="66">
        <f>-PMT(Inputs_LRMC!$M$27,Inputs_LRMC!$M$26,R142)</f>
        <v>62.817827766234373</v>
      </c>
      <c r="S154" s="66">
        <f>-PMT(Inputs_LRMC!$M$27,Inputs_LRMC!$M$26,S142)</f>
        <v>61.59596070458781</v>
      </c>
      <c r="T154" s="66">
        <f>-PMT(Inputs_LRMC!$M$27,Inputs_LRMC!$M$26,T142)</f>
        <v>151.95452321839522</v>
      </c>
      <c r="U154" s="66">
        <f>-PMT(Inputs_LRMC!$M$27,Inputs_LRMC!$M$26,U142)</f>
        <v>151.95452321839522</v>
      </c>
      <c r="V154" s="66">
        <f>-PMT(Inputs_LRMC!$M$27,Inputs_LRMC!$M$26,V142)</f>
        <v>108.57068322221835</v>
      </c>
      <c r="W154" s="66">
        <f>-PMT(Inputs_LRMC!$M$27,Inputs_LRMC!$M$26,W142)</f>
        <v>108.72035557313822</v>
      </c>
      <c r="X154" s="66">
        <f>-PMT(Inputs_LRMC!$M$27,Inputs_LRMC!$M$26,X142)</f>
        <v>108.72035557313822</v>
      </c>
      <c r="Y154" s="66">
        <f>-PMT(Inputs_LRMC!$M$27,Inputs_LRMC!$M$26,Y142)</f>
        <v>108.72035557313822</v>
      </c>
      <c r="Z154" s="66">
        <f>-PMT(Inputs_LRMC!$M$27,Inputs_LRMC!$M$26,Z142)</f>
        <v>108.72035557313822</v>
      </c>
      <c r="AA154" s="66">
        <f>-PMT(Inputs_LRMC!$M$27,Inputs_LRMC!$M$26,AA142)</f>
        <v>108.72035557313781</v>
      </c>
      <c r="AB154" s="66">
        <f>-PMT(Inputs_LRMC!$M$27,Inputs_LRMC!$M$26,AB142)</f>
        <v>108.72035557313822</v>
      </c>
      <c r="AC154" s="66">
        <f>-PMT(Inputs_LRMC!$M$27,Inputs_LRMC!$M$26,AC142)</f>
        <v>108.72035557313822</v>
      </c>
      <c r="AD154" s="66">
        <f>-PMT(Inputs_LRMC!$M$27,Inputs_LRMC!$M$26,AD142)</f>
        <v>108.72035557313906</v>
      </c>
      <c r="AE154" s="66">
        <f>-PMT(Inputs_LRMC!$M$27,Inputs_LRMC!$M$26,AE142)</f>
        <v>108.72035557313822</v>
      </c>
      <c r="AF154" s="66">
        <f>-PMT(Inputs_LRMC!$M$27,Inputs_LRMC!$M$26,AF142)</f>
        <v>108.72035557313781</v>
      </c>
      <c r="AG154" s="66">
        <f>-PMT(Inputs_LRMC!$M$27,Inputs_LRMC!$M$26,AG142)</f>
        <v>108.72035557313822</v>
      </c>
      <c r="AH154" s="66">
        <f>-PMT(Inputs_LRMC!$M$27,Inputs_LRMC!$M$26,AH142)</f>
        <v>108.72035557313822</v>
      </c>
      <c r="AI154" s="66">
        <f>-PMT(Inputs_LRMC!$M$27,Inputs_LRMC!$M$26,AI142)</f>
        <v>108.72035557313822</v>
      </c>
    </row>
    <row r="155" spans="1:35" ht="12.75" x14ac:dyDescent="0.3">
      <c r="D155" s="75" t="s">
        <v>69</v>
      </c>
      <c r="H155" s="259" t="s">
        <v>52</v>
      </c>
      <c r="I155" s="259" t="s">
        <v>47</v>
      </c>
      <c r="J155" s="259" t="s">
        <v>239</v>
      </c>
      <c r="M155" s="66">
        <f>-PMT(Inputs_LRMC!$M$27,Inputs_LRMC!$M$26,M143)</f>
        <v>213.29125862491648</v>
      </c>
      <c r="N155" s="66">
        <f>-PMT(Inputs_LRMC!$M$27,Inputs_LRMC!$M$26,N143)</f>
        <v>228.61195902613915</v>
      </c>
      <c r="O155" s="66">
        <f>-PMT(Inputs_LRMC!$M$27,Inputs_LRMC!$M$26,O143)</f>
        <v>280.49390623990251</v>
      </c>
      <c r="P155" s="66">
        <f>-PMT(Inputs_LRMC!$M$27,Inputs_LRMC!$M$26,P143)</f>
        <v>256.3323560317055</v>
      </c>
      <c r="Q155" s="66">
        <f>-PMT(Inputs_LRMC!$M$27,Inputs_LRMC!$M$26,Q143)</f>
        <v>160.16406944709638</v>
      </c>
      <c r="R155" s="66">
        <f>-PMT(Inputs_LRMC!$M$27,Inputs_LRMC!$M$26,R143)</f>
        <v>159.76374763151574</v>
      </c>
      <c r="S155" s="66">
        <f>-PMT(Inputs_LRMC!$M$27,Inputs_LRMC!$M$26,S143)</f>
        <v>157.71271073548965</v>
      </c>
      <c r="T155" s="66">
        <f>-PMT(Inputs_LRMC!$M$27,Inputs_LRMC!$M$26,T143)</f>
        <v>208.05285824810935</v>
      </c>
      <c r="U155" s="66">
        <f>-PMT(Inputs_LRMC!$M$27,Inputs_LRMC!$M$26,U143)</f>
        <v>208.05285824810935</v>
      </c>
      <c r="V155" s="66">
        <f>-PMT(Inputs_LRMC!$M$27,Inputs_LRMC!$M$26,V143)</f>
        <v>148.65263953918338</v>
      </c>
      <c r="W155" s="66">
        <f>-PMT(Inputs_LRMC!$M$27,Inputs_LRMC!$M$26,W143)</f>
        <v>148.85756769630603</v>
      </c>
      <c r="X155" s="66">
        <f>-PMT(Inputs_LRMC!$M$27,Inputs_LRMC!$M$26,X143)</f>
        <v>148.85756769630603</v>
      </c>
      <c r="Y155" s="66">
        <f>-PMT(Inputs_LRMC!$M$27,Inputs_LRMC!$M$26,Y143)</f>
        <v>148.85756769630603</v>
      </c>
      <c r="Z155" s="66">
        <f>-PMT(Inputs_LRMC!$M$27,Inputs_LRMC!$M$26,Z143)</f>
        <v>148.85756769630603</v>
      </c>
      <c r="AA155" s="66">
        <f>-PMT(Inputs_LRMC!$M$27,Inputs_LRMC!$M$26,AA143)</f>
        <v>148.85756769630547</v>
      </c>
      <c r="AB155" s="66">
        <f>-PMT(Inputs_LRMC!$M$27,Inputs_LRMC!$M$26,AB143)</f>
        <v>148.85756769630603</v>
      </c>
      <c r="AC155" s="66">
        <f>-PMT(Inputs_LRMC!$M$27,Inputs_LRMC!$M$26,AC143)</f>
        <v>148.85756769630603</v>
      </c>
      <c r="AD155" s="66">
        <f>-PMT(Inputs_LRMC!$M$27,Inputs_LRMC!$M$26,AD143)</f>
        <v>148.85756769630717</v>
      </c>
      <c r="AE155" s="66">
        <f>-PMT(Inputs_LRMC!$M$27,Inputs_LRMC!$M$26,AE143)</f>
        <v>148.85756769630603</v>
      </c>
      <c r="AF155" s="66">
        <f>-PMT(Inputs_LRMC!$M$27,Inputs_LRMC!$M$26,AF143)</f>
        <v>148.85756769630547</v>
      </c>
      <c r="AG155" s="66">
        <f>-PMT(Inputs_LRMC!$M$27,Inputs_LRMC!$M$26,AG143)</f>
        <v>148.85756769630603</v>
      </c>
      <c r="AH155" s="66">
        <f>-PMT(Inputs_LRMC!$M$27,Inputs_LRMC!$M$26,AH143)</f>
        <v>148.85756769630603</v>
      </c>
      <c r="AI155" s="66">
        <f>-PMT(Inputs_LRMC!$M$27,Inputs_LRMC!$M$26,AI143)</f>
        <v>148.85756769630603</v>
      </c>
    </row>
    <row r="156" spans="1:35" ht="12.75" x14ac:dyDescent="0.3">
      <c r="D156" s="75" t="s">
        <v>257</v>
      </c>
      <c r="H156" s="259" t="s">
        <v>52</v>
      </c>
      <c r="I156" s="259" t="s">
        <v>47</v>
      </c>
      <c r="J156" s="259" t="s">
        <v>239</v>
      </c>
      <c r="M156" s="66">
        <f>-PMT(Inputs_LRMC!$M$27,Inputs_LRMC!$M$26,M144)</f>
        <v>181.96868755993995</v>
      </c>
      <c r="N156" s="66">
        <f>-PMT(Inputs_LRMC!$M$27,Inputs_LRMC!$M$26,N144)</f>
        <v>205.90239218459772</v>
      </c>
      <c r="O156" s="66">
        <f>-PMT(Inputs_LRMC!$M$27,Inputs_LRMC!$M$26,O144)</f>
        <v>265.50509321874978</v>
      </c>
      <c r="P156" s="66">
        <f>-PMT(Inputs_LRMC!$M$27,Inputs_LRMC!$M$26,P144)</f>
        <v>220.23101970709729</v>
      </c>
      <c r="Q156" s="66">
        <f>-PMT(Inputs_LRMC!$M$27,Inputs_LRMC!$M$26,Q144)</f>
        <v>190.73377795108212</v>
      </c>
      <c r="R156" s="66">
        <f>-PMT(Inputs_LRMC!$M$27,Inputs_LRMC!$M$26,R144)</f>
        <v>191.94511111994532</v>
      </c>
      <c r="S156" s="66">
        <f>-PMT(Inputs_LRMC!$M$27,Inputs_LRMC!$M$26,S144)</f>
        <v>191.63578233333044</v>
      </c>
      <c r="T156" s="66">
        <f>-PMT(Inputs_LRMC!$M$27,Inputs_LRMC!$M$26,T144)</f>
        <v>206.84598058210611</v>
      </c>
      <c r="U156" s="66">
        <f>-PMT(Inputs_LRMC!$M$27,Inputs_LRMC!$M$26,U144)</f>
        <v>206.84598058210611</v>
      </c>
      <c r="V156" s="66">
        <f>-PMT(Inputs_LRMC!$M$27,Inputs_LRMC!$M$26,V144)</f>
        <v>147.79033198829032</v>
      </c>
      <c r="W156" s="66">
        <f>-PMT(Inputs_LRMC!$M$27,Inputs_LRMC!$M$26,W144)</f>
        <v>147.99407139358266</v>
      </c>
      <c r="X156" s="66">
        <f>-PMT(Inputs_LRMC!$M$27,Inputs_LRMC!$M$26,X144)</f>
        <v>147.99407139358266</v>
      </c>
      <c r="Y156" s="66">
        <f>-PMT(Inputs_LRMC!$M$27,Inputs_LRMC!$M$26,Y144)</f>
        <v>147.99407139358266</v>
      </c>
      <c r="Z156" s="66">
        <f>-PMT(Inputs_LRMC!$M$27,Inputs_LRMC!$M$26,Z144)</f>
        <v>147.99407139358266</v>
      </c>
      <c r="AA156" s="66">
        <f>-PMT(Inputs_LRMC!$M$27,Inputs_LRMC!$M$26,AA144)</f>
        <v>147.99407139358266</v>
      </c>
      <c r="AB156" s="66">
        <f>-PMT(Inputs_LRMC!$M$27,Inputs_LRMC!$M$26,AB144)</f>
        <v>147.99407139358266</v>
      </c>
      <c r="AC156" s="66">
        <f>-PMT(Inputs_LRMC!$M$27,Inputs_LRMC!$M$26,AC144)</f>
        <v>147.99407139358266</v>
      </c>
      <c r="AD156" s="66">
        <f>-PMT(Inputs_LRMC!$M$27,Inputs_LRMC!$M$26,AD144)</f>
        <v>147.99407139358428</v>
      </c>
      <c r="AE156" s="66">
        <f>-PMT(Inputs_LRMC!$M$27,Inputs_LRMC!$M$26,AE144)</f>
        <v>147.99407139358266</v>
      </c>
      <c r="AF156" s="66">
        <f>-PMT(Inputs_LRMC!$M$27,Inputs_LRMC!$M$26,AF144)</f>
        <v>147.99407139358266</v>
      </c>
      <c r="AG156" s="66">
        <f>-PMT(Inputs_LRMC!$M$27,Inputs_LRMC!$M$26,AG144)</f>
        <v>147.99407139358266</v>
      </c>
      <c r="AH156" s="66">
        <f>-PMT(Inputs_LRMC!$M$27,Inputs_LRMC!$M$26,AH144)</f>
        <v>147.99407139358266</v>
      </c>
      <c r="AI156" s="66">
        <f>-PMT(Inputs_LRMC!$M$27,Inputs_LRMC!$M$26,AI144)</f>
        <v>147.99407139358266</v>
      </c>
    </row>
    <row r="157" spans="1:35" ht="11.25" customHeight="1" x14ac:dyDescent="0.3"/>
    <row r="158" spans="1:35" ht="11.25" customHeight="1" x14ac:dyDescent="0.3">
      <c r="D158" s="62" t="s">
        <v>51</v>
      </c>
      <c r="H158" s="56" t="s">
        <v>52</v>
      </c>
      <c r="I158" s="56" t="str">
        <f>Thousands</f>
        <v>$000's</v>
      </c>
      <c r="J158" s="163" t="s">
        <v>239</v>
      </c>
      <c r="M158" s="68">
        <f t="shared" ref="M158:S158" si="115">SUM(M154:M156)</f>
        <v>582.7918334228192</v>
      </c>
      <c r="N158" s="68">
        <f t="shared" si="115"/>
        <v>717.92409589763702</v>
      </c>
      <c r="O158" s="68">
        <f t="shared" si="115"/>
        <v>717.440781178924</v>
      </c>
      <c r="P158" s="68">
        <f t="shared" si="115"/>
        <v>664.80452233810479</v>
      </c>
      <c r="Q158" s="68">
        <f t="shared" si="115"/>
        <v>459.5411612116863</v>
      </c>
      <c r="R158" s="68">
        <f t="shared" si="115"/>
        <v>414.52668651769545</v>
      </c>
      <c r="S158" s="68">
        <f t="shared" si="115"/>
        <v>410.94445377340787</v>
      </c>
      <c r="T158" s="68">
        <f t="shared" ref="T158:AI158" si="116">SUM(T154:T156)</f>
        <v>566.85336204861073</v>
      </c>
      <c r="U158" s="68">
        <f t="shared" si="116"/>
        <v>566.85336204861073</v>
      </c>
      <c r="V158" s="68">
        <f t="shared" si="116"/>
        <v>405.01365474969202</v>
      </c>
      <c r="W158" s="68">
        <f t="shared" si="116"/>
        <v>405.57199466302689</v>
      </c>
      <c r="X158" s="68">
        <f t="shared" si="116"/>
        <v>405.57199466302689</v>
      </c>
      <c r="Y158" s="68">
        <f t="shared" si="116"/>
        <v>405.57199466302689</v>
      </c>
      <c r="Z158" s="68">
        <f t="shared" si="116"/>
        <v>405.57199466302689</v>
      </c>
      <c r="AA158" s="68">
        <f t="shared" si="116"/>
        <v>405.57199466302592</v>
      </c>
      <c r="AB158" s="68">
        <f t="shared" si="116"/>
        <v>405.57199466302689</v>
      </c>
      <c r="AC158" s="68">
        <f t="shared" si="116"/>
        <v>405.57199466302689</v>
      </c>
      <c r="AD158" s="68">
        <f t="shared" si="116"/>
        <v>405.57199466303052</v>
      </c>
      <c r="AE158" s="68">
        <f t="shared" si="116"/>
        <v>405.57199466302689</v>
      </c>
      <c r="AF158" s="68">
        <f t="shared" si="116"/>
        <v>405.57199466302592</v>
      </c>
      <c r="AG158" s="68">
        <f t="shared" si="116"/>
        <v>405.57199466302689</v>
      </c>
      <c r="AH158" s="68">
        <f t="shared" si="116"/>
        <v>405.57199466302689</v>
      </c>
      <c r="AI158" s="68">
        <f t="shared" si="116"/>
        <v>405.57199466302689</v>
      </c>
    </row>
    <row r="159" spans="1:35" ht="11.25" customHeight="1" x14ac:dyDescent="0.3">
      <c r="M159" s="145"/>
    </row>
    <row r="160" spans="1:35" ht="12.75" hidden="1" outlineLevel="1" x14ac:dyDescent="0.3">
      <c r="D160" s="81" t="s">
        <v>90</v>
      </c>
      <c r="E160" s="82"/>
      <c r="G160" s="82"/>
      <c r="H160" s="259" t="s">
        <v>52</v>
      </c>
      <c r="I160" s="259" t="s">
        <v>47</v>
      </c>
      <c r="J160" s="259" t="s">
        <v>40</v>
      </c>
      <c r="K160" s="78"/>
      <c r="M160" s="66">
        <f>-PMT(Inputs_LRMC!$M$27,Inputs_LRMC!$M$26,M148)</f>
        <v>582.79183342281931</v>
      </c>
      <c r="N160" s="66">
        <f>-PMT(Inputs_LRMC!$M$27,Inputs_LRMC!$M$26,N148)</f>
        <v>717.92409589763702</v>
      </c>
      <c r="O160" s="66">
        <f>-PMT(Inputs_LRMC!$M$27,Inputs_LRMC!$M$26,O148)</f>
        <v>717.44078117892388</v>
      </c>
      <c r="P160" s="66">
        <f>-PMT(Inputs_LRMC!$M$27,Inputs_LRMC!$M$26,P148)</f>
        <v>664.80452233810468</v>
      </c>
      <c r="Q160" s="66">
        <f>-PMT(Inputs_LRMC!$M$27,Inputs_LRMC!$M$26,Q148)</f>
        <v>459.5411612116863</v>
      </c>
      <c r="R160" s="66">
        <f>-PMT(Inputs_LRMC!$M$27,Inputs_LRMC!$M$26,R148)</f>
        <v>414.5266865176954</v>
      </c>
      <c r="S160" s="66">
        <f>-PMT(Inputs_LRMC!$M$27,Inputs_LRMC!$M$26,S148)</f>
        <v>410.94445377340793</v>
      </c>
      <c r="T160" s="66">
        <f>-PMT(Inputs_LRMC!$M$27,Inputs_LRMC!$M$26,T148)</f>
        <v>566.85336204861073</v>
      </c>
      <c r="U160" s="66">
        <f>-PMT(Inputs_LRMC!$M$27,Inputs_LRMC!$M$26,U148)</f>
        <v>566.85336204861073</v>
      </c>
      <c r="V160" s="66">
        <f>-PMT(Inputs_LRMC!$M$27,Inputs_LRMC!$M$26,V148)</f>
        <v>405.01365474969208</v>
      </c>
      <c r="W160" s="66">
        <f>-PMT(Inputs_LRMC!$M$27,Inputs_LRMC!$M$26,W148)</f>
        <v>405.57199466302694</v>
      </c>
      <c r="X160" s="66">
        <f>-PMT(Inputs_LRMC!$M$27,Inputs_LRMC!$M$26,X148)</f>
        <v>405.57199466302694</v>
      </c>
      <c r="Y160" s="66">
        <f>-PMT(Inputs_LRMC!$M$27,Inputs_LRMC!$M$26,Y148)</f>
        <v>405.57199466302694</v>
      </c>
      <c r="Z160" s="66">
        <f>-PMT(Inputs_LRMC!$M$27,Inputs_LRMC!$M$26,Z148)</f>
        <v>405.57199466302694</v>
      </c>
      <c r="AA160" s="66">
        <f>-PMT(Inputs_LRMC!$M$27,Inputs_LRMC!$M$26,AA148)</f>
        <v>405.57199466302592</v>
      </c>
      <c r="AB160" s="66">
        <f>-PMT(Inputs_LRMC!$M$27,Inputs_LRMC!$M$26,AB148)</f>
        <v>405.57199466302694</v>
      </c>
      <c r="AC160" s="66">
        <f>-PMT(Inputs_LRMC!$M$27,Inputs_LRMC!$M$26,AC148)</f>
        <v>405.57199466302694</v>
      </c>
      <c r="AD160" s="66">
        <f>-PMT(Inputs_LRMC!$M$27,Inputs_LRMC!$M$26,AD148)</f>
        <v>405.57199466303052</v>
      </c>
      <c r="AE160" s="66">
        <f>-PMT(Inputs_LRMC!$M$27,Inputs_LRMC!$M$26,AE148)</f>
        <v>405.57199466302694</v>
      </c>
      <c r="AF160" s="66">
        <f>-PMT(Inputs_LRMC!$M$27,Inputs_LRMC!$M$26,AF148)</f>
        <v>405.57199466302592</v>
      </c>
      <c r="AG160" s="66">
        <f>-PMT(Inputs_LRMC!$M$27,Inputs_LRMC!$M$26,AG148)</f>
        <v>405.57199466302694</v>
      </c>
      <c r="AH160" s="66">
        <f>-PMT(Inputs_LRMC!$M$27,Inputs_LRMC!$M$26,AH148)</f>
        <v>405.57199466302694</v>
      </c>
      <c r="AI160" s="66">
        <f>-PMT(Inputs_LRMC!$M$27,Inputs_LRMC!$M$26,AI148)</f>
        <v>405.57199466302694</v>
      </c>
    </row>
    <row r="161" spans="1:35" ht="12.75" hidden="1" outlineLevel="1" x14ac:dyDescent="0.3">
      <c r="A161" s="59">
        <f>IF(SUM($M161:$AI161)=0,0,1)</f>
        <v>0</v>
      </c>
      <c r="D161" s="81" t="s">
        <v>55</v>
      </c>
      <c r="E161" s="82"/>
      <c r="F161" s="80"/>
      <c r="G161" s="82"/>
      <c r="H161" s="80"/>
      <c r="I161" s="84"/>
      <c r="J161" s="84"/>
      <c r="K161" s="78"/>
      <c r="M161" s="59">
        <f t="shared" ref="M161:AI161" si="117">IF(ROUND(M160-M158,2)=0,0,1)</f>
        <v>0</v>
      </c>
      <c r="N161" s="59">
        <f t="shared" si="117"/>
        <v>0</v>
      </c>
      <c r="O161" s="59">
        <f t="shared" si="117"/>
        <v>0</v>
      </c>
      <c r="P161" s="59">
        <f t="shared" si="117"/>
        <v>0</v>
      </c>
      <c r="Q161" s="59">
        <f t="shared" si="117"/>
        <v>0</v>
      </c>
      <c r="R161" s="59">
        <f t="shared" si="117"/>
        <v>0</v>
      </c>
      <c r="S161" s="59">
        <f t="shared" si="117"/>
        <v>0</v>
      </c>
      <c r="T161" s="59">
        <f t="shared" si="117"/>
        <v>0</v>
      </c>
      <c r="U161" s="59">
        <f t="shared" si="117"/>
        <v>0</v>
      </c>
      <c r="V161" s="59">
        <f t="shared" si="117"/>
        <v>0</v>
      </c>
      <c r="W161" s="59">
        <f t="shared" si="117"/>
        <v>0</v>
      </c>
      <c r="X161" s="59">
        <f t="shared" si="117"/>
        <v>0</v>
      </c>
      <c r="Y161" s="59">
        <f t="shared" si="117"/>
        <v>0</v>
      </c>
      <c r="Z161" s="59">
        <f t="shared" si="117"/>
        <v>0</v>
      </c>
      <c r="AA161" s="59">
        <f t="shared" si="117"/>
        <v>0</v>
      </c>
      <c r="AB161" s="59">
        <f t="shared" si="117"/>
        <v>0</v>
      </c>
      <c r="AC161" s="59">
        <f t="shared" si="117"/>
        <v>0</v>
      </c>
      <c r="AD161" s="59">
        <f t="shared" si="117"/>
        <v>0</v>
      </c>
      <c r="AE161" s="59">
        <f t="shared" si="117"/>
        <v>0</v>
      </c>
      <c r="AF161" s="59">
        <f t="shared" si="117"/>
        <v>0</v>
      </c>
      <c r="AG161" s="59">
        <f t="shared" si="117"/>
        <v>0</v>
      </c>
      <c r="AH161" s="59">
        <f t="shared" si="117"/>
        <v>0</v>
      </c>
      <c r="AI161" s="59">
        <f t="shared" si="117"/>
        <v>0</v>
      </c>
    </row>
    <row r="162" spans="1:35" ht="11.25" customHeight="1" collapsed="1" x14ac:dyDescent="0.3"/>
    <row r="163" spans="1:35" ht="11.25" customHeight="1" x14ac:dyDescent="0.3"/>
    <row r="164" spans="1:35" s="2" customFormat="1" ht="15" x14ac:dyDescent="0.3">
      <c r="B164" s="2" t="s">
        <v>76</v>
      </c>
    </row>
    <row r="165" spans="1:35" ht="11.25" customHeight="1" x14ac:dyDescent="0.3"/>
    <row r="166" spans="1:35" ht="11.25" customHeight="1" x14ac:dyDescent="0.3">
      <c r="D166" s="105" t="s">
        <v>665</v>
      </c>
    </row>
    <row r="167" spans="1:35" ht="11.25" customHeight="1" x14ac:dyDescent="0.3"/>
    <row r="168" spans="1:35" ht="11.25" customHeight="1" x14ac:dyDescent="0.3"/>
    <row r="169" spans="1:35" s="8" customFormat="1" ht="13.9" x14ac:dyDescent="0.3">
      <c r="C169" s="8" t="s">
        <v>734</v>
      </c>
    </row>
    <row r="170" spans="1:35" ht="11.25" customHeight="1" x14ac:dyDescent="0.3"/>
    <row r="171" spans="1:35" ht="11.25" hidden="1" customHeight="1" outlineLevel="1" x14ac:dyDescent="0.3">
      <c r="L171" s="251">
        <f>L$8</f>
        <v>2022</v>
      </c>
      <c r="M171" s="251">
        <f t="shared" ref="M171:AI171" si="118">M$8</f>
        <v>2023</v>
      </c>
      <c r="N171" s="251">
        <f t="shared" si="118"/>
        <v>2024</v>
      </c>
      <c r="O171" s="251">
        <f t="shared" si="118"/>
        <v>2025</v>
      </c>
      <c r="P171" s="251">
        <f t="shared" si="118"/>
        <v>2026</v>
      </c>
      <c r="Q171" s="251">
        <f t="shared" si="118"/>
        <v>2027</v>
      </c>
      <c r="R171" s="251">
        <f t="shared" si="118"/>
        <v>2028</v>
      </c>
      <c r="S171" s="251">
        <f t="shared" si="118"/>
        <v>2029</v>
      </c>
      <c r="T171" s="251">
        <f t="shared" si="118"/>
        <v>2030</v>
      </c>
      <c r="U171" s="251">
        <f t="shared" si="118"/>
        <v>2031</v>
      </c>
      <c r="V171" s="251">
        <f t="shared" si="118"/>
        <v>2032</v>
      </c>
      <c r="W171" s="251">
        <f t="shared" si="118"/>
        <v>2033</v>
      </c>
      <c r="X171" s="251">
        <f t="shared" si="118"/>
        <v>2034</v>
      </c>
      <c r="Y171" s="251">
        <f t="shared" si="118"/>
        <v>2035</v>
      </c>
      <c r="Z171" s="251">
        <f t="shared" si="118"/>
        <v>2036</v>
      </c>
      <c r="AA171" s="251">
        <f t="shared" si="118"/>
        <v>2037</v>
      </c>
      <c r="AB171" s="251">
        <f t="shared" si="118"/>
        <v>2038</v>
      </c>
      <c r="AC171" s="251">
        <f t="shared" si="118"/>
        <v>2039</v>
      </c>
      <c r="AD171" s="251">
        <f t="shared" si="118"/>
        <v>2040</v>
      </c>
      <c r="AE171" s="251">
        <f t="shared" si="118"/>
        <v>2041</v>
      </c>
      <c r="AF171" s="251">
        <f t="shared" si="118"/>
        <v>2042</v>
      </c>
      <c r="AG171" s="251">
        <f t="shared" si="118"/>
        <v>2043</v>
      </c>
      <c r="AH171" s="251">
        <f t="shared" si="118"/>
        <v>2044</v>
      </c>
      <c r="AI171" s="251">
        <f t="shared" si="118"/>
        <v>2045</v>
      </c>
    </row>
    <row r="172" spans="1:35" ht="13.15" collapsed="1" x14ac:dyDescent="0.3">
      <c r="D172" s="70" t="str">
        <f>C169</f>
        <v>Aggregate network demand</v>
      </c>
      <c r="H172" s="54" t="str">
        <f>Lookup!E$19</f>
        <v>Source</v>
      </c>
      <c r="I172" s="54" t="str">
        <f>Lookup!F$19</f>
        <v>Unit</v>
      </c>
      <c r="J172" s="54" t="str">
        <f>Lookup!G$19</f>
        <v>Basis</v>
      </c>
      <c r="L172" s="54" t="str">
        <f t="shared" ref="L172:AI172" si="119">L$9</f>
        <v>FY22</v>
      </c>
      <c r="M172" s="54" t="str">
        <f t="shared" si="119"/>
        <v>FY23</v>
      </c>
      <c r="N172" s="54" t="str">
        <f t="shared" si="119"/>
        <v>FY24</v>
      </c>
      <c r="O172" s="54" t="str">
        <f t="shared" si="119"/>
        <v>FY25</v>
      </c>
      <c r="P172" s="54" t="str">
        <f t="shared" si="119"/>
        <v>FY26</v>
      </c>
      <c r="Q172" s="54" t="str">
        <f t="shared" si="119"/>
        <v>FY27</v>
      </c>
      <c r="R172" s="54" t="str">
        <f t="shared" si="119"/>
        <v>FY28</v>
      </c>
      <c r="S172" s="54" t="str">
        <f t="shared" si="119"/>
        <v>FY29</v>
      </c>
      <c r="T172" s="54" t="str">
        <f t="shared" si="119"/>
        <v>FY30</v>
      </c>
      <c r="U172" s="54" t="str">
        <f t="shared" si="119"/>
        <v>FY31</v>
      </c>
      <c r="V172" s="54" t="str">
        <f t="shared" si="119"/>
        <v>FY32</v>
      </c>
      <c r="W172" s="54" t="str">
        <f t="shared" si="119"/>
        <v>FY33</v>
      </c>
      <c r="X172" s="54" t="str">
        <f t="shared" si="119"/>
        <v>FY34</v>
      </c>
      <c r="Y172" s="54" t="str">
        <f t="shared" si="119"/>
        <v>FY35</v>
      </c>
      <c r="Z172" s="54" t="str">
        <f t="shared" si="119"/>
        <v>FY36</v>
      </c>
      <c r="AA172" s="54" t="str">
        <f t="shared" si="119"/>
        <v>FY37</v>
      </c>
      <c r="AB172" s="54" t="str">
        <f t="shared" si="119"/>
        <v>FY38</v>
      </c>
      <c r="AC172" s="54" t="str">
        <f t="shared" si="119"/>
        <v>FY39</v>
      </c>
      <c r="AD172" s="54" t="str">
        <f t="shared" si="119"/>
        <v>FY40</v>
      </c>
      <c r="AE172" s="54" t="str">
        <f t="shared" si="119"/>
        <v>FY41</v>
      </c>
      <c r="AF172" s="54" t="str">
        <f t="shared" si="119"/>
        <v>FY42</v>
      </c>
      <c r="AG172" s="54" t="str">
        <f t="shared" si="119"/>
        <v>FY43</v>
      </c>
      <c r="AH172" s="54" t="str">
        <f t="shared" si="119"/>
        <v>FY44</v>
      </c>
      <c r="AI172" s="54" t="str">
        <f t="shared" si="119"/>
        <v>FY45</v>
      </c>
    </row>
    <row r="173" spans="1:35" ht="11.25" customHeight="1" x14ac:dyDescent="0.3"/>
    <row r="174" spans="1:35" ht="12.75" x14ac:dyDescent="0.3">
      <c r="D174" s="75" t="s">
        <v>664</v>
      </c>
      <c r="H174" s="259" t="s">
        <v>52</v>
      </c>
      <c r="I174" s="259" t="s">
        <v>264</v>
      </c>
      <c r="J174" s="259" t="s">
        <v>21</v>
      </c>
      <c r="L174" s="253">
        <f>Inputs_LRMC!L249</f>
        <v>339.8139496452003</v>
      </c>
      <c r="M174" s="253">
        <f>Inputs_LRMC!M249</f>
        <v>351.55226353427832</v>
      </c>
      <c r="N174" s="253">
        <f>Inputs_LRMC!N249</f>
        <v>367.99948989665114</v>
      </c>
      <c r="O174" s="253">
        <f>Inputs_LRMC!O249</f>
        <v>378.50118146990025</v>
      </c>
      <c r="P174" s="253">
        <f>Inputs_LRMC!P249</f>
        <v>391.46657108308085</v>
      </c>
      <c r="Q174" s="253">
        <f>Inputs_LRMC!Q249</f>
        <v>402.65508373771189</v>
      </c>
      <c r="R174" s="253">
        <f>Inputs_LRMC!R249</f>
        <v>410.83509608490567</v>
      </c>
      <c r="S174" s="253">
        <f>Inputs_LRMC!S249</f>
        <v>417.63350837051854</v>
      </c>
      <c r="T174" s="253">
        <f>Inputs_LRMC!T249</f>
        <v>424.91430149318552</v>
      </c>
      <c r="U174" s="253">
        <f>Inputs_LRMC!U249</f>
        <v>432.42885379315135</v>
      </c>
      <c r="V174" s="254">
        <f t="array" ref="V174:AI174">TREND($Q$174:$U$174,$Q$171:$U$171,$V$171:$AI$171)</f>
        <v>439.78139235164235</v>
      </c>
      <c r="W174" s="253">
        <v>447.14406690355827</v>
      </c>
      <c r="X174" s="253">
        <v>454.50674145547418</v>
      </c>
      <c r="Y174" s="253">
        <v>461.8694160073901</v>
      </c>
      <c r="Z174" s="253">
        <v>469.23209055930602</v>
      </c>
      <c r="AA174" s="253">
        <v>476.59476511122193</v>
      </c>
      <c r="AB174" s="253">
        <v>483.95743966313785</v>
      </c>
      <c r="AC174" s="253">
        <v>491.32011421505376</v>
      </c>
      <c r="AD174" s="253">
        <v>498.68278876696968</v>
      </c>
      <c r="AE174" s="253">
        <v>506.0454633188856</v>
      </c>
      <c r="AF174" s="253">
        <v>513.40813787080151</v>
      </c>
      <c r="AG174" s="253">
        <v>520.77081242271743</v>
      </c>
      <c r="AH174" s="253">
        <v>528.13348697463334</v>
      </c>
      <c r="AI174" s="253">
        <v>535.49616152654926</v>
      </c>
    </row>
    <row r="175" spans="1:35" ht="11.25" customHeight="1" x14ac:dyDescent="0.3"/>
    <row r="176" spans="1:35" ht="11.25" customHeight="1" x14ac:dyDescent="0.3"/>
    <row r="177" spans="1:35" s="8" customFormat="1" ht="13.9" x14ac:dyDescent="0.3">
      <c r="C177" s="8" t="s">
        <v>735</v>
      </c>
    </row>
    <row r="178" spans="1:35" ht="11.25" customHeight="1" x14ac:dyDescent="0.3"/>
    <row r="179" spans="1:35" ht="11.25" customHeight="1" x14ac:dyDescent="0.3">
      <c r="D179" s="70" t="s">
        <v>76</v>
      </c>
      <c r="H179" s="54" t="str">
        <f>Lookup!E$19</f>
        <v>Source</v>
      </c>
      <c r="I179" s="54" t="str">
        <f>Lookup!F$19</f>
        <v>Unit</v>
      </c>
      <c r="J179" s="54" t="str">
        <f>Lookup!G$19</f>
        <v>Basis</v>
      </c>
      <c r="L179" s="54" t="str">
        <f t="shared" ref="L179:AI179" si="120">L$9</f>
        <v>FY22</v>
      </c>
      <c r="M179" s="54" t="str">
        <f t="shared" si="120"/>
        <v>FY23</v>
      </c>
      <c r="N179" s="54" t="str">
        <f t="shared" si="120"/>
        <v>FY24</v>
      </c>
      <c r="O179" s="54" t="str">
        <f t="shared" si="120"/>
        <v>FY25</v>
      </c>
      <c r="P179" s="54" t="str">
        <f t="shared" si="120"/>
        <v>FY26</v>
      </c>
      <c r="Q179" s="54" t="str">
        <f t="shared" si="120"/>
        <v>FY27</v>
      </c>
      <c r="R179" s="54" t="str">
        <f t="shared" si="120"/>
        <v>FY28</v>
      </c>
      <c r="S179" s="54" t="str">
        <f t="shared" si="120"/>
        <v>FY29</v>
      </c>
      <c r="T179" s="54" t="str">
        <f t="shared" si="120"/>
        <v>FY30</v>
      </c>
      <c r="U179" s="54" t="str">
        <f t="shared" si="120"/>
        <v>FY31</v>
      </c>
      <c r="V179" s="54" t="str">
        <f t="shared" si="120"/>
        <v>FY32</v>
      </c>
      <c r="W179" s="54" t="str">
        <f t="shared" si="120"/>
        <v>FY33</v>
      </c>
      <c r="X179" s="54" t="str">
        <f t="shared" si="120"/>
        <v>FY34</v>
      </c>
      <c r="Y179" s="54" t="str">
        <f t="shared" si="120"/>
        <v>FY35</v>
      </c>
      <c r="Z179" s="54" t="str">
        <f t="shared" si="120"/>
        <v>FY36</v>
      </c>
      <c r="AA179" s="54" t="str">
        <f t="shared" si="120"/>
        <v>FY37</v>
      </c>
      <c r="AB179" s="54" t="str">
        <f t="shared" si="120"/>
        <v>FY38</v>
      </c>
      <c r="AC179" s="54" t="str">
        <f t="shared" si="120"/>
        <v>FY39</v>
      </c>
      <c r="AD179" s="54" t="str">
        <f t="shared" si="120"/>
        <v>FY40</v>
      </c>
      <c r="AE179" s="54" t="str">
        <f t="shared" si="120"/>
        <v>FY41</v>
      </c>
      <c r="AF179" s="54" t="str">
        <f t="shared" si="120"/>
        <v>FY42</v>
      </c>
      <c r="AG179" s="54" t="str">
        <f t="shared" si="120"/>
        <v>FY43</v>
      </c>
      <c r="AH179" s="54" t="str">
        <f t="shared" si="120"/>
        <v>FY44</v>
      </c>
      <c r="AI179" s="54" t="str">
        <f t="shared" si="120"/>
        <v>FY45</v>
      </c>
    </row>
    <row r="180" spans="1:35" ht="11.25" customHeight="1" x14ac:dyDescent="0.3">
      <c r="D180" s="1"/>
    </row>
    <row r="181" spans="1:35" ht="12.75" x14ac:dyDescent="0.3">
      <c r="D181" s="75" t="s">
        <v>258</v>
      </c>
      <c r="H181" s="259" t="s">
        <v>52</v>
      </c>
      <c r="I181" s="259" t="s">
        <v>264</v>
      </c>
      <c r="J181" s="259" t="s">
        <v>21</v>
      </c>
      <c r="L181" s="253">
        <f>L$174*Inputs_LRMC!$M235</f>
        <v>0</v>
      </c>
      <c r="M181" s="253">
        <f>M$174*Inputs_LRMC!$M235</f>
        <v>0</v>
      </c>
      <c r="N181" s="253">
        <f>N$174*Inputs_LRMC!$M235</f>
        <v>0</v>
      </c>
      <c r="O181" s="253">
        <f>O$174*Inputs_LRMC!$M235</f>
        <v>0</v>
      </c>
      <c r="P181" s="253">
        <f>P$174*Inputs_LRMC!$M235</f>
        <v>0</v>
      </c>
      <c r="Q181" s="253">
        <f>Q$174*Inputs_LRMC!$M235</f>
        <v>0</v>
      </c>
      <c r="R181" s="253">
        <f>R$174*Inputs_LRMC!$M235</f>
        <v>0</v>
      </c>
      <c r="S181" s="253">
        <f>S$174*Inputs_LRMC!$M235</f>
        <v>0</v>
      </c>
      <c r="T181" s="253">
        <f>T$174*Inputs_LRMC!$M235</f>
        <v>0</v>
      </c>
      <c r="U181" s="253">
        <f>U$174*Inputs_LRMC!$M235</f>
        <v>0</v>
      </c>
      <c r="V181" s="253">
        <f>V$174*Inputs_LRMC!$M235</f>
        <v>0</v>
      </c>
      <c r="W181" s="253">
        <f>W$174*Inputs_LRMC!$M235</f>
        <v>0</v>
      </c>
      <c r="X181" s="253">
        <f>X$174*Inputs_LRMC!$M235</f>
        <v>0</v>
      </c>
      <c r="Y181" s="253">
        <f>Y$174*Inputs_LRMC!$M235</f>
        <v>0</v>
      </c>
      <c r="Z181" s="253">
        <f>Z$174*Inputs_LRMC!$M235</f>
        <v>0</v>
      </c>
      <c r="AA181" s="253">
        <f>AA$174*Inputs_LRMC!$M235</f>
        <v>0</v>
      </c>
      <c r="AB181" s="253">
        <f>AB$174*Inputs_LRMC!$M235</f>
        <v>0</v>
      </c>
      <c r="AC181" s="253">
        <f>AC$174*Inputs_LRMC!$M235</f>
        <v>0</v>
      </c>
      <c r="AD181" s="253">
        <f>AD$174*Inputs_LRMC!$M235</f>
        <v>0</v>
      </c>
      <c r="AE181" s="253">
        <f>AE$174*Inputs_LRMC!$M235</f>
        <v>0</v>
      </c>
      <c r="AF181" s="253">
        <f>AF$174*Inputs_LRMC!$M235</f>
        <v>0</v>
      </c>
      <c r="AG181" s="253">
        <f>AG$174*Inputs_LRMC!$M235</f>
        <v>0</v>
      </c>
      <c r="AH181" s="253">
        <f>AH$174*Inputs_LRMC!$M235</f>
        <v>0</v>
      </c>
      <c r="AI181" s="253">
        <f>AI$174*Inputs_LRMC!$M235</f>
        <v>0</v>
      </c>
    </row>
    <row r="182" spans="1:35" ht="12.75" x14ac:dyDescent="0.3">
      <c r="D182" s="75" t="s">
        <v>69</v>
      </c>
      <c r="H182" s="259" t="s">
        <v>52</v>
      </c>
      <c r="I182" s="259" t="s">
        <v>264</v>
      </c>
      <c r="J182" s="259" t="s">
        <v>21</v>
      </c>
      <c r="L182" s="253">
        <f>L$174*Inputs_LRMC!$M236</f>
        <v>100.00265841369193</v>
      </c>
      <c r="M182" s="253">
        <f>M$174*Inputs_LRMC!$M236</f>
        <v>103.45708574202202</v>
      </c>
      <c r="N182" s="253">
        <f>N$174*Inputs_LRMC!$M236</f>
        <v>108.29728244815</v>
      </c>
      <c r="O182" s="253">
        <f>O$174*Inputs_LRMC!$M236</f>
        <v>111.38778852143535</v>
      </c>
      <c r="P182" s="253">
        <f>P$174*Inputs_LRMC!$M236</f>
        <v>115.20332767172945</v>
      </c>
      <c r="Q182" s="253">
        <f>Q$174*Inputs_LRMC!$M236</f>
        <v>118.49595591823483</v>
      </c>
      <c r="R182" s="253">
        <f>R$174*Inputs_LRMC!$M236</f>
        <v>120.90322313439914</v>
      </c>
      <c r="S182" s="253">
        <f>S$174*Inputs_LRMC!$M236</f>
        <v>122.90390410192101</v>
      </c>
      <c r="T182" s="253">
        <f>T$174*Inputs_LRMC!$M236</f>
        <v>125.0465432383868</v>
      </c>
      <c r="U182" s="253">
        <f>U$174*Inputs_LRMC!$M236</f>
        <v>127.25797454534145</v>
      </c>
      <c r="V182" s="253">
        <f>V$174*Inputs_LRMC!$M236</f>
        <v>129.42172739511696</v>
      </c>
      <c r="W182" s="253">
        <f>W$174*Inputs_LRMC!$M236</f>
        <v>131.58846313093707</v>
      </c>
      <c r="X182" s="253">
        <f>X$174*Inputs_LRMC!$M236</f>
        <v>133.75519886675718</v>
      </c>
      <c r="Y182" s="253">
        <f>Y$174*Inputs_LRMC!$M236</f>
        <v>135.92193460257729</v>
      </c>
      <c r="Z182" s="253">
        <f>Z$174*Inputs_LRMC!$M236</f>
        <v>138.08867033839741</v>
      </c>
      <c r="AA182" s="253">
        <f>AA$174*Inputs_LRMC!$M236</f>
        <v>140.25540607421749</v>
      </c>
      <c r="AB182" s="253">
        <f>AB$174*Inputs_LRMC!$M236</f>
        <v>142.4221418100376</v>
      </c>
      <c r="AC182" s="253">
        <f>AC$174*Inputs_LRMC!$M236</f>
        <v>144.58887754585771</v>
      </c>
      <c r="AD182" s="253">
        <f>AD$174*Inputs_LRMC!$M236</f>
        <v>146.75561328167782</v>
      </c>
      <c r="AE182" s="253">
        <f>AE$174*Inputs_LRMC!$M236</f>
        <v>148.92234901749794</v>
      </c>
      <c r="AF182" s="253">
        <f>AF$174*Inputs_LRMC!$M236</f>
        <v>151.08908475331802</v>
      </c>
      <c r="AG182" s="253">
        <f>AG$174*Inputs_LRMC!$M236</f>
        <v>153.25582048913813</v>
      </c>
      <c r="AH182" s="253">
        <f>AH$174*Inputs_LRMC!$M236</f>
        <v>155.42255622495824</v>
      </c>
      <c r="AI182" s="253">
        <f>AI$174*Inputs_LRMC!$M236</f>
        <v>157.58929196077835</v>
      </c>
    </row>
    <row r="183" spans="1:35" ht="12.75" x14ac:dyDescent="0.3">
      <c r="D183" s="75" t="s">
        <v>257</v>
      </c>
      <c r="H183" s="259" t="s">
        <v>52</v>
      </c>
      <c r="I183" s="259" t="s">
        <v>264</v>
      </c>
      <c r="J183" s="259" t="s">
        <v>21</v>
      </c>
      <c r="L183" s="253">
        <f>L$174*Inputs_LRMC!$M237</f>
        <v>239.81129123150839</v>
      </c>
      <c r="M183" s="253">
        <f>M$174*Inputs_LRMC!$M237</f>
        <v>248.09517779225632</v>
      </c>
      <c r="N183" s="253">
        <f>N$174*Inputs_LRMC!$M237</f>
        <v>259.70220744850116</v>
      </c>
      <c r="O183" s="253">
        <f>O$174*Inputs_LRMC!$M237</f>
        <v>267.11339294846493</v>
      </c>
      <c r="P183" s="253">
        <f>P$174*Inputs_LRMC!$M237</f>
        <v>276.26324341135143</v>
      </c>
      <c r="Q183" s="253">
        <f>Q$174*Inputs_LRMC!$M237</f>
        <v>284.15912781947708</v>
      </c>
      <c r="R183" s="253">
        <f>R$174*Inputs_LRMC!$M237</f>
        <v>289.93187295050654</v>
      </c>
      <c r="S183" s="253">
        <f>S$174*Inputs_LRMC!$M237</f>
        <v>294.72960426859754</v>
      </c>
      <c r="T183" s="253">
        <f>T$174*Inputs_LRMC!$M237</f>
        <v>299.86775825479873</v>
      </c>
      <c r="U183" s="253">
        <f>U$174*Inputs_LRMC!$M237</f>
        <v>305.17087924780992</v>
      </c>
      <c r="V183" s="253">
        <f>V$174*Inputs_LRMC!$M237</f>
        <v>310.35966495652542</v>
      </c>
      <c r="W183" s="253">
        <f>W$174*Inputs_LRMC!$M237</f>
        <v>315.55560377262123</v>
      </c>
      <c r="X183" s="253">
        <f>X$174*Inputs_LRMC!$M237</f>
        <v>320.75154258871703</v>
      </c>
      <c r="Y183" s="253">
        <f>Y$174*Inputs_LRMC!$M237</f>
        <v>325.94748140481283</v>
      </c>
      <c r="Z183" s="253">
        <f>Z$174*Inputs_LRMC!$M237</f>
        <v>331.14342022090864</v>
      </c>
      <c r="AA183" s="253">
        <f>AA$174*Inputs_LRMC!$M237</f>
        <v>336.33935903700444</v>
      </c>
      <c r="AB183" s="253">
        <f>AB$174*Inputs_LRMC!$M237</f>
        <v>341.53529785310025</v>
      </c>
      <c r="AC183" s="253">
        <f>AC$174*Inputs_LRMC!$M237</f>
        <v>346.73123666919605</v>
      </c>
      <c r="AD183" s="253">
        <f>AD$174*Inputs_LRMC!$M237</f>
        <v>351.92717548529191</v>
      </c>
      <c r="AE183" s="253">
        <f>AE$174*Inputs_LRMC!$M237</f>
        <v>357.12311430138772</v>
      </c>
      <c r="AF183" s="253">
        <f>AF$174*Inputs_LRMC!$M237</f>
        <v>362.31905311748352</v>
      </c>
      <c r="AG183" s="253">
        <f>AG$174*Inputs_LRMC!$M237</f>
        <v>367.51499193357932</v>
      </c>
      <c r="AH183" s="253">
        <f>AH$174*Inputs_LRMC!$M237</f>
        <v>372.71093074967513</v>
      </c>
      <c r="AI183" s="253">
        <f>AI$174*Inputs_LRMC!$M237</f>
        <v>377.90686956577093</v>
      </c>
    </row>
    <row r="184" spans="1:35" ht="11.25" customHeight="1" x14ac:dyDescent="0.3"/>
    <row r="185" spans="1:35" ht="11.25" customHeight="1" x14ac:dyDescent="0.3">
      <c r="D185" s="62" t="s">
        <v>51</v>
      </c>
      <c r="H185" s="56" t="s">
        <v>52</v>
      </c>
      <c r="I185" s="56" t="s">
        <v>264</v>
      </c>
      <c r="J185" s="56" t="s">
        <v>21</v>
      </c>
      <c r="L185" s="252">
        <f>SUM(L181:L183)</f>
        <v>339.8139496452003</v>
      </c>
      <c r="M185" s="252">
        <f t="shared" ref="M185:AI185" si="121">SUM(M181:M183)</f>
        <v>351.55226353427832</v>
      </c>
      <c r="N185" s="252">
        <f t="shared" si="121"/>
        <v>367.99948989665114</v>
      </c>
      <c r="O185" s="252">
        <f t="shared" si="121"/>
        <v>378.5011814699003</v>
      </c>
      <c r="P185" s="252">
        <f t="shared" si="121"/>
        <v>391.46657108308091</v>
      </c>
      <c r="Q185" s="252">
        <f t="shared" si="121"/>
        <v>402.65508373771189</v>
      </c>
      <c r="R185" s="252">
        <f t="shared" si="121"/>
        <v>410.83509608490567</v>
      </c>
      <c r="S185" s="252">
        <f t="shared" si="121"/>
        <v>417.63350837051854</v>
      </c>
      <c r="T185" s="252">
        <f t="shared" si="121"/>
        <v>424.91430149318552</v>
      </c>
      <c r="U185" s="252">
        <f t="shared" si="121"/>
        <v>432.42885379315135</v>
      </c>
      <c r="V185" s="252">
        <f t="shared" si="121"/>
        <v>439.78139235164235</v>
      </c>
      <c r="W185" s="252">
        <f t="shared" si="121"/>
        <v>447.14406690355827</v>
      </c>
      <c r="X185" s="252">
        <f t="shared" si="121"/>
        <v>454.50674145547418</v>
      </c>
      <c r="Y185" s="252">
        <f t="shared" si="121"/>
        <v>461.8694160073901</v>
      </c>
      <c r="Z185" s="252">
        <f t="shared" si="121"/>
        <v>469.23209055930602</v>
      </c>
      <c r="AA185" s="252">
        <f t="shared" si="121"/>
        <v>476.59476511122193</v>
      </c>
      <c r="AB185" s="252">
        <f t="shared" si="121"/>
        <v>483.95743966313785</v>
      </c>
      <c r="AC185" s="252">
        <f t="shared" si="121"/>
        <v>491.32011421505376</v>
      </c>
      <c r="AD185" s="252">
        <f t="shared" si="121"/>
        <v>498.68278876696974</v>
      </c>
      <c r="AE185" s="252">
        <f t="shared" si="121"/>
        <v>506.04546331888565</v>
      </c>
      <c r="AF185" s="252">
        <f t="shared" si="121"/>
        <v>513.40813787080151</v>
      </c>
      <c r="AG185" s="252">
        <f t="shared" si="121"/>
        <v>520.77081242271743</v>
      </c>
      <c r="AH185" s="252">
        <f t="shared" si="121"/>
        <v>528.13348697463334</v>
      </c>
      <c r="AI185" s="252">
        <f t="shared" si="121"/>
        <v>535.49616152654926</v>
      </c>
    </row>
    <row r="186" spans="1:35" ht="11.25" customHeight="1" x14ac:dyDescent="0.3">
      <c r="M186" s="145"/>
    </row>
    <row r="187" spans="1:35" ht="12.75" hidden="1" outlineLevel="1" x14ac:dyDescent="0.3">
      <c r="D187" s="81" t="s">
        <v>90</v>
      </c>
      <c r="E187" s="82"/>
      <c r="G187" s="82"/>
      <c r="H187" s="259" t="s">
        <v>52</v>
      </c>
      <c r="I187" s="259" t="s">
        <v>264</v>
      </c>
      <c r="J187" s="259" t="s">
        <v>21</v>
      </c>
      <c r="K187" s="78"/>
      <c r="L187" s="253">
        <f>L174</f>
        <v>339.8139496452003</v>
      </c>
      <c r="M187" s="253">
        <f t="shared" ref="M187:AI187" si="122">M174</f>
        <v>351.55226353427832</v>
      </c>
      <c r="N187" s="253">
        <f t="shared" si="122"/>
        <v>367.99948989665114</v>
      </c>
      <c r="O187" s="253">
        <f t="shared" si="122"/>
        <v>378.50118146990025</v>
      </c>
      <c r="P187" s="253">
        <f t="shared" si="122"/>
        <v>391.46657108308085</v>
      </c>
      <c r="Q187" s="253">
        <f t="shared" si="122"/>
        <v>402.65508373771189</v>
      </c>
      <c r="R187" s="253">
        <f t="shared" si="122"/>
        <v>410.83509608490567</v>
      </c>
      <c r="S187" s="253">
        <f t="shared" si="122"/>
        <v>417.63350837051854</v>
      </c>
      <c r="T187" s="253">
        <f t="shared" si="122"/>
        <v>424.91430149318552</v>
      </c>
      <c r="U187" s="253">
        <f t="shared" si="122"/>
        <v>432.42885379315135</v>
      </c>
      <c r="V187" s="253">
        <f t="shared" si="122"/>
        <v>439.78139235164235</v>
      </c>
      <c r="W187" s="253">
        <f t="shared" si="122"/>
        <v>447.14406690355827</v>
      </c>
      <c r="X187" s="253">
        <f t="shared" si="122"/>
        <v>454.50674145547418</v>
      </c>
      <c r="Y187" s="253">
        <f t="shared" si="122"/>
        <v>461.8694160073901</v>
      </c>
      <c r="Z187" s="253">
        <f t="shared" si="122"/>
        <v>469.23209055930602</v>
      </c>
      <c r="AA187" s="253">
        <f t="shared" si="122"/>
        <v>476.59476511122193</v>
      </c>
      <c r="AB187" s="253">
        <f t="shared" si="122"/>
        <v>483.95743966313785</v>
      </c>
      <c r="AC187" s="253">
        <f t="shared" si="122"/>
        <v>491.32011421505376</v>
      </c>
      <c r="AD187" s="253">
        <f t="shared" si="122"/>
        <v>498.68278876696968</v>
      </c>
      <c r="AE187" s="253">
        <f t="shared" si="122"/>
        <v>506.0454633188856</v>
      </c>
      <c r="AF187" s="253">
        <f t="shared" si="122"/>
        <v>513.40813787080151</v>
      </c>
      <c r="AG187" s="253">
        <f t="shared" si="122"/>
        <v>520.77081242271743</v>
      </c>
      <c r="AH187" s="253">
        <f t="shared" si="122"/>
        <v>528.13348697463334</v>
      </c>
      <c r="AI187" s="253">
        <f t="shared" si="122"/>
        <v>535.49616152654926</v>
      </c>
    </row>
    <row r="188" spans="1:35" ht="12.75" hidden="1" outlineLevel="1" x14ac:dyDescent="0.3">
      <c r="A188" s="59">
        <f>IF(SUM($L188:$AI188)=0,0,1)</f>
        <v>0</v>
      </c>
      <c r="D188" s="81" t="s">
        <v>55</v>
      </c>
      <c r="E188" s="82"/>
      <c r="F188" s="80"/>
      <c r="G188" s="82"/>
      <c r="H188" s="80"/>
      <c r="I188" s="84"/>
      <c r="J188" s="84"/>
      <c r="K188" s="78"/>
      <c r="L188" s="59">
        <f t="shared" ref="L188:AI188" si="123">IF(ROUND(L187-L185,2)=0,0,1)</f>
        <v>0</v>
      </c>
      <c r="M188" s="59">
        <f t="shared" si="123"/>
        <v>0</v>
      </c>
      <c r="N188" s="59">
        <f t="shared" si="123"/>
        <v>0</v>
      </c>
      <c r="O188" s="59">
        <f t="shared" si="123"/>
        <v>0</v>
      </c>
      <c r="P188" s="59">
        <f t="shared" si="123"/>
        <v>0</v>
      </c>
      <c r="Q188" s="59">
        <f t="shared" si="123"/>
        <v>0</v>
      </c>
      <c r="R188" s="59">
        <f t="shared" si="123"/>
        <v>0</v>
      </c>
      <c r="S188" s="59">
        <f t="shared" si="123"/>
        <v>0</v>
      </c>
      <c r="T188" s="59">
        <f t="shared" si="123"/>
        <v>0</v>
      </c>
      <c r="U188" s="59">
        <f t="shared" si="123"/>
        <v>0</v>
      </c>
      <c r="V188" s="59">
        <f t="shared" si="123"/>
        <v>0</v>
      </c>
      <c r="W188" s="59">
        <f t="shared" si="123"/>
        <v>0</v>
      </c>
      <c r="X188" s="59">
        <f t="shared" si="123"/>
        <v>0</v>
      </c>
      <c r="Y188" s="59">
        <f t="shared" si="123"/>
        <v>0</v>
      </c>
      <c r="Z188" s="59">
        <f t="shared" si="123"/>
        <v>0</v>
      </c>
      <c r="AA188" s="59">
        <f t="shared" si="123"/>
        <v>0</v>
      </c>
      <c r="AB188" s="59">
        <f t="shared" si="123"/>
        <v>0</v>
      </c>
      <c r="AC188" s="59">
        <f t="shared" si="123"/>
        <v>0</v>
      </c>
      <c r="AD188" s="59">
        <f t="shared" si="123"/>
        <v>0</v>
      </c>
      <c r="AE188" s="59">
        <f t="shared" si="123"/>
        <v>0</v>
      </c>
      <c r="AF188" s="59">
        <f t="shared" si="123"/>
        <v>0</v>
      </c>
      <c r="AG188" s="59">
        <f t="shared" si="123"/>
        <v>0</v>
      </c>
      <c r="AH188" s="59">
        <f t="shared" si="123"/>
        <v>0</v>
      </c>
      <c r="AI188" s="59">
        <f t="shared" si="123"/>
        <v>0</v>
      </c>
    </row>
    <row r="189" spans="1:35" ht="11.25" customHeight="1" collapsed="1" x14ac:dyDescent="0.3"/>
    <row r="190" spans="1:35" ht="11.25" customHeight="1" x14ac:dyDescent="0.3"/>
    <row r="191" spans="1:35" s="8" customFormat="1" ht="13.9" x14ac:dyDescent="0.3">
      <c r="C191" s="8" t="s">
        <v>736</v>
      </c>
    </row>
    <row r="192" spans="1:35" ht="11.25" customHeight="1" x14ac:dyDescent="0.3"/>
    <row r="193" spans="2:35" ht="11.25" customHeight="1" x14ac:dyDescent="0.3">
      <c r="D193" s="70" t="s">
        <v>319</v>
      </c>
      <c r="H193" s="54" t="str">
        <f>Lookup!E$19</f>
        <v>Source</v>
      </c>
      <c r="I193" s="54" t="str">
        <f>Lookup!F$19</f>
        <v>Unit</v>
      </c>
      <c r="J193" s="54" t="str">
        <f>Lookup!G$19</f>
        <v>Basis</v>
      </c>
      <c r="M193" s="54" t="str">
        <f>Inputs_LRMC!M$9</f>
        <v>FY23</v>
      </c>
      <c r="N193" s="54" t="str">
        <f>Inputs_LRMC!N$9</f>
        <v>FY24</v>
      </c>
      <c r="O193" s="54" t="str">
        <f>Inputs_LRMC!O$9</f>
        <v>FY25</v>
      </c>
      <c r="P193" s="54" t="str">
        <f>Inputs_LRMC!P$9</f>
        <v>FY26</v>
      </c>
      <c r="Q193" s="54" t="str">
        <f>Inputs_LRMC!Q$9</f>
        <v>FY27</v>
      </c>
      <c r="R193" s="54" t="str">
        <f>Inputs_LRMC!R$9</f>
        <v>FY28</v>
      </c>
      <c r="S193" s="54" t="str">
        <f>Inputs_LRMC!S$9</f>
        <v>FY29</v>
      </c>
      <c r="T193" s="54" t="str">
        <f>Inputs_LRMC!T$9</f>
        <v>FY30</v>
      </c>
      <c r="U193" s="54" t="str">
        <f>Inputs_LRMC!U$9</f>
        <v>FY31</v>
      </c>
      <c r="V193" s="54" t="str">
        <f>Inputs_LRMC!V$9</f>
        <v>FY32</v>
      </c>
      <c r="W193" s="54" t="str">
        <f>Inputs_LRMC!W$9</f>
        <v>FY33</v>
      </c>
      <c r="X193" s="54" t="str">
        <f>Inputs_LRMC!X$9</f>
        <v>FY34</v>
      </c>
      <c r="Y193" s="54" t="str">
        <f>Inputs_LRMC!Y$9</f>
        <v>FY35</v>
      </c>
      <c r="Z193" s="54" t="str">
        <f>Inputs_LRMC!Z$9</f>
        <v>FY36</v>
      </c>
      <c r="AA193" s="54" t="str">
        <f>Inputs_LRMC!AA$9</f>
        <v>FY37</v>
      </c>
      <c r="AB193" s="54" t="str">
        <f>Inputs_LRMC!AB$9</f>
        <v>FY38</v>
      </c>
      <c r="AC193" s="54" t="str">
        <f>Inputs_LRMC!AC$9</f>
        <v>FY39</v>
      </c>
      <c r="AD193" s="54" t="str">
        <f>Inputs_LRMC!AD$9</f>
        <v>FY40</v>
      </c>
      <c r="AE193" s="54" t="str">
        <f>Inputs_LRMC!AE$9</f>
        <v>FY41</v>
      </c>
      <c r="AF193" s="54" t="str">
        <f>Inputs_LRMC!AF$9</f>
        <v>FY42</v>
      </c>
      <c r="AG193" s="54" t="str">
        <f>Inputs_LRMC!AG$9</f>
        <v>FY43</v>
      </c>
      <c r="AH193" s="54" t="str">
        <f>Inputs_LRMC!AH$9</f>
        <v>FY44</v>
      </c>
      <c r="AI193" s="54" t="str">
        <f>Inputs_LRMC!AI$9</f>
        <v>FY45</v>
      </c>
    </row>
    <row r="194" spans="2:35" ht="11.25" customHeight="1" x14ac:dyDescent="0.3"/>
    <row r="195" spans="2:35" ht="12.75" x14ac:dyDescent="0.3">
      <c r="D195" s="75" t="s">
        <v>258</v>
      </c>
      <c r="H195" s="259" t="s">
        <v>79</v>
      </c>
      <c r="I195" s="259" t="s">
        <v>264</v>
      </c>
      <c r="J195" s="259" t="s">
        <v>21</v>
      </c>
      <c r="M195" s="253">
        <f>(M181-L181)/(1+Inputs_LRMC!$O235)+M196</f>
        <v>10.686041120162804</v>
      </c>
      <c r="N195" s="253">
        <f>(N181-M181)/(1+Inputs_LRMC!$O235)+N196</f>
        <v>14.972826496356909</v>
      </c>
      <c r="O195" s="253">
        <f>(O181-N181)/(1+Inputs_LRMC!$O235)+O196</f>
        <v>9.560274929044505</v>
      </c>
      <c r="P195" s="253">
        <f>(P181-O181)/(1+Inputs_LRMC!$O235)+P196</f>
        <v>11.803116516955043</v>
      </c>
      <c r="Q195" s="253">
        <f>(Q181-P181)/(1+Inputs_LRMC!$O235)+Q196</f>
        <v>10.185526424889286</v>
      </c>
      <c r="R195" s="253">
        <f>(R181-Q181)/(1+Inputs_LRMC!$O235)+R196</f>
        <v>7.4467209798236169</v>
      </c>
      <c r="S195" s="253">
        <f>(S181-R181)/(1+Inputs_LRMC!$O235)+S196</f>
        <v>6.1889734694754583</v>
      </c>
      <c r="T195" s="253">
        <f>(T181-S181)/(1+Inputs_LRMC!$O235)+T196</f>
        <v>6.6281116207507456</v>
      </c>
      <c r="U195" s="253">
        <f>(U181-T181)/(1+Inputs_LRMC!$O235)+U196</f>
        <v>6.8409156234751354</v>
      </c>
      <c r="V195" s="253">
        <f>(V181-U181)/(1+Inputs_LRMC!$O235)+V196</f>
        <v>6.6934254881974935</v>
      </c>
      <c r="W195" s="253">
        <f>(W181-V181)/(1+Inputs_LRMC!$O235)+W196</f>
        <v>6.702652847727645</v>
      </c>
      <c r="X195" s="253">
        <f>(X181-W181)/(1+Inputs_LRMC!$O235)+X196</f>
        <v>6.702652847727645</v>
      </c>
      <c r="Y195" s="253">
        <f>(Y181-X181)/(1+Inputs_LRMC!$O235)+Y196</f>
        <v>6.702652847727645</v>
      </c>
      <c r="Z195" s="253">
        <f>(Z181-Y181)/(1+Inputs_LRMC!$O235)+Z196</f>
        <v>6.702652847727645</v>
      </c>
      <c r="AA195" s="253">
        <f>(AA181-Z181)/(1+Inputs_LRMC!$O235)+AA196</f>
        <v>6.7026528477276184</v>
      </c>
      <c r="AB195" s="253">
        <f>(AB181-AA181)/(1+Inputs_LRMC!$O235)+AB196</f>
        <v>6.702652847727645</v>
      </c>
      <c r="AC195" s="253">
        <f>(AC181-AB181)/(1+Inputs_LRMC!$O235)+AC196</f>
        <v>6.702652847727645</v>
      </c>
      <c r="AD195" s="253">
        <f>(AD181-AC181)/(1+Inputs_LRMC!$O235)+AD196</f>
        <v>6.7026528477276965</v>
      </c>
      <c r="AE195" s="253">
        <f>(AE181-AD181)/(1+Inputs_LRMC!$O235)+AE196</f>
        <v>6.702652847727645</v>
      </c>
      <c r="AF195" s="253">
        <f>(AF181-AE181)/(1+Inputs_LRMC!$O235)+AF196</f>
        <v>6.7026528477276184</v>
      </c>
      <c r="AG195" s="253">
        <f>(AG181-AF181)/(1+Inputs_LRMC!$O235)+AG196</f>
        <v>6.702652847727645</v>
      </c>
      <c r="AH195" s="253">
        <f>(AH181-AG181)/(1+Inputs_LRMC!$O235)+AH196</f>
        <v>6.702652847727645</v>
      </c>
      <c r="AI195" s="253">
        <f>(AI181-AH181)/(1+Inputs_LRMC!$O235)+AI196</f>
        <v>6.702652847727645</v>
      </c>
    </row>
    <row r="196" spans="2:35" ht="12.75" x14ac:dyDescent="0.3">
      <c r="D196" s="75" t="s">
        <v>69</v>
      </c>
      <c r="H196" s="259" t="s">
        <v>79</v>
      </c>
      <c r="I196" s="259" t="s">
        <v>264</v>
      </c>
      <c r="J196" s="259" t="s">
        <v>21</v>
      </c>
      <c r="M196" s="253">
        <f>(M182-L182)/(1+Inputs_LRMC!$O236)+M197</f>
        <v>10.686041120162804</v>
      </c>
      <c r="N196" s="253">
        <f>(N182-M182)/(1+Inputs_LRMC!$O236)+N197</f>
        <v>14.972826496356909</v>
      </c>
      <c r="O196" s="253">
        <f>(O182-N182)/(1+Inputs_LRMC!$O236)+O197</f>
        <v>9.560274929044505</v>
      </c>
      <c r="P196" s="253">
        <f>(P182-O182)/(1+Inputs_LRMC!$O236)+P197</f>
        <v>11.803116516955043</v>
      </c>
      <c r="Q196" s="253">
        <f>(Q182-P182)/(1+Inputs_LRMC!$O236)+Q197</f>
        <v>10.185526424889286</v>
      </c>
      <c r="R196" s="253">
        <f>(R182-Q182)/(1+Inputs_LRMC!$O236)+R197</f>
        <v>7.4467209798236169</v>
      </c>
      <c r="S196" s="253">
        <f>(S182-R182)/(1+Inputs_LRMC!$O236)+S197</f>
        <v>6.1889734694754583</v>
      </c>
      <c r="T196" s="253">
        <f>(T182-S182)/(1+Inputs_LRMC!$O236)+T197</f>
        <v>6.6281116207507456</v>
      </c>
      <c r="U196" s="253">
        <f>(U182-T182)/(1+Inputs_LRMC!$O236)+U197</f>
        <v>6.8409156234751354</v>
      </c>
      <c r="V196" s="253">
        <f>(V182-U182)/(1+Inputs_LRMC!$O236)+V197</f>
        <v>6.6934254881974935</v>
      </c>
      <c r="W196" s="253">
        <f>(W182-V182)/(1+Inputs_LRMC!$O236)+W197</f>
        <v>6.702652847727645</v>
      </c>
      <c r="X196" s="253">
        <f>(X182-W182)/(1+Inputs_LRMC!$O236)+X197</f>
        <v>6.702652847727645</v>
      </c>
      <c r="Y196" s="253">
        <f>(Y182-X182)/(1+Inputs_LRMC!$O236)+Y197</f>
        <v>6.702652847727645</v>
      </c>
      <c r="Z196" s="253">
        <f>(Z182-Y182)/(1+Inputs_LRMC!$O236)+Z197</f>
        <v>6.702652847727645</v>
      </c>
      <c r="AA196" s="253">
        <f>(AA182-Z182)/(1+Inputs_LRMC!$O236)+AA197</f>
        <v>6.7026528477276184</v>
      </c>
      <c r="AB196" s="253">
        <f>(AB182-AA182)/(1+Inputs_LRMC!$O236)+AB197</f>
        <v>6.702652847727645</v>
      </c>
      <c r="AC196" s="253">
        <f>(AC182-AB182)/(1+Inputs_LRMC!$O236)+AC197</f>
        <v>6.702652847727645</v>
      </c>
      <c r="AD196" s="253">
        <f>(AD182-AC182)/(1+Inputs_LRMC!$O236)+AD197</f>
        <v>6.7026528477276965</v>
      </c>
      <c r="AE196" s="253">
        <f>(AE182-AD182)/(1+Inputs_LRMC!$O236)+AE197</f>
        <v>6.702652847727645</v>
      </c>
      <c r="AF196" s="253">
        <f>(AF182-AE182)/(1+Inputs_LRMC!$O236)+AF197</f>
        <v>6.7026528477276184</v>
      </c>
      <c r="AG196" s="253">
        <f>(AG182-AF182)/(1+Inputs_LRMC!$O236)+AG197</f>
        <v>6.702652847727645</v>
      </c>
      <c r="AH196" s="253">
        <f>(AH182-AG182)/(1+Inputs_LRMC!$O236)+AH197</f>
        <v>6.702652847727645</v>
      </c>
      <c r="AI196" s="253">
        <f>(AI182-AH182)/(1+Inputs_LRMC!$O236)+AI197</f>
        <v>6.702652847727645</v>
      </c>
    </row>
    <row r="197" spans="2:35" ht="12.75" x14ac:dyDescent="0.3">
      <c r="D197" s="75" t="s">
        <v>257</v>
      </c>
      <c r="H197" s="259" t="s">
        <v>79</v>
      </c>
      <c r="I197" s="259" t="s">
        <v>264</v>
      </c>
      <c r="J197" s="259" t="s">
        <v>21</v>
      </c>
      <c r="M197" s="253">
        <f>(M183-L183)/(1+Inputs_LRMC!$O237)+M198</f>
        <v>7.3919273296382482</v>
      </c>
      <c r="N197" s="253">
        <f>(N183-M183)/(1+Inputs_LRMC!$O237)+N198</f>
        <v>10.357254303609309</v>
      </c>
      <c r="O197" s="253">
        <f>(O183-N183)/(1+Inputs_LRMC!$O237)+O198</f>
        <v>6.6131934859879049</v>
      </c>
      <c r="P197" s="253">
        <f>(P183-O183)/(1+Inputs_LRMC!$O237)+P198</f>
        <v>8.164649431487053</v>
      </c>
      <c r="Q197" s="253">
        <f>(Q183-P183)/(1+Inputs_LRMC!$O237)+Q198</f>
        <v>7.0457029221823193</v>
      </c>
      <c r="R197" s="253">
        <f>(R183-Q183)/(1+Inputs_LRMC!$O237)+R198</f>
        <v>5.1511705511863175</v>
      </c>
      <c r="S197" s="253">
        <f>(S183-R183)/(1+Inputs_LRMC!$O237)+S198</f>
        <v>4.2811403790223048</v>
      </c>
      <c r="T197" s="253">
        <f>(T183-S183)/(1+Inputs_LRMC!$O237)+T198</f>
        <v>4.5849083755513282</v>
      </c>
      <c r="U197" s="253">
        <f>(U183-T183)/(1+Inputs_LRMC!$O237)+U198</f>
        <v>4.7321127242812535</v>
      </c>
      <c r="V197" s="253">
        <f>(V183-U183)/(1+Inputs_LRMC!$O237)+V198</f>
        <v>4.6300883777949133</v>
      </c>
      <c r="W197" s="253">
        <f>(W183-V183)/(1+Inputs_LRMC!$O237)+W198</f>
        <v>4.636471281465619</v>
      </c>
      <c r="X197" s="253">
        <f>(X183-W183)/(1+Inputs_LRMC!$O237)+X198</f>
        <v>4.636471281465619</v>
      </c>
      <c r="Y197" s="253">
        <f>(Y183-X183)/(1+Inputs_LRMC!$O237)+Y198</f>
        <v>4.636471281465619</v>
      </c>
      <c r="Z197" s="253">
        <f>(Z183-Y183)/(1+Inputs_LRMC!$O237)+Z198</f>
        <v>4.636471281465619</v>
      </c>
      <c r="AA197" s="253">
        <f>(AA183-Z183)/(1+Inputs_LRMC!$O237)+AA198</f>
        <v>4.636471281465619</v>
      </c>
      <c r="AB197" s="253">
        <f>(AB183-AA183)/(1+Inputs_LRMC!$O237)+AB198</f>
        <v>4.636471281465619</v>
      </c>
      <c r="AC197" s="253">
        <f>(AC183-AB183)/(1+Inputs_LRMC!$O237)+AC198</f>
        <v>4.636471281465619</v>
      </c>
      <c r="AD197" s="253">
        <f>(AD183-AC183)/(1+Inputs_LRMC!$O237)+AD198</f>
        <v>4.6364712814656697</v>
      </c>
      <c r="AE197" s="253">
        <f>(AE183-AD183)/(1+Inputs_LRMC!$O237)+AE198</f>
        <v>4.636471281465619</v>
      </c>
      <c r="AF197" s="253">
        <f>(AF183-AE183)/(1+Inputs_LRMC!$O237)+AF198</f>
        <v>4.636471281465619</v>
      </c>
      <c r="AG197" s="253">
        <f>(AG183-AF183)/(1+Inputs_LRMC!$O237)+AG198</f>
        <v>4.636471281465619</v>
      </c>
      <c r="AH197" s="253">
        <f>(AH183-AG183)/(1+Inputs_LRMC!$O237)+AH198</f>
        <v>4.636471281465619</v>
      </c>
      <c r="AI197" s="253">
        <f>(AI183-AH183)/(1+Inputs_LRMC!$O237)+AI198</f>
        <v>4.636471281465619</v>
      </c>
    </row>
    <row r="198" spans="2:35" ht="11.25" customHeight="1" x14ac:dyDescent="0.3"/>
    <row r="199" spans="2:35" ht="11.25" customHeight="1" x14ac:dyDescent="0.3"/>
    <row r="200" spans="2:35" ht="11.25" customHeight="1" x14ac:dyDescent="0.3"/>
    <row r="201" spans="2:35" s="2" customFormat="1" ht="15" x14ac:dyDescent="0.3">
      <c r="B201" s="2" t="s">
        <v>20</v>
      </c>
    </row>
  </sheetData>
  <mergeCells count="4">
    <mergeCell ref="T18:V18"/>
    <mergeCell ref="N18:Q18"/>
    <mergeCell ref="Z18:AC18"/>
    <mergeCell ref="AE18:AH18"/>
  </mergeCells>
  <conditionalFormatting sqref="B2">
    <cfRule type="cellIs" dxfId="23" priority="1" operator="notEqual">
      <formula>"No Errors Found"</formula>
    </cfRule>
  </conditionalFormatting>
  <dataValidations count="3">
    <dataValidation type="list" allowBlank="1" showInputMessage="1" showErrorMessage="1" sqref="I78:I81 I85:I86 I91:I93 I97:I98 I117:I120 I124:I125 I130:I132 I136:I137 I52:I54 I58:I59 I21:I23 I40:I42 I46:I47 I64:I66 I70:I71 I27:I28 I103:I105 I109:I110 I154:I156 I160:I161 I142:I144 I148:I149 I174 I195:I197 I181:I183 I185 I187:I188" xr:uid="{9E128B57-E873-4D70-940D-80FB59E2F9D2}">
      <formula1>LU_Units</formula1>
    </dataValidation>
    <dataValidation type="list" allowBlank="1" showInputMessage="1" showErrorMessage="1" sqref="J78:J81 J85:J86 J91:J93 J97:J98 J117:J120 J124:J125 J130:J132 J136:J137 J83 J95 J122 J134 J52:J54 J58:J59 J56 J21:J23 J40:J42 J46:J47 J44 J64:J66 J70:J71 J68 J25 J27:J28 J103:J105 J109:J110 J107 J154:J156 J160:J161 J158 J142:J144 J148:J149 J146 J174 J195:J197 J181:J183 J185 J187:J188" xr:uid="{68D65904-D335-441C-865B-0AA889494053}">
      <formula1>LU_Basis</formula1>
    </dataValidation>
    <dataValidation type="list" allowBlank="1" showInputMessage="1" showErrorMessage="1" sqref="K85:K86 K97:K98 K124:K125 K136:K137 K58:K59 K46:K47 K70:K71 K27:K28 K109:K110 K160:K161 K148:K149 K187:K188" xr:uid="{8CD6A025-134E-42A2-A838-32B2ACA6A70B}">
      <formula1>LU_Timing</formula1>
    </dataValidation>
  </dataValidations>
  <hyperlinks>
    <hyperlink ref="B3:E3" location="TOC!A1" display="TOC!A1" xr:uid="{3F390018-562E-4233-9FE0-8AA84927150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6" tint="0.59999389629810485"/>
  </sheetPr>
  <dimension ref="A1:V76"/>
  <sheetViews>
    <sheetView showGridLines="0" zoomScaleNormal="100" workbookViewId="0">
      <pane xSplit="6" ySplit="9" topLeftCell="G10" activePane="bottomRight" state="frozen"/>
      <selection activeCell="E106" sqref="E106"/>
      <selection pane="topRight" activeCell="E106" sqref="E106"/>
      <selection pane="bottomLeft" activeCell="E106" sqref="E106"/>
      <selection pane="bottomRight" activeCell="R42" sqref="R42"/>
    </sheetView>
  </sheetViews>
  <sheetFormatPr defaultColWidth="9.33203125" defaultRowHeight="10.15" outlineLevelRow="1" x14ac:dyDescent="0.3"/>
  <cols>
    <col min="1" max="1" width="3.33203125" customWidth="1"/>
    <col min="2" max="3" width="2.83203125" customWidth="1"/>
    <col min="4" max="4" width="26.83203125" customWidth="1"/>
    <col min="5" max="5" width="17.83203125" customWidth="1"/>
    <col min="6" max="7" width="3.6640625" customWidth="1"/>
    <col min="8" max="10" width="12.6640625" customWidth="1"/>
    <col min="11" max="12" width="3.5" customWidth="1"/>
    <col min="13" max="14" width="11.83203125" bestFit="1" customWidth="1"/>
    <col min="15" max="19" width="15.6640625" customWidth="1"/>
    <col min="20" max="20" width="4.33203125" customWidth="1"/>
  </cols>
  <sheetData>
    <row r="1" spans="1:22" ht="18.75" x14ac:dyDescent="0.3">
      <c r="A1" s="59">
        <f ca="1">IF(SUM($A10:$A76)&gt;0,1,0)</f>
        <v>0</v>
      </c>
      <c r="B1" s="3" t="s">
        <v>738</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260"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 x14ac:dyDescent="0.3">
      <c r="B11" s="2" t="s">
        <v>142</v>
      </c>
    </row>
    <row r="12" spans="1:22" ht="4.5" customHeight="1" x14ac:dyDescent="0.3"/>
    <row r="13" spans="1:22" ht="11.25" customHeight="1" x14ac:dyDescent="0.3"/>
    <row r="14" spans="1:22" ht="11.25" customHeight="1" x14ac:dyDescent="0.3">
      <c r="D14" s="105" t="s">
        <v>143</v>
      </c>
    </row>
    <row r="15" spans="1:22" ht="11.25" customHeight="1" x14ac:dyDescent="0.3">
      <c r="D15" s="105" t="s">
        <v>145</v>
      </c>
    </row>
    <row r="16" spans="1:22" ht="11.25" customHeight="1" x14ac:dyDescent="0.3">
      <c r="D16" s="105" t="s">
        <v>144</v>
      </c>
    </row>
    <row r="17" spans="2:19" ht="11.25" customHeight="1" x14ac:dyDescent="0.3"/>
    <row r="18" spans="2:19" ht="11.25" customHeight="1" x14ac:dyDescent="0.3"/>
    <row r="19" spans="2:19" ht="11.25" customHeight="1" x14ac:dyDescent="0.3">
      <c r="D19" s="70" t="s">
        <v>714</v>
      </c>
      <c r="H19" s="54" t="str">
        <f>Lookup!E$19</f>
        <v>Source</v>
      </c>
      <c r="I19" s="54" t="str">
        <f>Lookup!F$19</f>
        <v>Unit</v>
      </c>
      <c r="J19" s="54" t="str">
        <f>Lookup!G$19</f>
        <v>Basis</v>
      </c>
      <c r="O19" s="54" t="str">
        <f>O$9</f>
        <v>FY25</v>
      </c>
      <c r="P19" s="54" t="str">
        <f>P$9</f>
        <v>FY26</v>
      </c>
      <c r="Q19" s="54" t="str">
        <f>Q$9</f>
        <v>FY27</v>
      </c>
      <c r="R19" s="54" t="str">
        <f>R$9</f>
        <v>FY28</v>
      </c>
      <c r="S19" s="54" t="str">
        <f>S$9</f>
        <v>FY29</v>
      </c>
    </row>
    <row r="20" spans="2:19" ht="11.25" customHeight="1" x14ac:dyDescent="0.3">
      <c r="D20" s="1"/>
    </row>
    <row r="21" spans="2:19" ht="12.75" x14ac:dyDescent="0.3">
      <c r="D21" s="75" t="str">
        <f>Inputs_Other!$D$34</f>
        <v>Real 2024 (End Period) to Nominal (End Period)</v>
      </c>
      <c r="E21" s="82"/>
      <c r="F21" s="82"/>
      <c r="G21" s="82"/>
      <c r="H21" s="259" t="s">
        <v>52</v>
      </c>
      <c r="I21" s="259" t="s">
        <v>45</v>
      </c>
      <c r="J21" s="259" t="s">
        <v>21</v>
      </c>
      <c r="O21" s="142">
        <f>Inputs_Other!O$34</f>
        <v>1.0291964004986822</v>
      </c>
      <c r="P21" s="142">
        <f>Inputs_Other!P$34</f>
        <v>1.059245230799444</v>
      </c>
      <c r="Q21" s="142">
        <f>Inputs_Other!Q$34</f>
        <v>1.0901713787841836</v>
      </c>
      <c r="R21" s="142">
        <f>Inputs_Other!R$34</f>
        <v>1.1220004589713672</v>
      </c>
      <c r="S21" s="142">
        <f>Inputs_Other!S$34</f>
        <v>1.1547588337312005</v>
      </c>
    </row>
    <row r="22" spans="2:19" ht="11.25" customHeight="1" x14ac:dyDescent="0.3"/>
    <row r="23" spans="2:19" ht="11.25" customHeight="1" x14ac:dyDescent="0.3"/>
    <row r="24" spans="2:19" s="2" customFormat="1" ht="15" x14ac:dyDescent="0.3">
      <c r="B24" s="2" t="s">
        <v>739</v>
      </c>
    </row>
    <row r="25" spans="2:19" ht="11.25" customHeight="1" x14ac:dyDescent="0.3"/>
    <row r="26" spans="2:19" s="8" customFormat="1" ht="13.9" x14ac:dyDescent="0.3">
      <c r="C26" s="8" t="s">
        <v>740</v>
      </c>
    </row>
    <row r="27" spans="2:19" ht="11.25" customHeight="1" x14ac:dyDescent="0.3"/>
    <row r="28" spans="2:19" ht="11.25" customHeight="1" x14ac:dyDescent="0.3">
      <c r="C28" s="172" t="s">
        <v>5</v>
      </c>
      <c r="D28" s="70" t="s">
        <v>118</v>
      </c>
      <c r="H28" s="54" t="str">
        <f>Lookup!E$19</f>
        <v>Source</v>
      </c>
      <c r="I28" s="54" t="str">
        <f>Lookup!F$19</f>
        <v>Unit</v>
      </c>
      <c r="J28" s="54" t="str">
        <f>Lookup!G$19</f>
        <v>Basis</v>
      </c>
      <c r="M28" s="54" t="s">
        <v>741</v>
      </c>
      <c r="O28" s="54" t="str">
        <f>O$9</f>
        <v>FY25</v>
      </c>
      <c r="P28" s="54" t="str">
        <f>P$9</f>
        <v>FY26</v>
      </c>
      <c r="Q28" s="54" t="str">
        <f>Q$9</f>
        <v>FY27</v>
      </c>
      <c r="R28" s="54" t="str">
        <f>R$9</f>
        <v>FY28</v>
      </c>
      <c r="S28" s="54" t="str">
        <f>S$9</f>
        <v>FY29</v>
      </c>
    </row>
    <row r="29" spans="2:19" ht="11.25" customHeight="1" x14ac:dyDescent="0.3">
      <c r="D29" s="1"/>
    </row>
    <row r="30" spans="2:19" ht="12.75" x14ac:dyDescent="0.35">
      <c r="C30" s="171">
        <v>1</v>
      </c>
      <c r="D30" s="75" t="str">
        <f t="array" ref="D30:D38">LU_Tariffs</f>
        <v>Residential Accumulation</v>
      </c>
      <c r="E30" s="82"/>
      <c r="F30" s="82"/>
      <c r="G30" s="82"/>
      <c r="H30" s="259" t="s">
        <v>52</v>
      </c>
      <c r="I30" s="259" t="s">
        <v>77</v>
      </c>
      <c r="J30" s="259" t="s">
        <v>40</v>
      </c>
      <c r="M30" s="259" t="str">
        <f t="array" ref="M30:M38">Voltage_Level_Mapping</f>
        <v>LV</v>
      </c>
      <c r="O30" s="66">
        <f ca="1">INDEX(Calc_LRMC!$AH$21:$AH$23,MATCH($M30,Calc_LRMC!$D$21:$D$23,0))*O$21</f>
        <v>169.71942508396168</v>
      </c>
      <c r="P30" s="66">
        <f ca="1">INDEX(Calc_LRMC!$AH$21:$AH$23,MATCH($M30,Calc_LRMC!$D$21:$D$23,0))*P$21</f>
        <v>174.67462139111916</v>
      </c>
      <c r="Q30" s="66">
        <f ca="1">INDEX(Calc_LRMC!$AH$21:$AH$23,MATCH($M30,Calc_LRMC!$D$21:$D$23,0))*Q$21</f>
        <v>179.77449159420993</v>
      </c>
      <c r="R30" s="66">
        <f ca="1">INDEX(Calc_LRMC!$AH$21:$AH$23,MATCH($M30,Calc_LRMC!$D$21:$D$23,0))*R$21</f>
        <v>185.02325965024147</v>
      </c>
      <c r="S30" s="66">
        <f ca="1">INDEX(Calc_LRMC!$AH$21:$AH$23,MATCH($M30,Calc_LRMC!$D$21:$D$23,0))*S$21</f>
        <v>190.42527284056158</v>
      </c>
    </row>
    <row r="31" spans="2:19" ht="12.75" x14ac:dyDescent="0.35">
      <c r="C31" s="171">
        <v>2</v>
      </c>
      <c r="D31" s="75" t="str">
        <v>Non-Residential Accumulation</v>
      </c>
      <c r="H31" s="259" t="s">
        <v>52</v>
      </c>
      <c r="I31" s="259" t="s">
        <v>77</v>
      </c>
      <c r="J31" s="259" t="s">
        <v>40</v>
      </c>
      <c r="M31" s="259" t="str">
        <v>LV</v>
      </c>
      <c r="O31" s="66">
        <f ca="1">INDEX(Calc_LRMC!$AH$21:$AH$23,MATCH($M31,Calc_LRMC!$D$21:$D$23,0))*O$21</f>
        <v>169.71942508396168</v>
      </c>
      <c r="P31" s="66">
        <f ca="1">INDEX(Calc_LRMC!$AH$21:$AH$23,MATCH($M31,Calc_LRMC!$D$21:$D$23,0))*P$21</f>
        <v>174.67462139111916</v>
      </c>
      <c r="Q31" s="66">
        <f ca="1">INDEX(Calc_LRMC!$AH$21:$AH$23,MATCH($M31,Calc_LRMC!$D$21:$D$23,0))*Q$21</f>
        <v>179.77449159420993</v>
      </c>
      <c r="R31" s="66">
        <f ca="1">INDEX(Calc_LRMC!$AH$21:$AH$23,MATCH($M31,Calc_LRMC!$D$21:$D$23,0))*R$21</f>
        <v>185.02325965024147</v>
      </c>
      <c r="S31" s="66">
        <f ca="1">INDEX(Calc_LRMC!$AH$21:$AH$23,MATCH($M31,Calc_LRMC!$D$21:$D$23,0))*S$21</f>
        <v>190.42527284056158</v>
      </c>
    </row>
    <row r="32" spans="2:19" ht="12.75" x14ac:dyDescent="0.35">
      <c r="C32" s="171" t="s">
        <v>494</v>
      </c>
      <c r="D32" s="75" t="str">
        <v>LV Smart Meter - Res</v>
      </c>
      <c r="H32" s="259" t="s">
        <v>52</v>
      </c>
      <c r="I32" s="259" t="s">
        <v>77</v>
      </c>
      <c r="J32" s="259" t="s">
        <v>40</v>
      </c>
      <c r="M32" s="259" t="str">
        <v>LV</v>
      </c>
      <c r="O32" s="66">
        <f ca="1">INDEX(Calc_LRMC!$AH$21:$AH$23,MATCH($M32,Calc_LRMC!$D$21:$D$23,0))*O$21</f>
        <v>169.71942508396168</v>
      </c>
      <c r="P32" s="66">
        <f ca="1">INDEX(Calc_LRMC!$AH$21:$AH$23,MATCH($M32,Calc_LRMC!$D$21:$D$23,0))*P$21</f>
        <v>174.67462139111916</v>
      </c>
      <c r="Q32" s="66">
        <f ca="1">INDEX(Calc_LRMC!$AH$21:$AH$23,MATCH($M32,Calc_LRMC!$D$21:$D$23,0))*Q$21</f>
        <v>179.77449159420993</v>
      </c>
      <c r="R32" s="66">
        <f ca="1">INDEX(Calc_LRMC!$AH$21:$AH$23,MATCH($M32,Calc_LRMC!$D$21:$D$23,0))*R$21</f>
        <v>185.02325965024147</v>
      </c>
      <c r="S32" s="66">
        <f ca="1">INDEX(Calc_LRMC!$AH$21:$AH$23,MATCH($M32,Calc_LRMC!$D$21:$D$23,0))*S$21</f>
        <v>190.42527284056158</v>
      </c>
    </row>
    <row r="33" spans="3:21" ht="12.75" x14ac:dyDescent="0.35">
      <c r="C33" s="171" t="s">
        <v>495</v>
      </c>
      <c r="D33" s="75" t="str">
        <v>LV Smart Meter - Small Comm</v>
      </c>
      <c r="H33" s="259" t="s">
        <v>52</v>
      </c>
      <c r="I33" s="259" t="s">
        <v>77</v>
      </c>
      <c r="J33" s="259" t="s">
        <v>40</v>
      </c>
      <c r="M33" s="259" t="str">
        <v>LV</v>
      </c>
      <c r="O33" s="66">
        <f ca="1">INDEX(Calc_LRMC!$AH$21:$AH$23,MATCH($M33,Calc_LRMC!$D$21:$D$23,0))*O$21</f>
        <v>169.71942508396168</v>
      </c>
      <c r="P33" s="66">
        <f ca="1">INDEX(Calc_LRMC!$AH$21:$AH$23,MATCH($M33,Calc_LRMC!$D$21:$D$23,0))*P$21</f>
        <v>174.67462139111916</v>
      </c>
      <c r="Q33" s="66">
        <f ca="1">INDEX(Calc_LRMC!$AH$21:$AH$23,MATCH($M33,Calc_LRMC!$D$21:$D$23,0))*Q$21</f>
        <v>179.77449159420993</v>
      </c>
      <c r="R33" s="66">
        <f ca="1">INDEX(Calc_LRMC!$AH$21:$AH$23,MATCH($M33,Calc_LRMC!$D$21:$D$23,0))*R$21</f>
        <v>185.02325965024147</v>
      </c>
      <c r="S33" s="66">
        <f ca="1">INDEX(Calc_LRMC!$AH$21:$AH$23,MATCH($M33,Calc_LRMC!$D$21:$D$23,0))*S$21</f>
        <v>190.42527284056158</v>
      </c>
    </row>
    <row r="34" spans="3:21" ht="12.75" x14ac:dyDescent="0.35">
      <c r="C34" s="171" t="s">
        <v>496</v>
      </c>
      <c r="D34" s="75" t="str">
        <v>LV Smart Meter - Med Comm</v>
      </c>
      <c r="H34" s="259" t="s">
        <v>52</v>
      </c>
      <c r="I34" s="259" t="s">
        <v>77</v>
      </c>
      <c r="J34" s="259" t="s">
        <v>40</v>
      </c>
      <c r="M34" s="259" t="str">
        <v>LV</v>
      </c>
      <c r="O34" s="66">
        <f ca="1">INDEX(Calc_LRMC!$AH$21:$AH$23,MATCH($M34,Calc_LRMC!$D$21:$D$23,0))*O$21</f>
        <v>169.71942508396168</v>
      </c>
      <c r="P34" s="66">
        <f ca="1">INDEX(Calc_LRMC!$AH$21:$AH$23,MATCH($M34,Calc_LRMC!$D$21:$D$23,0))*P$21</f>
        <v>174.67462139111916</v>
      </c>
      <c r="Q34" s="66">
        <f ca="1">INDEX(Calc_LRMC!$AH$21:$AH$23,MATCH($M34,Calc_LRMC!$D$21:$D$23,0))*Q$21</f>
        <v>179.77449159420993</v>
      </c>
      <c r="R34" s="66">
        <f ca="1">INDEX(Calc_LRMC!$AH$21:$AH$23,MATCH($M34,Calc_LRMC!$D$21:$D$23,0))*R$21</f>
        <v>185.02325965024147</v>
      </c>
      <c r="S34" s="66">
        <f ca="1">INDEX(Calc_LRMC!$AH$21:$AH$23,MATCH($M34,Calc_LRMC!$D$21:$D$23,0))*S$21</f>
        <v>190.42527284056158</v>
      </c>
    </row>
    <row r="35" spans="3:21" ht="12.75" x14ac:dyDescent="0.35">
      <c r="C35" s="171">
        <v>4</v>
      </c>
      <c r="D35" s="75" t="str">
        <v>Unmetered</v>
      </c>
      <c r="H35" s="259" t="s">
        <v>52</v>
      </c>
      <c r="I35" s="259" t="s">
        <v>77</v>
      </c>
      <c r="J35" s="259" t="s">
        <v>40</v>
      </c>
      <c r="M35" s="259" t="str">
        <v>LV</v>
      </c>
      <c r="O35" s="66">
        <f ca="1">INDEX(Calc_LRMC!$AH$21:$AH$23,MATCH($M35,Calc_LRMC!$D$21:$D$23,0))*O$21</f>
        <v>169.71942508396168</v>
      </c>
      <c r="P35" s="66">
        <f ca="1">INDEX(Calc_LRMC!$AH$21:$AH$23,MATCH($M35,Calc_LRMC!$D$21:$D$23,0))*P$21</f>
        <v>174.67462139111916</v>
      </c>
      <c r="Q35" s="66">
        <f ca="1">INDEX(Calc_LRMC!$AH$21:$AH$23,MATCH($M35,Calc_LRMC!$D$21:$D$23,0))*Q$21</f>
        <v>179.77449159420993</v>
      </c>
      <c r="R35" s="66">
        <f ca="1">INDEX(Calc_LRMC!$AH$21:$AH$23,MATCH($M35,Calc_LRMC!$D$21:$D$23,0))*R$21</f>
        <v>185.02325965024147</v>
      </c>
      <c r="S35" s="66">
        <f ca="1">INDEX(Calc_LRMC!$AH$21:$AH$23,MATCH($M35,Calc_LRMC!$D$21:$D$23,0))*S$21</f>
        <v>190.42527284056158</v>
      </c>
    </row>
    <row r="36" spans="3:21" ht="12.75" x14ac:dyDescent="0.35">
      <c r="C36" s="171">
        <v>5</v>
      </c>
      <c r="D36" s="75" t="str">
        <v>LV Majors</v>
      </c>
      <c r="H36" s="259" t="s">
        <v>52</v>
      </c>
      <c r="I36" s="259" t="s">
        <v>77</v>
      </c>
      <c r="J36" s="259" t="s">
        <v>40</v>
      </c>
      <c r="M36" s="259" t="str">
        <v>LV</v>
      </c>
      <c r="O36" s="66">
        <f ca="1">INDEX(Calc_LRMC!$AH$21:$AH$23,MATCH($M36,Calc_LRMC!$D$21:$D$23,0))*O$21</f>
        <v>169.71942508396168</v>
      </c>
      <c r="P36" s="66">
        <f ca="1">INDEX(Calc_LRMC!$AH$21:$AH$23,MATCH($M36,Calc_LRMC!$D$21:$D$23,0))*P$21</f>
        <v>174.67462139111916</v>
      </c>
      <c r="Q36" s="66">
        <f ca="1">INDEX(Calc_LRMC!$AH$21:$AH$23,MATCH($M36,Calc_LRMC!$D$21:$D$23,0))*Q$21</f>
        <v>179.77449159420993</v>
      </c>
      <c r="R36" s="66">
        <f ca="1">INDEX(Calc_LRMC!$AH$21:$AH$23,MATCH($M36,Calc_LRMC!$D$21:$D$23,0))*R$21</f>
        <v>185.02325965024147</v>
      </c>
      <c r="S36" s="66">
        <f ca="1">INDEX(Calc_LRMC!$AH$21:$AH$23,MATCH($M36,Calc_LRMC!$D$21:$D$23,0))*S$21</f>
        <v>190.42527284056158</v>
      </c>
    </row>
    <row r="37" spans="3:21" ht="12.75" x14ac:dyDescent="0.35">
      <c r="C37" s="171">
        <v>6</v>
      </c>
      <c r="D37" s="75" t="str">
        <v>HV Smart Meters</v>
      </c>
      <c r="H37" s="259" t="s">
        <v>52</v>
      </c>
      <c r="I37" s="259" t="s">
        <v>77</v>
      </c>
      <c r="J37" s="259" t="s">
        <v>40</v>
      </c>
      <c r="M37" s="259" t="str">
        <v>HV</v>
      </c>
      <c r="O37" s="66">
        <f ca="1">INDEX(Calc_LRMC!$AH$21:$AH$23,MATCH($M37,Calc_LRMC!$D$21:$D$23,0))*O$21</f>
        <v>106.98313668230094</v>
      </c>
      <c r="P37" s="66">
        <f ca="1">INDEX(Calc_LRMC!$AH$21:$AH$23,MATCH($M37,Calc_LRMC!$D$21:$D$23,0))*P$21</f>
        <v>110.10665918748268</v>
      </c>
      <c r="Q37" s="66">
        <f ca="1">INDEX(Calc_LRMC!$AH$21:$AH$23,MATCH($M37,Calc_LRMC!$D$21:$D$23,0))*Q$21</f>
        <v>113.32137730669231</v>
      </c>
      <c r="R37" s="66">
        <f ca="1">INDEX(Calc_LRMC!$AH$21:$AH$23,MATCH($M37,Calc_LRMC!$D$21:$D$23,0))*R$21</f>
        <v>116.62995362360078</v>
      </c>
      <c r="S37" s="66">
        <f ca="1">INDEX(Calc_LRMC!$AH$21:$AH$23,MATCH($M37,Calc_LRMC!$D$21:$D$23,0))*S$21</f>
        <v>120.03512845973816</v>
      </c>
    </row>
    <row r="38" spans="3:21" ht="12.75" x14ac:dyDescent="0.35">
      <c r="C38" s="171">
        <v>7</v>
      </c>
      <c r="D38" s="75" t="str">
        <v>Super Users</v>
      </c>
      <c r="H38" s="259" t="s">
        <v>52</v>
      </c>
      <c r="I38" s="259" t="s">
        <v>77</v>
      </c>
      <c r="J38" s="259" t="s">
        <v>40</v>
      </c>
      <c r="M38" s="259" t="str">
        <v>HV</v>
      </c>
      <c r="O38" s="66">
        <f ca="1">INDEX(Calc_LRMC!$AH$21:$AH$23,MATCH($M38,Calc_LRMC!$D$21:$D$23,0))*O$21</f>
        <v>106.98313668230094</v>
      </c>
      <c r="P38" s="66">
        <f ca="1">INDEX(Calc_LRMC!$AH$21:$AH$23,MATCH($M38,Calc_LRMC!$D$21:$D$23,0))*P$21</f>
        <v>110.10665918748268</v>
      </c>
      <c r="Q38" s="66">
        <f ca="1">INDEX(Calc_LRMC!$AH$21:$AH$23,MATCH($M38,Calc_LRMC!$D$21:$D$23,0))*Q$21</f>
        <v>113.32137730669231</v>
      </c>
      <c r="R38" s="66">
        <f ca="1">INDEX(Calc_LRMC!$AH$21:$AH$23,MATCH($M38,Calc_LRMC!$D$21:$D$23,0))*R$21</f>
        <v>116.62995362360078</v>
      </c>
      <c r="S38" s="66">
        <f ca="1">INDEX(Calc_LRMC!$AH$21:$AH$23,MATCH($M38,Calc_LRMC!$D$21:$D$23,0))*S$21</f>
        <v>120.03512845973816</v>
      </c>
    </row>
    <row r="39" spans="3:21" ht="11.25" customHeight="1" x14ac:dyDescent="0.3"/>
    <row r="40" spans="3:21" ht="11.25" customHeight="1" x14ac:dyDescent="0.3"/>
    <row r="41" spans="3:21" s="8" customFormat="1" ht="13.9" x14ac:dyDescent="0.3">
      <c r="C41" s="8" t="s">
        <v>743</v>
      </c>
    </row>
    <row r="42" spans="3:21" ht="11.25" customHeight="1" x14ac:dyDescent="0.3"/>
    <row r="43" spans="3:21" ht="11.25" customHeight="1" x14ac:dyDescent="0.3">
      <c r="C43" s="172" t="s">
        <v>5</v>
      </c>
      <c r="D43" s="70" t="s">
        <v>118</v>
      </c>
      <c r="H43" s="54" t="str">
        <f>Lookup!E$19</f>
        <v>Source</v>
      </c>
      <c r="I43" s="54" t="str">
        <f>Lookup!F$19</f>
        <v>Unit</v>
      </c>
      <c r="J43" s="54" t="str">
        <f>Lookup!G$19</f>
        <v>Basis</v>
      </c>
      <c r="M43" s="54" t="s">
        <v>742</v>
      </c>
      <c r="O43" s="54" t="str">
        <f>O$9</f>
        <v>FY25</v>
      </c>
      <c r="P43" s="54" t="str">
        <f>P$9</f>
        <v>FY26</v>
      </c>
      <c r="Q43" s="54" t="str">
        <f>Q$9</f>
        <v>FY27</v>
      </c>
      <c r="R43" s="54" t="str">
        <f>R$9</f>
        <v>FY28</v>
      </c>
      <c r="S43" s="54" t="str">
        <f>S$9</f>
        <v>FY29</v>
      </c>
    </row>
    <row r="44" spans="3:21" ht="11.25" customHeight="1" x14ac:dyDescent="0.3">
      <c r="D44" s="1"/>
    </row>
    <row r="45" spans="3:21" ht="12.75" x14ac:dyDescent="0.35">
      <c r="C45" s="171">
        <v>1</v>
      </c>
      <c r="D45" s="75" t="str">
        <f t="array" ref="D45:D53">LU_Tariffs</f>
        <v>Residential Accumulation</v>
      </c>
      <c r="E45" s="82"/>
      <c r="F45" s="82"/>
      <c r="G45" s="82"/>
      <c r="H45" s="259" t="s">
        <v>52</v>
      </c>
      <c r="I45" s="259" t="s">
        <v>83</v>
      </c>
      <c r="J45" s="259" t="s">
        <v>40</v>
      </c>
      <c r="M45" s="157">
        <f t="array" ref="M45:M53">Power_Factor</f>
        <v>0.93</v>
      </c>
      <c r="O45" s="77">
        <f>Inputs_Other!O116*MW_to_kW/$M45</f>
        <v>114918.74239897922</v>
      </c>
      <c r="P45" s="77">
        <f>Inputs_Other!P116*MW_to_kW/$M45</f>
        <v>110450.83729485722</v>
      </c>
      <c r="Q45" s="77">
        <f>Inputs_Other!Q116*MW_to_kW/$M45</f>
        <v>105238.01143016883</v>
      </c>
      <c r="R45" s="77">
        <f>Inputs_Other!R116*MW_to_kW/$M45</f>
        <v>99990.272496937148</v>
      </c>
      <c r="S45" s="77">
        <f>Inputs_Other!S116*MW_to_kW/$M45</f>
        <v>94312.672197909531</v>
      </c>
      <c r="U45" s="107" t="s">
        <v>262</v>
      </c>
    </row>
    <row r="46" spans="3:21" ht="12.75" x14ac:dyDescent="0.35">
      <c r="C46" s="171">
        <v>2</v>
      </c>
      <c r="D46" s="75" t="str">
        <v>Non-Residential Accumulation</v>
      </c>
      <c r="H46" s="259" t="s">
        <v>52</v>
      </c>
      <c r="I46" s="259" t="s">
        <v>83</v>
      </c>
      <c r="J46" s="259" t="s">
        <v>40</v>
      </c>
      <c r="M46" s="157">
        <v>0.91</v>
      </c>
      <c r="O46" s="77">
        <f>Inputs_Other!O117*MW_to_kW/$M46</f>
        <v>14672.075365592666</v>
      </c>
      <c r="P46" s="77">
        <f>Inputs_Other!P117*MW_to_kW/$M46</f>
        <v>7999.3888057046024</v>
      </c>
      <c r="Q46" s="77">
        <f>Inputs_Other!Q117*MW_to_kW/$M46</f>
        <v>1204.3747024577899</v>
      </c>
      <c r="R46" s="77">
        <f>Inputs_Other!R117*MW_to_kW/$M46</f>
        <v>0</v>
      </c>
      <c r="S46" s="77">
        <f>Inputs_Other!S117*MW_to_kW/$M46</f>
        <v>0</v>
      </c>
    </row>
    <row r="47" spans="3:21" ht="12.75" x14ac:dyDescent="0.35">
      <c r="C47" s="171" t="s">
        <v>494</v>
      </c>
      <c r="D47" s="75" t="str">
        <v>LV Smart Meter - Res</v>
      </c>
      <c r="H47" s="259" t="s">
        <v>52</v>
      </c>
      <c r="I47" s="259" t="s">
        <v>83</v>
      </c>
      <c r="J47" s="259" t="s">
        <v>40</v>
      </c>
      <c r="M47" s="157">
        <v>0.93</v>
      </c>
      <c r="O47" s="77">
        <f>Inputs_Other!O118*MW_to_kW/$M47</f>
        <v>76656.163000988279</v>
      </c>
      <c r="P47" s="77">
        <f>Inputs_Other!P118*MW_to_kW/$M47</f>
        <v>83315.175795149858</v>
      </c>
      <c r="Q47" s="77">
        <f>Inputs_Other!Q118*MW_to_kW/$M47</f>
        <v>89525.552890839201</v>
      </c>
      <c r="R47" s="77">
        <f>Inputs_Other!R118*MW_to_kW/$M47</f>
        <v>95757.897921226278</v>
      </c>
      <c r="S47" s="77">
        <f>Inputs_Other!S118*MW_to_kW/$M47</f>
        <v>101583.10542679434</v>
      </c>
    </row>
    <row r="48" spans="3:21" ht="12.75" x14ac:dyDescent="0.35">
      <c r="C48" s="171" t="s">
        <v>495</v>
      </c>
      <c r="D48" s="75" t="str">
        <v>LV Smart Meter - Small Comm</v>
      </c>
      <c r="H48" s="259" t="s">
        <v>52</v>
      </c>
      <c r="I48" s="259" t="s">
        <v>83</v>
      </c>
      <c r="J48" s="259" t="s">
        <v>40</v>
      </c>
      <c r="M48" s="157">
        <v>0.93</v>
      </c>
      <c r="O48" s="77">
        <f>Inputs_Other!O119*MW_to_kW/$M48</f>
        <v>54379.615249035909</v>
      </c>
      <c r="P48" s="77">
        <f>Inputs_Other!P119*MW_to_kW/$M48</f>
        <v>61676.810815526136</v>
      </c>
      <c r="Q48" s="77">
        <f>Inputs_Other!Q119*MW_to_kW/$M48</f>
        <v>68669.08359407165</v>
      </c>
      <c r="R48" s="77">
        <f>Inputs_Other!R119*MW_to_kW/$M48</f>
        <v>70190.097347477407</v>
      </c>
      <c r="S48" s="77">
        <f>Inputs_Other!S119*MW_to_kW/$M48</f>
        <v>70236.508228768362</v>
      </c>
    </row>
    <row r="49" spans="3:19" ht="12.75" x14ac:dyDescent="0.35">
      <c r="C49" s="171" t="s">
        <v>496</v>
      </c>
      <c r="D49" s="75" t="str">
        <v>LV Smart Meter - Med Comm</v>
      </c>
      <c r="H49" s="259" t="s">
        <v>52</v>
      </c>
      <c r="I49" s="259" t="s">
        <v>83</v>
      </c>
      <c r="J49" s="259" t="s">
        <v>40</v>
      </c>
      <c r="M49" s="157">
        <v>0.93</v>
      </c>
      <c r="O49" s="77">
        <f>Inputs_Other!O120*MW_to_kW/$M49</f>
        <v>40027.200062067699</v>
      </c>
      <c r="P49" s="77">
        <f>Inputs_Other!P120*MW_to_kW/$M49</f>
        <v>41818.156437617319</v>
      </c>
      <c r="Q49" s="77">
        <f>Inputs_Other!Q120*MW_to_kW/$M49</f>
        <v>43312.71061415947</v>
      </c>
      <c r="R49" s="77">
        <f>Inputs_Other!R120*MW_to_kW/$M49</f>
        <v>44756.796009187034</v>
      </c>
      <c r="S49" s="77">
        <f>Inputs_Other!S120*MW_to_kW/$M49</f>
        <v>45956.38938155496</v>
      </c>
    </row>
    <row r="50" spans="3:19" ht="12.75" x14ac:dyDescent="0.35">
      <c r="C50" s="171">
        <v>4</v>
      </c>
      <c r="D50" s="75" t="str">
        <v>Unmetered</v>
      </c>
      <c r="H50" s="259" t="s">
        <v>52</v>
      </c>
      <c r="I50" s="259" t="s">
        <v>83</v>
      </c>
      <c r="J50" s="259" t="s">
        <v>40</v>
      </c>
      <c r="M50" s="157">
        <v>0.9</v>
      </c>
      <c r="O50" s="77">
        <f>Inputs_Other!O121*MW_to_kW/$M50</f>
        <v>0</v>
      </c>
      <c r="P50" s="77">
        <f>Inputs_Other!P121*MW_to_kW/$M50</f>
        <v>0</v>
      </c>
      <c r="Q50" s="77">
        <f>Inputs_Other!Q121*MW_to_kW/$M50</f>
        <v>0</v>
      </c>
      <c r="R50" s="77">
        <f>Inputs_Other!R121*MW_to_kW/$M50</f>
        <v>0</v>
      </c>
      <c r="S50" s="77">
        <f>Inputs_Other!S121*MW_to_kW/$M50</f>
        <v>0</v>
      </c>
    </row>
    <row r="51" spans="3:19" ht="12.75" x14ac:dyDescent="0.35">
      <c r="C51" s="171">
        <v>5</v>
      </c>
      <c r="D51" s="75" t="str">
        <v>LV Majors</v>
      </c>
      <c r="H51" s="259" t="s">
        <v>52</v>
      </c>
      <c r="I51" s="259" t="s">
        <v>83</v>
      </c>
      <c r="J51" s="259" t="s">
        <v>40</v>
      </c>
      <c r="M51" s="157">
        <v>0.94</v>
      </c>
      <c r="O51" s="77">
        <f>Inputs_Other!O122*MW_to_kW/$M51</f>
        <v>48154.375290025448</v>
      </c>
      <c r="P51" s="77">
        <f>Inputs_Other!P122*MW_to_kW/$M51</f>
        <v>49368.942381481829</v>
      </c>
      <c r="Q51" s="77">
        <f>Inputs_Other!Q122*MW_to_kW/$M51</f>
        <v>50282.634285319407</v>
      </c>
      <c r="R51" s="77">
        <f>Inputs_Other!R122*MW_to_kW/$M51</f>
        <v>51191.914737769453</v>
      </c>
      <c r="S51" s="77">
        <f>Inputs_Other!S122*MW_to_kW/$M51</f>
        <v>51878.259889856985</v>
      </c>
    </row>
    <row r="52" spans="3:19" ht="12.75" x14ac:dyDescent="0.35">
      <c r="C52" s="171">
        <v>6</v>
      </c>
      <c r="D52" s="75" t="str">
        <v>HV Smart Meters</v>
      </c>
      <c r="H52" s="259" t="s">
        <v>52</v>
      </c>
      <c r="I52" s="259" t="s">
        <v>83</v>
      </c>
      <c r="J52" s="259" t="s">
        <v>40</v>
      </c>
      <c r="M52" s="157">
        <v>0.9</v>
      </c>
      <c r="O52" s="77">
        <f>Inputs_Other!O123*MW_to_kW/$M52</f>
        <v>13202.443338338482</v>
      </c>
      <c r="P52" s="77">
        <f>Inputs_Other!P123*MW_to_kW/$M52</f>
        <v>14446.484302801107</v>
      </c>
      <c r="Q52" s="77">
        <f>Inputs_Other!Q123*MW_to_kW/$M52</f>
        <v>15729.643109435641</v>
      </c>
      <c r="R52" s="77">
        <f>Inputs_Other!R123*MW_to_kW/$M52</f>
        <v>17133.642975893486</v>
      </c>
      <c r="S52" s="77">
        <f>Inputs_Other!S123*MW_to_kW/$M52</f>
        <v>18580.614211677694</v>
      </c>
    </row>
    <row r="53" spans="3:19" ht="12.75" x14ac:dyDescent="0.35">
      <c r="C53" s="171">
        <v>7</v>
      </c>
      <c r="D53" s="75" t="str">
        <v>Super Users</v>
      </c>
      <c r="H53" s="259" t="s">
        <v>52</v>
      </c>
      <c r="I53" s="259" t="s">
        <v>83</v>
      </c>
      <c r="J53" s="259" t="s">
        <v>40</v>
      </c>
      <c r="M53" s="157">
        <v>0.9</v>
      </c>
      <c r="O53" s="77">
        <f>Inputs_Other!O124*MW_to_kW/$M53</f>
        <v>44915.798671886179</v>
      </c>
      <c r="P53" s="77">
        <f>Inputs_Other!P124*MW_to_kW/$M53</f>
        <v>48800.546614882718</v>
      </c>
      <c r="Q53" s="77">
        <f>Inputs_Other!Q124*MW_to_kW/$M53</f>
        <v>52340.399331510191</v>
      </c>
      <c r="R53" s="77">
        <f>Inputs_Other!R124*MW_to_kW/$M53</f>
        <v>56210.813236339382</v>
      </c>
      <c r="S53" s="77">
        <f>Inputs_Other!S124*MW_to_kW/$M53</f>
        <v>60159.528396214926</v>
      </c>
    </row>
    <row r="54" spans="3:19" ht="11.25" customHeight="1" x14ac:dyDescent="0.3"/>
    <row r="55" spans="3:19" ht="11.25" customHeight="1" x14ac:dyDescent="0.3"/>
    <row r="56" spans="3:19" s="8" customFormat="1" ht="13.9" x14ac:dyDescent="0.3">
      <c r="C56" s="112" t="s">
        <v>146</v>
      </c>
    </row>
    <row r="57" spans="3:19" ht="11.25" customHeight="1" x14ac:dyDescent="0.3"/>
    <row r="58" spans="3:19" ht="11.25" customHeight="1" x14ac:dyDescent="0.3">
      <c r="C58" s="172" t="s">
        <v>5</v>
      </c>
      <c r="D58" s="70" t="s">
        <v>118</v>
      </c>
      <c r="H58" s="54" t="str">
        <f>Lookup!E$19</f>
        <v>Source</v>
      </c>
      <c r="I58" s="54" t="str">
        <f>Lookup!F$19</f>
        <v>Unit</v>
      </c>
      <c r="J58" s="54" t="str">
        <f>Lookup!G$19</f>
        <v>Basis</v>
      </c>
      <c r="O58" s="54" t="str">
        <f>O$9</f>
        <v>FY25</v>
      </c>
      <c r="P58" s="54" t="str">
        <f>P$9</f>
        <v>FY26</v>
      </c>
      <c r="Q58" s="54" t="str">
        <f>Q$9</f>
        <v>FY27</v>
      </c>
      <c r="R58" s="54" t="str">
        <f>R$9</f>
        <v>FY28</v>
      </c>
      <c r="S58" s="54" t="str">
        <f>S$9</f>
        <v>FY29</v>
      </c>
    </row>
    <row r="59" spans="3:19" ht="11.25" customHeight="1" x14ac:dyDescent="0.3">
      <c r="D59" s="1"/>
    </row>
    <row r="60" spans="3:19" ht="12.75" x14ac:dyDescent="0.35">
      <c r="C60" s="171">
        <v>1</v>
      </c>
      <c r="D60" s="75" t="str">
        <f t="array" ref="D60:D68">LU_Tariffs</f>
        <v>Residential Accumulation</v>
      </c>
      <c r="E60" s="82"/>
      <c r="F60" s="82"/>
      <c r="G60" s="82"/>
      <c r="H60" s="259" t="s">
        <v>52</v>
      </c>
      <c r="I60" s="259" t="s">
        <v>47</v>
      </c>
      <c r="J60" s="259" t="s">
        <v>40</v>
      </c>
      <c r="O60" s="66">
        <f t="shared" ref="O60:S68" ca="1" si="0">O30*O45*Dollars_to_Thousands</f>
        <v>19503.942891326646</v>
      </c>
      <c r="P60" s="66">
        <f t="shared" ca="1" si="0"/>
        <v>19292.958186811291</v>
      </c>
      <c r="Q60" s="66">
        <f t="shared" ca="1" si="0"/>
        <v>18919.110001244255</v>
      </c>
      <c r="R60" s="66">
        <f t="shared" ca="1" si="0"/>
        <v>18500.526150699203</v>
      </c>
      <c r="S60" s="66">
        <f t="shared" ca="1" si="0"/>
        <v>17959.516335609369</v>
      </c>
    </row>
    <row r="61" spans="3:19" ht="12.75" x14ac:dyDescent="0.35">
      <c r="C61" s="171">
        <v>2</v>
      </c>
      <c r="D61" s="75" t="str">
        <v>Non-Residential Accumulation</v>
      </c>
      <c r="H61" s="259" t="s">
        <v>52</v>
      </c>
      <c r="I61" s="259" t="s">
        <v>47</v>
      </c>
      <c r="J61" s="259" t="s">
        <v>40</v>
      </c>
      <c r="O61" s="66">
        <f t="shared" ca="1" si="0"/>
        <v>2490.1361958369439</v>
      </c>
      <c r="P61" s="66">
        <f t="shared" ca="1" si="0"/>
        <v>1397.2902109968084</v>
      </c>
      <c r="Q61" s="66">
        <f t="shared" ca="1" si="0"/>
        <v>216.51584982327705</v>
      </c>
      <c r="R61" s="66">
        <f t="shared" ca="1" si="0"/>
        <v>0</v>
      </c>
      <c r="S61" s="66">
        <f t="shared" ca="1" si="0"/>
        <v>0</v>
      </c>
    </row>
    <row r="62" spans="3:19" ht="12.75" x14ac:dyDescent="0.35">
      <c r="C62" s="171" t="s">
        <v>494</v>
      </c>
      <c r="D62" s="75" t="str">
        <v>LV Smart Meter - Res</v>
      </c>
      <c r="H62" s="259" t="s">
        <v>52</v>
      </c>
      <c r="I62" s="259" t="s">
        <v>47</v>
      </c>
      <c r="J62" s="259" t="s">
        <v>40</v>
      </c>
      <c r="O62" s="66">
        <f t="shared" ca="1" si="0"/>
        <v>13010.039913670185</v>
      </c>
      <c r="P62" s="66">
        <f t="shared" ca="1" si="0"/>
        <v>14553.046788152338</v>
      </c>
      <c r="Q62" s="66">
        <f t="shared" ca="1" si="0"/>
        <v>16094.410755641169</v>
      </c>
      <c r="R62" s="66">
        <f t="shared" ca="1" si="0"/>
        <v>17717.438410640367</v>
      </c>
      <c r="S62" s="66">
        <f t="shared" ca="1" si="0"/>
        <v>19343.990566888842</v>
      </c>
    </row>
    <row r="63" spans="3:19" ht="12.75" x14ac:dyDescent="0.35">
      <c r="C63" s="171" t="s">
        <v>495</v>
      </c>
      <c r="D63" s="75" t="str">
        <v>LV Smart Meter - Small Comm</v>
      </c>
      <c r="H63" s="259" t="s">
        <v>52</v>
      </c>
      <c r="I63" s="259" t="s">
        <v>47</v>
      </c>
      <c r="J63" s="259" t="s">
        <v>40</v>
      </c>
      <c r="O63" s="66">
        <f t="shared" ca="1" si="0"/>
        <v>9229.2770363534091</v>
      </c>
      <c r="P63" s="66">
        <f t="shared" ca="1" si="0"/>
        <v>10773.373577813711</v>
      </c>
      <c r="Q63" s="66">
        <f t="shared" ca="1" si="0"/>
        <v>12344.949591364533</v>
      </c>
      <c r="R63" s="66">
        <f t="shared" ca="1" si="0"/>
        <v>12986.800606398037</v>
      </c>
      <c r="S63" s="66">
        <f t="shared" ca="1" si="0"/>
        <v>13374.806242831564</v>
      </c>
    </row>
    <row r="64" spans="3:19" ht="12.75" x14ac:dyDescent="0.35">
      <c r="C64" s="171" t="s">
        <v>496</v>
      </c>
      <c r="D64" s="75" t="str">
        <v>LV Smart Meter - Med Comm</v>
      </c>
      <c r="H64" s="259" t="s">
        <v>52</v>
      </c>
      <c r="I64" s="259" t="s">
        <v>47</v>
      </c>
      <c r="J64" s="259" t="s">
        <v>40</v>
      </c>
      <c r="O64" s="66">
        <f t="shared" ca="1" si="0"/>
        <v>6793.3933822548452</v>
      </c>
      <c r="P64" s="66">
        <f t="shared" ca="1" si="0"/>
        <v>7304.5706430153978</v>
      </c>
      <c r="Q64" s="66">
        <f t="shared" ca="1" si="0"/>
        <v>7786.520530227659</v>
      </c>
      <c r="R64" s="66">
        <f t="shared" ca="1" si="0"/>
        <v>8281.0482891207048</v>
      </c>
      <c r="S64" s="66">
        <f t="shared" ca="1" si="0"/>
        <v>8751.2579867496897</v>
      </c>
    </row>
    <row r="65" spans="1:19" ht="12.75" x14ac:dyDescent="0.35">
      <c r="C65" s="171">
        <v>4</v>
      </c>
      <c r="D65" s="75" t="str">
        <v>Unmetered</v>
      </c>
      <c r="H65" s="259" t="s">
        <v>52</v>
      </c>
      <c r="I65" s="259" t="s">
        <v>47</v>
      </c>
      <c r="J65" s="259" t="s">
        <v>40</v>
      </c>
      <c r="O65" s="66">
        <f t="shared" ca="1" si="0"/>
        <v>0</v>
      </c>
      <c r="P65" s="66">
        <f t="shared" ca="1" si="0"/>
        <v>0</v>
      </c>
      <c r="Q65" s="66">
        <f t="shared" ca="1" si="0"/>
        <v>0</v>
      </c>
      <c r="R65" s="66">
        <f t="shared" ca="1" si="0"/>
        <v>0</v>
      </c>
      <c r="S65" s="66">
        <f t="shared" ca="1" si="0"/>
        <v>0</v>
      </c>
    </row>
    <row r="66" spans="1:19" ht="12.75" x14ac:dyDescent="0.35">
      <c r="C66" s="171">
        <v>5</v>
      </c>
      <c r="D66" s="75" t="str">
        <v>LV Majors</v>
      </c>
      <c r="H66" s="259" t="s">
        <v>52</v>
      </c>
      <c r="I66" s="259" t="s">
        <v>47</v>
      </c>
      <c r="J66" s="259" t="s">
        <v>40</v>
      </c>
      <c r="O66" s="66">
        <f t="shared" ca="1" si="0"/>
        <v>8172.7328895004493</v>
      </c>
      <c r="P66" s="66">
        <f t="shared" ca="1" si="0"/>
        <v>8623.5013189653164</v>
      </c>
      <c r="Q66" s="66">
        <f t="shared" ca="1" si="0"/>
        <v>9039.5350146608853</v>
      </c>
      <c r="R66" s="66">
        <f t="shared" ca="1" si="0"/>
        <v>9471.6949325193418</v>
      </c>
      <c r="S66" s="66">
        <f t="shared" ca="1" si="0"/>
        <v>9878.9317940195779</v>
      </c>
    </row>
    <row r="67" spans="1:19" ht="12.75" x14ac:dyDescent="0.35">
      <c r="C67" s="171">
        <v>6</v>
      </c>
      <c r="D67" s="75" t="str">
        <v>HV Smart Meters</v>
      </c>
      <c r="H67" s="259" t="s">
        <v>52</v>
      </c>
      <c r="I67" s="259" t="s">
        <v>47</v>
      </c>
      <c r="J67" s="259" t="s">
        <v>40</v>
      </c>
      <c r="O67" s="66">
        <f t="shared" ca="1" si="0"/>
        <v>1412.4388002057992</v>
      </c>
      <c r="P67" s="66">
        <f t="shared" ca="1" si="0"/>
        <v>1590.6541235858399</v>
      </c>
      <c r="Q67" s="66">
        <f t="shared" ca="1" si="0"/>
        <v>1782.5048217039694</v>
      </c>
      <c r="R67" s="66">
        <f t="shared" ca="1" si="0"/>
        <v>1998.2959856817906</v>
      </c>
      <c r="S67" s="66">
        <f t="shared" ca="1" si="0"/>
        <v>2230.3264137595684</v>
      </c>
    </row>
    <row r="68" spans="1:19" ht="12.75" x14ac:dyDescent="0.35">
      <c r="C68" s="171">
        <v>7</v>
      </c>
      <c r="D68" s="75" t="str">
        <v>Super Users</v>
      </c>
      <c r="H68" s="259" t="s">
        <v>52</v>
      </c>
      <c r="I68" s="259" t="s">
        <v>47</v>
      </c>
      <c r="J68" s="259" t="s">
        <v>40</v>
      </c>
      <c r="O68" s="66">
        <f t="shared" ca="1" si="0"/>
        <v>4805.2330285091102</v>
      </c>
      <c r="P68" s="66">
        <f t="shared" ca="1" si="0"/>
        <v>5373.2651542877529</v>
      </c>
      <c r="Q68" s="66">
        <f t="shared" ca="1" si="0"/>
        <v>5931.2861410290125</v>
      </c>
      <c r="R68" s="66">
        <f t="shared" ca="1" si="0"/>
        <v>6555.8645408991479</v>
      </c>
      <c r="S68" s="66">
        <f t="shared" ca="1" si="0"/>
        <v>7221.2567191169246</v>
      </c>
    </row>
    <row r="69" spans="1:19" ht="11.25" customHeight="1" x14ac:dyDescent="0.3"/>
    <row r="70" spans="1:19" ht="11.25" customHeight="1" x14ac:dyDescent="0.3">
      <c r="D70" s="62" t="s">
        <v>676</v>
      </c>
      <c r="H70" s="56" t="s">
        <v>52</v>
      </c>
      <c r="I70" s="56" t="str">
        <f>Thousands</f>
        <v>$000's</v>
      </c>
      <c r="J70" s="56" t="str">
        <f>Nominal</f>
        <v>Nominal</v>
      </c>
      <c r="O70" s="68">
        <f ca="1">SUM(O60:O68)</f>
        <v>65417.194137657374</v>
      </c>
      <c r="P70" s="68">
        <f ca="1">SUM(P60:P68)</f>
        <v>68908.660003628451</v>
      </c>
      <c r="Q70" s="68">
        <f ca="1">SUM(Q60:Q68)</f>
        <v>72114.83270569476</v>
      </c>
      <c r="R70" s="68">
        <f ca="1">SUM(R60:R68)</f>
        <v>75511.66891595858</v>
      </c>
      <c r="S70" s="68">
        <f ca="1">SUM(S60:S68)</f>
        <v>78760.086058975532</v>
      </c>
    </row>
    <row r="71" spans="1:19" ht="11.25" customHeight="1" x14ac:dyDescent="0.3"/>
    <row r="72" spans="1:19" ht="12.75" hidden="1" outlineLevel="1" x14ac:dyDescent="0.3">
      <c r="D72" s="81" t="s">
        <v>90</v>
      </c>
      <c r="E72" s="82"/>
      <c r="G72" s="82"/>
      <c r="H72" s="259" t="s">
        <v>52</v>
      </c>
      <c r="I72" s="259" t="s">
        <v>47</v>
      </c>
      <c r="J72" s="259" t="s">
        <v>40</v>
      </c>
      <c r="K72" s="63"/>
      <c r="O72" s="66">
        <f ca="1">SUMPRODUCT(O30:O38,O45:O53)*Dollars_to_Thousands</f>
        <v>65417.194137657381</v>
      </c>
      <c r="P72" s="66">
        <f ca="1">SUMPRODUCT(P30:P38,P45:P53)*Dollars_to_Thousands</f>
        <v>68908.660003628451</v>
      </c>
      <c r="Q72" s="66">
        <f ca="1">SUMPRODUCT(Q30:Q38,Q45:Q53)*Dollars_to_Thousands</f>
        <v>72114.83270569476</v>
      </c>
      <c r="R72" s="66">
        <f ca="1">SUMPRODUCT(R30:R38,R45:R53)*Dollars_to_Thousands</f>
        <v>75511.66891595858</v>
      </c>
      <c r="S72" s="66">
        <f ca="1">SUMPRODUCT(S30:S38,S45:S53)*Dollars_to_Thousands</f>
        <v>78760.086058975547</v>
      </c>
    </row>
    <row r="73" spans="1:19" ht="12.75" hidden="1" outlineLevel="1" x14ac:dyDescent="0.3">
      <c r="A73" s="59">
        <f ca="1">IF(SUM($M73:$S73)=0,0,1)</f>
        <v>0</v>
      </c>
      <c r="D73" s="81" t="s">
        <v>55</v>
      </c>
      <c r="E73" s="82"/>
      <c r="F73" s="80"/>
      <c r="G73" s="82"/>
      <c r="H73" s="80"/>
      <c r="I73" s="84"/>
      <c r="J73" s="84"/>
      <c r="K73" s="63"/>
      <c r="O73" s="59">
        <f ca="1">IF(ROUND(O72-O70,2)=0,0,1)</f>
        <v>0</v>
      </c>
      <c r="P73" s="59">
        <f ca="1">IF(ROUND(P72-P70,2)=0,0,1)</f>
        <v>0</v>
      </c>
      <c r="Q73" s="59">
        <f ca="1">IF(ROUND(Q72-Q70,2)=0,0,1)</f>
        <v>0</v>
      </c>
      <c r="R73" s="59">
        <f ca="1">IF(ROUND(R72-R70,2)=0,0,1)</f>
        <v>0</v>
      </c>
      <c r="S73" s="59">
        <f ca="1">IF(ROUND(S72-S70,2)=0,0,1)</f>
        <v>0</v>
      </c>
    </row>
    <row r="74" spans="1:19" ht="11.25" customHeight="1" collapsed="1" x14ac:dyDescent="0.3"/>
    <row r="75" spans="1:19" ht="11.25" customHeight="1" x14ac:dyDescent="0.3"/>
    <row r="76" spans="1:19" s="2" customFormat="1" ht="15" x14ac:dyDescent="0.3">
      <c r="B76" s="2" t="s">
        <v>20</v>
      </c>
    </row>
  </sheetData>
  <conditionalFormatting sqref="B2">
    <cfRule type="cellIs" dxfId="22" priority="1" operator="notEqual">
      <formula>"No Errors Found"</formula>
    </cfRule>
  </conditionalFormatting>
  <dataValidations count="3">
    <dataValidation type="list" allowBlank="1" showInputMessage="1" showErrorMessage="1" sqref="I21 I45:I53 I72:I73 I30:I38 I60:I68" xr:uid="{00000000-0002-0000-0900-000000000000}">
      <formula1>LU_Units</formula1>
    </dataValidation>
    <dataValidation type="list" allowBlank="1" showInputMessage="1" showErrorMessage="1" sqref="J60:J68 J21 J45:J53 J72:J73 J30:J38" xr:uid="{00000000-0002-0000-0900-000001000000}">
      <formula1>LU_Basis</formula1>
    </dataValidation>
    <dataValidation type="list" allowBlank="1" showInputMessage="1" showErrorMessage="1" sqref="K72:K73" xr:uid="{00000000-0002-0000-0900-000002000000}">
      <formula1>LU_Timing</formula1>
    </dataValidation>
  </dataValidations>
  <hyperlinks>
    <hyperlink ref="B3:E3" location="TOC!A1" display="TOC!A1" xr:uid="{00000000-0004-0000-09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6" tint="0.59999389629810485"/>
  </sheetPr>
  <dimension ref="A1:V139"/>
  <sheetViews>
    <sheetView showGridLines="0" zoomScaleNormal="100" workbookViewId="0">
      <pane xSplit="5" ySplit="9" topLeftCell="F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34.83203125" customWidth="1"/>
    <col min="5" max="5" width="23.33203125" bestFit="1" customWidth="1"/>
    <col min="6" max="7" width="3.6640625" customWidth="1"/>
    <col min="8" max="10" width="12.6640625" customWidth="1"/>
    <col min="11" max="14" width="2.58203125" customWidth="1"/>
    <col min="15" max="19" width="15.6640625" customWidth="1"/>
    <col min="20" max="20" width="4.33203125" customWidth="1"/>
  </cols>
  <sheetData>
    <row r="1" spans="1:22" ht="18.75" x14ac:dyDescent="0.3">
      <c r="A1" s="59">
        <f ca="1">IF(SUM($A10:$A139)&gt;0,1,0)</f>
        <v>0</v>
      </c>
      <c r="B1" s="3" t="s">
        <v>744</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260" t="s">
        <v>118</v>
      </c>
      <c r="E9" s="50"/>
      <c r="F9" s="50"/>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 x14ac:dyDescent="0.3">
      <c r="B11" s="2" t="s">
        <v>745</v>
      </c>
    </row>
    <row r="12" spans="1:22" ht="4.5" customHeight="1" x14ac:dyDescent="0.3"/>
    <row r="13" spans="1:22" ht="11.25" customHeight="1" x14ac:dyDescent="0.3"/>
    <row r="14" spans="1:22" ht="11.25" customHeight="1" x14ac:dyDescent="0.3">
      <c r="D14" s="105" t="s">
        <v>140</v>
      </c>
    </row>
    <row r="15" spans="1:22" ht="11.25" customHeight="1" x14ac:dyDescent="0.3"/>
    <row r="16" spans="1:22" ht="11.25" customHeight="1" x14ac:dyDescent="0.3"/>
    <row r="17" spans="2:19" s="2" customFormat="1" ht="15" x14ac:dyDescent="0.3">
      <c r="B17" s="2" t="s">
        <v>746</v>
      </c>
    </row>
    <row r="18" spans="2:19" ht="11.25" customHeight="1" x14ac:dyDescent="0.3"/>
    <row r="19" spans="2:19" ht="11.25" customHeight="1" x14ac:dyDescent="0.3">
      <c r="D19" s="105" t="s">
        <v>139</v>
      </c>
    </row>
    <row r="20" spans="2:19" ht="11.25" customHeight="1" x14ac:dyDescent="0.3"/>
    <row r="21" spans="2:19" ht="11.25" customHeight="1" x14ac:dyDescent="0.3"/>
    <row r="22" spans="2:19" s="8" customFormat="1" ht="13.9" x14ac:dyDescent="0.3">
      <c r="C22" s="8" t="s">
        <v>746</v>
      </c>
    </row>
    <row r="23" spans="2:19" ht="11.25" customHeight="1" x14ac:dyDescent="0.3"/>
    <row r="24" spans="2:19" ht="11.25" customHeight="1" x14ac:dyDescent="0.3">
      <c r="C24" s="172" t="s">
        <v>5</v>
      </c>
      <c r="D24" s="70" t="s">
        <v>118</v>
      </c>
      <c r="H24" s="54" t="str">
        <f>Lookup!E$19</f>
        <v>Source</v>
      </c>
      <c r="I24" s="54" t="str">
        <f>Lookup!F$19</f>
        <v>Unit</v>
      </c>
      <c r="J24" s="54" t="str">
        <f>Lookup!G$19</f>
        <v>Basis</v>
      </c>
      <c r="O24" s="54" t="str">
        <f>O$9</f>
        <v>FY25</v>
      </c>
      <c r="P24" s="54" t="str">
        <f>P$9</f>
        <v>FY26</v>
      </c>
      <c r="Q24" s="54" t="str">
        <f>Q$9</f>
        <v>FY27</v>
      </c>
      <c r="R24" s="54" t="str">
        <f>R$9</f>
        <v>FY28</v>
      </c>
      <c r="S24" s="54" t="str">
        <f>S$9</f>
        <v>FY29</v>
      </c>
    </row>
    <row r="25" spans="2:19" ht="11.25" customHeight="1" x14ac:dyDescent="0.3">
      <c r="D25" s="1"/>
    </row>
    <row r="26" spans="2:19" ht="12.75" x14ac:dyDescent="0.35">
      <c r="C26" s="171">
        <v>1</v>
      </c>
      <c r="D26" s="75" t="str">
        <f t="array" ref="D26:D34">LU_Tariffs</f>
        <v>Residential Accumulation</v>
      </c>
      <c r="E26" s="82"/>
      <c r="F26" s="82"/>
      <c r="G26" s="82"/>
      <c r="H26" s="259" t="s">
        <v>52</v>
      </c>
      <c r="I26" s="259" t="s">
        <v>47</v>
      </c>
      <c r="J26" s="259" t="s">
        <v>40</v>
      </c>
      <c r="O26" s="66">
        <f ca="1">Output_Revenue!O34-Calc_LRMC_Tariff!O60</f>
        <v>40765.247212337163</v>
      </c>
      <c r="P26" s="66">
        <f ca="1">Output_Revenue!P34-Calc_LRMC_Tariff!P60</f>
        <v>45522.062880271507</v>
      </c>
      <c r="Q26" s="66">
        <f ca="1">Output_Revenue!Q34-Calc_LRMC_Tariff!Q60</f>
        <v>49478.868708192553</v>
      </c>
      <c r="R26" s="66">
        <f ca="1">Output_Revenue!R34-Calc_LRMC_Tariff!R60</f>
        <v>54049.958570790644</v>
      </c>
      <c r="S26" s="66">
        <f ca="1">Output_Revenue!S34-Calc_LRMC_Tariff!S60</f>
        <v>54730.510177365009</v>
      </c>
    </row>
    <row r="27" spans="2:19" ht="12.75" x14ac:dyDescent="0.35">
      <c r="C27" s="171">
        <v>2</v>
      </c>
      <c r="D27" s="75" t="str">
        <v>Non-Residential Accumulation</v>
      </c>
      <c r="H27" s="259" t="s">
        <v>52</v>
      </c>
      <c r="I27" s="259" t="s">
        <v>47</v>
      </c>
      <c r="J27" s="259" t="s">
        <v>40</v>
      </c>
      <c r="O27" s="66">
        <f ca="1">Output_Revenue!O35-Calc_LRMC_Tariff!O61</f>
        <v>1856.2842291572047</v>
      </c>
      <c r="P27" s="66">
        <f ca="1">Output_Revenue!P35-Calc_LRMC_Tariff!P61</f>
        <v>1214.9515471613774</v>
      </c>
      <c r="Q27" s="66">
        <f ca="1">Output_Revenue!Q35-Calc_LRMC_Tariff!Q61</f>
        <v>221.93273164747183</v>
      </c>
      <c r="R27" s="66">
        <f ca="1">Output_Revenue!R35-Calc_LRMC_Tariff!R61</f>
        <v>0</v>
      </c>
      <c r="S27" s="66">
        <f ca="1">Output_Revenue!S35-Calc_LRMC_Tariff!S61</f>
        <v>0</v>
      </c>
    </row>
    <row r="28" spans="2:19" ht="12.75" x14ac:dyDescent="0.35">
      <c r="C28" s="171" t="s">
        <v>494</v>
      </c>
      <c r="D28" s="75" t="str">
        <v>LV Smart Meter - Res</v>
      </c>
      <c r="H28" s="259" t="s">
        <v>52</v>
      </c>
      <c r="I28" s="259" t="s">
        <v>47</v>
      </c>
      <c r="J28" s="259" t="s">
        <v>40</v>
      </c>
      <c r="O28" s="66">
        <f ca="1">Output_Revenue!O36-Calc_LRMC_Tariff!O62</f>
        <v>22676.359365229142</v>
      </c>
      <c r="P28" s="66">
        <f ca="1">Output_Revenue!P36-Calc_LRMC_Tariff!P62</f>
        <v>27478.512328077115</v>
      </c>
      <c r="Q28" s="66">
        <f ca="1">Output_Revenue!Q36-Calc_LRMC_Tariff!Q62</f>
        <v>33011.830369082702</v>
      </c>
      <c r="R28" s="66">
        <f ca="1">Output_Revenue!R36-Calc_LRMC_Tariff!R62</f>
        <v>39539.942448815367</v>
      </c>
      <c r="S28" s="66">
        <f ca="1">Output_Revenue!S36-Calc_LRMC_Tariff!S62</f>
        <v>42950.827107216406</v>
      </c>
    </row>
    <row r="29" spans="2:19" ht="12.75" x14ac:dyDescent="0.35">
      <c r="C29" s="171" t="s">
        <v>495</v>
      </c>
      <c r="D29" s="75" t="str">
        <v>LV Smart Meter - Small Comm</v>
      </c>
      <c r="H29" s="259" t="s">
        <v>52</v>
      </c>
      <c r="I29" s="259" t="s">
        <v>47</v>
      </c>
      <c r="J29" s="259" t="s">
        <v>40</v>
      </c>
      <c r="O29" s="66">
        <f ca="1">Output_Revenue!O37-Calc_LRMC_Tariff!O63</f>
        <v>15406.304319888737</v>
      </c>
      <c r="P29" s="66">
        <f ca="1">Output_Revenue!P37-Calc_LRMC_Tariff!P63</f>
        <v>18982.613366619749</v>
      </c>
      <c r="Q29" s="66">
        <f ca="1">Output_Revenue!Q37-Calc_LRMC_Tariff!Q63</f>
        <v>23827.058379972241</v>
      </c>
      <c r="R29" s="66">
        <f ca="1">Output_Revenue!R37-Calc_LRMC_Tariff!R63</f>
        <v>28610.441898334764</v>
      </c>
      <c r="S29" s="66">
        <f ca="1">Output_Revenue!S37-Calc_LRMC_Tariff!S63</f>
        <v>29938.563919123026</v>
      </c>
    </row>
    <row r="30" spans="2:19" ht="12.75" x14ac:dyDescent="0.35">
      <c r="C30" s="171" t="s">
        <v>496</v>
      </c>
      <c r="D30" s="75" t="str">
        <v>LV Smart Meter - Med Comm</v>
      </c>
      <c r="H30" s="259" t="s">
        <v>52</v>
      </c>
      <c r="I30" s="259" t="s">
        <v>47</v>
      </c>
      <c r="J30" s="259" t="s">
        <v>40</v>
      </c>
      <c r="O30" s="66">
        <f ca="1">Output_Revenue!O38-Calc_LRMC_Tariff!O64</f>
        <v>7284.0816784549488</v>
      </c>
      <c r="P30" s="66">
        <f ca="1">Output_Revenue!P38-Calc_LRMC_Tariff!P64</f>
        <v>8643.8527225819453</v>
      </c>
      <c r="Q30" s="66">
        <f ca="1">Output_Revenue!Q38-Calc_LRMC_Tariff!Q64</f>
        <v>11285.992763749909</v>
      </c>
      <c r="R30" s="66">
        <f ca="1">Output_Revenue!R38-Calc_LRMC_Tariff!R64</f>
        <v>13618.676441312147</v>
      </c>
      <c r="S30" s="66">
        <f ca="1">Output_Revenue!S38-Calc_LRMC_Tariff!S64</f>
        <v>14230.306652122679</v>
      </c>
    </row>
    <row r="31" spans="2:19" ht="12.75" x14ac:dyDescent="0.35">
      <c r="C31" s="171">
        <v>4</v>
      </c>
      <c r="D31" s="75" t="str">
        <v>Unmetered</v>
      </c>
      <c r="H31" s="259" t="s">
        <v>52</v>
      </c>
      <c r="I31" s="259" t="s">
        <v>47</v>
      </c>
      <c r="J31" s="259" t="s">
        <v>40</v>
      </c>
      <c r="O31" s="66">
        <f ca="1">Output_Revenue!O39-Calc_LRMC_Tariff!O65</f>
        <v>1759.6843825887242</v>
      </c>
      <c r="P31" s="66">
        <f ca="1">Output_Revenue!P39-Calc_LRMC_Tariff!P65</f>
        <v>1964.0915474873575</v>
      </c>
      <c r="Q31" s="66">
        <f ca="1">Output_Revenue!Q39-Calc_LRMC_Tariff!Q65</f>
        <v>2192.2429073537442</v>
      </c>
      <c r="R31" s="66">
        <f ca="1">Output_Revenue!R39-Calc_LRMC_Tariff!R65</f>
        <v>2446.8966179254589</v>
      </c>
      <c r="S31" s="66">
        <f ca="1">Output_Revenue!S39-Calc_LRMC_Tariff!S65</f>
        <v>2547.8453036443871</v>
      </c>
    </row>
    <row r="32" spans="2:19" ht="12.75" x14ac:dyDescent="0.35">
      <c r="C32" s="171">
        <v>5</v>
      </c>
      <c r="D32" s="75" t="str">
        <v>LV Majors</v>
      </c>
      <c r="H32" s="259" t="s">
        <v>52</v>
      </c>
      <c r="I32" s="259" t="s">
        <v>47</v>
      </c>
      <c r="J32" s="259" t="s">
        <v>40</v>
      </c>
      <c r="O32" s="66">
        <f ca="1">Output_Revenue!O40-Calc_LRMC_Tariff!O66</f>
        <v>9072.1740598690485</v>
      </c>
      <c r="P32" s="66">
        <f ca="1">Output_Revenue!P40-Calc_LRMC_Tariff!P66</f>
        <v>10722.800423785155</v>
      </c>
      <c r="Q32" s="66">
        <f ca="1">Output_Revenue!Q40-Calc_LRMC_Tariff!Q66</f>
        <v>12663.669768141181</v>
      </c>
      <c r="R32" s="66">
        <f ca="1">Output_Revenue!R40-Calc_LRMC_Tariff!R66</f>
        <v>14874.926415838974</v>
      </c>
      <c r="S32" s="66">
        <f ca="1">Output_Revenue!S40-Calc_LRMC_Tariff!S66</f>
        <v>15599.521242424295</v>
      </c>
    </row>
    <row r="33" spans="1:19" ht="12.75" x14ac:dyDescent="0.35">
      <c r="C33" s="171">
        <v>6</v>
      </c>
      <c r="D33" s="75" t="str">
        <v>HV Smart Meters</v>
      </c>
      <c r="H33" s="259" t="s">
        <v>52</v>
      </c>
      <c r="I33" s="259" t="s">
        <v>47</v>
      </c>
      <c r="J33" s="259" t="s">
        <v>40</v>
      </c>
      <c r="O33" s="66">
        <f ca="1">Output_Revenue!O41-Calc_LRMC_Tariff!O67</f>
        <v>6066.21982579628</v>
      </c>
      <c r="P33" s="66">
        <f ca="1">Output_Revenue!P41-Calc_LRMC_Tariff!P67</f>
        <v>6560.3257984866941</v>
      </c>
      <c r="Q33" s="66">
        <f ca="1">Output_Revenue!Q41-Calc_LRMC_Tariff!Q67</f>
        <v>7205.691098446383</v>
      </c>
      <c r="R33" s="66">
        <f ca="1">Output_Revenue!R41-Calc_LRMC_Tariff!R67</f>
        <v>7911.6353169163176</v>
      </c>
      <c r="S33" s="66">
        <f ca="1">Output_Revenue!S41-Calc_LRMC_Tariff!S67</f>
        <v>7961.0548008179794</v>
      </c>
    </row>
    <row r="34" spans="1:19" ht="12.75" x14ac:dyDescent="0.35">
      <c r="C34" s="171">
        <v>7</v>
      </c>
      <c r="D34" s="75" t="str">
        <v>Super Users</v>
      </c>
      <c r="H34" s="259" t="s">
        <v>52</v>
      </c>
      <c r="I34" s="259" t="s">
        <v>47</v>
      </c>
      <c r="J34" s="259" t="s">
        <v>40</v>
      </c>
      <c r="O34" s="66">
        <f ca="1">Output_Revenue!O42-Calc_LRMC_Tariff!O68</f>
        <v>5664.8890478937992</v>
      </c>
      <c r="P34" s="66">
        <f ca="1">Output_Revenue!P42-Calc_LRMC_Tariff!P68</f>
        <v>6411.2841306363907</v>
      </c>
      <c r="Q34" s="66">
        <f ca="1">Output_Revenue!Q42-Calc_LRMC_Tariff!Q68</f>
        <v>7222.1713030934525</v>
      </c>
      <c r="R34" s="66">
        <f ca="1">Output_Revenue!R42-Calc_LRMC_Tariff!R68</f>
        <v>8125.5151666536049</v>
      </c>
      <c r="S34" s="66">
        <f ca="1">Output_Revenue!S42-Calc_LRMC_Tariff!S68</f>
        <v>8065.8151027493959</v>
      </c>
    </row>
    <row r="35" spans="1:19" ht="11.25" customHeight="1" x14ac:dyDescent="0.3"/>
    <row r="36" spans="1:19" ht="11.25" customHeight="1" x14ac:dyDescent="0.3">
      <c r="D36" s="62" t="s">
        <v>51</v>
      </c>
      <c r="H36" s="56" t="s">
        <v>52</v>
      </c>
      <c r="I36" s="56" t="str">
        <f>Thousands</f>
        <v>$000's</v>
      </c>
      <c r="J36" s="56" t="str">
        <f>Nominal</f>
        <v>Nominal</v>
      </c>
      <c r="O36" s="68">
        <f ca="1">SUM(O26:O34)</f>
        <v>110551.24412121503</v>
      </c>
      <c r="P36" s="68">
        <f ca="1">SUM(P26:P34)</f>
        <v>127500.49474510729</v>
      </c>
      <c r="Q36" s="68">
        <f ca="1">SUM(Q26:Q34)</f>
        <v>147109.45802967963</v>
      </c>
      <c r="R36" s="68">
        <f ca="1">SUM(R26:R34)</f>
        <v>169177.99287658729</v>
      </c>
      <c r="S36" s="68">
        <f ca="1">SUM(S26:S34)</f>
        <v>176024.44430546317</v>
      </c>
    </row>
    <row r="37" spans="1:19" ht="11.25" customHeight="1" x14ac:dyDescent="0.3"/>
    <row r="38" spans="1:19" ht="12.75" hidden="1" outlineLevel="1" x14ac:dyDescent="0.3">
      <c r="D38" s="81" t="s">
        <v>90</v>
      </c>
      <c r="E38" s="82"/>
      <c r="G38" s="82"/>
      <c r="H38" s="259" t="s">
        <v>52</v>
      </c>
      <c r="I38" s="259" t="s">
        <v>47</v>
      </c>
      <c r="J38" s="259" t="s">
        <v>40</v>
      </c>
      <c r="K38" s="63"/>
      <c r="O38" s="66">
        <f ca="1">Calc_Revenue!O24-Calc_LRMC_Tariff!O70</f>
        <v>110551.24412121502</v>
      </c>
      <c r="P38" s="66">
        <f ca="1">Calc_Revenue!P24-Calc_LRMC_Tariff!P70</f>
        <v>127500.49474510729</v>
      </c>
      <c r="Q38" s="66">
        <f ca="1">Calc_Revenue!Q24-Calc_LRMC_Tariff!Q70</f>
        <v>147109.45802967966</v>
      </c>
      <c r="R38" s="66">
        <f ca="1">Calc_Revenue!R24-Calc_LRMC_Tariff!R70</f>
        <v>169177.99287658732</v>
      </c>
      <c r="S38" s="66">
        <f ca="1">Calc_Revenue!S24-Calc_LRMC_Tariff!S70</f>
        <v>176024.44430546317</v>
      </c>
    </row>
    <row r="39" spans="1:19" ht="12.75" hidden="1" outlineLevel="1" x14ac:dyDescent="0.3">
      <c r="A39" s="59">
        <f ca="1">IF(SUM($M39:$S39)=0,0,1)</f>
        <v>0</v>
      </c>
      <c r="D39" s="81" t="s">
        <v>55</v>
      </c>
      <c r="E39" s="82"/>
      <c r="F39" s="80"/>
      <c r="G39" s="82"/>
      <c r="H39" s="80"/>
      <c r="I39" s="84"/>
      <c r="J39" s="84"/>
      <c r="K39" s="63"/>
      <c r="O39" s="59">
        <f ca="1">IF(ROUND(O38-O36,2)=0,0,1)</f>
        <v>0</v>
      </c>
      <c r="P39" s="59">
        <f ca="1">IF(ROUND(P38-P36,2)=0,0,1)</f>
        <v>0</v>
      </c>
      <c r="Q39" s="59">
        <f ca="1">IF(ROUND(Q38-Q36,2)=0,0,1)</f>
        <v>0</v>
      </c>
      <c r="R39" s="59">
        <f ca="1">IF(ROUND(R38-R36,2)=0,0,1)</f>
        <v>0</v>
      </c>
      <c r="S39" s="59">
        <f ca="1">IF(ROUND(S38-S36,2)=0,0,1)</f>
        <v>0</v>
      </c>
    </row>
    <row r="40" spans="1:19" ht="11.25" customHeight="1" collapsed="1" x14ac:dyDescent="0.3"/>
    <row r="41" spans="1:19" s="8" customFormat="1" ht="13.9" x14ac:dyDescent="0.3">
      <c r="C41" s="8" t="s">
        <v>747</v>
      </c>
    </row>
    <row r="42" spans="1:19" ht="11.25" customHeight="1" x14ac:dyDescent="0.3"/>
    <row r="43" spans="1:19" ht="11.25" customHeight="1" x14ac:dyDescent="0.3">
      <c r="C43" s="172" t="s">
        <v>5</v>
      </c>
      <c r="D43" s="70" t="s">
        <v>118</v>
      </c>
      <c r="E43" s="54" t="s">
        <v>119</v>
      </c>
      <c r="H43" s="54" t="str">
        <f>Lookup!E$19</f>
        <v>Source</v>
      </c>
      <c r="I43" s="54" t="str">
        <f>Lookup!F$19</f>
        <v>Unit</v>
      </c>
      <c r="J43" s="54" t="str">
        <f>Lookup!G$19</f>
        <v>Basis</v>
      </c>
      <c r="O43" s="54" t="str">
        <f>O$9</f>
        <v>FY25</v>
      </c>
      <c r="P43" s="54" t="str">
        <f>P$9</f>
        <v>FY26</v>
      </c>
      <c r="Q43" s="54" t="str">
        <f>Q$9</f>
        <v>FY27</v>
      </c>
      <c r="R43" s="54" t="str">
        <f>R$9</f>
        <v>FY28</v>
      </c>
      <c r="S43" s="54" t="str">
        <f>S$9</f>
        <v>FY29</v>
      </c>
    </row>
    <row r="44" spans="1:19" ht="11.25" customHeight="1" x14ac:dyDescent="0.3">
      <c r="D44" s="1"/>
    </row>
    <row r="45" spans="1:19" ht="12.75" x14ac:dyDescent="0.35">
      <c r="C45" s="171">
        <f>Inputs_Other!C136</f>
        <v>1</v>
      </c>
      <c r="D45" s="75" t="str">
        <f>Inputs_Other!D136</f>
        <v>Residential Accumulation</v>
      </c>
      <c r="E45" s="53" t="str">
        <f>Inputs_Other!E136</f>
        <v>SAC</v>
      </c>
      <c r="F45" s="82"/>
      <c r="G45" s="82"/>
      <c r="H45" s="259" t="s">
        <v>52</v>
      </c>
      <c r="I45" s="259" t="s">
        <v>47</v>
      </c>
      <c r="J45" s="259" t="s">
        <v>40</v>
      </c>
      <c r="O45" s="66">
        <f ca="1">INDEX(O$26:O$34,MATCH($D45,$D$26:$D$34,0))*Inputs_Other!O136</f>
        <v>28535.673048636014</v>
      </c>
      <c r="P45" s="66">
        <f ca="1">INDEX(P$26:P$34,MATCH($D45,$D$26:$D$34,0))*Inputs_Other!P136</f>
        <v>31865.444016190053</v>
      </c>
      <c r="Q45" s="66">
        <f ca="1">INDEX(Q$26:Q$34,MATCH($D45,$D$26:$D$34,0))*Inputs_Other!Q136</f>
        <v>34635.208095734786</v>
      </c>
      <c r="R45" s="66">
        <f ca="1">INDEX(R$26:R$34,MATCH($D45,$D$26:$D$34,0))*Inputs_Other!R136</f>
        <v>37834.97099955345</v>
      </c>
      <c r="S45" s="66">
        <f ca="1">INDEX(S$26:S$34,MATCH($D45,$D$26:$D$34,0))*Inputs_Other!S136</f>
        <v>38311.357124155504</v>
      </c>
    </row>
    <row r="46" spans="1:19" ht="12.75" x14ac:dyDescent="0.35">
      <c r="C46" s="171">
        <f>Inputs_Other!C137</f>
        <v>1</v>
      </c>
      <c r="D46" s="75" t="str">
        <f>Inputs_Other!D137</f>
        <v>Residential Accumulation</v>
      </c>
      <c r="E46" s="53" t="str">
        <f>Inputs_Other!E137</f>
        <v>Anytime Energy</v>
      </c>
      <c r="H46" s="259" t="s">
        <v>52</v>
      </c>
      <c r="I46" s="259" t="s">
        <v>47</v>
      </c>
      <c r="J46" s="259" t="s">
        <v>40</v>
      </c>
      <c r="O46" s="66">
        <f ca="1">INDEX(O$26:O$34,MATCH($D46,$D$26:$D$34,0))*Inputs_Other!O137</f>
        <v>12229.574163701151</v>
      </c>
      <c r="P46" s="66">
        <f ca="1">INDEX(P$26:P$34,MATCH($D46,$D$26:$D$34,0))*Inputs_Other!P137</f>
        <v>13656.618864081454</v>
      </c>
      <c r="Q46" s="66">
        <f ca="1">INDEX(Q$26:Q$34,MATCH($D46,$D$26:$D$34,0))*Inputs_Other!Q137</f>
        <v>14843.660612457768</v>
      </c>
      <c r="R46" s="66">
        <f ca="1">INDEX(R$26:R$34,MATCH($D46,$D$26:$D$34,0))*Inputs_Other!R137</f>
        <v>16214.987571237196</v>
      </c>
      <c r="S46" s="66">
        <f ca="1">INDEX(S$26:S$34,MATCH($D46,$D$26:$D$34,0))*Inputs_Other!S137</f>
        <v>16419.153053209506</v>
      </c>
    </row>
    <row r="47" spans="1:19" ht="12.75" x14ac:dyDescent="0.35">
      <c r="C47" s="171">
        <f>Inputs_Other!C138</f>
        <v>2</v>
      </c>
      <c r="D47" s="75" t="str">
        <f>Inputs_Other!D138</f>
        <v>Non-Residential Accumulation</v>
      </c>
      <c r="E47" s="53" t="str">
        <f>Inputs_Other!E138</f>
        <v>SAC</v>
      </c>
      <c r="H47" s="259" t="s">
        <v>52</v>
      </c>
      <c r="I47" s="259" t="s">
        <v>47</v>
      </c>
      <c r="J47" s="259" t="s">
        <v>40</v>
      </c>
      <c r="O47" s="66">
        <f ca="1">INDEX(O$26:O$34,MATCH($D47,$D$26:$D$34,0))*Inputs_Other!O138</f>
        <v>535.72362853476932</v>
      </c>
      <c r="P47" s="66">
        <f ca="1">INDEX(P$26:P$34,MATCH($D47,$D$26:$D$34,0))*Inputs_Other!P138</f>
        <v>350.63501651077354</v>
      </c>
      <c r="Q47" s="66">
        <f ca="1">INDEX(Q$26:Q$34,MATCH($D47,$D$26:$D$34,0))*Inputs_Other!Q138</f>
        <v>64.049786353460377</v>
      </c>
      <c r="R47" s="66">
        <f ca="1">INDEX(R$26:R$34,MATCH($D47,$D$26:$D$34,0))*Inputs_Other!R138</f>
        <v>0</v>
      </c>
      <c r="S47" s="66">
        <f ca="1">INDEX(S$26:S$34,MATCH($D47,$D$26:$D$34,0))*Inputs_Other!S138</f>
        <v>0</v>
      </c>
    </row>
    <row r="48" spans="1:19" ht="12.75" x14ac:dyDescent="0.35">
      <c r="C48" s="171">
        <f>Inputs_Other!C139</f>
        <v>2</v>
      </c>
      <c r="D48" s="75" t="str">
        <f>Inputs_Other!D139</f>
        <v>Non-Residential Accumulation</v>
      </c>
      <c r="E48" s="53" t="str">
        <f>Inputs_Other!E139</f>
        <v>Anytime Energy</v>
      </c>
      <c r="H48" s="259" t="s">
        <v>52</v>
      </c>
      <c r="I48" s="259" t="s">
        <v>47</v>
      </c>
      <c r="J48" s="259" t="s">
        <v>40</v>
      </c>
      <c r="O48" s="66">
        <f ca="1">INDEX(O$26:O$34,MATCH($D48,$D$26:$D$34,0))*Inputs_Other!O139</f>
        <v>1320.5606006224355</v>
      </c>
      <c r="P48" s="66">
        <f ca="1">INDEX(P$26:P$34,MATCH($D48,$D$26:$D$34,0))*Inputs_Other!P139</f>
        <v>864.31653065060391</v>
      </c>
      <c r="Q48" s="66">
        <f ca="1">INDEX(Q$26:Q$34,MATCH($D48,$D$26:$D$34,0))*Inputs_Other!Q139</f>
        <v>157.88294529401148</v>
      </c>
      <c r="R48" s="66">
        <f ca="1">INDEX(R$26:R$34,MATCH($D48,$D$26:$D$34,0))*Inputs_Other!R139</f>
        <v>0</v>
      </c>
      <c r="S48" s="66">
        <f ca="1">INDEX(S$26:S$34,MATCH($D48,$D$26:$D$34,0))*Inputs_Other!S139</f>
        <v>0</v>
      </c>
    </row>
    <row r="49" spans="3:19" ht="12.75" x14ac:dyDescent="0.35">
      <c r="C49" s="171" t="str">
        <f>Inputs_Other!C140</f>
        <v>3a</v>
      </c>
      <c r="D49" s="75" t="str">
        <f>Inputs_Other!D140</f>
        <v>LV Smart Meter - Res</v>
      </c>
      <c r="E49" s="53" t="str">
        <f>Inputs_Other!E140</f>
        <v>SAC</v>
      </c>
      <c r="H49" s="259" t="s">
        <v>52</v>
      </c>
      <c r="I49" s="259" t="s">
        <v>47</v>
      </c>
      <c r="J49" s="259" t="s">
        <v>40</v>
      </c>
      <c r="O49" s="66">
        <f ca="1">INDEX(O$26:O$34,MATCH($D49,$D$26:$D$34,0))*Inputs_Other!O140</f>
        <v>20408.723428706227</v>
      </c>
      <c r="P49" s="66">
        <f ca="1">INDEX(P$26:P$34,MATCH($D49,$D$26:$D$34,0))*Inputs_Other!P140</f>
        <v>24730.661095269403</v>
      </c>
      <c r="Q49" s="66">
        <f ca="1">INDEX(Q$26:Q$34,MATCH($D49,$D$26:$D$34,0))*Inputs_Other!Q140</f>
        <v>29710.647332174431</v>
      </c>
      <c r="R49" s="66">
        <f ca="1">INDEX(R$26:R$34,MATCH($D49,$D$26:$D$34,0))*Inputs_Other!R140</f>
        <v>35585.948203933833</v>
      </c>
      <c r="S49" s="66">
        <f ca="1">INDEX(S$26:S$34,MATCH($D49,$D$26:$D$34,0))*Inputs_Other!S140</f>
        <v>38655.744396494767</v>
      </c>
    </row>
    <row r="50" spans="3:19" ht="12.75" x14ac:dyDescent="0.35">
      <c r="C50" s="171" t="str">
        <f>Inputs_Other!C141</f>
        <v>3a</v>
      </c>
      <c r="D50" s="75" t="str">
        <f>Inputs_Other!D141</f>
        <v>LV Smart Meter - Res</v>
      </c>
      <c r="E50" s="53" t="str">
        <f>Inputs_Other!E141</f>
        <v>Peak Energy</v>
      </c>
      <c r="H50" s="259" t="s">
        <v>52</v>
      </c>
      <c r="I50" s="259" t="s">
        <v>47</v>
      </c>
      <c r="J50" s="259" t="s">
        <v>40</v>
      </c>
      <c r="O50" s="66">
        <f ca="1">INDEX(O$26:O$34,MATCH($D50,$D$26:$D$34,0))*Inputs_Other!O141</f>
        <v>0</v>
      </c>
      <c r="P50" s="66">
        <f ca="1">INDEX(P$26:P$34,MATCH($D50,$D$26:$D$34,0))*Inputs_Other!P141</f>
        <v>0</v>
      </c>
      <c r="Q50" s="66">
        <f ca="1">INDEX(Q$26:Q$34,MATCH($D50,$D$26:$D$34,0))*Inputs_Other!Q141</f>
        <v>0</v>
      </c>
      <c r="R50" s="66">
        <f ca="1">INDEX(R$26:R$34,MATCH($D50,$D$26:$D$34,0))*Inputs_Other!R141</f>
        <v>0</v>
      </c>
      <c r="S50" s="66">
        <f ca="1">INDEX(S$26:S$34,MATCH($D50,$D$26:$D$34,0))*Inputs_Other!S141</f>
        <v>0</v>
      </c>
    </row>
    <row r="51" spans="3:19" ht="12.75" x14ac:dyDescent="0.35">
      <c r="C51" s="171" t="str">
        <f>Inputs_Other!C142</f>
        <v>3a</v>
      </c>
      <c r="D51" s="75" t="str">
        <f>Inputs_Other!D142</f>
        <v>LV Smart Meter - Res</v>
      </c>
      <c r="E51" s="53" t="str">
        <f>Inputs_Other!E142</f>
        <v>Off-peak Energy</v>
      </c>
      <c r="H51" s="259" t="s">
        <v>52</v>
      </c>
      <c r="I51" s="259" t="s">
        <v>47</v>
      </c>
      <c r="J51" s="259" t="s">
        <v>40</v>
      </c>
      <c r="O51" s="66">
        <f ca="1">INDEX(O$26:O$34,MATCH($D51,$D$26:$D$34,0))*Inputs_Other!O142</f>
        <v>2267.6359365229137</v>
      </c>
      <c r="P51" s="66">
        <f ca="1">INDEX(P$26:P$34,MATCH($D51,$D$26:$D$34,0))*Inputs_Other!P142</f>
        <v>2747.8512328077109</v>
      </c>
      <c r="Q51" s="66">
        <f ca="1">INDEX(Q$26:Q$34,MATCH($D51,$D$26:$D$34,0))*Inputs_Other!Q142</f>
        <v>3301.1830369082695</v>
      </c>
      <c r="R51" s="66">
        <f ca="1">INDEX(R$26:R$34,MATCH($D51,$D$26:$D$34,0))*Inputs_Other!R142</f>
        <v>3953.9942448815359</v>
      </c>
      <c r="S51" s="66">
        <f ca="1">INDEX(S$26:S$34,MATCH($D51,$D$26:$D$34,0))*Inputs_Other!S142</f>
        <v>4295.0827107216401</v>
      </c>
    </row>
    <row r="52" spans="3:19" ht="12.75" x14ac:dyDescent="0.35">
      <c r="C52" s="171" t="str">
        <f>Inputs_Other!C143</f>
        <v>3a</v>
      </c>
      <c r="D52" s="75" t="str">
        <f>Inputs_Other!D143</f>
        <v>LV Smart Meter - Res</v>
      </c>
      <c r="E52" s="53" t="str">
        <f>Inputs_Other!E143</f>
        <v>Super Off-peak Energy</v>
      </c>
      <c r="H52" s="259" t="s">
        <v>52</v>
      </c>
      <c r="I52" s="259" t="s">
        <v>47</v>
      </c>
      <c r="J52" s="259" t="s">
        <v>40</v>
      </c>
      <c r="O52" s="66">
        <f ca="1">INDEX(O$26:O$34,MATCH($D52,$D$26:$D$34,0))*Inputs_Other!O143</f>
        <v>0</v>
      </c>
      <c r="P52" s="66">
        <f ca="1">INDEX(P$26:P$34,MATCH($D52,$D$26:$D$34,0))*Inputs_Other!P143</f>
        <v>0</v>
      </c>
      <c r="Q52" s="66">
        <f ca="1">INDEX(Q$26:Q$34,MATCH($D52,$D$26:$D$34,0))*Inputs_Other!Q143</f>
        <v>0</v>
      </c>
      <c r="R52" s="66">
        <f ca="1">INDEX(R$26:R$34,MATCH($D52,$D$26:$D$34,0))*Inputs_Other!R143</f>
        <v>0</v>
      </c>
      <c r="S52" s="66">
        <f ca="1">INDEX(S$26:S$34,MATCH($D52,$D$26:$D$34,0))*Inputs_Other!S143</f>
        <v>0</v>
      </c>
    </row>
    <row r="53" spans="3:19" ht="12.75" x14ac:dyDescent="0.35">
      <c r="C53" s="171" t="str">
        <f>Inputs_Other!C144</f>
        <v>3b</v>
      </c>
      <c r="D53" s="75" t="str">
        <f>Inputs_Other!D144</f>
        <v>LV Smart Meter - Small Comm</v>
      </c>
      <c r="E53" s="53" t="str">
        <f>Inputs_Other!E144</f>
        <v>SAC</v>
      </c>
      <c r="H53" s="259" t="s">
        <v>52</v>
      </c>
      <c r="I53" s="259" t="s">
        <v>47</v>
      </c>
      <c r="J53" s="259" t="s">
        <v>40</v>
      </c>
      <c r="O53" s="66">
        <f ca="1">INDEX(O$26:O$34,MATCH($D53,$D$26:$D$34,0))*Inputs_Other!O144</f>
        <v>3081.2608639777477</v>
      </c>
      <c r="P53" s="66">
        <f ca="1">INDEX(P$26:P$34,MATCH($D53,$D$26:$D$34,0))*Inputs_Other!P144</f>
        <v>6454.0885446507154</v>
      </c>
      <c r="Q53" s="66">
        <f ca="1">INDEX(Q$26:Q$34,MATCH($D53,$D$26:$D$34,0))*Inputs_Other!Q144</f>
        <v>8101.1998491905624</v>
      </c>
      <c r="R53" s="66">
        <f ca="1">INDEX(R$26:R$34,MATCH($D53,$D$26:$D$34,0))*Inputs_Other!R144</f>
        <v>9727.5502454338202</v>
      </c>
      <c r="S53" s="66">
        <f ca="1">INDEX(S$26:S$34,MATCH($D53,$D$26:$D$34,0))*Inputs_Other!S144</f>
        <v>10179.111732501829</v>
      </c>
    </row>
    <row r="54" spans="3:19" ht="12.75" x14ac:dyDescent="0.35">
      <c r="C54" s="171" t="str">
        <f>Inputs_Other!C145</f>
        <v>3b</v>
      </c>
      <c r="D54" s="75" t="str">
        <f>Inputs_Other!D145</f>
        <v>LV Smart Meter - Small Comm</v>
      </c>
      <c r="E54" s="53" t="str">
        <f>Inputs_Other!E145</f>
        <v>Peak Energy</v>
      </c>
      <c r="H54" s="259" t="s">
        <v>52</v>
      </c>
      <c r="I54" s="259" t="s">
        <v>47</v>
      </c>
      <c r="J54" s="259" t="s">
        <v>40</v>
      </c>
      <c r="O54" s="66">
        <f ca="1">INDEX(O$26:O$34,MATCH($D54,$D$26:$D$34,0))*Inputs_Other!O145</f>
        <v>0</v>
      </c>
      <c r="P54" s="66">
        <f ca="1">INDEX(P$26:P$34,MATCH($D54,$D$26:$D$34,0))*Inputs_Other!P145</f>
        <v>0</v>
      </c>
      <c r="Q54" s="66">
        <f ca="1">INDEX(Q$26:Q$34,MATCH($D54,$D$26:$D$34,0))*Inputs_Other!Q145</f>
        <v>0</v>
      </c>
      <c r="R54" s="66">
        <f ca="1">INDEX(R$26:R$34,MATCH($D54,$D$26:$D$34,0))*Inputs_Other!R145</f>
        <v>0</v>
      </c>
      <c r="S54" s="66">
        <f ca="1">INDEX(S$26:S$34,MATCH($D54,$D$26:$D$34,0))*Inputs_Other!S145</f>
        <v>0</v>
      </c>
    </row>
    <row r="55" spans="3:19" ht="12.75" x14ac:dyDescent="0.35">
      <c r="C55" s="171" t="str">
        <f>Inputs_Other!C146</f>
        <v>3b</v>
      </c>
      <c r="D55" s="75" t="str">
        <f>Inputs_Other!D146</f>
        <v>LV Smart Meter - Small Comm</v>
      </c>
      <c r="E55" s="53" t="str">
        <f>Inputs_Other!E146</f>
        <v>Off-peak Energy</v>
      </c>
      <c r="H55" s="259" t="s">
        <v>52</v>
      </c>
      <c r="I55" s="259" t="s">
        <v>47</v>
      </c>
      <c r="J55" s="259" t="s">
        <v>40</v>
      </c>
      <c r="O55" s="66">
        <f ca="1">INDEX(O$26:O$34,MATCH($D55,$D$26:$D$34,0))*Inputs_Other!O146</f>
        <v>12325.043455910991</v>
      </c>
      <c r="P55" s="66">
        <f ca="1">INDEX(P$26:P$34,MATCH($D55,$D$26:$D$34,0))*Inputs_Other!P146</f>
        <v>12528.524821969033</v>
      </c>
      <c r="Q55" s="66">
        <f ca="1">INDEX(Q$26:Q$34,MATCH($D55,$D$26:$D$34,0))*Inputs_Other!Q146</f>
        <v>15725.858530781677</v>
      </c>
      <c r="R55" s="66">
        <f ca="1">INDEX(R$26:R$34,MATCH($D55,$D$26:$D$34,0))*Inputs_Other!R146</f>
        <v>18882.89165290094</v>
      </c>
      <c r="S55" s="66">
        <f ca="1">INDEX(S$26:S$34,MATCH($D55,$D$26:$D$34,0))*Inputs_Other!S146</f>
        <v>19759.452186621194</v>
      </c>
    </row>
    <row r="56" spans="3:19" ht="12.75" x14ac:dyDescent="0.35">
      <c r="C56" s="171" t="str">
        <f>Inputs_Other!C147</f>
        <v>3b</v>
      </c>
      <c r="D56" s="75" t="str">
        <f>Inputs_Other!D147</f>
        <v>LV Smart Meter - Small Comm</v>
      </c>
      <c r="E56" s="53" t="str">
        <f>Inputs_Other!E147</f>
        <v>Super Off-peak Energy</v>
      </c>
      <c r="H56" s="259" t="s">
        <v>52</v>
      </c>
      <c r="I56" s="259" t="s">
        <v>47</v>
      </c>
      <c r="J56" s="259" t="s">
        <v>40</v>
      </c>
      <c r="O56" s="66">
        <f ca="1">INDEX(O$26:O$34,MATCH($D56,$D$26:$D$34,0))*Inputs_Other!O147</f>
        <v>0</v>
      </c>
      <c r="P56" s="66">
        <f ca="1">INDEX(P$26:P$34,MATCH($D56,$D$26:$D$34,0))*Inputs_Other!P147</f>
        <v>0</v>
      </c>
      <c r="Q56" s="66">
        <f ca="1">INDEX(Q$26:Q$34,MATCH($D56,$D$26:$D$34,0))*Inputs_Other!Q147</f>
        <v>0</v>
      </c>
      <c r="R56" s="66">
        <f ca="1">INDEX(R$26:R$34,MATCH($D56,$D$26:$D$34,0))*Inputs_Other!R147</f>
        <v>0</v>
      </c>
      <c r="S56" s="66">
        <f ca="1">INDEX(S$26:S$34,MATCH($D56,$D$26:$D$34,0))*Inputs_Other!S147</f>
        <v>0</v>
      </c>
    </row>
    <row r="57" spans="3:19" ht="12.75" x14ac:dyDescent="0.35">
      <c r="C57" s="171" t="str">
        <f>Inputs_Other!C148</f>
        <v>3c</v>
      </c>
      <c r="D57" s="75" t="str">
        <f>Inputs_Other!D148</f>
        <v>LV Smart Meter - Med Comm</v>
      </c>
      <c r="E57" s="53" t="str">
        <f>Inputs_Other!E148</f>
        <v>SAC</v>
      </c>
      <c r="H57" s="259" t="s">
        <v>52</v>
      </c>
      <c r="I57" s="259" t="s">
        <v>47</v>
      </c>
      <c r="J57" s="259" t="s">
        <v>40</v>
      </c>
      <c r="O57" s="66">
        <f ca="1">INDEX(O$26:O$34,MATCH($D57,$D$26:$D$34,0))*Inputs_Other!O148</f>
        <v>2403.7469538901332</v>
      </c>
      <c r="P57" s="66">
        <f ca="1">INDEX(P$26:P$34,MATCH($D57,$D$26:$D$34,0))*Inputs_Other!P148</f>
        <v>2852.4713984520422</v>
      </c>
      <c r="Q57" s="66">
        <f ca="1">INDEX(Q$26:Q$34,MATCH($D57,$D$26:$D$34,0))*Inputs_Other!Q148</f>
        <v>3724.3776120374705</v>
      </c>
      <c r="R57" s="66">
        <f ca="1">INDEX(R$26:R$34,MATCH($D57,$D$26:$D$34,0))*Inputs_Other!R148</f>
        <v>4494.1632256330086</v>
      </c>
      <c r="S57" s="66">
        <f ca="1">INDEX(S$26:S$34,MATCH($D57,$D$26:$D$34,0))*Inputs_Other!S148</f>
        <v>4696.0011952004843</v>
      </c>
    </row>
    <row r="58" spans="3:19" ht="12.75" x14ac:dyDescent="0.35">
      <c r="C58" s="171" t="str">
        <f>Inputs_Other!C149</f>
        <v>3c</v>
      </c>
      <c r="D58" s="75" t="str">
        <f>Inputs_Other!D149</f>
        <v>LV Smart Meter - Med Comm</v>
      </c>
      <c r="E58" s="53" t="str">
        <f>Inputs_Other!E149</f>
        <v>Peak Energy</v>
      </c>
      <c r="H58" s="259" t="s">
        <v>52</v>
      </c>
      <c r="I58" s="259" t="s">
        <v>47</v>
      </c>
      <c r="J58" s="259" t="s">
        <v>40</v>
      </c>
      <c r="O58" s="66">
        <f ca="1">INDEX(O$26:O$34,MATCH($D58,$D$26:$D$34,0))*Inputs_Other!O149</f>
        <v>0</v>
      </c>
      <c r="P58" s="66">
        <f ca="1">INDEX(P$26:P$34,MATCH($D58,$D$26:$D$34,0))*Inputs_Other!P149</f>
        <v>0</v>
      </c>
      <c r="Q58" s="66">
        <f ca="1">INDEX(Q$26:Q$34,MATCH($D58,$D$26:$D$34,0))*Inputs_Other!Q149</f>
        <v>0</v>
      </c>
      <c r="R58" s="66">
        <f ca="1">INDEX(R$26:R$34,MATCH($D58,$D$26:$D$34,0))*Inputs_Other!R149</f>
        <v>0</v>
      </c>
      <c r="S58" s="66">
        <f ca="1">INDEX(S$26:S$34,MATCH($D58,$D$26:$D$34,0))*Inputs_Other!S149</f>
        <v>0</v>
      </c>
    </row>
    <row r="59" spans="3:19" ht="12.75" x14ac:dyDescent="0.35">
      <c r="C59" s="171" t="str">
        <f>Inputs_Other!C150</f>
        <v>3c</v>
      </c>
      <c r="D59" s="75" t="str">
        <f>Inputs_Other!D150</f>
        <v>LV Smart Meter - Med Comm</v>
      </c>
      <c r="E59" s="53" t="str">
        <f>Inputs_Other!E150</f>
        <v>Off-peak Energy</v>
      </c>
      <c r="H59" s="259" t="s">
        <v>52</v>
      </c>
      <c r="I59" s="259" t="s">
        <v>47</v>
      </c>
      <c r="J59" s="259" t="s">
        <v>40</v>
      </c>
      <c r="O59" s="66">
        <f ca="1">INDEX(O$26:O$34,MATCH($D59,$D$26:$D$34,0))*Inputs_Other!O150</f>
        <v>4880.3347245648156</v>
      </c>
      <c r="P59" s="66">
        <f ca="1">INDEX(P$26:P$34,MATCH($D59,$D$26:$D$34,0))*Inputs_Other!P150</f>
        <v>5791.3813241299031</v>
      </c>
      <c r="Q59" s="66">
        <f ca="1">INDEX(Q$26:Q$34,MATCH($D59,$D$26:$D$34,0))*Inputs_Other!Q150</f>
        <v>7561.615151712439</v>
      </c>
      <c r="R59" s="66">
        <f ca="1">INDEX(R$26:R$34,MATCH($D59,$D$26:$D$34,0))*Inputs_Other!R150</f>
        <v>9124.5132156791369</v>
      </c>
      <c r="S59" s="66">
        <f ca="1">INDEX(S$26:S$34,MATCH($D59,$D$26:$D$34,0))*Inputs_Other!S150</f>
        <v>9534.3054569221949</v>
      </c>
    </row>
    <row r="60" spans="3:19" ht="12.75" x14ac:dyDescent="0.35">
      <c r="C60" s="171" t="str">
        <f>Inputs_Other!C151</f>
        <v>3c</v>
      </c>
      <c r="D60" s="75" t="str">
        <f>Inputs_Other!D151</f>
        <v>LV Smart Meter - Med Comm</v>
      </c>
      <c r="E60" s="53" t="str">
        <f>Inputs_Other!E151</f>
        <v>Super Off-peak Energy</v>
      </c>
      <c r="H60" s="259" t="s">
        <v>52</v>
      </c>
      <c r="I60" s="259" t="s">
        <v>47</v>
      </c>
      <c r="J60" s="259" t="s">
        <v>40</v>
      </c>
      <c r="O60" s="66">
        <f ca="1">INDEX(O$26:O$34,MATCH($D60,$D$26:$D$34,0))*Inputs_Other!O151</f>
        <v>0</v>
      </c>
      <c r="P60" s="66">
        <f ca="1">INDEX(P$26:P$34,MATCH($D60,$D$26:$D$34,0))*Inputs_Other!P151</f>
        <v>0</v>
      </c>
      <c r="Q60" s="66">
        <f ca="1">INDEX(Q$26:Q$34,MATCH($D60,$D$26:$D$34,0))*Inputs_Other!Q151</f>
        <v>0</v>
      </c>
      <c r="R60" s="66">
        <f ca="1">INDEX(R$26:R$34,MATCH($D60,$D$26:$D$34,0))*Inputs_Other!R151</f>
        <v>0</v>
      </c>
      <c r="S60" s="66">
        <f ca="1">INDEX(S$26:S$34,MATCH($D60,$D$26:$D$34,0))*Inputs_Other!S151</f>
        <v>0</v>
      </c>
    </row>
    <row r="61" spans="3:19" ht="12.75" x14ac:dyDescent="0.35">
      <c r="C61" s="171">
        <f>Inputs_Other!C152</f>
        <v>4</v>
      </c>
      <c r="D61" s="75" t="str">
        <f>Inputs_Other!D152</f>
        <v>Unmetered</v>
      </c>
      <c r="E61" s="53" t="str">
        <f>Inputs_Other!E152</f>
        <v>Anytime Energy</v>
      </c>
      <c r="H61" s="259" t="s">
        <v>52</v>
      </c>
      <c r="I61" s="259" t="s">
        <v>47</v>
      </c>
      <c r="J61" s="259" t="s">
        <v>40</v>
      </c>
      <c r="O61" s="66">
        <f ca="1">INDEX(O$26:O$34,MATCH($D61,$D$26:$D$34,0))*Inputs_Other!O152</f>
        <v>1759.6843825887242</v>
      </c>
      <c r="P61" s="66">
        <f ca="1">INDEX(P$26:P$34,MATCH($D61,$D$26:$D$34,0))*Inputs_Other!P152</f>
        <v>1964.0915474873575</v>
      </c>
      <c r="Q61" s="66">
        <f ca="1">INDEX(Q$26:Q$34,MATCH($D61,$D$26:$D$34,0))*Inputs_Other!Q152</f>
        <v>2192.2429073537442</v>
      </c>
      <c r="R61" s="66">
        <f ca="1">INDEX(R$26:R$34,MATCH($D61,$D$26:$D$34,0))*Inputs_Other!R152</f>
        <v>2446.8966179254589</v>
      </c>
      <c r="S61" s="66">
        <f ca="1">INDEX(S$26:S$34,MATCH($D61,$D$26:$D$34,0))*Inputs_Other!S152</f>
        <v>2547.8453036443871</v>
      </c>
    </row>
    <row r="62" spans="3:19" ht="12.75" x14ac:dyDescent="0.35">
      <c r="C62" s="171">
        <f>Inputs_Other!C153</f>
        <v>5</v>
      </c>
      <c r="D62" s="75" t="str">
        <f>Inputs_Other!D153</f>
        <v>LV Majors</v>
      </c>
      <c r="E62" s="53" t="str">
        <f>Inputs_Other!E153</f>
        <v>SAC</v>
      </c>
      <c r="H62" s="259" t="s">
        <v>52</v>
      </c>
      <c r="I62" s="259" t="s">
        <v>47</v>
      </c>
      <c r="J62" s="259" t="s">
        <v>40</v>
      </c>
      <c r="O62" s="66">
        <f ca="1">INDEX(O$26:O$34,MATCH($D62,$D$26:$D$34,0))*Inputs_Other!O153</f>
        <v>7938.152302385417</v>
      </c>
      <c r="P62" s="66">
        <f ca="1">INDEX(P$26:P$34,MATCH($D62,$D$26:$D$34,0))*Inputs_Other!P153</f>
        <v>9114.3803602173812</v>
      </c>
      <c r="Q62" s="66">
        <f ca="1">INDEX(Q$26:Q$34,MATCH($D62,$D$26:$D$34,0))*Inputs_Other!Q153</f>
        <v>10764.119302920004</v>
      </c>
      <c r="R62" s="66">
        <f ca="1">INDEX(R$26:R$34,MATCH($D62,$D$26:$D$34,0))*Inputs_Other!R153</f>
        <v>12643.687453463128</v>
      </c>
      <c r="S62" s="66">
        <f ca="1">INDEX(S$26:S$34,MATCH($D62,$D$26:$D$34,0))*Inputs_Other!S153</f>
        <v>13259.59305606065</v>
      </c>
    </row>
    <row r="63" spans="3:19" ht="12.75" x14ac:dyDescent="0.35">
      <c r="C63" s="171">
        <f>Inputs_Other!C154</f>
        <v>5</v>
      </c>
      <c r="D63" s="75" t="str">
        <f>Inputs_Other!D154</f>
        <v>LV Majors</v>
      </c>
      <c r="E63" s="53" t="str">
        <f>Inputs_Other!E154</f>
        <v>Anytime Energy Price</v>
      </c>
      <c r="H63" s="259" t="s">
        <v>52</v>
      </c>
      <c r="I63" s="259" t="s">
        <v>47</v>
      </c>
      <c r="J63" s="259" t="s">
        <v>40</v>
      </c>
      <c r="O63" s="66">
        <f ca="1">INDEX(O$26:O$34,MATCH($D63,$D$26:$D$34,0))*Inputs_Other!O154</f>
        <v>1134.0217574836311</v>
      </c>
      <c r="P63" s="66">
        <f ca="1">INDEX(P$26:P$34,MATCH($D63,$D$26:$D$34,0))*Inputs_Other!P154</f>
        <v>1608.4200635677735</v>
      </c>
      <c r="Q63" s="66">
        <f ca="1">INDEX(Q$26:Q$34,MATCH($D63,$D$26:$D$34,0))*Inputs_Other!Q154</f>
        <v>1899.5504652211773</v>
      </c>
      <c r="R63" s="66">
        <f ca="1">INDEX(R$26:R$34,MATCH($D63,$D$26:$D$34,0))*Inputs_Other!R154</f>
        <v>2231.2389623758463</v>
      </c>
      <c r="S63" s="66">
        <f ca="1">INDEX(S$26:S$34,MATCH($D63,$D$26:$D$34,0))*Inputs_Other!S154</f>
        <v>2339.9281863636447</v>
      </c>
    </row>
    <row r="64" spans="3:19" ht="12.75" x14ac:dyDescent="0.35">
      <c r="C64" s="171">
        <f>Inputs_Other!C155</f>
        <v>5</v>
      </c>
      <c r="D64" s="75" t="str">
        <f>Inputs_Other!D155</f>
        <v>LV Majors</v>
      </c>
      <c r="E64" s="53" t="str">
        <f>Inputs_Other!E155</f>
        <v>On-Season Demand</v>
      </c>
      <c r="H64" s="259" t="s">
        <v>52</v>
      </c>
      <c r="I64" s="259" t="s">
        <v>47</v>
      </c>
      <c r="J64" s="259" t="s">
        <v>40</v>
      </c>
      <c r="O64" s="66">
        <f ca="1">INDEX(O$26:O$34,MATCH($D64,$D$26:$D$34,0))*Inputs_Other!O155</f>
        <v>0</v>
      </c>
      <c r="P64" s="66">
        <f ca="1">INDEX(P$26:P$34,MATCH($D64,$D$26:$D$34,0))*Inputs_Other!P155</f>
        <v>0</v>
      </c>
      <c r="Q64" s="66">
        <f ca="1">INDEX(Q$26:Q$34,MATCH($D64,$D$26:$D$34,0))*Inputs_Other!Q155</f>
        <v>0</v>
      </c>
      <c r="R64" s="66">
        <f ca="1">INDEX(R$26:R$34,MATCH($D64,$D$26:$D$34,0))*Inputs_Other!R155</f>
        <v>0</v>
      </c>
      <c r="S64" s="66">
        <f ca="1">INDEX(S$26:S$34,MATCH($D64,$D$26:$D$34,0))*Inputs_Other!S155</f>
        <v>0</v>
      </c>
    </row>
    <row r="65" spans="1:19" ht="12.75" x14ac:dyDescent="0.35">
      <c r="C65" s="171">
        <f>Inputs_Other!C156</f>
        <v>5</v>
      </c>
      <c r="D65" s="75" t="str">
        <f>Inputs_Other!D156</f>
        <v>LV Majors</v>
      </c>
      <c r="E65" s="53" t="str">
        <f>Inputs_Other!E156</f>
        <v>Off-Season Demand</v>
      </c>
      <c r="H65" s="259" t="s">
        <v>52</v>
      </c>
      <c r="I65" s="259" t="s">
        <v>47</v>
      </c>
      <c r="J65" s="259" t="s">
        <v>40</v>
      </c>
      <c r="O65" s="66">
        <f ca="1">INDEX(O$26:O$34,MATCH($D65,$D$26:$D$34,0))*Inputs_Other!O156</f>
        <v>0</v>
      </c>
      <c r="P65" s="66">
        <f ca="1">INDEX(P$26:P$34,MATCH($D65,$D$26:$D$34,0))*Inputs_Other!P156</f>
        <v>0</v>
      </c>
      <c r="Q65" s="66">
        <f ca="1">INDEX(Q$26:Q$34,MATCH($D65,$D$26:$D$34,0))*Inputs_Other!Q156</f>
        <v>0</v>
      </c>
      <c r="R65" s="66">
        <f ca="1">INDEX(R$26:R$34,MATCH($D65,$D$26:$D$34,0))*Inputs_Other!R156</f>
        <v>0</v>
      </c>
      <c r="S65" s="66">
        <f ca="1">INDEX(S$26:S$34,MATCH($D65,$D$26:$D$34,0))*Inputs_Other!S156</f>
        <v>0</v>
      </c>
    </row>
    <row r="66" spans="1:19" ht="12.75" x14ac:dyDescent="0.35">
      <c r="C66" s="171">
        <f>Inputs_Other!C157</f>
        <v>6</v>
      </c>
      <c r="D66" s="75" t="str">
        <f>Inputs_Other!D157</f>
        <v>HV Smart Meters</v>
      </c>
      <c r="E66" s="53" t="str">
        <f>Inputs_Other!E157</f>
        <v>SAC</v>
      </c>
      <c r="H66" s="259" t="s">
        <v>52</v>
      </c>
      <c r="I66" s="259" t="s">
        <v>47</v>
      </c>
      <c r="J66" s="259" t="s">
        <v>40</v>
      </c>
      <c r="O66" s="66">
        <f ca="1">INDEX(O$26:O$34,MATCH($D66,$D$26:$D$34,0))*Inputs_Other!O157</f>
        <v>1516.55495644907</v>
      </c>
      <c r="P66" s="66">
        <f ca="1">INDEX(P$26:P$34,MATCH($D66,$D$26:$D$34,0))*Inputs_Other!P157</f>
        <v>1640.0814496216735</v>
      </c>
      <c r="Q66" s="66">
        <f ca="1">INDEX(Q$26:Q$34,MATCH($D66,$D$26:$D$34,0))*Inputs_Other!Q157</f>
        <v>1801.4227746115957</v>
      </c>
      <c r="R66" s="66">
        <f ca="1">INDEX(R$26:R$34,MATCH($D66,$D$26:$D$34,0))*Inputs_Other!R157</f>
        <v>1977.9088292290794</v>
      </c>
      <c r="S66" s="66">
        <f ca="1">INDEX(S$26:S$34,MATCH($D66,$D$26:$D$34,0))*Inputs_Other!S157</f>
        <v>1990.2637002044949</v>
      </c>
    </row>
    <row r="67" spans="1:19" ht="12.75" x14ac:dyDescent="0.35">
      <c r="C67" s="171">
        <f>Inputs_Other!C158</f>
        <v>6</v>
      </c>
      <c r="D67" s="75" t="str">
        <f>Inputs_Other!D158</f>
        <v>HV Smart Meters</v>
      </c>
      <c r="E67" s="53" t="str">
        <f>Inputs_Other!E158</f>
        <v>Anytime Energy Price</v>
      </c>
      <c r="H67" s="259" t="s">
        <v>52</v>
      </c>
      <c r="I67" s="259" t="s">
        <v>47</v>
      </c>
      <c r="J67" s="259" t="s">
        <v>40</v>
      </c>
      <c r="O67" s="66">
        <f ca="1">INDEX(O$26:O$34,MATCH($D67,$D$26:$D$34,0))*Inputs_Other!O158</f>
        <v>4549.6648693472098</v>
      </c>
      <c r="P67" s="66">
        <f ca="1">INDEX(P$26:P$34,MATCH($D67,$D$26:$D$34,0))*Inputs_Other!P158</f>
        <v>4920.2443488650206</v>
      </c>
      <c r="Q67" s="66">
        <f ca="1">INDEX(Q$26:Q$34,MATCH($D67,$D$26:$D$34,0))*Inputs_Other!Q158</f>
        <v>5404.2683238347872</v>
      </c>
      <c r="R67" s="66">
        <f ca="1">INDEX(R$26:R$34,MATCH($D67,$D$26:$D$34,0))*Inputs_Other!R158</f>
        <v>5933.7264876872377</v>
      </c>
      <c r="S67" s="66">
        <f ca="1">INDEX(S$26:S$34,MATCH($D67,$D$26:$D$34,0))*Inputs_Other!S158</f>
        <v>5970.7911006134846</v>
      </c>
    </row>
    <row r="68" spans="1:19" ht="12.75" x14ac:dyDescent="0.35">
      <c r="C68" s="171">
        <f>Inputs_Other!C159</f>
        <v>6</v>
      </c>
      <c r="D68" s="75" t="str">
        <f>Inputs_Other!D159</f>
        <v>HV Smart Meters</v>
      </c>
      <c r="E68" s="53" t="str">
        <f>Inputs_Other!E159</f>
        <v>On-Season Demand</v>
      </c>
      <c r="H68" s="259" t="s">
        <v>52</v>
      </c>
      <c r="I68" s="259" t="s">
        <v>47</v>
      </c>
      <c r="J68" s="259" t="s">
        <v>40</v>
      </c>
      <c r="O68" s="66">
        <f ca="1">INDEX(O$26:O$34,MATCH($D68,$D$26:$D$34,0))*Inputs_Other!O159</f>
        <v>0</v>
      </c>
      <c r="P68" s="66">
        <f ca="1">INDEX(P$26:P$34,MATCH($D68,$D$26:$D$34,0))*Inputs_Other!P159</f>
        <v>0</v>
      </c>
      <c r="Q68" s="66">
        <f ca="1">INDEX(Q$26:Q$34,MATCH($D68,$D$26:$D$34,0))*Inputs_Other!Q159</f>
        <v>0</v>
      </c>
      <c r="R68" s="66">
        <f ca="1">INDEX(R$26:R$34,MATCH($D68,$D$26:$D$34,0))*Inputs_Other!R159</f>
        <v>0</v>
      </c>
      <c r="S68" s="66">
        <f ca="1">INDEX(S$26:S$34,MATCH($D68,$D$26:$D$34,0))*Inputs_Other!S159</f>
        <v>0</v>
      </c>
    </row>
    <row r="69" spans="1:19" ht="12.75" x14ac:dyDescent="0.35">
      <c r="C69" s="171">
        <f>Inputs_Other!C160</f>
        <v>6</v>
      </c>
      <c r="D69" s="75" t="str">
        <f>Inputs_Other!D160</f>
        <v>HV Smart Meters</v>
      </c>
      <c r="E69" s="53" t="str">
        <f>Inputs_Other!E160</f>
        <v>Off-Season Demand</v>
      </c>
      <c r="H69" s="259" t="s">
        <v>52</v>
      </c>
      <c r="I69" s="259" t="s">
        <v>47</v>
      </c>
      <c r="J69" s="259" t="s">
        <v>40</v>
      </c>
      <c r="O69" s="66">
        <f ca="1">INDEX(O$26:O$34,MATCH($D69,$D$26:$D$34,0))*Inputs_Other!O160</f>
        <v>0</v>
      </c>
      <c r="P69" s="66">
        <f ca="1">INDEX(P$26:P$34,MATCH($D69,$D$26:$D$34,0))*Inputs_Other!P160</f>
        <v>0</v>
      </c>
      <c r="Q69" s="66">
        <f ca="1">INDEX(Q$26:Q$34,MATCH($D69,$D$26:$D$34,0))*Inputs_Other!Q160</f>
        <v>0</v>
      </c>
      <c r="R69" s="66">
        <f ca="1">INDEX(R$26:R$34,MATCH($D69,$D$26:$D$34,0))*Inputs_Other!R160</f>
        <v>0</v>
      </c>
      <c r="S69" s="66">
        <f ca="1">INDEX(S$26:S$34,MATCH($D69,$D$26:$D$34,0))*Inputs_Other!S160</f>
        <v>0</v>
      </c>
    </row>
    <row r="70" spans="1:19" ht="12.75" x14ac:dyDescent="0.35">
      <c r="C70" s="171">
        <f>Inputs_Other!C161</f>
        <v>7</v>
      </c>
      <c r="D70" s="75" t="str">
        <f>Inputs_Other!D161</f>
        <v>Super Users</v>
      </c>
      <c r="E70" s="53" t="str">
        <f>Inputs_Other!E161</f>
        <v>SAC</v>
      </c>
      <c r="H70" s="259" t="s">
        <v>52</v>
      </c>
      <c r="I70" s="259" t="s">
        <v>47</v>
      </c>
      <c r="J70" s="259" t="s">
        <v>40</v>
      </c>
      <c r="O70" s="66">
        <f ca="1">INDEX(O$26:O$34,MATCH($D70,$D$26:$D$34,0))*Inputs_Other!O161</f>
        <v>1982.7111667628296</v>
      </c>
      <c r="P70" s="66">
        <f ca="1">INDEX(P$26:P$34,MATCH($D70,$D$26:$D$34,0))*Inputs_Other!P161</f>
        <v>2404.2315489886464</v>
      </c>
      <c r="Q70" s="66">
        <f ca="1">INDEX(Q$26:Q$34,MATCH($D70,$D$26:$D$34,0))*Inputs_Other!Q161</f>
        <v>2888.8685212373812</v>
      </c>
      <c r="R70" s="66">
        <f ca="1">INDEX(R$26:R$34,MATCH($D70,$D$26:$D$34,0))*Inputs_Other!R161</f>
        <v>3453.3439458277821</v>
      </c>
      <c r="S70" s="66">
        <f ca="1">INDEX(S$26:S$34,MATCH($D70,$D$26:$D$34,0))*Inputs_Other!S161</f>
        <v>3629.6167962372283</v>
      </c>
    </row>
    <row r="71" spans="1:19" ht="12.75" x14ac:dyDescent="0.35">
      <c r="C71" s="171">
        <f>Inputs_Other!C162</f>
        <v>7</v>
      </c>
      <c r="D71" s="75" t="str">
        <f>Inputs_Other!D162</f>
        <v>Super Users</v>
      </c>
      <c r="E71" s="53" t="str">
        <f>Inputs_Other!E162</f>
        <v>Anytime Energy</v>
      </c>
      <c r="H71" s="259" t="s">
        <v>52</v>
      </c>
      <c r="I71" s="259" t="s">
        <v>47</v>
      </c>
      <c r="J71" s="259" t="s">
        <v>40</v>
      </c>
      <c r="O71" s="66">
        <f ca="1">INDEX(O$26:O$34,MATCH($D71,$D$26:$D$34,0))*Inputs_Other!O162</f>
        <v>3682.1778811309696</v>
      </c>
      <c r="P71" s="66">
        <f ca="1">INDEX(P$26:P$34,MATCH($D71,$D$26:$D$34,0))*Inputs_Other!P162</f>
        <v>4007.0525816477443</v>
      </c>
      <c r="Q71" s="66">
        <f ca="1">INDEX(Q$26:Q$34,MATCH($D71,$D$26:$D$34,0))*Inputs_Other!Q162</f>
        <v>4333.3027818560713</v>
      </c>
      <c r="R71" s="66">
        <f ca="1">INDEX(R$26:R$34,MATCH($D71,$D$26:$D$34,0))*Inputs_Other!R162</f>
        <v>4672.1712208258223</v>
      </c>
      <c r="S71" s="66">
        <f ca="1">INDEX(S$26:S$34,MATCH($D71,$D$26:$D$34,0))*Inputs_Other!S162</f>
        <v>4436.1983065121685</v>
      </c>
    </row>
    <row r="72" spans="1:19" ht="11.25" customHeight="1" x14ac:dyDescent="0.3"/>
    <row r="73" spans="1:19" ht="11.25" customHeight="1" x14ac:dyDescent="0.3">
      <c r="D73" s="62" t="s">
        <v>51</v>
      </c>
      <c r="E73" s="56"/>
      <c r="H73" s="56" t="s">
        <v>52</v>
      </c>
      <c r="I73" s="56" t="str">
        <f>Thousands</f>
        <v>$000's</v>
      </c>
      <c r="J73" s="56" t="str">
        <f>Nominal</f>
        <v>Nominal</v>
      </c>
      <c r="O73" s="68">
        <f ca="1">SUM(O45:O71)</f>
        <v>110551.24412121502</v>
      </c>
      <c r="P73" s="68">
        <f ca="1">SUM(P45:P71)</f>
        <v>127500.49474510728</v>
      </c>
      <c r="Q73" s="68">
        <f ca="1">SUM(Q45:Q71)</f>
        <v>147109.45802967963</v>
      </c>
      <c r="R73" s="68">
        <f ca="1">SUM(R45:R71)</f>
        <v>169177.99287658726</v>
      </c>
      <c r="S73" s="68">
        <f ca="1">SUM(S45:S71)</f>
        <v>176024.4443054632</v>
      </c>
    </row>
    <row r="74" spans="1:19" ht="11.25" customHeight="1" x14ac:dyDescent="0.3"/>
    <row r="75" spans="1:19" ht="12.75" hidden="1" outlineLevel="1" x14ac:dyDescent="0.3">
      <c r="D75" s="81" t="s">
        <v>90</v>
      </c>
      <c r="E75" s="82"/>
      <c r="G75" s="82"/>
      <c r="H75" s="259" t="s">
        <v>52</v>
      </c>
      <c r="I75" s="259" t="s">
        <v>47</v>
      </c>
      <c r="J75" s="259" t="s">
        <v>40</v>
      </c>
      <c r="K75" s="63"/>
      <c r="O75" s="66">
        <f ca="1">O36</f>
        <v>110551.24412121503</v>
      </c>
      <c r="P75" s="66">
        <f ca="1">P36</f>
        <v>127500.49474510729</v>
      </c>
      <c r="Q75" s="66">
        <f ca="1">Q36</f>
        <v>147109.45802967963</v>
      </c>
      <c r="R75" s="66">
        <f ca="1">R36</f>
        <v>169177.99287658729</v>
      </c>
      <c r="S75" s="66">
        <f ca="1">S36</f>
        <v>176024.44430546317</v>
      </c>
    </row>
    <row r="76" spans="1:19" ht="12.75" hidden="1" outlineLevel="1" x14ac:dyDescent="0.3">
      <c r="A76" s="59">
        <f ca="1">IF(SUM($M76:$S76)=0,0,1)</f>
        <v>0</v>
      </c>
      <c r="D76" s="81" t="s">
        <v>55</v>
      </c>
      <c r="E76" s="82"/>
      <c r="F76" s="80"/>
      <c r="G76" s="82"/>
      <c r="H76" s="80"/>
      <c r="I76" s="84"/>
      <c r="J76" s="84"/>
      <c r="K76" s="63"/>
      <c r="O76" s="59">
        <f ca="1">IF(ROUND(O75-O73,2)=0,0,1)</f>
        <v>0</v>
      </c>
      <c r="P76" s="59">
        <f ca="1">IF(ROUND(P75-P73,2)=0,0,1)</f>
        <v>0</v>
      </c>
      <c r="Q76" s="59">
        <f ca="1">IF(ROUND(Q75-Q73,2)=0,0,1)</f>
        <v>0</v>
      </c>
      <c r="R76" s="59">
        <f ca="1">IF(ROUND(R75-R73,2)=0,0,1)</f>
        <v>0</v>
      </c>
      <c r="S76" s="59">
        <f ca="1">IF(ROUND(S75-S73,2)=0,0,1)</f>
        <v>0</v>
      </c>
    </row>
    <row r="77" spans="1:19" ht="11.25" customHeight="1" collapsed="1" x14ac:dyDescent="0.3"/>
    <row r="78" spans="1:19" s="2" customFormat="1" ht="15" x14ac:dyDescent="0.3">
      <c r="B78" s="2" t="s">
        <v>748</v>
      </c>
    </row>
    <row r="79" spans="1:19" ht="11.25" customHeight="1" x14ac:dyDescent="0.3"/>
    <row r="80" spans="1:19" ht="11.25" customHeight="1" x14ac:dyDescent="0.3">
      <c r="D80" s="105" t="s">
        <v>141</v>
      </c>
    </row>
    <row r="81" spans="3:19" ht="11.25" customHeight="1" x14ac:dyDescent="0.3"/>
    <row r="82" spans="3:19" ht="11.25" customHeight="1" x14ac:dyDescent="0.3"/>
    <row r="83" spans="3:19" s="8" customFormat="1" ht="13.9" x14ac:dyDescent="0.3">
      <c r="C83" s="8" t="s">
        <v>138</v>
      </c>
    </row>
    <row r="84" spans="3:19" ht="11.25" customHeight="1" x14ac:dyDescent="0.3"/>
    <row r="85" spans="3:19" ht="11.25" customHeight="1" x14ac:dyDescent="0.3">
      <c r="C85" s="172" t="s">
        <v>5</v>
      </c>
      <c r="D85" s="70" t="s">
        <v>118</v>
      </c>
      <c r="H85" s="54" t="str">
        <f>Lookup!E$19</f>
        <v>Source</v>
      </c>
      <c r="I85" s="54" t="str">
        <f>Lookup!F$19</f>
        <v>Unit</v>
      </c>
      <c r="O85" s="54" t="str">
        <f>O$9</f>
        <v>FY25</v>
      </c>
      <c r="P85" s="54" t="str">
        <f>P$9</f>
        <v>FY26</v>
      </c>
      <c r="Q85" s="54" t="str">
        <f>Q$9</f>
        <v>FY27</v>
      </c>
      <c r="R85" s="54" t="str">
        <f>R$9</f>
        <v>FY28</v>
      </c>
      <c r="S85" s="54" t="str">
        <f>S$9</f>
        <v>FY29</v>
      </c>
    </row>
    <row r="86" spans="3:19" ht="11.25" customHeight="1" x14ac:dyDescent="0.3">
      <c r="D86" s="1"/>
    </row>
    <row r="87" spans="3:19" ht="12.75" x14ac:dyDescent="0.35">
      <c r="C87" s="171">
        <v>1</v>
      </c>
      <c r="D87" s="75" t="str">
        <f t="array" ref="D87:D95">LU_Tariffs</f>
        <v>Residential Accumulation</v>
      </c>
      <c r="E87" s="82"/>
      <c r="F87" s="82"/>
      <c r="G87" s="82"/>
      <c r="H87" s="259" t="s">
        <v>52</v>
      </c>
      <c r="I87" s="259" t="s">
        <v>43</v>
      </c>
      <c r="O87" s="141">
        <f t="shared" ref="O87:S95" ca="1" si="0">O26/O$36</f>
        <v>0.36874525959779969</v>
      </c>
      <c r="P87" s="141">
        <f t="shared" ca="1" si="0"/>
        <v>0.35703440187645524</v>
      </c>
      <c r="Q87" s="141">
        <f t="shared" ca="1" si="0"/>
        <v>0.33634050027028234</v>
      </c>
      <c r="R87" s="141">
        <f t="shared" ca="1" si="0"/>
        <v>0.31948575374232774</v>
      </c>
      <c r="S87" s="141">
        <f t="shared" ca="1" si="0"/>
        <v>0.31092562395702655</v>
      </c>
    </row>
    <row r="88" spans="3:19" ht="12.75" x14ac:dyDescent="0.35">
      <c r="C88" s="171">
        <v>2</v>
      </c>
      <c r="D88" s="75" t="str">
        <v>Non-Residential Accumulation</v>
      </c>
      <c r="H88" s="259" t="s">
        <v>52</v>
      </c>
      <c r="I88" s="259" t="s">
        <v>43</v>
      </c>
      <c r="O88" s="141">
        <f t="shared" ca="1" si="0"/>
        <v>1.6791165435658627E-2</v>
      </c>
      <c r="P88" s="141">
        <f t="shared" ca="1" si="0"/>
        <v>9.528994766571288E-3</v>
      </c>
      <c r="Q88" s="141">
        <f t="shared" ca="1" si="0"/>
        <v>1.5086231342290475E-3</v>
      </c>
      <c r="R88" s="141">
        <f t="shared" ca="1" si="0"/>
        <v>0</v>
      </c>
      <c r="S88" s="141">
        <f t="shared" ca="1" si="0"/>
        <v>0</v>
      </c>
    </row>
    <row r="89" spans="3:19" ht="12.75" x14ac:dyDescent="0.35">
      <c r="C89" s="171" t="s">
        <v>494</v>
      </c>
      <c r="D89" s="75" t="str">
        <v>LV Smart Meter - Res</v>
      </c>
      <c r="H89" s="259" t="s">
        <v>52</v>
      </c>
      <c r="I89" s="259" t="s">
        <v>43</v>
      </c>
      <c r="O89" s="141">
        <f t="shared" ca="1" si="0"/>
        <v>0.20512079755850979</v>
      </c>
      <c r="P89" s="141">
        <f t="shared" ca="1" si="0"/>
        <v>0.2155169074677773</v>
      </c>
      <c r="Q89" s="141">
        <f t="shared" ca="1" si="0"/>
        <v>0.22440318121777389</v>
      </c>
      <c r="R89" s="141">
        <f t="shared" ca="1" si="0"/>
        <v>0.23371800183052852</v>
      </c>
      <c r="S89" s="141">
        <f t="shared" ca="1" si="0"/>
        <v>0.24400490100500982</v>
      </c>
    </row>
    <row r="90" spans="3:19" ht="12.75" x14ac:dyDescent="0.35">
      <c r="C90" s="171" t="s">
        <v>495</v>
      </c>
      <c r="D90" s="75" t="str">
        <v>LV Smart Meter - Small Comm</v>
      </c>
      <c r="H90" s="259" t="s">
        <v>52</v>
      </c>
      <c r="I90" s="259" t="s">
        <v>43</v>
      </c>
      <c r="O90" s="141">
        <f t="shared" ca="1" si="0"/>
        <v>0.13935894111690267</v>
      </c>
      <c r="P90" s="141">
        <f t="shared" ca="1" si="0"/>
        <v>0.14888266437372541</v>
      </c>
      <c r="Q90" s="141">
        <f t="shared" ca="1" si="0"/>
        <v>0.16196822895754998</v>
      </c>
      <c r="R90" s="141">
        <f t="shared" ca="1" si="0"/>
        <v>0.16911444220292668</v>
      </c>
      <c r="S90" s="141">
        <f t="shared" ca="1" si="0"/>
        <v>0.17008185446771973</v>
      </c>
    </row>
    <row r="91" spans="3:19" ht="12.75" x14ac:dyDescent="0.35">
      <c r="C91" s="171" t="s">
        <v>496</v>
      </c>
      <c r="D91" s="75" t="str">
        <v>LV Smart Meter - Med Comm</v>
      </c>
      <c r="H91" s="259" t="s">
        <v>52</v>
      </c>
      <c r="I91" s="259" t="s">
        <v>43</v>
      </c>
      <c r="O91" s="141">
        <f t="shared" ca="1" si="0"/>
        <v>6.5888735457994882E-2</v>
      </c>
      <c r="P91" s="141">
        <f t="shared" ca="1" si="0"/>
        <v>6.7794660247101859E-2</v>
      </c>
      <c r="Q91" s="141">
        <f t="shared" ca="1" si="0"/>
        <v>7.6718335550341965E-2</v>
      </c>
      <c r="R91" s="141">
        <f t="shared" ca="1" si="0"/>
        <v>8.0499101625154987E-2</v>
      </c>
      <c r="S91" s="141">
        <f t="shared" ca="1" si="0"/>
        <v>8.0842786967861041E-2</v>
      </c>
    </row>
    <row r="92" spans="3:19" ht="12.75" x14ac:dyDescent="0.35">
      <c r="C92" s="171">
        <v>4</v>
      </c>
      <c r="D92" s="75" t="str">
        <v>Unmetered</v>
      </c>
      <c r="H92" s="259" t="s">
        <v>52</v>
      </c>
      <c r="I92" s="259" t="s">
        <v>43</v>
      </c>
      <c r="O92" s="141">
        <f t="shared" ca="1" si="0"/>
        <v>1.5917363902836774E-2</v>
      </c>
      <c r="P92" s="141">
        <f t="shared" ca="1" si="0"/>
        <v>1.540457981291659E-2</v>
      </c>
      <c r="Q92" s="141">
        <f t="shared" ca="1" si="0"/>
        <v>1.4902120752232359E-2</v>
      </c>
      <c r="R92" s="141">
        <f t="shared" ca="1" si="0"/>
        <v>1.4463445134441522E-2</v>
      </c>
      <c r="S92" s="141">
        <f t="shared" ca="1" si="0"/>
        <v>1.4474383451101802E-2</v>
      </c>
    </row>
    <row r="93" spans="3:19" ht="12.75" x14ac:dyDescent="0.35">
      <c r="C93" s="171">
        <v>5</v>
      </c>
      <c r="D93" s="75" t="str">
        <v>LV Majors</v>
      </c>
      <c r="H93" s="259" t="s">
        <v>52</v>
      </c>
      <c r="I93" s="259" t="s">
        <v>43</v>
      </c>
      <c r="O93" s="141">
        <f t="shared" ca="1" si="0"/>
        <v>8.2063066155291492E-2</v>
      </c>
      <c r="P93" s="141">
        <f t="shared" ca="1" si="0"/>
        <v>8.410006914264645E-2</v>
      </c>
      <c r="Q93" s="141">
        <f t="shared" ca="1" si="0"/>
        <v>8.6083314681142109E-2</v>
      </c>
      <c r="R93" s="141">
        <f t="shared" ca="1" si="0"/>
        <v>8.7924712682281331E-2</v>
      </c>
      <c r="S93" s="141">
        <f t="shared" ca="1" si="0"/>
        <v>8.8621334974100185E-2</v>
      </c>
    </row>
    <row r="94" spans="3:19" ht="12.75" x14ac:dyDescent="0.35">
      <c r="C94" s="171">
        <v>6</v>
      </c>
      <c r="D94" s="75" t="str">
        <v>HV Smart Meters</v>
      </c>
      <c r="H94" s="259" t="s">
        <v>52</v>
      </c>
      <c r="I94" s="259" t="s">
        <v>43</v>
      </c>
      <c r="O94" s="141">
        <f t="shared" ca="1" si="0"/>
        <v>5.4872469993597829E-2</v>
      </c>
      <c r="P94" s="141">
        <f t="shared" ca="1" si="0"/>
        <v>5.1453336017258398E-2</v>
      </c>
      <c r="Q94" s="141">
        <f t="shared" ca="1" si="0"/>
        <v>4.8981834308658934E-2</v>
      </c>
      <c r="R94" s="141">
        <f t="shared" ca="1" si="0"/>
        <v>4.6765156521792597E-2</v>
      </c>
      <c r="S94" s="141">
        <f t="shared" ca="1" si="0"/>
        <v>4.5226984423838323E-2</v>
      </c>
    </row>
    <row r="95" spans="3:19" ht="12.75" x14ac:dyDescent="0.35">
      <c r="C95" s="171">
        <v>7</v>
      </c>
      <c r="D95" s="75" t="str">
        <v>Super Users</v>
      </c>
      <c r="H95" s="259" t="s">
        <v>52</v>
      </c>
      <c r="I95" s="259" t="s">
        <v>43</v>
      </c>
      <c r="O95" s="141">
        <f t="shared" ca="1" si="0"/>
        <v>5.1242200781408433E-2</v>
      </c>
      <c r="P95" s="141">
        <f t="shared" ca="1" si="0"/>
        <v>5.0284386295547434E-2</v>
      </c>
      <c r="Q95" s="141">
        <f t="shared" ca="1" si="0"/>
        <v>4.9093861127789379E-2</v>
      </c>
      <c r="R95" s="141">
        <f t="shared" ca="1" si="0"/>
        <v>4.8029386260546557E-2</v>
      </c>
      <c r="S95" s="141">
        <f t="shared" ca="1" si="0"/>
        <v>4.5822130753342544E-2</v>
      </c>
    </row>
    <row r="96" spans="3:19" ht="11.25" customHeight="1" x14ac:dyDescent="0.3"/>
    <row r="97" spans="1:19" ht="11.25" customHeight="1" x14ac:dyDescent="0.3">
      <c r="D97" s="62" t="s">
        <v>51</v>
      </c>
      <c r="H97" s="56" t="s">
        <v>52</v>
      </c>
      <c r="I97" s="56" t="s">
        <v>43</v>
      </c>
      <c r="O97" s="73">
        <f ca="1">SUM(O87:O95)</f>
        <v>1.0000000000000002</v>
      </c>
      <c r="P97" s="73">
        <f ca="1">SUM(P87:P95)</f>
        <v>1</v>
      </c>
      <c r="Q97" s="73">
        <f ca="1">SUM(Q87:Q95)</f>
        <v>1.0000000000000002</v>
      </c>
      <c r="R97" s="73">
        <f ca="1">SUM(R87:R95)</f>
        <v>0.99999999999999989</v>
      </c>
      <c r="S97" s="73">
        <f ca="1">SUM(S87:S95)</f>
        <v>1.0000000000000002</v>
      </c>
    </row>
    <row r="98" spans="1:19" ht="11.25" customHeight="1" x14ac:dyDescent="0.3"/>
    <row r="99" spans="1:19" ht="12.75" hidden="1" outlineLevel="1" x14ac:dyDescent="0.3">
      <c r="D99" s="81" t="s">
        <v>90</v>
      </c>
      <c r="E99" s="82"/>
      <c r="G99" s="82"/>
      <c r="H99" s="259" t="s">
        <v>52</v>
      </c>
      <c r="I99" s="259" t="s">
        <v>43</v>
      </c>
      <c r="O99" s="111">
        <v>1</v>
      </c>
      <c r="P99" s="111">
        <v>1</v>
      </c>
      <c r="Q99" s="111">
        <v>1</v>
      </c>
      <c r="R99" s="111">
        <v>1</v>
      </c>
      <c r="S99" s="111">
        <v>1</v>
      </c>
    </row>
    <row r="100" spans="1:19" ht="12.75" hidden="1" outlineLevel="1" x14ac:dyDescent="0.3">
      <c r="A100" s="59">
        <f ca="1">IF(SUM($M100:$S100)=0,0,1)</f>
        <v>0</v>
      </c>
      <c r="D100" s="81" t="s">
        <v>55</v>
      </c>
      <c r="E100" s="82"/>
      <c r="F100" s="80"/>
      <c r="G100" s="82"/>
      <c r="H100" s="80"/>
      <c r="I100" s="84"/>
      <c r="O100" s="59">
        <f ca="1">IF(ROUND(O99-O97,2)=0,0,1)</f>
        <v>0</v>
      </c>
      <c r="P100" s="59">
        <f ca="1">IF(ROUND(P99-P97,2)=0,0,1)</f>
        <v>0</v>
      </c>
      <c r="Q100" s="59">
        <f ca="1">IF(ROUND(Q99-Q97,2)=0,0,1)</f>
        <v>0</v>
      </c>
      <c r="R100" s="59">
        <f ca="1">IF(ROUND(R99-R97,2)=0,0,1)</f>
        <v>0</v>
      </c>
      <c r="S100" s="59">
        <f ca="1">IF(ROUND(S99-S97,2)=0,0,1)</f>
        <v>0</v>
      </c>
    </row>
    <row r="101" spans="1:19" ht="11.25" customHeight="1" collapsed="1" x14ac:dyDescent="0.3"/>
    <row r="102" spans="1:19" s="8" customFormat="1" ht="13.9" x14ac:dyDescent="0.3">
      <c r="C102" s="8" t="s">
        <v>280</v>
      </c>
    </row>
    <row r="103" spans="1:19" ht="11.25" customHeight="1" x14ac:dyDescent="0.3"/>
    <row r="104" spans="1:19" ht="11.25" customHeight="1" x14ac:dyDescent="0.3">
      <c r="C104" s="172" t="s">
        <v>5</v>
      </c>
      <c r="D104" s="70" t="s">
        <v>118</v>
      </c>
      <c r="E104" s="54" t="s">
        <v>119</v>
      </c>
      <c r="H104" s="54" t="str">
        <f>Lookup!E$19</f>
        <v>Source</v>
      </c>
      <c r="I104" s="54" t="str">
        <f>Lookup!F$19</f>
        <v>Unit</v>
      </c>
      <c r="O104" s="54" t="str">
        <f>O$9</f>
        <v>FY25</v>
      </c>
      <c r="P104" s="54" t="str">
        <f>P$9</f>
        <v>FY26</v>
      </c>
      <c r="Q104" s="54" t="str">
        <f>Q$9</f>
        <v>FY27</v>
      </c>
      <c r="R104" s="54" t="str">
        <f>R$9</f>
        <v>FY28</v>
      </c>
      <c r="S104" s="54" t="str">
        <f>S$9</f>
        <v>FY29</v>
      </c>
    </row>
    <row r="105" spans="1:19" ht="11.25" customHeight="1" x14ac:dyDescent="0.3">
      <c r="D105" s="1"/>
      <c r="E105" s="15"/>
    </row>
    <row r="106" spans="1:19" ht="12.75" x14ac:dyDescent="0.35">
      <c r="C106" s="171">
        <f t="shared" ref="C106:E132" si="1">C45</f>
        <v>1</v>
      </c>
      <c r="D106" s="85" t="str">
        <f t="shared" si="1"/>
        <v>Residential Accumulation</v>
      </c>
      <c r="E106" s="259" t="str">
        <f t="shared" si="1"/>
        <v>SAC</v>
      </c>
      <c r="G106" s="82"/>
      <c r="H106" s="259" t="s">
        <v>52</v>
      </c>
      <c r="I106" s="259" t="s">
        <v>43</v>
      </c>
      <c r="O106" s="72">
        <f t="shared" ref="O106:S115" ca="1" si="2">O45/O$73</f>
        <v>0.25812168171845984</v>
      </c>
      <c r="P106" s="72">
        <f t="shared" ca="1" si="2"/>
        <v>0.24992408131351868</v>
      </c>
      <c r="Q106" s="72">
        <f t="shared" ca="1" si="2"/>
        <v>0.23543835018919765</v>
      </c>
      <c r="R106" s="72">
        <f t="shared" ca="1" si="2"/>
        <v>0.22364002761962945</v>
      </c>
      <c r="S106" s="72">
        <f t="shared" ca="1" si="2"/>
        <v>0.21764793676991856</v>
      </c>
    </row>
    <row r="107" spans="1:19" ht="12.75" x14ac:dyDescent="0.35">
      <c r="C107" s="171">
        <f t="shared" ref="C107" si="3">C46</f>
        <v>1</v>
      </c>
      <c r="D107" s="85" t="str">
        <f t="shared" si="1"/>
        <v>Residential Accumulation</v>
      </c>
      <c r="E107" s="259" t="str">
        <f t="shared" si="1"/>
        <v>Anytime Energy</v>
      </c>
      <c r="H107" s="259" t="s">
        <v>52</v>
      </c>
      <c r="I107" s="259" t="s">
        <v>43</v>
      </c>
      <c r="O107" s="72">
        <f t="shared" ca="1" si="2"/>
        <v>0.11062357787933993</v>
      </c>
      <c r="P107" s="72">
        <f t="shared" ca="1" si="2"/>
        <v>0.1071103205629366</v>
      </c>
      <c r="Q107" s="72">
        <f t="shared" ca="1" si="2"/>
        <v>0.10090215008108472</v>
      </c>
      <c r="R107" s="72">
        <f t="shared" ca="1" si="2"/>
        <v>9.5845726122698358E-2</v>
      </c>
      <c r="S107" s="72">
        <f t="shared" ca="1" si="2"/>
        <v>9.327768718710798E-2</v>
      </c>
    </row>
    <row r="108" spans="1:19" ht="12.75" x14ac:dyDescent="0.35">
      <c r="C108" s="171">
        <f t="shared" ref="C108" si="4">C47</f>
        <v>2</v>
      </c>
      <c r="D108" s="85" t="str">
        <f t="shared" si="1"/>
        <v>Non-Residential Accumulation</v>
      </c>
      <c r="E108" s="259" t="str">
        <f t="shared" si="1"/>
        <v>SAC</v>
      </c>
      <c r="H108" s="259" t="s">
        <v>52</v>
      </c>
      <c r="I108" s="259" t="s">
        <v>43</v>
      </c>
      <c r="O108" s="72">
        <f t="shared" ca="1" si="2"/>
        <v>4.8459303447310805E-3</v>
      </c>
      <c r="P108" s="72">
        <f t="shared" ca="1" si="2"/>
        <v>2.7500678896324742E-3</v>
      </c>
      <c r="Q108" s="72">
        <f t="shared" ca="1" si="2"/>
        <v>4.3538863653850321E-4</v>
      </c>
      <c r="R108" s="72">
        <f t="shared" ca="1" si="2"/>
        <v>0</v>
      </c>
      <c r="S108" s="72">
        <f t="shared" ca="1" si="2"/>
        <v>0</v>
      </c>
    </row>
    <row r="109" spans="1:19" ht="12.75" x14ac:dyDescent="0.35">
      <c r="C109" s="171">
        <f t="shared" ref="C109" si="5">C48</f>
        <v>2</v>
      </c>
      <c r="D109" s="85" t="str">
        <f t="shared" si="1"/>
        <v>Non-Residential Accumulation</v>
      </c>
      <c r="E109" s="259" t="str">
        <f t="shared" si="1"/>
        <v>Anytime Energy</v>
      </c>
      <c r="H109" s="259" t="s">
        <v>52</v>
      </c>
      <c r="I109" s="259" t="s">
        <v>43</v>
      </c>
      <c r="O109" s="72">
        <f t="shared" ca="1" si="2"/>
        <v>1.1945235090927549E-2</v>
      </c>
      <c r="P109" s="72">
        <f t="shared" ca="1" si="2"/>
        <v>6.7789268769388152E-3</v>
      </c>
      <c r="Q109" s="72">
        <f t="shared" ca="1" si="2"/>
        <v>1.0732344976905445E-3</v>
      </c>
      <c r="R109" s="72">
        <f t="shared" ca="1" si="2"/>
        <v>0</v>
      </c>
      <c r="S109" s="72">
        <f t="shared" ca="1" si="2"/>
        <v>0</v>
      </c>
    </row>
    <row r="110" spans="1:19" ht="12.75" x14ac:dyDescent="0.35">
      <c r="C110" s="171" t="str">
        <f t="shared" ref="C110" si="6">C49</f>
        <v>3a</v>
      </c>
      <c r="D110" s="85" t="str">
        <f t="shared" si="1"/>
        <v>LV Smart Meter - Res</v>
      </c>
      <c r="E110" s="259" t="str">
        <f t="shared" si="1"/>
        <v>SAC</v>
      </c>
      <c r="H110" s="259" t="s">
        <v>52</v>
      </c>
      <c r="I110" s="259" t="s">
        <v>43</v>
      </c>
      <c r="O110" s="72">
        <f t="shared" ca="1" si="2"/>
        <v>0.18460871780265881</v>
      </c>
      <c r="P110" s="72">
        <f t="shared" ca="1" si="2"/>
        <v>0.19396521672099959</v>
      </c>
      <c r="Q110" s="72">
        <f t="shared" ca="1" si="2"/>
        <v>0.20196286309599651</v>
      </c>
      <c r="R110" s="72">
        <f t="shared" ca="1" si="2"/>
        <v>0.21034620164747569</v>
      </c>
      <c r="S110" s="72">
        <f t="shared" ca="1" si="2"/>
        <v>0.2196044109045088</v>
      </c>
    </row>
    <row r="111" spans="1:19" ht="12.75" x14ac:dyDescent="0.35">
      <c r="C111" s="171" t="str">
        <f t="shared" ref="C111" si="7">C50</f>
        <v>3a</v>
      </c>
      <c r="D111" s="85" t="str">
        <f t="shared" si="1"/>
        <v>LV Smart Meter - Res</v>
      </c>
      <c r="E111" s="259" t="str">
        <f t="shared" si="1"/>
        <v>Peak Energy</v>
      </c>
      <c r="H111" s="259" t="s">
        <v>52</v>
      </c>
      <c r="I111" s="259" t="s">
        <v>43</v>
      </c>
      <c r="O111" s="72">
        <f t="shared" ca="1" si="2"/>
        <v>0</v>
      </c>
      <c r="P111" s="72">
        <f t="shared" ca="1" si="2"/>
        <v>0</v>
      </c>
      <c r="Q111" s="72">
        <f t="shared" ca="1" si="2"/>
        <v>0</v>
      </c>
      <c r="R111" s="72">
        <f t="shared" ca="1" si="2"/>
        <v>0</v>
      </c>
      <c r="S111" s="72">
        <f t="shared" ca="1" si="2"/>
        <v>0</v>
      </c>
    </row>
    <row r="112" spans="1:19" ht="12.75" x14ac:dyDescent="0.35">
      <c r="C112" s="171" t="str">
        <f t="shared" ref="C112" si="8">C51</f>
        <v>3a</v>
      </c>
      <c r="D112" s="85" t="str">
        <f t="shared" si="1"/>
        <v>LV Smart Meter - Res</v>
      </c>
      <c r="E112" s="259" t="str">
        <f t="shared" si="1"/>
        <v>Off-peak Energy</v>
      </c>
      <c r="H112" s="259" t="s">
        <v>52</v>
      </c>
      <c r="I112" s="259" t="s">
        <v>43</v>
      </c>
      <c r="O112" s="72">
        <f t="shared" ca="1" si="2"/>
        <v>2.0512079755850975E-2</v>
      </c>
      <c r="P112" s="72">
        <f t="shared" ca="1" si="2"/>
        <v>2.1551690746777728E-2</v>
      </c>
      <c r="Q112" s="72">
        <f t="shared" ca="1" si="2"/>
        <v>2.2440318121777384E-2</v>
      </c>
      <c r="R112" s="72">
        <f t="shared" ca="1" si="2"/>
        <v>2.3371800183052849E-2</v>
      </c>
      <c r="S112" s="72">
        <f t="shared" ca="1" si="2"/>
        <v>2.4400490100500976E-2</v>
      </c>
    </row>
    <row r="113" spans="3:19" ht="12.75" x14ac:dyDescent="0.35">
      <c r="C113" s="171" t="str">
        <f t="shared" ref="C113" si="9">C52</f>
        <v>3a</v>
      </c>
      <c r="D113" s="85" t="str">
        <f t="shared" si="1"/>
        <v>LV Smart Meter - Res</v>
      </c>
      <c r="E113" s="259" t="str">
        <f t="shared" si="1"/>
        <v>Super Off-peak Energy</v>
      </c>
      <c r="H113" s="259" t="s">
        <v>52</v>
      </c>
      <c r="I113" s="259" t="s">
        <v>43</v>
      </c>
      <c r="O113" s="72">
        <f t="shared" ca="1" si="2"/>
        <v>0</v>
      </c>
      <c r="P113" s="72">
        <f t="shared" ca="1" si="2"/>
        <v>0</v>
      </c>
      <c r="Q113" s="72">
        <f t="shared" ca="1" si="2"/>
        <v>0</v>
      </c>
      <c r="R113" s="72">
        <f t="shared" ca="1" si="2"/>
        <v>0</v>
      </c>
      <c r="S113" s="72">
        <f t="shared" ca="1" si="2"/>
        <v>0</v>
      </c>
    </row>
    <row r="114" spans="3:19" ht="12.75" x14ac:dyDescent="0.35">
      <c r="C114" s="171" t="str">
        <f t="shared" ref="C114" si="10">C53</f>
        <v>3b</v>
      </c>
      <c r="D114" s="85" t="str">
        <f t="shared" si="1"/>
        <v>LV Smart Meter - Small Comm</v>
      </c>
      <c r="E114" s="259" t="str">
        <f t="shared" si="1"/>
        <v>SAC</v>
      </c>
      <c r="H114" s="259" t="s">
        <v>52</v>
      </c>
      <c r="I114" s="259" t="s">
        <v>43</v>
      </c>
      <c r="O114" s="72">
        <f t="shared" ca="1" si="2"/>
        <v>2.7871788223380538E-2</v>
      </c>
      <c r="P114" s="72">
        <f t="shared" ca="1" si="2"/>
        <v>5.0620105887066648E-2</v>
      </c>
      <c r="Q114" s="72">
        <f t="shared" ca="1" si="2"/>
        <v>5.5069197845566999E-2</v>
      </c>
      <c r="R114" s="72">
        <f t="shared" ca="1" si="2"/>
        <v>5.7498910348995083E-2</v>
      </c>
      <c r="S114" s="72">
        <f t="shared" ca="1" si="2"/>
        <v>5.7827830519024709E-2</v>
      </c>
    </row>
    <row r="115" spans="3:19" ht="12.75" x14ac:dyDescent="0.35">
      <c r="C115" s="171" t="str">
        <f t="shared" ref="C115" si="11">C54</f>
        <v>3b</v>
      </c>
      <c r="D115" s="85" t="str">
        <f t="shared" si="1"/>
        <v>LV Smart Meter - Small Comm</v>
      </c>
      <c r="E115" s="259" t="str">
        <f t="shared" si="1"/>
        <v>Peak Energy</v>
      </c>
      <c r="H115" s="259" t="s">
        <v>52</v>
      </c>
      <c r="I115" s="259" t="s">
        <v>43</v>
      </c>
      <c r="O115" s="72">
        <f t="shared" ca="1" si="2"/>
        <v>0</v>
      </c>
      <c r="P115" s="72">
        <f t="shared" ca="1" si="2"/>
        <v>0</v>
      </c>
      <c r="Q115" s="72">
        <f t="shared" ca="1" si="2"/>
        <v>0</v>
      </c>
      <c r="R115" s="72">
        <f t="shared" ca="1" si="2"/>
        <v>0</v>
      </c>
      <c r="S115" s="72">
        <f t="shared" ca="1" si="2"/>
        <v>0</v>
      </c>
    </row>
    <row r="116" spans="3:19" ht="12.75" x14ac:dyDescent="0.35">
      <c r="C116" s="171" t="str">
        <f t="shared" ref="C116" si="12">C55</f>
        <v>3b</v>
      </c>
      <c r="D116" s="85" t="str">
        <f t="shared" si="1"/>
        <v>LV Smart Meter - Small Comm</v>
      </c>
      <c r="E116" s="259" t="str">
        <f t="shared" si="1"/>
        <v>Off-peak Energy</v>
      </c>
      <c r="H116" s="259" t="s">
        <v>52</v>
      </c>
      <c r="I116" s="259" t="s">
        <v>43</v>
      </c>
      <c r="O116" s="72">
        <f t="shared" ref="O116:S125" ca="1" si="13">O55/O$73</f>
        <v>0.11148715289352215</v>
      </c>
      <c r="P116" s="72">
        <f t="shared" ca="1" si="13"/>
        <v>9.8262558486658769E-2</v>
      </c>
      <c r="Q116" s="72">
        <f t="shared" ca="1" si="13"/>
        <v>0.10689903111198298</v>
      </c>
      <c r="R116" s="72">
        <f t="shared" ca="1" si="13"/>
        <v>0.11161553185393161</v>
      </c>
      <c r="S116" s="72">
        <f t="shared" ca="1" si="13"/>
        <v>0.11225402394869499</v>
      </c>
    </row>
    <row r="117" spans="3:19" ht="12.75" x14ac:dyDescent="0.35">
      <c r="C117" s="171" t="str">
        <f t="shared" ref="C117" si="14">C56</f>
        <v>3b</v>
      </c>
      <c r="D117" s="85" t="str">
        <f t="shared" si="1"/>
        <v>LV Smart Meter - Small Comm</v>
      </c>
      <c r="E117" s="259" t="str">
        <f t="shared" si="1"/>
        <v>Super Off-peak Energy</v>
      </c>
      <c r="H117" s="259" t="s">
        <v>52</v>
      </c>
      <c r="I117" s="259" t="s">
        <v>43</v>
      </c>
      <c r="O117" s="72">
        <f t="shared" ca="1" si="13"/>
        <v>0</v>
      </c>
      <c r="P117" s="72">
        <f t="shared" ca="1" si="13"/>
        <v>0</v>
      </c>
      <c r="Q117" s="72">
        <f t="shared" ca="1" si="13"/>
        <v>0</v>
      </c>
      <c r="R117" s="72">
        <f t="shared" ca="1" si="13"/>
        <v>0</v>
      </c>
      <c r="S117" s="72">
        <f t="shared" ca="1" si="13"/>
        <v>0</v>
      </c>
    </row>
    <row r="118" spans="3:19" ht="12.75" x14ac:dyDescent="0.35">
      <c r="C118" s="171" t="str">
        <f t="shared" ref="C118" si="15">C57</f>
        <v>3c</v>
      </c>
      <c r="D118" s="85" t="str">
        <f t="shared" si="1"/>
        <v>LV Smart Meter - Med Comm</v>
      </c>
      <c r="E118" s="259" t="str">
        <f t="shared" si="1"/>
        <v>SAC</v>
      </c>
      <c r="H118" s="259" t="s">
        <v>52</v>
      </c>
      <c r="I118" s="259" t="s">
        <v>43</v>
      </c>
      <c r="O118" s="72">
        <f t="shared" ca="1" si="13"/>
        <v>2.1743282701138313E-2</v>
      </c>
      <c r="P118" s="72">
        <f t="shared" ca="1" si="13"/>
        <v>2.2372237881543619E-2</v>
      </c>
      <c r="Q118" s="72">
        <f t="shared" ca="1" si="13"/>
        <v>2.5317050731612851E-2</v>
      </c>
      <c r="R118" s="72">
        <f t="shared" ca="1" si="13"/>
        <v>2.6564703536301151E-2</v>
      </c>
      <c r="S118" s="72">
        <f t="shared" ca="1" si="13"/>
        <v>2.667811969939414E-2</v>
      </c>
    </row>
    <row r="119" spans="3:19" ht="12.75" x14ac:dyDescent="0.35">
      <c r="C119" s="171" t="str">
        <f t="shared" ref="C119" si="16">C58</f>
        <v>3c</v>
      </c>
      <c r="D119" s="85" t="str">
        <f t="shared" si="1"/>
        <v>LV Smart Meter - Med Comm</v>
      </c>
      <c r="E119" s="259" t="str">
        <f t="shared" si="1"/>
        <v>Peak Energy</v>
      </c>
      <c r="H119" s="259" t="s">
        <v>52</v>
      </c>
      <c r="I119" s="259" t="s">
        <v>43</v>
      </c>
      <c r="O119" s="72">
        <f t="shared" ca="1" si="13"/>
        <v>0</v>
      </c>
      <c r="P119" s="72">
        <f t="shared" ca="1" si="13"/>
        <v>0</v>
      </c>
      <c r="Q119" s="72">
        <f t="shared" ca="1" si="13"/>
        <v>0</v>
      </c>
      <c r="R119" s="72">
        <f t="shared" ca="1" si="13"/>
        <v>0</v>
      </c>
      <c r="S119" s="72">
        <f t="shared" ca="1" si="13"/>
        <v>0</v>
      </c>
    </row>
    <row r="120" spans="3:19" ht="12.75" x14ac:dyDescent="0.35">
      <c r="C120" s="171" t="str">
        <f t="shared" ref="C120" si="17">C59</f>
        <v>3c</v>
      </c>
      <c r="D120" s="85" t="str">
        <f t="shared" si="1"/>
        <v>LV Smart Meter - Med Comm</v>
      </c>
      <c r="E120" s="259" t="str">
        <f t="shared" si="1"/>
        <v>Off-peak Energy</v>
      </c>
      <c r="H120" s="259" t="s">
        <v>52</v>
      </c>
      <c r="I120" s="259" t="s">
        <v>43</v>
      </c>
      <c r="O120" s="72">
        <f t="shared" ca="1" si="13"/>
        <v>4.4145452756856572E-2</v>
      </c>
      <c r="P120" s="72">
        <f t="shared" ca="1" si="13"/>
        <v>4.5422422365558247E-2</v>
      </c>
      <c r="Q120" s="72">
        <f t="shared" ca="1" si="13"/>
        <v>5.1401284818729111E-2</v>
      </c>
      <c r="R120" s="72">
        <f t="shared" ca="1" si="13"/>
        <v>5.3934398088853842E-2</v>
      </c>
      <c r="S120" s="72">
        <f t="shared" ca="1" si="13"/>
        <v>5.4164667268466887E-2</v>
      </c>
    </row>
    <row r="121" spans="3:19" ht="12.75" x14ac:dyDescent="0.35">
      <c r="C121" s="171" t="str">
        <f t="shared" ref="C121" si="18">C60</f>
        <v>3c</v>
      </c>
      <c r="D121" s="85" t="str">
        <f t="shared" si="1"/>
        <v>LV Smart Meter - Med Comm</v>
      </c>
      <c r="E121" s="259" t="str">
        <f t="shared" si="1"/>
        <v>Super Off-peak Energy</v>
      </c>
      <c r="H121" s="259" t="s">
        <v>52</v>
      </c>
      <c r="I121" s="259" t="s">
        <v>43</v>
      </c>
      <c r="O121" s="72">
        <f t="shared" ca="1" si="13"/>
        <v>0</v>
      </c>
      <c r="P121" s="72">
        <f t="shared" ca="1" si="13"/>
        <v>0</v>
      </c>
      <c r="Q121" s="72">
        <f t="shared" ca="1" si="13"/>
        <v>0</v>
      </c>
      <c r="R121" s="72">
        <f t="shared" ca="1" si="13"/>
        <v>0</v>
      </c>
      <c r="S121" s="72">
        <f t="shared" ca="1" si="13"/>
        <v>0</v>
      </c>
    </row>
    <row r="122" spans="3:19" ht="12.75" x14ac:dyDescent="0.35">
      <c r="C122" s="171">
        <f t="shared" ref="C122" si="19">C61</f>
        <v>4</v>
      </c>
      <c r="D122" s="85" t="str">
        <f t="shared" si="1"/>
        <v>Unmetered</v>
      </c>
      <c r="E122" s="259" t="str">
        <f t="shared" si="1"/>
        <v>Anytime Energy</v>
      </c>
      <c r="H122" s="259" t="s">
        <v>52</v>
      </c>
      <c r="I122" s="259" t="s">
        <v>43</v>
      </c>
      <c r="O122" s="72">
        <f t="shared" ca="1" si="13"/>
        <v>1.5917363902836778E-2</v>
      </c>
      <c r="P122" s="72">
        <f t="shared" ca="1" si="13"/>
        <v>1.5404579812916592E-2</v>
      </c>
      <c r="Q122" s="72">
        <f t="shared" ca="1" si="13"/>
        <v>1.4902120752232359E-2</v>
      </c>
      <c r="R122" s="72">
        <f t="shared" ca="1" si="13"/>
        <v>1.4463445134441524E-2</v>
      </c>
      <c r="S122" s="72">
        <f t="shared" ca="1" si="13"/>
        <v>1.44743834511018E-2</v>
      </c>
    </row>
    <row r="123" spans="3:19" ht="12.75" x14ac:dyDescent="0.35">
      <c r="C123" s="171">
        <f t="shared" ref="C123" si="20">C62</f>
        <v>5</v>
      </c>
      <c r="D123" s="85" t="str">
        <f t="shared" si="1"/>
        <v>LV Majors</v>
      </c>
      <c r="E123" s="259" t="str">
        <f t="shared" si="1"/>
        <v>SAC</v>
      </c>
      <c r="H123" s="259" t="s">
        <v>52</v>
      </c>
      <c r="I123" s="259" t="s">
        <v>43</v>
      </c>
      <c r="O123" s="72">
        <f t="shared" ca="1" si="13"/>
        <v>7.1805182885880059E-2</v>
      </c>
      <c r="P123" s="72">
        <f t="shared" ca="1" si="13"/>
        <v>7.1485058771249499E-2</v>
      </c>
      <c r="Q123" s="72">
        <f t="shared" ca="1" si="13"/>
        <v>7.3170817478970807E-2</v>
      </c>
      <c r="R123" s="72">
        <f t="shared" ca="1" si="13"/>
        <v>7.4736005779939135E-2</v>
      </c>
      <c r="S123" s="72">
        <f t="shared" ca="1" si="13"/>
        <v>7.5328134727985149E-2</v>
      </c>
    </row>
    <row r="124" spans="3:19" ht="12.75" x14ac:dyDescent="0.35">
      <c r="C124" s="171">
        <f t="shared" ref="C124" si="21">C63</f>
        <v>5</v>
      </c>
      <c r="D124" s="85" t="str">
        <f t="shared" si="1"/>
        <v>LV Majors</v>
      </c>
      <c r="E124" s="259" t="str">
        <f t="shared" si="1"/>
        <v>Anytime Energy Price</v>
      </c>
      <c r="H124" s="259" t="s">
        <v>52</v>
      </c>
      <c r="I124" s="259" t="s">
        <v>43</v>
      </c>
      <c r="O124" s="72">
        <f t="shared" ca="1" si="13"/>
        <v>1.0257883269411438E-2</v>
      </c>
      <c r="P124" s="72">
        <f t="shared" ca="1" si="13"/>
        <v>1.2615010371396972E-2</v>
      </c>
      <c r="Q124" s="72">
        <f t="shared" ca="1" si="13"/>
        <v>1.2912497202171318E-2</v>
      </c>
      <c r="R124" s="72">
        <f t="shared" ca="1" si="13"/>
        <v>1.3188706902342202E-2</v>
      </c>
      <c r="S124" s="72">
        <f t="shared" ca="1" si="13"/>
        <v>1.3293200246115029E-2</v>
      </c>
    </row>
    <row r="125" spans="3:19" ht="12.75" x14ac:dyDescent="0.35">
      <c r="C125" s="171">
        <f t="shared" ref="C125" si="22">C64</f>
        <v>5</v>
      </c>
      <c r="D125" s="85" t="str">
        <f t="shared" si="1"/>
        <v>LV Majors</v>
      </c>
      <c r="E125" s="259" t="str">
        <f t="shared" si="1"/>
        <v>On-Season Demand</v>
      </c>
      <c r="H125" s="259" t="s">
        <v>52</v>
      </c>
      <c r="I125" s="259" t="s">
        <v>43</v>
      </c>
      <c r="O125" s="72">
        <f t="shared" ca="1" si="13"/>
        <v>0</v>
      </c>
      <c r="P125" s="72">
        <f t="shared" ca="1" si="13"/>
        <v>0</v>
      </c>
      <c r="Q125" s="72">
        <f t="shared" ca="1" si="13"/>
        <v>0</v>
      </c>
      <c r="R125" s="72">
        <f t="shared" ca="1" si="13"/>
        <v>0</v>
      </c>
      <c r="S125" s="72">
        <f t="shared" ca="1" si="13"/>
        <v>0</v>
      </c>
    </row>
    <row r="126" spans="3:19" ht="12.75" x14ac:dyDescent="0.35">
      <c r="C126" s="171">
        <f t="shared" ref="C126" si="23">C65</f>
        <v>5</v>
      </c>
      <c r="D126" s="85" t="str">
        <f t="shared" si="1"/>
        <v>LV Majors</v>
      </c>
      <c r="E126" s="259" t="str">
        <f t="shared" si="1"/>
        <v>Off-Season Demand</v>
      </c>
      <c r="H126" s="259" t="s">
        <v>52</v>
      </c>
      <c r="I126" s="259" t="s">
        <v>43</v>
      </c>
      <c r="O126" s="72">
        <f t="shared" ref="O126:S132" ca="1" si="24">O65/O$73</f>
        <v>0</v>
      </c>
      <c r="P126" s="72">
        <f t="shared" ca="1" si="24"/>
        <v>0</v>
      </c>
      <c r="Q126" s="72">
        <f t="shared" ca="1" si="24"/>
        <v>0</v>
      </c>
      <c r="R126" s="72">
        <f t="shared" ca="1" si="24"/>
        <v>0</v>
      </c>
      <c r="S126" s="72">
        <f t="shared" ca="1" si="24"/>
        <v>0</v>
      </c>
    </row>
    <row r="127" spans="3:19" ht="12.75" x14ac:dyDescent="0.35">
      <c r="C127" s="171">
        <f t="shared" ref="C127" si="25">C66</f>
        <v>6</v>
      </c>
      <c r="D127" s="85" t="str">
        <f t="shared" si="1"/>
        <v>HV Smart Meters</v>
      </c>
      <c r="E127" s="259" t="str">
        <f t="shared" si="1"/>
        <v>SAC</v>
      </c>
      <c r="H127" s="259" t="s">
        <v>52</v>
      </c>
      <c r="I127" s="259" t="s">
        <v>43</v>
      </c>
      <c r="O127" s="72">
        <f t="shared" ca="1" si="24"/>
        <v>1.3718117498399459E-2</v>
      </c>
      <c r="P127" s="72">
        <f t="shared" ca="1" si="24"/>
        <v>1.2863334004314601E-2</v>
      </c>
      <c r="Q127" s="72">
        <f t="shared" ca="1" si="24"/>
        <v>1.2245458577164733E-2</v>
      </c>
      <c r="R127" s="72">
        <f t="shared" ca="1" si="24"/>
        <v>1.1691289130448151E-2</v>
      </c>
      <c r="S127" s="72">
        <f t="shared" ca="1" si="24"/>
        <v>1.1306746105959579E-2</v>
      </c>
    </row>
    <row r="128" spans="3:19" ht="12.75" x14ac:dyDescent="0.35">
      <c r="C128" s="171">
        <f t="shared" ref="C128" si="26">C67</f>
        <v>6</v>
      </c>
      <c r="D128" s="85" t="str">
        <f t="shared" si="1"/>
        <v>HV Smart Meters</v>
      </c>
      <c r="E128" s="259" t="str">
        <f t="shared" si="1"/>
        <v>Anytime Energy Price</v>
      </c>
      <c r="H128" s="259" t="s">
        <v>52</v>
      </c>
      <c r="I128" s="259" t="s">
        <v>43</v>
      </c>
      <c r="O128" s="72">
        <f t="shared" ca="1" si="24"/>
        <v>4.1154352495198374E-2</v>
      </c>
      <c r="P128" s="72">
        <f t="shared" ca="1" si="24"/>
        <v>3.8590002012943804E-2</v>
      </c>
      <c r="Q128" s="72">
        <f t="shared" ca="1" si="24"/>
        <v>3.67363757314942E-2</v>
      </c>
      <c r="R128" s="72">
        <f t="shared" ca="1" si="24"/>
        <v>3.5073867391344452E-2</v>
      </c>
      <c r="S128" s="72">
        <f t="shared" ca="1" si="24"/>
        <v>3.3920238317878736E-2</v>
      </c>
    </row>
    <row r="129" spans="1:19" ht="12.75" x14ac:dyDescent="0.35">
      <c r="C129" s="171">
        <f t="shared" ref="C129" si="27">C68</f>
        <v>6</v>
      </c>
      <c r="D129" s="85" t="str">
        <f t="shared" si="1"/>
        <v>HV Smart Meters</v>
      </c>
      <c r="E129" s="259" t="str">
        <f t="shared" si="1"/>
        <v>On-Season Demand</v>
      </c>
      <c r="H129" s="259" t="s">
        <v>52</v>
      </c>
      <c r="I129" s="259" t="s">
        <v>43</v>
      </c>
      <c r="O129" s="72">
        <f t="shared" ca="1" si="24"/>
        <v>0</v>
      </c>
      <c r="P129" s="72">
        <f t="shared" ca="1" si="24"/>
        <v>0</v>
      </c>
      <c r="Q129" s="72">
        <f t="shared" ca="1" si="24"/>
        <v>0</v>
      </c>
      <c r="R129" s="72">
        <f t="shared" ca="1" si="24"/>
        <v>0</v>
      </c>
      <c r="S129" s="72">
        <f t="shared" ca="1" si="24"/>
        <v>0</v>
      </c>
    </row>
    <row r="130" spans="1:19" ht="12.75" x14ac:dyDescent="0.35">
      <c r="C130" s="171">
        <f t="shared" ref="C130" si="28">C69</f>
        <v>6</v>
      </c>
      <c r="D130" s="85" t="str">
        <f t="shared" si="1"/>
        <v>HV Smart Meters</v>
      </c>
      <c r="E130" s="259" t="str">
        <f t="shared" si="1"/>
        <v>Off-Season Demand</v>
      </c>
      <c r="H130" s="259" t="s">
        <v>52</v>
      </c>
      <c r="I130" s="259" t="s">
        <v>43</v>
      </c>
      <c r="O130" s="72">
        <f t="shared" ca="1" si="24"/>
        <v>0</v>
      </c>
      <c r="P130" s="72">
        <f t="shared" ca="1" si="24"/>
        <v>0</v>
      </c>
      <c r="Q130" s="72">
        <f t="shared" ca="1" si="24"/>
        <v>0</v>
      </c>
      <c r="R130" s="72">
        <f t="shared" ca="1" si="24"/>
        <v>0</v>
      </c>
      <c r="S130" s="72">
        <f t="shared" ca="1" si="24"/>
        <v>0</v>
      </c>
    </row>
    <row r="131" spans="1:19" ht="12.75" x14ac:dyDescent="0.35">
      <c r="C131" s="171">
        <f t="shared" ref="C131" si="29">C70</f>
        <v>7</v>
      </c>
      <c r="D131" s="85" t="str">
        <f t="shared" si="1"/>
        <v>Super Users</v>
      </c>
      <c r="E131" s="259" t="str">
        <f t="shared" si="1"/>
        <v>SAC</v>
      </c>
      <c r="H131" s="259" t="s">
        <v>52</v>
      </c>
      <c r="I131" s="259" t="s">
        <v>43</v>
      </c>
      <c r="O131" s="72">
        <f t="shared" ca="1" si="24"/>
        <v>1.7934770273492953E-2</v>
      </c>
      <c r="P131" s="72">
        <f t="shared" ca="1" si="24"/>
        <v>1.8856644860830288E-2</v>
      </c>
      <c r="Q131" s="72">
        <f t="shared" ca="1" si="24"/>
        <v>1.9637544451115752E-2</v>
      </c>
      <c r="R131" s="72">
        <f t="shared" ca="1" si="24"/>
        <v>2.0412489160732291E-2</v>
      </c>
      <c r="S131" s="72">
        <f t="shared" ca="1" si="24"/>
        <v>2.0619958839004141E-2</v>
      </c>
    </row>
    <row r="132" spans="1:19" ht="12.75" x14ac:dyDescent="0.35">
      <c r="C132" s="171">
        <f t="shared" ref="C132" si="30">C71</f>
        <v>7</v>
      </c>
      <c r="D132" s="85" t="str">
        <f t="shared" si="1"/>
        <v>Super Users</v>
      </c>
      <c r="E132" s="259" t="str">
        <f t="shared" si="1"/>
        <v>Anytime Energy</v>
      </c>
      <c r="H132" s="259" t="s">
        <v>52</v>
      </c>
      <c r="I132" s="259" t="s">
        <v>43</v>
      </c>
      <c r="O132" s="72">
        <f t="shared" ca="1" si="24"/>
        <v>3.3307430507915486E-2</v>
      </c>
      <c r="P132" s="72">
        <f t="shared" ca="1" si="24"/>
        <v>3.1427741434717153E-2</v>
      </c>
      <c r="Q132" s="72">
        <f t="shared" ca="1" si="24"/>
        <v>2.9456316676673627E-2</v>
      </c>
      <c r="R132" s="72">
        <f t="shared" ca="1" si="24"/>
        <v>2.7616897099814273E-2</v>
      </c>
      <c r="S132" s="72">
        <f t="shared" ca="1" si="24"/>
        <v>2.5202171914338399E-2</v>
      </c>
    </row>
    <row r="133" spans="1:19" ht="11.25" customHeight="1" x14ac:dyDescent="0.3">
      <c r="E133" s="15"/>
    </row>
    <row r="134" spans="1:19" ht="11.25" customHeight="1" x14ac:dyDescent="0.3">
      <c r="D134" s="62" t="s">
        <v>51</v>
      </c>
      <c r="E134" s="56" t="s">
        <v>22</v>
      </c>
      <c r="H134" s="56" t="s">
        <v>52</v>
      </c>
      <c r="I134" s="56" t="s">
        <v>43</v>
      </c>
      <c r="O134" s="73">
        <f ca="1">SUM(O106:O132)</f>
        <v>1.0000000000000007</v>
      </c>
      <c r="P134" s="73">
        <f ca="1">SUM(P106:P132)</f>
        <v>1.0000000000000002</v>
      </c>
      <c r="Q134" s="73">
        <f ca="1">SUM(Q106:Q132)</f>
        <v>1.0000000000000002</v>
      </c>
      <c r="R134" s="73">
        <f ca="1">SUM(R106:R132)</f>
        <v>0.99999999999999989</v>
      </c>
      <c r="S134" s="73">
        <f ca="1">SUM(S106:S132)</f>
        <v>0.99999999999999989</v>
      </c>
    </row>
    <row r="135" spans="1:19" ht="11.25" customHeight="1" x14ac:dyDescent="0.3"/>
    <row r="136" spans="1:19" ht="12.75" hidden="1" outlineLevel="1" x14ac:dyDescent="0.3">
      <c r="D136" s="81" t="s">
        <v>90</v>
      </c>
      <c r="E136" s="82"/>
      <c r="G136" s="82"/>
      <c r="H136" s="259" t="s">
        <v>52</v>
      </c>
      <c r="I136" s="259" t="s">
        <v>43</v>
      </c>
      <c r="O136" s="111">
        <v>1</v>
      </c>
      <c r="P136" s="111">
        <v>1</v>
      </c>
      <c r="Q136" s="111">
        <v>1</v>
      </c>
      <c r="R136" s="111">
        <v>1</v>
      </c>
      <c r="S136" s="111">
        <v>1</v>
      </c>
    </row>
    <row r="137" spans="1:19" ht="12.75" hidden="1" outlineLevel="1" x14ac:dyDescent="0.3">
      <c r="A137" s="59">
        <f ca="1">IF(SUM($M137:$S137)=0,0,1)</f>
        <v>0</v>
      </c>
      <c r="D137" s="81" t="s">
        <v>55</v>
      </c>
      <c r="E137" s="82"/>
      <c r="F137" s="80"/>
      <c r="G137" s="82"/>
      <c r="H137" s="80"/>
      <c r="I137" s="84"/>
      <c r="O137" s="59">
        <f ca="1">IF(ROUND(O136-O134,2)=0,0,1)</f>
        <v>0</v>
      </c>
      <c r="P137" s="59">
        <f ca="1">IF(ROUND(P136-P134,2)=0,0,1)</f>
        <v>0</v>
      </c>
      <c r="Q137" s="59">
        <f ca="1">IF(ROUND(Q136-Q134,2)=0,0,1)</f>
        <v>0</v>
      </c>
      <c r="R137" s="59">
        <f ca="1">IF(ROUND(R136-R134,2)=0,0,1)</f>
        <v>0</v>
      </c>
      <c r="S137" s="59">
        <f ca="1">IF(ROUND(S136-S134,2)=0,0,1)</f>
        <v>0</v>
      </c>
    </row>
    <row r="138" spans="1:19" ht="11.25" customHeight="1" collapsed="1" x14ac:dyDescent="0.3"/>
    <row r="139" spans="1:19" s="2" customFormat="1" ht="15" x14ac:dyDescent="0.3">
      <c r="B139" s="2" t="s">
        <v>20</v>
      </c>
    </row>
  </sheetData>
  <conditionalFormatting sqref="B2">
    <cfRule type="cellIs" dxfId="21" priority="1" operator="notEqual">
      <formula>"No Errors Found"</formula>
    </cfRule>
  </conditionalFormatting>
  <dataValidations count="3">
    <dataValidation type="list" allowBlank="1" showInputMessage="1" showErrorMessage="1" sqref="K38:K39 K75:K76" xr:uid="{00000000-0002-0000-0A00-000000000000}">
      <formula1>LU_Timing</formula1>
    </dataValidation>
    <dataValidation type="list" allowBlank="1" showInputMessage="1" showErrorMessage="1" sqref="J38:J39 J26:J34 J75:J76 J45:J71" xr:uid="{00000000-0002-0000-0A00-000001000000}">
      <formula1>LU_Basis</formula1>
    </dataValidation>
    <dataValidation type="list" allowBlank="1" showInputMessage="1" showErrorMessage="1" sqref="I38:I39 I87:I95 I99:I100 I136:I137 I26:I34 I45:I71 I75:I76 I106:I132" xr:uid="{00000000-0002-0000-0A00-000002000000}">
      <formula1>LU_Units</formula1>
    </dataValidation>
  </dataValidations>
  <hyperlinks>
    <hyperlink ref="B3:E3" location="TOC!A1" display="TOC!A1"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4"/>
  </sheetPr>
  <dimension ref="A1:W108"/>
  <sheetViews>
    <sheetView showGridLines="0" zoomScaleNormal="100" workbookViewId="0">
      <pane xSplit="5" ySplit="9" topLeftCell="F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2.33203125" bestFit="1" customWidth="1"/>
    <col min="2" max="3" width="2.83203125" customWidth="1"/>
    <col min="4" max="4" width="44.5" customWidth="1"/>
    <col min="5" max="5" width="5" customWidth="1"/>
    <col min="6" max="6" width="14.6640625" bestFit="1" customWidth="1"/>
    <col min="7" max="7" width="2.5" customWidth="1"/>
    <col min="8" max="8" width="12.33203125" bestFit="1" customWidth="1"/>
    <col min="9" max="9" width="10.83203125" customWidth="1"/>
    <col min="10" max="10" width="12.83203125" customWidth="1"/>
    <col min="11" max="12" width="3.5" customWidth="1"/>
    <col min="13" max="13" width="16" customWidth="1"/>
    <col min="14" max="14" width="11.83203125" customWidth="1"/>
    <col min="15" max="16" width="12.83203125" customWidth="1"/>
    <col min="17" max="17" width="13.83203125" customWidth="1"/>
    <col min="18" max="19" width="12.83203125" customWidth="1"/>
    <col min="20" max="20" width="4.33203125" customWidth="1"/>
    <col min="21" max="25" width="13.6640625" customWidth="1"/>
  </cols>
  <sheetData>
    <row r="1" spans="1:22" ht="18.75" x14ac:dyDescent="0.3">
      <c r="A1" s="59">
        <f>IF(SUM($A10:$A108)&gt;0,1,0)</f>
        <v>0</v>
      </c>
      <c r="B1" s="3" t="s">
        <v>749</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260" t="s">
        <v>118</v>
      </c>
      <c r="E9" s="50"/>
      <c r="F9" s="50" t="s">
        <v>62</v>
      </c>
      <c r="H9" s="50" t="str">
        <f>Lookup!E19</f>
        <v>Source</v>
      </c>
      <c r="I9" s="50" t="str">
        <f>Lookup!F19</f>
        <v>Unit</v>
      </c>
      <c r="J9" s="50" t="str">
        <f>Lookup!G19</f>
        <v>Basis</v>
      </c>
      <c r="K9" s="50"/>
      <c r="L9" s="50"/>
      <c r="M9" s="50"/>
      <c r="N9" s="50"/>
      <c r="O9" s="50" t="str">
        <f>Lookup!O19</f>
        <v>FY25</v>
      </c>
      <c r="P9" s="50" t="str">
        <f>Lookup!P19</f>
        <v>FY26</v>
      </c>
      <c r="Q9" s="50" t="str">
        <f>Lookup!Q19</f>
        <v>FY27</v>
      </c>
      <c r="R9" s="50" t="str">
        <f>Lookup!R19</f>
        <v>FY28</v>
      </c>
      <c r="S9" s="50" t="str">
        <f>Lookup!S19</f>
        <v>FY29</v>
      </c>
      <c r="U9" s="60"/>
      <c r="V9" s="60"/>
    </row>
    <row r="11" spans="1:22" s="2" customFormat="1" ht="15" x14ac:dyDescent="0.3">
      <c r="B11" s="2" t="s">
        <v>137</v>
      </c>
    </row>
    <row r="12" spans="1:22" ht="11.25" customHeight="1" x14ac:dyDescent="0.3"/>
    <row r="13" spans="1:22" ht="11.25" customHeight="1" x14ac:dyDescent="0.3">
      <c r="D13" s="105" t="s">
        <v>218</v>
      </c>
    </row>
    <row r="14" spans="1:22" ht="11.25" customHeight="1" x14ac:dyDescent="0.3"/>
    <row r="15" spans="1:22" ht="11.25" customHeight="1" x14ac:dyDescent="0.3"/>
    <row r="16" spans="1:22" s="2" customFormat="1" ht="15" x14ac:dyDescent="0.3">
      <c r="B16" s="2" t="s">
        <v>128</v>
      </c>
    </row>
    <row r="17" spans="1:19" ht="11.25" customHeight="1" x14ac:dyDescent="0.3"/>
    <row r="18" spans="1:19" s="8" customFormat="1" ht="13.9" x14ac:dyDescent="0.3">
      <c r="C18" s="8" t="s">
        <v>750</v>
      </c>
    </row>
    <row r="19" spans="1:19" ht="11.25" customHeight="1" x14ac:dyDescent="0.3"/>
    <row r="20" spans="1:19" ht="11.25" customHeight="1" x14ac:dyDescent="0.3">
      <c r="D20" s="70" t="s">
        <v>129</v>
      </c>
      <c r="H20" s="54" t="str">
        <f>Lookup!E$19</f>
        <v>Source</v>
      </c>
      <c r="I20" s="54" t="str">
        <f>Lookup!F$19</f>
        <v>Unit</v>
      </c>
      <c r="J20" s="54" t="str">
        <f>Lookup!G$19</f>
        <v>Basis</v>
      </c>
      <c r="O20" s="54" t="str">
        <f>O$9</f>
        <v>FY25</v>
      </c>
      <c r="P20" s="54" t="str">
        <f>P$9</f>
        <v>FY26</v>
      </c>
      <c r="Q20" s="54" t="str">
        <f>Q$9</f>
        <v>FY27</v>
      </c>
      <c r="R20" s="54" t="str">
        <f>R$9</f>
        <v>FY28</v>
      </c>
      <c r="S20" s="54" t="str">
        <f>S$9</f>
        <v>FY29</v>
      </c>
    </row>
    <row r="22" spans="1:19" ht="12.75" x14ac:dyDescent="0.3">
      <c r="D22" s="7" t="str">
        <f>C51</f>
        <v>System access charge</v>
      </c>
      <c r="H22" s="80" t="s">
        <v>52</v>
      </c>
      <c r="I22" s="84" t="s">
        <v>47</v>
      </c>
      <c r="J22" s="84" t="s">
        <v>40</v>
      </c>
      <c r="O22" s="66">
        <f>O65</f>
        <v>82455.791239367565</v>
      </c>
      <c r="P22" s="66">
        <f>P65</f>
        <v>95335.29654842017</v>
      </c>
      <c r="Q22" s="66">
        <f>Q65</f>
        <v>107368.27120580127</v>
      </c>
      <c r="R22" s="66">
        <f>R65</f>
        <v>121454.18363844567</v>
      </c>
      <c r="S22" s="66">
        <f>S65</f>
        <v>126542.91495938413</v>
      </c>
    </row>
    <row r="23" spans="1:19" ht="12.75" x14ac:dyDescent="0.3">
      <c r="D23" s="7" t="str">
        <f>C70</f>
        <v>Consumption</v>
      </c>
      <c r="H23" s="86" t="str">
        <f t="shared" ref="H23:J24" si="0">H22</f>
        <v>Calculated</v>
      </c>
      <c r="I23" s="86" t="str">
        <f t="shared" si="0"/>
        <v>$000's</v>
      </c>
      <c r="J23" s="86" t="str">
        <f t="shared" si="0"/>
        <v>Nominal</v>
      </c>
      <c r="O23" s="66">
        <f>O84</f>
        <v>83927.475329798588</v>
      </c>
      <c r="P23" s="66">
        <f>P84</f>
        <v>90859.702757764418</v>
      </c>
      <c r="Q23" s="66">
        <f>Q84</f>
        <v>101033.97969320828</v>
      </c>
      <c r="R23" s="66">
        <f>R84</f>
        <v>111765.48723589908</v>
      </c>
      <c r="S23" s="66">
        <f>S84</f>
        <v>116132.35719727543</v>
      </c>
    </row>
    <row r="24" spans="1:19" ht="12.75" x14ac:dyDescent="0.3">
      <c r="D24" s="7" t="str">
        <f>C89</f>
        <v>Demand</v>
      </c>
      <c r="H24" s="86" t="str">
        <f t="shared" si="0"/>
        <v>Calculated</v>
      </c>
      <c r="I24" s="86" t="str">
        <f t="shared" si="0"/>
        <v>$000's</v>
      </c>
      <c r="J24" s="86" t="str">
        <f t="shared" si="0"/>
        <v>Nominal</v>
      </c>
      <c r="O24" s="66">
        <f>O103</f>
        <v>9585.1716897062506</v>
      </c>
      <c r="P24" s="66">
        <f>P103</f>
        <v>10214.155442551157</v>
      </c>
      <c r="Q24" s="66">
        <f>Q103</f>
        <v>10822.039836364856</v>
      </c>
      <c r="R24" s="66">
        <f>R103</f>
        <v>11469.990918201132</v>
      </c>
      <c r="S24" s="66">
        <f>S103</f>
        <v>12109.258207779152</v>
      </c>
    </row>
    <row r="26" spans="1:19" ht="13.15" x14ac:dyDescent="0.3">
      <c r="D26" s="62" t="s">
        <v>102</v>
      </c>
      <c r="H26" s="56" t="s">
        <v>52</v>
      </c>
      <c r="I26" s="56" t="str">
        <f>I$22</f>
        <v>$000's</v>
      </c>
      <c r="J26" s="56" t="str">
        <f>J$22</f>
        <v>Nominal</v>
      </c>
      <c r="O26" s="68">
        <f>SUM(O22:O24)</f>
        <v>175968.4382588724</v>
      </c>
      <c r="P26" s="68">
        <f>SUM(P22:P24)</f>
        <v>196409.15474873575</v>
      </c>
      <c r="Q26" s="68">
        <f>SUM(Q22:Q24)</f>
        <v>219224.29073537441</v>
      </c>
      <c r="R26" s="68">
        <f>SUM(R22:R24)</f>
        <v>244689.6617925459</v>
      </c>
      <c r="S26" s="68">
        <f>SUM(S22:S24)</f>
        <v>254784.53036443872</v>
      </c>
    </row>
    <row r="27" spans="1:19" ht="11.25" customHeight="1" x14ac:dyDescent="0.3">
      <c r="P27" s="145"/>
      <c r="Q27" s="145"/>
      <c r="R27" s="145"/>
    </row>
    <row r="28" spans="1:19" ht="12.75" hidden="1" outlineLevel="1" x14ac:dyDescent="0.3">
      <c r="A28" s="59">
        <f>IF(SUM($O28:$S28)=0,0,1)</f>
        <v>0</v>
      </c>
      <c r="D28" s="81" t="s">
        <v>127</v>
      </c>
      <c r="E28" s="80"/>
      <c r="F28" s="80"/>
      <c r="G28" s="82"/>
      <c r="H28" s="80"/>
      <c r="I28" s="80"/>
      <c r="J28" s="80"/>
      <c r="K28" s="58"/>
      <c r="O28" s="59">
        <f>IF(ROUND(O26-O65-O84-O103,5)=0,0,1)</f>
        <v>0</v>
      </c>
      <c r="P28" s="59">
        <f>IF(ROUND(P26-P65-P84-P103,5)=0,0,1)</f>
        <v>0</v>
      </c>
      <c r="Q28" s="59">
        <f>IF(ROUND(Q26-Q65-Q84-Q103,5)=0,0,1)</f>
        <v>0</v>
      </c>
      <c r="R28" s="59">
        <f>IF(ROUND(R26-R65-R84-R103,5)=0,0,1)</f>
        <v>0</v>
      </c>
      <c r="S28" s="59">
        <f>IF(ROUND(S26-S65-S84-S103,5)=0,0,1)</f>
        <v>0</v>
      </c>
    </row>
    <row r="29" spans="1:19" collapsed="1" x14ac:dyDescent="0.3">
      <c r="P29" s="151"/>
      <c r="Q29" s="151"/>
      <c r="R29" s="151"/>
      <c r="S29" s="145"/>
    </row>
    <row r="30" spans="1:19" s="8" customFormat="1" ht="13.9" x14ac:dyDescent="0.3">
      <c r="C30" s="8" t="s">
        <v>751</v>
      </c>
    </row>
    <row r="31" spans="1:19" ht="11.25" customHeight="1" x14ac:dyDescent="0.3"/>
    <row r="32" spans="1:19" ht="11.25" customHeight="1" x14ac:dyDescent="0.3">
      <c r="C32" s="172" t="s">
        <v>5</v>
      </c>
      <c r="D32" s="70" t="str">
        <f>D$9</f>
        <v>Tariff</v>
      </c>
      <c r="F32" s="54" t="str">
        <f>F$9</f>
        <v>Tariff Class</v>
      </c>
      <c r="H32" s="54" t="str">
        <f>Lookup!E$19</f>
        <v>Source</v>
      </c>
      <c r="I32" s="54" t="str">
        <f>Lookup!F$19</f>
        <v>Unit</v>
      </c>
      <c r="J32" s="54" t="str">
        <f>Lookup!G$19</f>
        <v>Basis</v>
      </c>
      <c r="O32" s="54" t="str">
        <f>O$9</f>
        <v>FY25</v>
      </c>
      <c r="P32" s="54" t="str">
        <f>P$9</f>
        <v>FY26</v>
      </c>
      <c r="Q32" s="54" t="str">
        <f>Q$9</f>
        <v>FY27</v>
      </c>
      <c r="R32" s="54" t="str">
        <f>R$9</f>
        <v>FY28</v>
      </c>
      <c r="S32" s="54" t="str">
        <f>S$9</f>
        <v>FY29</v>
      </c>
    </row>
    <row r="33" spans="1:23" ht="11.25" customHeight="1" x14ac:dyDescent="0.3">
      <c r="D33" s="1"/>
    </row>
    <row r="34" spans="1:23" ht="12.75" x14ac:dyDescent="0.35">
      <c r="C34" s="171">
        <f>Inputs_Prices!C20</f>
        <v>1</v>
      </c>
      <c r="D34" s="10" t="str">
        <f t="array" ref="D34:D42">LU_Tariffs</f>
        <v>Residential Accumulation</v>
      </c>
      <c r="F34" s="63" t="str">
        <f t="shared" ref="F34:F42" si="1">F74</f>
        <v>LV &lt;750MWh</v>
      </c>
      <c r="H34" s="63" t="str">
        <f t="shared" ref="H34:J40" si="2">H74</f>
        <v>Calculated</v>
      </c>
      <c r="I34" s="63" t="str">
        <f t="shared" si="2"/>
        <v>$000's</v>
      </c>
      <c r="J34" s="63" t="str">
        <f t="shared" si="2"/>
        <v>Nominal</v>
      </c>
      <c r="O34" s="66">
        <f t="shared" ref="O34:S42" si="3">O55+O74+O93</f>
        <v>60269.190103663808</v>
      </c>
      <c r="P34" s="66">
        <f t="shared" si="3"/>
        <v>64815.021067082802</v>
      </c>
      <c r="Q34" s="66">
        <f t="shared" si="3"/>
        <v>68397.978709436808</v>
      </c>
      <c r="R34" s="66">
        <f t="shared" si="3"/>
        <v>72550.484721489847</v>
      </c>
      <c r="S34" s="66">
        <f t="shared" si="3"/>
        <v>72690.026512974378</v>
      </c>
    </row>
    <row r="35" spans="1:23" ht="12.75" x14ac:dyDescent="0.35">
      <c r="C35" s="171">
        <f>Inputs_Prices!C21</f>
        <v>2</v>
      </c>
      <c r="D35" s="10" t="str">
        <v>Non-Residential Accumulation</v>
      </c>
      <c r="F35" s="63" t="str">
        <f t="shared" si="1"/>
        <v>LV &lt;750MWh</v>
      </c>
      <c r="H35" s="63" t="str">
        <f t="shared" si="2"/>
        <v>Calculated</v>
      </c>
      <c r="I35" s="63" t="str">
        <f t="shared" si="2"/>
        <v>$000's</v>
      </c>
      <c r="J35" s="63" t="str">
        <f t="shared" si="2"/>
        <v>Nominal</v>
      </c>
      <c r="O35" s="66">
        <f t="shared" si="3"/>
        <v>4346.4204249941486</v>
      </c>
      <c r="P35" s="66">
        <f t="shared" si="3"/>
        <v>2612.2417581581858</v>
      </c>
      <c r="Q35" s="66">
        <f t="shared" si="3"/>
        <v>438.44858147074888</v>
      </c>
      <c r="R35" s="66">
        <f t="shared" si="3"/>
        <v>0</v>
      </c>
      <c r="S35" s="66">
        <f t="shared" si="3"/>
        <v>0</v>
      </c>
    </row>
    <row r="36" spans="1:23" ht="12.75" x14ac:dyDescent="0.35">
      <c r="C36" s="171" t="str">
        <f>Inputs_Prices!C22</f>
        <v>3a</v>
      </c>
      <c r="D36" s="10" t="str">
        <v>LV Smart Meter - Res</v>
      </c>
      <c r="F36" s="63" t="str">
        <f t="shared" si="1"/>
        <v>LV &lt;750MWh</v>
      </c>
      <c r="H36" s="63" t="str">
        <f t="shared" si="2"/>
        <v>Calculated</v>
      </c>
      <c r="I36" s="63" t="str">
        <f t="shared" si="2"/>
        <v>$000's</v>
      </c>
      <c r="J36" s="63" t="str">
        <f t="shared" si="2"/>
        <v>Nominal</v>
      </c>
      <c r="O36" s="66">
        <f t="shared" si="3"/>
        <v>35686.399278899327</v>
      </c>
      <c r="P36" s="66">
        <f t="shared" si="3"/>
        <v>42031.559116229451</v>
      </c>
      <c r="Q36" s="66">
        <f t="shared" si="3"/>
        <v>49106.241124723871</v>
      </c>
      <c r="R36" s="66">
        <f t="shared" si="3"/>
        <v>57257.380859455734</v>
      </c>
      <c r="S36" s="66">
        <f t="shared" si="3"/>
        <v>62294.817674105245</v>
      </c>
    </row>
    <row r="37" spans="1:23" ht="12.75" x14ac:dyDescent="0.35">
      <c r="C37" s="171" t="str">
        <f>Inputs_Prices!C23</f>
        <v>3b</v>
      </c>
      <c r="D37" s="10" t="str">
        <v>LV Smart Meter - Small Comm</v>
      </c>
      <c r="F37" s="63" t="str">
        <f t="shared" si="1"/>
        <v>LV &lt;750MWh</v>
      </c>
      <c r="H37" s="63" t="str">
        <f t="shared" si="2"/>
        <v>Calculated</v>
      </c>
      <c r="I37" s="63" t="str">
        <f t="shared" si="2"/>
        <v>$000's</v>
      </c>
      <c r="J37" s="63" t="str">
        <f t="shared" si="2"/>
        <v>Nominal</v>
      </c>
      <c r="O37" s="66">
        <f t="shared" si="3"/>
        <v>24635.581356242146</v>
      </c>
      <c r="P37" s="66">
        <f t="shared" si="3"/>
        <v>29755.986944433462</v>
      </c>
      <c r="Q37" s="66">
        <f t="shared" si="3"/>
        <v>36172.007971336774</v>
      </c>
      <c r="R37" s="66">
        <f t="shared" si="3"/>
        <v>41597.2425047328</v>
      </c>
      <c r="S37" s="66">
        <f t="shared" si="3"/>
        <v>43313.37016195459</v>
      </c>
    </row>
    <row r="38" spans="1:23" ht="12.75" x14ac:dyDescent="0.35">
      <c r="C38" s="171" t="str">
        <f>Inputs_Prices!C24</f>
        <v>3c</v>
      </c>
      <c r="D38" s="10" t="str">
        <v>LV Smart Meter - Med Comm</v>
      </c>
      <c r="F38" s="63" t="str">
        <f t="shared" si="1"/>
        <v>LV &lt;750MWh</v>
      </c>
      <c r="H38" s="63" t="str">
        <f t="shared" si="2"/>
        <v>Calculated</v>
      </c>
      <c r="I38" s="63" t="str">
        <f t="shared" si="2"/>
        <v>$000's</v>
      </c>
      <c r="J38" s="63" t="str">
        <f t="shared" si="2"/>
        <v>Nominal</v>
      </c>
      <c r="O38" s="66">
        <f t="shared" si="3"/>
        <v>14077.475060709794</v>
      </c>
      <c r="P38" s="66">
        <f t="shared" si="3"/>
        <v>15948.423365597342</v>
      </c>
      <c r="Q38" s="66">
        <f t="shared" si="3"/>
        <v>19072.513293977569</v>
      </c>
      <c r="R38" s="66">
        <f t="shared" si="3"/>
        <v>21899.724730432852</v>
      </c>
      <c r="S38" s="66">
        <f t="shared" si="3"/>
        <v>22981.564638872369</v>
      </c>
    </row>
    <row r="39" spans="1:23" ht="12.75" x14ac:dyDescent="0.35">
      <c r="C39" s="171">
        <f>Inputs_Prices!C25</f>
        <v>4</v>
      </c>
      <c r="D39" s="10" t="str">
        <v>Unmetered</v>
      </c>
      <c r="F39" s="63" t="str">
        <f t="shared" si="1"/>
        <v>LV &lt;750MWh</v>
      </c>
      <c r="H39" s="63" t="str">
        <f t="shared" si="2"/>
        <v>Calculated</v>
      </c>
      <c r="I39" s="63" t="str">
        <f t="shared" si="2"/>
        <v>$000's</v>
      </c>
      <c r="J39" s="63" t="str">
        <f t="shared" si="2"/>
        <v>Nominal</v>
      </c>
      <c r="O39" s="66">
        <f t="shared" si="3"/>
        <v>1759.6843825887242</v>
      </c>
      <c r="P39" s="66">
        <f t="shared" si="3"/>
        <v>1964.0915474873575</v>
      </c>
      <c r="Q39" s="66">
        <f t="shared" si="3"/>
        <v>2192.2429073537442</v>
      </c>
      <c r="R39" s="66">
        <f t="shared" si="3"/>
        <v>2446.8966179254589</v>
      </c>
      <c r="S39" s="66">
        <f t="shared" si="3"/>
        <v>2547.8453036443871</v>
      </c>
    </row>
    <row r="40" spans="1:23" ht="12.75" x14ac:dyDescent="0.35">
      <c r="C40" s="171">
        <f>Inputs_Prices!C26</f>
        <v>5</v>
      </c>
      <c r="D40" s="10" t="str">
        <v>LV Majors</v>
      </c>
      <c r="F40" s="63" t="str">
        <f t="shared" si="1"/>
        <v>LV &gt;750MWh</v>
      </c>
      <c r="H40" s="63" t="str">
        <f t="shared" si="2"/>
        <v>Calculated</v>
      </c>
      <c r="I40" s="63" t="str">
        <f t="shared" si="2"/>
        <v>$000's</v>
      </c>
      <c r="J40" s="63" t="str">
        <f t="shared" si="2"/>
        <v>Nominal</v>
      </c>
      <c r="O40" s="66">
        <f t="shared" si="3"/>
        <v>17244.906949369499</v>
      </c>
      <c r="P40" s="66">
        <f t="shared" si="3"/>
        <v>19346.301742750471</v>
      </c>
      <c r="Q40" s="66">
        <f t="shared" si="3"/>
        <v>21703.204782802066</v>
      </c>
      <c r="R40" s="66">
        <f t="shared" si="3"/>
        <v>24346.621348358316</v>
      </c>
      <c r="S40" s="66">
        <f t="shared" si="3"/>
        <v>25478.453036443872</v>
      </c>
    </row>
    <row r="41" spans="1:23" ht="12.75" x14ac:dyDescent="0.35">
      <c r="C41" s="171">
        <f>Inputs_Prices!C27</f>
        <v>6</v>
      </c>
      <c r="D41" s="10" t="str">
        <v>HV Smart Meters</v>
      </c>
      <c r="F41" s="63" t="str">
        <f t="shared" si="1"/>
        <v>HV</v>
      </c>
      <c r="H41" s="63" t="str">
        <f t="shared" ref="H41:J42" si="4">H81</f>
        <v>Calculated</v>
      </c>
      <c r="I41" s="63" t="str">
        <f t="shared" si="4"/>
        <v>$000's</v>
      </c>
      <c r="J41" s="63" t="str">
        <f t="shared" si="4"/>
        <v>Nominal</v>
      </c>
      <c r="O41" s="66">
        <f t="shared" si="3"/>
        <v>7478.6586260020795</v>
      </c>
      <c r="P41" s="66">
        <f t="shared" si="3"/>
        <v>8150.9799220725345</v>
      </c>
      <c r="Q41" s="66">
        <f t="shared" si="3"/>
        <v>8988.1959201503523</v>
      </c>
      <c r="R41" s="66">
        <f t="shared" si="3"/>
        <v>9909.9313025981082</v>
      </c>
      <c r="S41" s="66">
        <f t="shared" si="3"/>
        <v>10191.381214577548</v>
      </c>
    </row>
    <row r="42" spans="1:23" ht="12.75" x14ac:dyDescent="0.35">
      <c r="C42" s="171">
        <f>Inputs_Prices!C28</f>
        <v>7</v>
      </c>
      <c r="D42" s="10" t="str">
        <v>Super Users</v>
      </c>
      <c r="F42" s="63" t="str">
        <f t="shared" si="1"/>
        <v>HV</v>
      </c>
      <c r="H42" s="63" t="str">
        <f t="shared" si="4"/>
        <v>Calculated</v>
      </c>
      <c r="I42" s="63" t="str">
        <f t="shared" si="4"/>
        <v>$000's</v>
      </c>
      <c r="J42" s="63" t="str">
        <f t="shared" si="4"/>
        <v>Nominal</v>
      </c>
      <c r="O42" s="66">
        <f t="shared" si="3"/>
        <v>10470.122076402909</v>
      </c>
      <c r="P42" s="66">
        <f t="shared" si="3"/>
        <v>11784.549284924144</v>
      </c>
      <c r="Q42" s="66">
        <f t="shared" si="3"/>
        <v>13153.457444122465</v>
      </c>
      <c r="R42" s="66">
        <f t="shared" si="3"/>
        <v>14681.379707552753</v>
      </c>
      <c r="S42" s="66">
        <f t="shared" si="3"/>
        <v>15287.071821866321</v>
      </c>
    </row>
    <row r="43" spans="1:23" ht="11.25" customHeight="1" x14ac:dyDescent="0.3">
      <c r="W43" s="153"/>
    </row>
    <row r="44" spans="1:23" ht="13.15" x14ac:dyDescent="0.3">
      <c r="D44" s="62" t="str">
        <f>"Total - "&amp;C30</f>
        <v>Total - Revenue by tariff</v>
      </c>
      <c r="F44" s="56" t="s">
        <v>21</v>
      </c>
      <c r="H44" s="56" t="s">
        <v>52</v>
      </c>
      <c r="I44" s="56" t="str">
        <f>Thousands</f>
        <v>$000's</v>
      </c>
      <c r="J44" s="56" t="str">
        <f>Nominal</f>
        <v>Nominal</v>
      </c>
      <c r="O44" s="68">
        <f>SUM(O34:O42)</f>
        <v>175968.43825887243</v>
      </c>
      <c r="P44" s="68">
        <f>SUM(P34:P42)</f>
        <v>196409.15474873577</v>
      </c>
      <c r="Q44" s="68">
        <f>SUM(Q34:Q42)</f>
        <v>219224.29073537438</v>
      </c>
      <c r="R44" s="68">
        <f>SUM(R34:R42)</f>
        <v>244689.66179254584</v>
      </c>
      <c r="S44" s="68">
        <f>SUM(S34:S42)</f>
        <v>254784.53036443877</v>
      </c>
    </row>
    <row r="45" spans="1:23" ht="11.25" customHeight="1" x14ac:dyDescent="0.3">
      <c r="O45" s="151"/>
      <c r="P45" s="151"/>
      <c r="Q45" s="151"/>
      <c r="R45" s="151"/>
      <c r="S45" s="151"/>
    </row>
    <row r="46" spans="1:23" ht="12.75" hidden="1" outlineLevel="1" x14ac:dyDescent="0.3">
      <c r="D46" s="10" t="str">
        <f>D86</f>
        <v>Check - Target Value</v>
      </c>
      <c r="F46" s="63" t="str">
        <f>F105</f>
        <v>N/A</v>
      </c>
      <c r="H46" s="63" t="str">
        <f>H86</f>
        <v>Calculated</v>
      </c>
      <c r="I46" s="63" t="str">
        <f>I86</f>
        <v>$000's</v>
      </c>
      <c r="J46" s="63" t="str">
        <f>J86</f>
        <v>Nominal</v>
      </c>
      <c r="K46" s="63"/>
      <c r="O46" s="66">
        <f>Calc_Revenue!O24</f>
        <v>175968.4382588724</v>
      </c>
      <c r="P46" s="66">
        <f>Calc_Revenue!P24</f>
        <v>196409.15474873575</v>
      </c>
      <c r="Q46" s="66">
        <f>Calc_Revenue!Q24</f>
        <v>219224.29073537441</v>
      </c>
      <c r="R46" s="66">
        <f>Calc_Revenue!R24</f>
        <v>244689.6617925459</v>
      </c>
      <c r="S46" s="66">
        <f>Calc_Revenue!S24</f>
        <v>254784.53036443872</v>
      </c>
    </row>
    <row r="47" spans="1:23" ht="12.75" hidden="1" outlineLevel="1" x14ac:dyDescent="0.3">
      <c r="A47" s="59">
        <f>IF(SUM($O47:$S47)=0,0,1)</f>
        <v>0</v>
      </c>
      <c r="D47" s="10" t="str">
        <f>D87</f>
        <v>Check</v>
      </c>
      <c r="F47" s="63"/>
      <c r="H47" s="63"/>
      <c r="I47" s="63"/>
      <c r="J47" s="63"/>
      <c r="K47" s="63"/>
      <c r="O47" s="59">
        <f>IF(ROUND(O46-O44,2)=0,0,1)</f>
        <v>0</v>
      </c>
      <c r="P47" s="59">
        <f>IF(ROUND(P46-P44,2)=0,0,1)</f>
        <v>0</v>
      </c>
      <c r="Q47" s="59">
        <f>IF(ROUND(Q46-Q44,2)=0,0,1)</f>
        <v>0</v>
      </c>
      <c r="R47" s="59">
        <f>IF(ROUND(R46-R44,2)=0,0,1)</f>
        <v>0</v>
      </c>
      <c r="S47" s="59">
        <f>IF(ROUND(S46-S44,2)=0,0,1)</f>
        <v>0</v>
      </c>
    </row>
    <row r="48" spans="1:23" ht="11.25" customHeight="1" collapsed="1" x14ac:dyDescent="0.3">
      <c r="O48" s="152"/>
      <c r="P48" s="152"/>
      <c r="Q48" s="152"/>
      <c r="R48" s="152"/>
      <c r="S48" s="152"/>
    </row>
    <row r="49" spans="2:19" s="2" customFormat="1" ht="15" x14ac:dyDescent="0.3">
      <c r="B49" s="2" t="s">
        <v>132</v>
      </c>
    </row>
    <row r="50" spans="2:19" ht="11.25" customHeight="1" x14ac:dyDescent="0.3"/>
    <row r="51" spans="2:19" s="8" customFormat="1" ht="13.9" x14ac:dyDescent="0.3">
      <c r="C51" s="8" t="str">
        <f>Inputs_Prices!C16</f>
        <v>System access charge</v>
      </c>
    </row>
    <row r="52" spans="2:19" ht="11.25" customHeight="1" x14ac:dyDescent="0.3"/>
    <row r="53" spans="2:19" ht="11.25" customHeight="1" x14ac:dyDescent="0.3">
      <c r="C53" s="172" t="s">
        <v>5</v>
      </c>
      <c r="D53" s="70" t="str">
        <f>D$9</f>
        <v>Tariff</v>
      </c>
      <c r="F53" s="54" t="str">
        <f>F$9</f>
        <v>Tariff Class</v>
      </c>
      <c r="H53" s="54" t="str">
        <f>Lookup!E$19</f>
        <v>Source</v>
      </c>
      <c r="I53" s="54" t="str">
        <f>Lookup!F$19</f>
        <v>Unit</v>
      </c>
      <c r="J53" s="54" t="str">
        <f>Lookup!G$19</f>
        <v>Basis</v>
      </c>
      <c r="O53" s="54" t="str">
        <f>O$9</f>
        <v>FY25</v>
      </c>
      <c r="P53" s="54" t="str">
        <f>P$9</f>
        <v>FY26</v>
      </c>
      <c r="Q53" s="54" t="str">
        <f>Q$9</f>
        <v>FY27</v>
      </c>
      <c r="R53" s="54" t="str">
        <f>R$9</f>
        <v>FY28</v>
      </c>
      <c r="S53" s="54" t="str">
        <f>S$9</f>
        <v>FY29</v>
      </c>
    </row>
    <row r="54" spans="2:19" ht="11.25" customHeight="1" x14ac:dyDescent="0.3">
      <c r="D54" s="1"/>
    </row>
    <row r="55" spans="2:19" ht="12.75" x14ac:dyDescent="0.35">
      <c r="C55" s="171">
        <f>C34</f>
        <v>1</v>
      </c>
      <c r="D55" s="85" t="str">
        <f>D34</f>
        <v>Residential Accumulation</v>
      </c>
      <c r="E55" s="82"/>
      <c r="F55" s="259" t="s">
        <v>64</v>
      </c>
      <c r="G55" s="82"/>
      <c r="H55" s="259" t="s">
        <v>52</v>
      </c>
      <c r="I55" s="259" t="s">
        <v>47</v>
      </c>
      <c r="J55" s="259" t="s">
        <v>40</v>
      </c>
      <c r="O55" s="66">
        <f>SUMIF(Calc_Revenue!$D$32:$D$40,$D55,Calc_Revenue!O$32:O$40)</f>
        <v>42188.433072564665</v>
      </c>
      <c r="P55" s="66">
        <f>SUMIF(Calc_Revenue!$D$32:$D$40,$D55,Calc_Revenue!P$32:P$40)</f>
        <v>45370.514746957961</v>
      </c>
      <c r="Q55" s="66">
        <f>SUMIF(Calc_Revenue!$D$32:$D$40,$D55,Calc_Revenue!Q$32:Q$40)</f>
        <v>47878.585096605762</v>
      </c>
      <c r="R55" s="66">
        <f>SUMIF(Calc_Revenue!$D$32:$D$40,$D55,Calc_Revenue!R$32:R$40)</f>
        <v>50785.339305042893</v>
      </c>
      <c r="S55" s="66">
        <f>SUMIF(Calc_Revenue!$D$32:$D$40,$D55,Calc_Revenue!S$32:S$40)</f>
        <v>50883.018559082055</v>
      </c>
    </row>
    <row r="56" spans="2:19" ht="12.75" x14ac:dyDescent="0.35">
      <c r="C56" s="171">
        <f t="shared" ref="C56:C63" si="5">C35</f>
        <v>2</v>
      </c>
      <c r="D56" s="85" t="str">
        <f t="shared" ref="D56:D63" si="6">D35</f>
        <v>Non-Residential Accumulation</v>
      </c>
      <c r="E56" s="82"/>
      <c r="F56" s="259" t="s">
        <v>64</v>
      </c>
      <c r="G56" s="82"/>
      <c r="H56" s="259" t="s">
        <v>52</v>
      </c>
      <c r="I56" s="259" t="s">
        <v>47</v>
      </c>
      <c r="J56" s="259" t="s">
        <v>40</v>
      </c>
      <c r="O56" s="66">
        <f>SUMIF(Calc_Revenue!$D$32:$D$40,$D56,Calc_Revenue!O$32:O$40)</f>
        <v>1254.3769346533113</v>
      </c>
      <c r="P56" s="66">
        <f>SUMIF(Calc_Revenue!$D$32:$D$40,$D56,Calc_Revenue!P$32:P$40)</f>
        <v>753.89297140445251</v>
      </c>
      <c r="Q56" s="66">
        <f>SUMIF(Calc_Revenue!$D$32:$D$40,$D56,Calc_Revenue!Q$32:Q$40)</f>
        <v>126.53626061245811</v>
      </c>
      <c r="R56" s="66">
        <f>SUMIF(Calc_Revenue!$D$32:$D$40,$D56,Calc_Revenue!R$32:R$40)</f>
        <v>0</v>
      </c>
      <c r="S56" s="66">
        <f>SUMIF(Calc_Revenue!$D$32:$D$40,$D56,Calc_Revenue!S$32:S$40)</f>
        <v>0</v>
      </c>
    </row>
    <row r="57" spans="2:19" ht="12.75" x14ac:dyDescent="0.35">
      <c r="C57" s="171" t="str">
        <f t="shared" si="5"/>
        <v>3a</v>
      </c>
      <c r="D57" s="85" t="str">
        <f t="shared" si="6"/>
        <v>LV Smart Meter - Res</v>
      </c>
      <c r="E57" s="82"/>
      <c r="F57" s="259" t="s">
        <v>64</v>
      </c>
      <c r="G57" s="82"/>
      <c r="H57" s="259" t="s">
        <v>52</v>
      </c>
      <c r="I57" s="259" t="s">
        <v>47</v>
      </c>
      <c r="J57" s="259" t="s">
        <v>40</v>
      </c>
      <c r="O57" s="66">
        <f>SUMIF(Calc_Revenue!$D$32:$D$40,$D57,Calc_Revenue!O$32:O$40)</f>
        <v>20408.723428706224</v>
      </c>
      <c r="P57" s="66">
        <f>SUMIF(Calc_Revenue!$D$32:$D$40,$D57,Calc_Revenue!P$32:P$40)</f>
        <v>24730.661095269395</v>
      </c>
      <c r="Q57" s="66">
        <f>SUMIF(Calc_Revenue!$D$32:$D$40,$D57,Calc_Revenue!Q$32:Q$40)</f>
        <v>29710.647332174427</v>
      </c>
      <c r="R57" s="66">
        <f>SUMIF(Calc_Revenue!$D$32:$D$40,$D57,Calc_Revenue!R$32:R$40)</f>
        <v>35585.948203933825</v>
      </c>
      <c r="S57" s="66">
        <f>SUMIF(Calc_Revenue!$D$32:$D$40,$D57,Calc_Revenue!S$32:S$40)</f>
        <v>38655.74439649476</v>
      </c>
    </row>
    <row r="58" spans="2:19" ht="12.75" x14ac:dyDescent="0.35">
      <c r="C58" s="171" t="str">
        <f t="shared" si="5"/>
        <v>3b</v>
      </c>
      <c r="D58" s="85" t="str">
        <f t="shared" si="6"/>
        <v>LV Smart Meter - Small Comm</v>
      </c>
      <c r="E58" s="82"/>
      <c r="F58" s="259" t="s">
        <v>64</v>
      </c>
      <c r="G58" s="82"/>
      <c r="H58" s="259" t="s">
        <v>52</v>
      </c>
      <c r="I58" s="259" t="s">
        <v>47</v>
      </c>
      <c r="J58" s="259" t="s">
        <v>40</v>
      </c>
      <c r="O58" s="66">
        <f>SUMIF(Calc_Revenue!$D$32:$D$40,$D58,Calc_Revenue!O$32:O$40)</f>
        <v>3081.2608639777463</v>
      </c>
      <c r="P58" s="66">
        <f>SUMIF(Calc_Revenue!$D$32:$D$40,$D58,Calc_Revenue!P$32:P$40)</f>
        <v>6454.0885446507173</v>
      </c>
      <c r="Q58" s="66">
        <f>SUMIF(Calc_Revenue!$D$32:$D$40,$D58,Calc_Revenue!Q$32:Q$40)</f>
        <v>8101.1998491905633</v>
      </c>
      <c r="R58" s="66">
        <f>SUMIF(Calc_Revenue!$D$32:$D$40,$D58,Calc_Revenue!R$32:R$40)</f>
        <v>9727.5502454338202</v>
      </c>
      <c r="S58" s="66">
        <f>SUMIF(Calc_Revenue!$D$32:$D$40,$D58,Calc_Revenue!S$32:S$40)</f>
        <v>10179.111732501828</v>
      </c>
    </row>
    <row r="59" spans="2:19" ht="12.75" x14ac:dyDescent="0.35">
      <c r="C59" s="171" t="str">
        <f t="shared" si="5"/>
        <v>3c</v>
      </c>
      <c r="D59" s="85" t="str">
        <f t="shared" si="6"/>
        <v>LV Smart Meter - Med Comm</v>
      </c>
      <c r="E59" s="82"/>
      <c r="F59" s="259" t="s">
        <v>64</v>
      </c>
      <c r="G59" s="82"/>
      <c r="H59" s="259" t="s">
        <v>52</v>
      </c>
      <c r="I59" s="259" t="s">
        <v>47</v>
      </c>
      <c r="J59" s="259" t="s">
        <v>40</v>
      </c>
      <c r="O59" s="66">
        <f>SUMIF(Calc_Revenue!$D$32:$D$40,$D59,Calc_Revenue!O$32:O$40)</f>
        <v>2403.7469538901328</v>
      </c>
      <c r="P59" s="66">
        <f>SUMIF(Calc_Revenue!$D$32:$D$40,$D59,Calc_Revenue!P$32:P$40)</f>
        <v>2852.4713984520408</v>
      </c>
      <c r="Q59" s="66">
        <f>SUMIF(Calc_Revenue!$D$32:$D$40,$D59,Calc_Revenue!Q$32:Q$40)</f>
        <v>3724.37761203747</v>
      </c>
      <c r="R59" s="66">
        <f>SUMIF(Calc_Revenue!$D$32:$D$40,$D59,Calc_Revenue!R$32:R$40)</f>
        <v>4494.1632256330095</v>
      </c>
      <c r="S59" s="66">
        <f>SUMIF(Calc_Revenue!$D$32:$D$40,$D59,Calc_Revenue!S$32:S$40)</f>
        <v>4696.0011952004843</v>
      </c>
    </row>
    <row r="60" spans="2:19" ht="12.75" x14ac:dyDescent="0.35">
      <c r="C60" s="171">
        <f t="shared" si="5"/>
        <v>4</v>
      </c>
      <c r="D60" s="85" t="str">
        <f t="shared" si="6"/>
        <v>Unmetered</v>
      </c>
      <c r="E60" s="82"/>
      <c r="F60" s="259" t="s">
        <v>64</v>
      </c>
      <c r="G60" s="82"/>
      <c r="H60" s="259" t="s">
        <v>52</v>
      </c>
      <c r="I60" s="259" t="s">
        <v>47</v>
      </c>
      <c r="J60" s="259" t="s">
        <v>40</v>
      </c>
      <c r="O60" s="66">
        <f>SUMIF(Calc_Revenue!$D$32:$D$40,$D60,Calc_Revenue!O$32:O$40)</f>
        <v>0</v>
      </c>
      <c r="P60" s="66">
        <f>SUMIF(Calc_Revenue!$D$32:$D$40,$D60,Calc_Revenue!P$32:P$40)</f>
        <v>0</v>
      </c>
      <c r="Q60" s="66">
        <f>SUMIF(Calc_Revenue!$D$32:$D$40,$D60,Calc_Revenue!Q$32:Q$40)</f>
        <v>0</v>
      </c>
      <c r="R60" s="66">
        <f>SUMIF(Calc_Revenue!$D$32:$D$40,$D60,Calc_Revenue!R$32:R$40)</f>
        <v>0</v>
      </c>
      <c r="S60" s="66">
        <f>SUMIF(Calc_Revenue!$D$32:$D$40,$D60,Calc_Revenue!S$32:S$40)</f>
        <v>0</v>
      </c>
    </row>
    <row r="61" spans="2:19" ht="12.75" x14ac:dyDescent="0.35">
      <c r="C61" s="171">
        <f t="shared" si="5"/>
        <v>5</v>
      </c>
      <c r="D61" s="85" t="str">
        <f t="shared" si="6"/>
        <v>LV Majors</v>
      </c>
      <c r="E61" s="82"/>
      <c r="F61" s="259" t="s">
        <v>70</v>
      </c>
      <c r="G61" s="82"/>
      <c r="H61" s="259" t="s">
        <v>52</v>
      </c>
      <c r="I61" s="259" t="s">
        <v>47</v>
      </c>
      <c r="J61" s="259" t="s">
        <v>40</v>
      </c>
      <c r="O61" s="66">
        <f>SUMIF(Calc_Revenue!$D$32:$D$40,$D61,Calc_Revenue!O$32:O$40)</f>
        <v>7938.152302385417</v>
      </c>
      <c r="P61" s="66">
        <f>SUMIF(Calc_Revenue!$D$32:$D$40,$D61,Calc_Revenue!P$32:P$40)</f>
        <v>9114.3803602173812</v>
      </c>
      <c r="Q61" s="66">
        <f>SUMIF(Calc_Revenue!$D$32:$D$40,$D61,Calc_Revenue!Q$32:Q$40)</f>
        <v>10764.119302920002</v>
      </c>
      <c r="R61" s="66">
        <f>SUMIF(Calc_Revenue!$D$32:$D$40,$D61,Calc_Revenue!R$32:R$40)</f>
        <v>12643.687453463128</v>
      </c>
      <c r="S61" s="66">
        <f>SUMIF(Calc_Revenue!$D$32:$D$40,$D61,Calc_Revenue!S$32:S$40)</f>
        <v>13259.593056060647</v>
      </c>
    </row>
    <row r="62" spans="2:19" ht="12.75" x14ac:dyDescent="0.35">
      <c r="C62" s="171">
        <f t="shared" si="5"/>
        <v>6</v>
      </c>
      <c r="D62" s="85" t="str">
        <f t="shared" si="6"/>
        <v>HV Smart Meters</v>
      </c>
      <c r="E62" s="82"/>
      <c r="F62" s="259" t="s">
        <v>69</v>
      </c>
      <c r="G62" s="82"/>
      <c r="H62" s="259" t="s">
        <v>52</v>
      </c>
      <c r="I62" s="259" t="s">
        <v>47</v>
      </c>
      <c r="J62" s="259" t="s">
        <v>40</v>
      </c>
      <c r="O62" s="66">
        <f>SUMIF(Calc_Revenue!$D$32:$D$40,$D62,Calc_Revenue!O$32:O$40)</f>
        <v>1516.55495644907</v>
      </c>
      <c r="P62" s="66">
        <f>SUMIF(Calc_Revenue!$D$32:$D$40,$D62,Calc_Revenue!P$32:P$40)</f>
        <v>1640.0814496216735</v>
      </c>
      <c r="Q62" s="66">
        <f>SUMIF(Calc_Revenue!$D$32:$D$40,$D62,Calc_Revenue!Q$32:Q$40)</f>
        <v>1801.4227746115955</v>
      </c>
      <c r="R62" s="66">
        <f>SUMIF(Calc_Revenue!$D$32:$D$40,$D62,Calc_Revenue!R$32:R$40)</f>
        <v>1977.9088292290792</v>
      </c>
      <c r="S62" s="66">
        <f>SUMIF(Calc_Revenue!$D$32:$D$40,$D62,Calc_Revenue!S$32:S$40)</f>
        <v>1990.2637002044949</v>
      </c>
    </row>
    <row r="63" spans="2:19" ht="12.75" x14ac:dyDescent="0.35">
      <c r="C63" s="171">
        <f t="shared" si="5"/>
        <v>7</v>
      </c>
      <c r="D63" s="85" t="str">
        <f t="shared" si="6"/>
        <v>Super Users</v>
      </c>
      <c r="E63" s="82"/>
      <c r="F63" s="259" t="s">
        <v>69</v>
      </c>
      <c r="G63" s="82"/>
      <c r="H63" s="259" t="s">
        <v>52</v>
      </c>
      <c r="I63" s="259" t="s">
        <v>47</v>
      </c>
      <c r="J63" s="259" t="s">
        <v>40</v>
      </c>
      <c r="O63" s="66">
        <f>SUMIF(Calc_Revenue!$D$32:$D$40,$D63,Calc_Revenue!O$32:O$40)</f>
        <v>3664.5427267410182</v>
      </c>
      <c r="P63" s="66">
        <f>SUMIF(Calc_Revenue!$D$32:$D$40,$D63,Calc_Revenue!P$32:P$40)</f>
        <v>4419.2059818465541</v>
      </c>
      <c r="Q63" s="66">
        <f>SUMIF(Calc_Revenue!$D$32:$D$40,$D63,Calc_Revenue!Q$32:Q$40)</f>
        <v>5261.3829776489856</v>
      </c>
      <c r="R63" s="66">
        <f>SUMIF(Calc_Revenue!$D$32:$D$40,$D63,Calc_Revenue!R$32:R$40)</f>
        <v>6239.5863757099196</v>
      </c>
      <c r="S63" s="66">
        <f>SUMIF(Calc_Revenue!$D$32:$D$40,$D63,Calc_Revenue!S$32:S$40)</f>
        <v>6879.1823198398442</v>
      </c>
    </row>
    <row r="64" spans="2:19" ht="11.25" customHeight="1" x14ac:dyDescent="0.3"/>
    <row r="65" spans="1:19" ht="13.15" x14ac:dyDescent="0.3">
      <c r="D65" s="62" t="str">
        <f>"Total - "&amp;C51</f>
        <v>Total - System access charge</v>
      </c>
      <c r="F65" s="56" t="s">
        <v>21</v>
      </c>
      <c r="H65" s="56" t="s">
        <v>52</v>
      </c>
      <c r="I65" s="56" t="str">
        <f>Thousands</f>
        <v>$000's</v>
      </c>
      <c r="J65" s="56" t="str">
        <f>Nominal</f>
        <v>Nominal</v>
      </c>
      <c r="O65" s="68">
        <f>SUM(O55:O63)</f>
        <v>82455.791239367565</v>
      </c>
      <c r="P65" s="68">
        <f>SUM(P55:P63)</f>
        <v>95335.29654842017</v>
      </c>
      <c r="Q65" s="68">
        <f>SUM(Q55:Q63)</f>
        <v>107368.27120580127</v>
      </c>
      <c r="R65" s="68">
        <f>SUM(R55:R63)</f>
        <v>121454.18363844567</v>
      </c>
      <c r="S65" s="68">
        <f>SUM(S55:S63)</f>
        <v>126542.91495938413</v>
      </c>
    </row>
    <row r="66" spans="1:19" ht="11.25" customHeight="1" x14ac:dyDescent="0.3"/>
    <row r="67" spans="1:19" ht="12.75" hidden="1" outlineLevel="1" x14ac:dyDescent="0.3">
      <c r="D67" s="81" t="s">
        <v>90</v>
      </c>
      <c r="E67" s="82"/>
      <c r="F67" s="259" t="str">
        <f>NA</f>
        <v>N/A</v>
      </c>
      <c r="G67" s="82"/>
      <c r="H67" s="259" t="s">
        <v>52</v>
      </c>
      <c r="I67" s="259" t="s">
        <v>47</v>
      </c>
      <c r="J67" s="259" t="s">
        <v>40</v>
      </c>
      <c r="K67" s="78"/>
      <c r="O67" s="66">
        <f>Calc_Revenue!O$42</f>
        <v>82455.791239367565</v>
      </c>
      <c r="P67" s="66">
        <f>Calc_Revenue!P$42</f>
        <v>95335.29654842017</v>
      </c>
      <c r="Q67" s="66">
        <f>Calc_Revenue!Q$42</f>
        <v>107368.27120580127</v>
      </c>
      <c r="R67" s="66">
        <f>Calc_Revenue!R$42</f>
        <v>121454.18363844567</v>
      </c>
      <c r="S67" s="66">
        <f>Calc_Revenue!S$42</f>
        <v>126542.91495938413</v>
      </c>
    </row>
    <row r="68" spans="1:19" ht="12.75" hidden="1" outlineLevel="1" x14ac:dyDescent="0.3">
      <c r="A68" s="59">
        <f>IF(SUM($O68:$S68)=0,0,1)</f>
        <v>0</v>
      </c>
      <c r="D68" s="81" t="s">
        <v>55</v>
      </c>
      <c r="E68" s="82"/>
      <c r="F68" s="80"/>
      <c r="G68" s="82"/>
      <c r="H68" s="80"/>
      <c r="I68" s="84"/>
      <c r="J68" s="84"/>
      <c r="K68" s="78"/>
      <c r="O68" s="59">
        <f>IF(ROUND(O67-O65,2)=0,0,1)</f>
        <v>0</v>
      </c>
      <c r="P68" s="59">
        <f>IF(ROUND(P67-P65,2)=0,0,1)</f>
        <v>0</v>
      </c>
      <c r="Q68" s="59">
        <f>IF(ROUND(Q67-Q65,2)=0,0,1)</f>
        <v>0</v>
      </c>
      <c r="R68" s="59">
        <f>IF(ROUND(R67-R65,2)=0,0,1)</f>
        <v>0</v>
      </c>
      <c r="S68" s="59">
        <f>IF(ROUND(S67-S65,2)=0,0,1)</f>
        <v>0</v>
      </c>
    </row>
    <row r="69" spans="1:19" ht="11.25" customHeight="1" collapsed="1" x14ac:dyDescent="0.3"/>
    <row r="70" spans="1:19" s="8" customFormat="1" ht="13.9" x14ac:dyDescent="0.3">
      <c r="C70" s="8" t="str">
        <f>Inputs_Prices!C31</f>
        <v>Consumption</v>
      </c>
    </row>
    <row r="71" spans="1:19" ht="11.25" customHeight="1" x14ac:dyDescent="0.3"/>
    <row r="72" spans="1:19" ht="11.25" customHeight="1" x14ac:dyDescent="0.3">
      <c r="C72" s="172" t="s">
        <v>5</v>
      </c>
      <c r="D72" s="70" t="str">
        <f>D$9</f>
        <v>Tariff</v>
      </c>
      <c r="F72" s="54" t="str">
        <f>F$9</f>
        <v>Tariff Class</v>
      </c>
      <c r="H72" s="54" t="str">
        <f>Lookup!E$19</f>
        <v>Source</v>
      </c>
      <c r="I72" s="54" t="str">
        <f>Lookup!F$19</f>
        <v>Unit</v>
      </c>
      <c r="J72" s="54" t="str">
        <f>Lookup!G$19</f>
        <v>Basis</v>
      </c>
      <c r="O72" s="54" t="str">
        <f>O$9</f>
        <v>FY25</v>
      </c>
      <c r="P72" s="54" t="str">
        <f>P$9</f>
        <v>FY26</v>
      </c>
      <c r="Q72" s="54" t="str">
        <f>Q$9</f>
        <v>FY27</v>
      </c>
      <c r="R72" s="54" t="str">
        <f>R$9</f>
        <v>FY28</v>
      </c>
      <c r="S72" s="54" t="str">
        <f>S$9</f>
        <v>FY29</v>
      </c>
    </row>
    <row r="73" spans="1:19" ht="11.25" customHeight="1" x14ac:dyDescent="0.3">
      <c r="D73" s="1"/>
    </row>
    <row r="74" spans="1:19" ht="12.75" x14ac:dyDescent="0.35">
      <c r="C74" s="171">
        <f>C34</f>
        <v>1</v>
      </c>
      <c r="D74" s="10" t="str">
        <f>D34</f>
        <v>Residential Accumulation</v>
      </c>
      <c r="F74" s="63" t="str">
        <f t="shared" ref="F74:F82" si="7">F55</f>
        <v>LV &lt;750MWh</v>
      </c>
      <c r="H74" s="63" t="str">
        <f t="shared" ref="H74:J82" si="8">H55</f>
        <v>Calculated</v>
      </c>
      <c r="I74" s="63" t="str">
        <f t="shared" si="8"/>
        <v>$000's</v>
      </c>
      <c r="J74" s="63" t="str">
        <f t="shared" si="8"/>
        <v>Nominal</v>
      </c>
      <c r="O74" s="66">
        <f>SUMIF(Calc_Revenue!$D$50:$D$64,$D74,Calc_Revenue!O$50:O$64)</f>
        <v>18080.757031099143</v>
      </c>
      <c r="P74" s="66">
        <f>SUMIF(Calc_Revenue!$D$50:$D$64,$D74,Calc_Revenue!P$50:P$64)</f>
        <v>19444.506320124841</v>
      </c>
      <c r="Q74" s="66">
        <f>SUMIF(Calc_Revenue!$D$50:$D$64,$D74,Calc_Revenue!Q$50:Q$64)</f>
        <v>20519.393612831045</v>
      </c>
      <c r="R74" s="66">
        <f>SUMIF(Calc_Revenue!$D$50:$D$64,$D74,Calc_Revenue!R$50:R$64)</f>
        <v>21765.145416446958</v>
      </c>
      <c r="S74" s="66">
        <f>SUMIF(Calc_Revenue!$D$50:$D$64,$D74,Calc_Revenue!S$50:S$64)</f>
        <v>21807.007953892316</v>
      </c>
    </row>
    <row r="75" spans="1:19" ht="12.75" x14ac:dyDescent="0.35">
      <c r="C75" s="171">
        <f t="shared" ref="C75:C82" si="9">C35</f>
        <v>2</v>
      </c>
      <c r="D75" s="10" t="str">
        <f t="shared" ref="D75:D82" si="10">D35</f>
        <v>Non-Residential Accumulation</v>
      </c>
      <c r="F75" s="63" t="str">
        <f t="shared" si="7"/>
        <v>LV &lt;750MWh</v>
      </c>
      <c r="H75" s="63" t="str">
        <f t="shared" si="8"/>
        <v>Calculated</v>
      </c>
      <c r="I75" s="63" t="str">
        <f t="shared" si="8"/>
        <v>$000's</v>
      </c>
      <c r="J75" s="63" t="str">
        <f t="shared" si="8"/>
        <v>Nominal</v>
      </c>
      <c r="O75" s="66">
        <f>SUMIF(Calc_Revenue!$D$50:$D$64,$D75,Calc_Revenue!O$50:O$64)</f>
        <v>3092.0434903408373</v>
      </c>
      <c r="P75" s="66">
        <f>SUMIF(Calc_Revenue!$D$50:$D$64,$D75,Calc_Revenue!P$50:P$64)</f>
        <v>1858.3487867537333</v>
      </c>
      <c r="Q75" s="66">
        <f>SUMIF(Calc_Revenue!$D$50:$D$64,$D75,Calc_Revenue!Q$50:Q$64)</f>
        <v>311.91232085829074</v>
      </c>
      <c r="R75" s="66">
        <f>SUMIF(Calc_Revenue!$D$50:$D$64,$D75,Calc_Revenue!R$50:R$64)</f>
        <v>0</v>
      </c>
      <c r="S75" s="66">
        <f>SUMIF(Calc_Revenue!$D$50:$D$64,$D75,Calc_Revenue!S$50:S$64)</f>
        <v>0</v>
      </c>
    </row>
    <row r="76" spans="1:19" ht="12.75" x14ac:dyDescent="0.35">
      <c r="C76" s="171" t="str">
        <f t="shared" si="9"/>
        <v>3a</v>
      </c>
      <c r="D76" s="10" t="str">
        <f t="shared" si="10"/>
        <v>LV Smart Meter - Res</v>
      </c>
      <c r="F76" s="63" t="str">
        <f t="shared" si="7"/>
        <v>LV &lt;750MWh</v>
      </c>
      <c r="H76" s="63" t="str">
        <f t="shared" si="8"/>
        <v>Calculated</v>
      </c>
      <c r="I76" s="63" t="str">
        <f t="shared" si="8"/>
        <v>$000's</v>
      </c>
      <c r="J76" s="63" t="str">
        <f t="shared" si="8"/>
        <v>Nominal</v>
      </c>
      <c r="O76" s="66">
        <f>SUMIF(Calc_Revenue!$D$50:$D$64,$D76,Calc_Revenue!O$50:O$64)</f>
        <v>15277.675850193104</v>
      </c>
      <c r="P76" s="66">
        <f>SUMIF(Calc_Revenue!$D$50:$D$64,$D76,Calc_Revenue!P$50:P$64)</f>
        <v>17300.898020960056</v>
      </c>
      <c r="Q76" s="66">
        <f>SUMIF(Calc_Revenue!$D$50:$D$64,$D76,Calc_Revenue!Q$50:Q$64)</f>
        <v>19395.593792549444</v>
      </c>
      <c r="R76" s="66">
        <f>SUMIF(Calc_Revenue!$D$50:$D$64,$D76,Calc_Revenue!R$50:R$64)</f>
        <v>21671.432655521905</v>
      </c>
      <c r="S76" s="66">
        <f>SUMIF(Calc_Revenue!$D$50:$D$64,$D76,Calc_Revenue!S$50:S$64)</f>
        <v>23639.073277610489</v>
      </c>
    </row>
    <row r="77" spans="1:19" ht="12.75" x14ac:dyDescent="0.35">
      <c r="C77" s="171" t="str">
        <f t="shared" si="9"/>
        <v>3b</v>
      </c>
      <c r="D77" s="10" t="str">
        <f t="shared" si="10"/>
        <v>LV Smart Meter - Small Comm</v>
      </c>
      <c r="F77" s="63" t="str">
        <f t="shared" si="7"/>
        <v>LV &lt;750MWh</v>
      </c>
      <c r="H77" s="63" t="str">
        <f t="shared" si="8"/>
        <v>Calculated</v>
      </c>
      <c r="I77" s="63" t="str">
        <f t="shared" si="8"/>
        <v>$000's</v>
      </c>
      <c r="J77" s="63" t="str">
        <f t="shared" si="8"/>
        <v>Nominal</v>
      </c>
      <c r="O77" s="66">
        <f>SUMIF(Calc_Revenue!$D$50:$D$64,$D77,Calc_Revenue!O$50:O$64)</f>
        <v>21554.3204922644</v>
      </c>
      <c r="P77" s="66">
        <f>SUMIF(Calc_Revenue!$D$50:$D$64,$D77,Calc_Revenue!P$50:P$64)</f>
        <v>23301.898399782745</v>
      </c>
      <c r="Q77" s="66">
        <f>SUMIF(Calc_Revenue!$D$50:$D$64,$D77,Calc_Revenue!Q$50:Q$64)</f>
        <v>28070.808122146213</v>
      </c>
      <c r="R77" s="66">
        <f>SUMIF(Calc_Revenue!$D$50:$D$64,$D77,Calc_Revenue!R$50:R$64)</f>
        <v>31869.692259298979</v>
      </c>
      <c r="S77" s="66">
        <f>SUMIF(Calc_Revenue!$D$50:$D$64,$D77,Calc_Revenue!S$50:S$64)</f>
        <v>33134.258429452762</v>
      </c>
    </row>
    <row r="78" spans="1:19" ht="12.75" x14ac:dyDescent="0.35">
      <c r="C78" s="171" t="str">
        <f t="shared" si="9"/>
        <v>3c</v>
      </c>
      <c r="D78" s="10" t="str">
        <f t="shared" si="10"/>
        <v>LV Smart Meter - Med Comm</v>
      </c>
      <c r="F78" s="63" t="str">
        <f t="shared" si="7"/>
        <v>LV &lt;750MWh</v>
      </c>
      <c r="H78" s="63" t="str">
        <f t="shared" si="8"/>
        <v>Calculated</v>
      </c>
      <c r="I78" s="63" t="str">
        <f t="shared" si="8"/>
        <v>$000's</v>
      </c>
      <c r="J78" s="63" t="str">
        <f t="shared" si="8"/>
        <v>Nominal</v>
      </c>
      <c r="O78" s="66">
        <f>SUMIF(Calc_Revenue!$D$50:$D$64,$D78,Calc_Revenue!O$50:O$64)</f>
        <v>11673.728106819661</v>
      </c>
      <c r="P78" s="66">
        <f>SUMIF(Calc_Revenue!$D$50:$D$64,$D78,Calc_Revenue!P$50:P$64)</f>
        <v>13095.951967145302</v>
      </c>
      <c r="Q78" s="66">
        <f>SUMIF(Calc_Revenue!$D$50:$D$64,$D78,Calc_Revenue!Q$50:Q$64)</f>
        <v>15348.135681940099</v>
      </c>
      <c r="R78" s="66">
        <f>SUMIF(Calc_Revenue!$D$50:$D$64,$D78,Calc_Revenue!R$50:R$64)</f>
        <v>17405.561504799844</v>
      </c>
      <c r="S78" s="66">
        <f>SUMIF(Calc_Revenue!$D$50:$D$64,$D78,Calc_Revenue!S$50:S$64)</f>
        <v>18285.563443671886</v>
      </c>
    </row>
    <row r="79" spans="1:19" ht="12.75" x14ac:dyDescent="0.35">
      <c r="C79" s="171">
        <f t="shared" si="9"/>
        <v>4</v>
      </c>
      <c r="D79" s="10" t="str">
        <f t="shared" si="10"/>
        <v>Unmetered</v>
      </c>
      <c r="F79" s="63" t="str">
        <f t="shared" si="7"/>
        <v>LV &lt;750MWh</v>
      </c>
      <c r="H79" s="63" t="str">
        <f t="shared" si="8"/>
        <v>Calculated</v>
      </c>
      <c r="I79" s="63" t="str">
        <f t="shared" si="8"/>
        <v>$000's</v>
      </c>
      <c r="J79" s="63" t="str">
        <f t="shared" si="8"/>
        <v>Nominal</v>
      </c>
      <c r="O79" s="66">
        <f>SUMIF(Calc_Revenue!$D$50:$D$64,$D79,Calc_Revenue!O$50:O$64)</f>
        <v>1759.6843825887242</v>
      </c>
      <c r="P79" s="66">
        <f>SUMIF(Calc_Revenue!$D$50:$D$64,$D79,Calc_Revenue!P$50:P$64)</f>
        <v>1964.0915474873575</v>
      </c>
      <c r="Q79" s="66">
        <f>SUMIF(Calc_Revenue!$D$50:$D$64,$D79,Calc_Revenue!Q$50:Q$64)</f>
        <v>2192.2429073537442</v>
      </c>
      <c r="R79" s="66">
        <f>SUMIF(Calc_Revenue!$D$50:$D$64,$D79,Calc_Revenue!R$50:R$64)</f>
        <v>2446.8966179254589</v>
      </c>
      <c r="S79" s="66">
        <f>SUMIF(Calc_Revenue!$D$50:$D$64,$D79,Calc_Revenue!S$50:S$64)</f>
        <v>2547.8453036443871</v>
      </c>
    </row>
    <row r="80" spans="1:19" ht="12.75" x14ac:dyDescent="0.35">
      <c r="C80" s="171">
        <f t="shared" si="9"/>
        <v>5</v>
      </c>
      <c r="D80" s="10" t="str">
        <f t="shared" si="10"/>
        <v>LV Majors</v>
      </c>
      <c r="F80" s="63" t="str">
        <f t="shared" si="7"/>
        <v>LV &gt;750MWh</v>
      </c>
      <c r="H80" s="63" t="str">
        <f t="shared" si="8"/>
        <v>Calculated</v>
      </c>
      <c r="I80" s="63" t="str">
        <f t="shared" si="8"/>
        <v>$000's</v>
      </c>
      <c r="J80" s="63" t="str">
        <f t="shared" si="8"/>
        <v>Nominal</v>
      </c>
      <c r="O80" s="66">
        <f>SUMIF(Calc_Revenue!$D$50:$D$64,$D80,Calc_Revenue!O$50:O$64)</f>
        <v>1134.0217574836308</v>
      </c>
      <c r="P80" s="66">
        <f>SUMIF(Calc_Revenue!$D$50:$D$64,$D80,Calc_Revenue!P$50:P$64)</f>
        <v>1608.4200635677732</v>
      </c>
      <c r="Q80" s="66">
        <f>SUMIF(Calc_Revenue!$D$50:$D$64,$D80,Calc_Revenue!Q$50:Q$64)</f>
        <v>1899.5504652211773</v>
      </c>
      <c r="R80" s="66">
        <f>SUMIF(Calc_Revenue!$D$50:$D$64,$D80,Calc_Revenue!R$50:R$64)</f>
        <v>2231.2389623758463</v>
      </c>
      <c r="S80" s="66">
        <f>SUMIF(Calc_Revenue!$D$50:$D$64,$D80,Calc_Revenue!S$50:S$64)</f>
        <v>2339.9281863636434</v>
      </c>
    </row>
    <row r="81" spans="1:19" ht="12.75" x14ac:dyDescent="0.35">
      <c r="C81" s="171">
        <f t="shared" si="9"/>
        <v>6</v>
      </c>
      <c r="D81" s="10" t="str">
        <f t="shared" si="10"/>
        <v>HV Smart Meters</v>
      </c>
      <c r="F81" s="63" t="str">
        <f t="shared" si="7"/>
        <v>HV</v>
      </c>
      <c r="H81" s="63" t="str">
        <f t="shared" si="8"/>
        <v>Calculated</v>
      </c>
      <c r="I81" s="63" t="str">
        <f t="shared" si="8"/>
        <v>$000's</v>
      </c>
      <c r="J81" s="63" t="str">
        <f t="shared" si="8"/>
        <v>Nominal</v>
      </c>
      <c r="O81" s="66">
        <f>SUMIF(Calc_Revenue!$D$50:$D$64,$D81,Calc_Revenue!O$50:O$64)</f>
        <v>4549.6648693472098</v>
      </c>
      <c r="P81" s="66">
        <f>SUMIF(Calc_Revenue!$D$50:$D$64,$D81,Calc_Revenue!P$50:P$64)</f>
        <v>4920.2443488650206</v>
      </c>
      <c r="Q81" s="66">
        <f>SUMIF(Calc_Revenue!$D$50:$D$64,$D81,Calc_Revenue!Q$50:Q$64)</f>
        <v>5404.2683238347863</v>
      </c>
      <c r="R81" s="66">
        <f>SUMIF(Calc_Revenue!$D$50:$D$64,$D81,Calc_Revenue!R$50:R$64)</f>
        <v>5933.7264876872377</v>
      </c>
      <c r="S81" s="66">
        <f>SUMIF(Calc_Revenue!$D$50:$D$64,$D81,Calc_Revenue!S$50:S$64)</f>
        <v>5970.7911006134846</v>
      </c>
    </row>
    <row r="82" spans="1:19" ht="12.75" x14ac:dyDescent="0.35">
      <c r="C82" s="171">
        <f t="shared" si="9"/>
        <v>7</v>
      </c>
      <c r="D82" s="10" t="str">
        <f t="shared" si="10"/>
        <v>Super Users</v>
      </c>
      <c r="F82" s="63" t="str">
        <f t="shared" si="7"/>
        <v>HV</v>
      </c>
      <c r="H82" s="63" t="str">
        <f t="shared" si="8"/>
        <v>Calculated</v>
      </c>
      <c r="I82" s="63" t="str">
        <f t="shared" si="8"/>
        <v>$000's</v>
      </c>
      <c r="J82" s="63" t="str">
        <f t="shared" si="8"/>
        <v>Nominal</v>
      </c>
      <c r="O82" s="66">
        <f>SUMIF(Calc_Revenue!$D$50:$D$64,$D82,Calc_Revenue!O$50:O$64)</f>
        <v>6805.5793496618917</v>
      </c>
      <c r="P82" s="66">
        <f>SUMIF(Calc_Revenue!$D$50:$D$64,$D82,Calc_Revenue!P$50:P$64)</f>
        <v>7365.3433030775896</v>
      </c>
      <c r="Q82" s="66">
        <f>SUMIF(Calc_Revenue!$D$50:$D$64,$D82,Calc_Revenue!Q$50:Q$64)</f>
        <v>7892.0744664734784</v>
      </c>
      <c r="R82" s="66">
        <f>SUMIF(Calc_Revenue!$D$50:$D$64,$D82,Calc_Revenue!R$50:R$64)</f>
        <v>8441.7933318428331</v>
      </c>
      <c r="S82" s="66">
        <f>SUMIF(Calc_Revenue!$D$50:$D$64,$D82,Calc_Revenue!S$50:S$64)</f>
        <v>8407.8895020264772</v>
      </c>
    </row>
    <row r="83" spans="1:19" ht="11.25" customHeight="1" x14ac:dyDescent="0.3"/>
    <row r="84" spans="1:19" ht="13.15" x14ac:dyDescent="0.3">
      <c r="D84" s="62" t="str">
        <f>"Total - "&amp;C70</f>
        <v>Total - Consumption</v>
      </c>
      <c r="F84" s="56" t="s">
        <v>21</v>
      </c>
      <c r="H84" s="56" t="s">
        <v>52</v>
      </c>
      <c r="I84" s="56" t="str">
        <f>Thousands</f>
        <v>$000's</v>
      </c>
      <c r="J84" s="56" t="str">
        <f>Nominal</f>
        <v>Nominal</v>
      </c>
      <c r="O84" s="68">
        <f>SUM(O74:O82)</f>
        <v>83927.475329798588</v>
      </c>
      <c r="P84" s="68">
        <f>SUM(P74:P82)</f>
        <v>90859.702757764418</v>
      </c>
      <c r="Q84" s="68">
        <f>SUM(Q74:Q82)</f>
        <v>101033.97969320828</v>
      </c>
      <c r="R84" s="68">
        <f>SUM(R74:R82)</f>
        <v>111765.48723589908</v>
      </c>
      <c r="S84" s="68">
        <f>SUM(S74:S82)</f>
        <v>116132.35719727543</v>
      </c>
    </row>
    <row r="85" spans="1:19" ht="11.25" customHeight="1" x14ac:dyDescent="0.3">
      <c r="O85" s="145"/>
      <c r="P85" s="145"/>
      <c r="Q85" s="145"/>
      <c r="R85" s="145"/>
      <c r="S85" s="145"/>
    </row>
    <row r="86" spans="1:19" ht="12.75" hidden="1" outlineLevel="1" x14ac:dyDescent="0.3">
      <c r="D86" s="10" t="str">
        <f>D67</f>
        <v>Check - Target Value</v>
      </c>
      <c r="F86" s="63" t="str">
        <f>F67</f>
        <v>N/A</v>
      </c>
      <c r="H86" s="63" t="str">
        <f>H67</f>
        <v>Calculated</v>
      </c>
      <c r="I86" s="63" t="str">
        <f>I67</f>
        <v>$000's</v>
      </c>
      <c r="J86" s="63" t="str">
        <f>J67</f>
        <v>Nominal</v>
      </c>
      <c r="K86" s="63"/>
      <c r="O86" s="66">
        <f>Calc_Revenue!O$66</f>
        <v>83927.475329798588</v>
      </c>
      <c r="P86" s="66">
        <f>Calc_Revenue!P$66</f>
        <v>90859.702757764418</v>
      </c>
      <c r="Q86" s="66">
        <f>Calc_Revenue!Q$66</f>
        <v>101033.97969320828</v>
      </c>
      <c r="R86" s="66">
        <f>Calc_Revenue!R$66</f>
        <v>111765.48723589908</v>
      </c>
      <c r="S86" s="66">
        <f>Calc_Revenue!S$66</f>
        <v>116132.35719727544</v>
      </c>
    </row>
    <row r="87" spans="1:19" ht="12.75" hidden="1" outlineLevel="1" x14ac:dyDescent="0.3">
      <c r="A87" s="59">
        <f>IF(SUM($O87:$S87)=0,0,1)</f>
        <v>0</v>
      </c>
      <c r="D87" s="10" t="str">
        <f>D68</f>
        <v>Check</v>
      </c>
      <c r="F87" s="63"/>
      <c r="H87" s="63"/>
      <c r="I87" s="63"/>
      <c r="J87" s="63"/>
      <c r="K87" s="63"/>
      <c r="O87" s="59">
        <f>IF(ROUND(O86-O84,2)=0,0,1)</f>
        <v>0</v>
      </c>
      <c r="P87" s="59">
        <f>IF(ROUND(P86-P84,2)=0,0,1)</f>
        <v>0</v>
      </c>
      <c r="Q87" s="59">
        <f>IF(ROUND(Q86-Q84,2)=0,0,1)</f>
        <v>0</v>
      </c>
      <c r="R87" s="59">
        <f>IF(ROUND(R86-R84,2)=0,0,1)</f>
        <v>0</v>
      </c>
      <c r="S87" s="59">
        <f>IF(ROUND(S86-S84,2)=0,0,1)</f>
        <v>0</v>
      </c>
    </row>
    <row r="88" spans="1:19" ht="11.25" customHeight="1" collapsed="1" x14ac:dyDescent="0.3"/>
    <row r="89" spans="1:19" s="8" customFormat="1" ht="13.9" x14ac:dyDescent="0.3">
      <c r="C89" s="8" t="str">
        <f>Inputs_Prices!C52</f>
        <v>Demand</v>
      </c>
    </row>
    <row r="90" spans="1:19" ht="11.25" customHeight="1" x14ac:dyDescent="0.3"/>
    <row r="91" spans="1:19" ht="11.25" customHeight="1" x14ac:dyDescent="0.3">
      <c r="C91" s="172" t="s">
        <v>5</v>
      </c>
      <c r="D91" s="70" t="str">
        <f>D$9</f>
        <v>Tariff</v>
      </c>
      <c r="F91" s="54" t="str">
        <f>F$9</f>
        <v>Tariff Class</v>
      </c>
      <c r="H91" s="54" t="str">
        <f>Lookup!E$19</f>
        <v>Source</v>
      </c>
      <c r="I91" s="54" t="str">
        <f>Lookup!F$19</f>
        <v>Unit</v>
      </c>
      <c r="J91" s="54" t="str">
        <f>Lookup!G$19</f>
        <v>Basis</v>
      </c>
      <c r="O91" s="54" t="str">
        <f>O$9</f>
        <v>FY25</v>
      </c>
      <c r="P91" s="54" t="str">
        <f>P$9</f>
        <v>FY26</v>
      </c>
      <c r="Q91" s="54" t="str">
        <f>Q$9</f>
        <v>FY27</v>
      </c>
      <c r="R91" s="54" t="str">
        <f>R$9</f>
        <v>FY28</v>
      </c>
      <c r="S91" s="54" t="str">
        <f>S$9</f>
        <v>FY29</v>
      </c>
    </row>
    <row r="92" spans="1:19" ht="11.25" customHeight="1" x14ac:dyDescent="0.3">
      <c r="D92" s="1"/>
    </row>
    <row r="93" spans="1:19" ht="12.75" x14ac:dyDescent="0.35">
      <c r="C93" s="171">
        <f>C34</f>
        <v>1</v>
      </c>
      <c r="D93" s="10" t="str">
        <f>D34</f>
        <v>Residential Accumulation</v>
      </c>
      <c r="F93" s="63" t="str">
        <f t="shared" ref="F93:F101" si="11">F55</f>
        <v>LV &lt;750MWh</v>
      </c>
      <c r="H93" s="63" t="str">
        <f t="shared" ref="H93:J99" si="12">H55</f>
        <v>Calculated</v>
      </c>
      <c r="I93" s="63" t="str">
        <f t="shared" si="12"/>
        <v>$000's</v>
      </c>
      <c r="J93" s="63" t="str">
        <f t="shared" si="12"/>
        <v>Nominal</v>
      </c>
      <c r="O93" s="66">
        <f>SUMIF(Calc_Revenue!$D$74:$D$77,$D93,Calc_Revenue!O$74:O$77)</f>
        <v>0</v>
      </c>
      <c r="P93" s="66">
        <f>SUMIF(Calc_Revenue!$D$74:$D$77,$D93,Calc_Revenue!P$74:P$77)</f>
        <v>0</v>
      </c>
      <c r="Q93" s="66">
        <f>SUMIF(Calc_Revenue!$D$74:$D$77,$D93,Calc_Revenue!Q$74:Q$77)</f>
        <v>0</v>
      </c>
      <c r="R93" s="66">
        <f>SUMIF(Calc_Revenue!$D$74:$D$77,$D93,Calc_Revenue!R$74:R$77)</f>
        <v>0</v>
      </c>
      <c r="S93" s="66">
        <f>SUMIF(Calc_Revenue!$D$74:$D$77,$D93,Calc_Revenue!S$74:S$77)</f>
        <v>0</v>
      </c>
    </row>
    <row r="94" spans="1:19" ht="12.75" x14ac:dyDescent="0.35">
      <c r="C94" s="171">
        <f t="shared" ref="C94:C101" si="13">C35</f>
        <v>2</v>
      </c>
      <c r="D94" s="10" t="str">
        <f t="shared" ref="D94:D101" si="14">D35</f>
        <v>Non-Residential Accumulation</v>
      </c>
      <c r="F94" s="63" t="str">
        <f t="shared" si="11"/>
        <v>LV &lt;750MWh</v>
      </c>
      <c r="H94" s="63" t="str">
        <f t="shared" si="12"/>
        <v>Calculated</v>
      </c>
      <c r="I94" s="63" t="str">
        <f t="shared" si="12"/>
        <v>$000's</v>
      </c>
      <c r="J94" s="63" t="str">
        <f t="shared" si="12"/>
        <v>Nominal</v>
      </c>
      <c r="O94" s="66">
        <f>SUMIF(Calc_Revenue!$D$74:$D$77,$D94,Calc_Revenue!O$74:O$77)</f>
        <v>0</v>
      </c>
      <c r="P94" s="66">
        <f>SUMIF(Calc_Revenue!$D$74:$D$77,$D94,Calc_Revenue!P$74:P$77)</f>
        <v>0</v>
      </c>
      <c r="Q94" s="66">
        <f>SUMIF(Calc_Revenue!$D$74:$D$77,$D94,Calc_Revenue!Q$74:Q$77)</f>
        <v>0</v>
      </c>
      <c r="R94" s="66">
        <f>SUMIF(Calc_Revenue!$D$74:$D$77,$D94,Calc_Revenue!R$74:R$77)</f>
        <v>0</v>
      </c>
      <c r="S94" s="66">
        <f>SUMIF(Calc_Revenue!$D$74:$D$77,$D94,Calc_Revenue!S$74:S$77)</f>
        <v>0</v>
      </c>
    </row>
    <row r="95" spans="1:19" ht="12.75" x14ac:dyDescent="0.35">
      <c r="C95" s="171" t="str">
        <f t="shared" si="13"/>
        <v>3a</v>
      </c>
      <c r="D95" s="10" t="str">
        <f t="shared" si="14"/>
        <v>LV Smart Meter - Res</v>
      </c>
      <c r="F95" s="63" t="str">
        <f t="shared" si="11"/>
        <v>LV &lt;750MWh</v>
      </c>
      <c r="H95" s="63" t="str">
        <f t="shared" si="12"/>
        <v>Calculated</v>
      </c>
      <c r="I95" s="63" t="str">
        <f t="shared" si="12"/>
        <v>$000's</v>
      </c>
      <c r="J95" s="63" t="str">
        <f t="shared" si="12"/>
        <v>Nominal</v>
      </c>
      <c r="O95" s="66">
        <f>SUMIF(Calc_Revenue!$D$74:$D$77,$D95,Calc_Revenue!O$74:O$77)</f>
        <v>0</v>
      </c>
      <c r="P95" s="66">
        <f>SUMIF(Calc_Revenue!$D$74:$D$77,$D95,Calc_Revenue!P$74:P$77)</f>
        <v>0</v>
      </c>
      <c r="Q95" s="66">
        <f>SUMIF(Calc_Revenue!$D$74:$D$77,$D95,Calc_Revenue!Q$74:Q$77)</f>
        <v>0</v>
      </c>
      <c r="R95" s="66">
        <f>SUMIF(Calc_Revenue!$D$74:$D$77,$D95,Calc_Revenue!R$74:R$77)</f>
        <v>0</v>
      </c>
      <c r="S95" s="66">
        <f>SUMIF(Calc_Revenue!$D$74:$D$77,$D95,Calc_Revenue!S$74:S$77)</f>
        <v>0</v>
      </c>
    </row>
    <row r="96" spans="1:19" ht="12.75" x14ac:dyDescent="0.35">
      <c r="C96" s="171" t="str">
        <f t="shared" si="13"/>
        <v>3b</v>
      </c>
      <c r="D96" s="10" t="str">
        <f t="shared" si="14"/>
        <v>LV Smart Meter - Small Comm</v>
      </c>
      <c r="F96" s="63" t="str">
        <f t="shared" si="11"/>
        <v>LV &lt;750MWh</v>
      </c>
      <c r="H96" s="63" t="str">
        <f t="shared" si="12"/>
        <v>Calculated</v>
      </c>
      <c r="I96" s="63" t="str">
        <f t="shared" si="12"/>
        <v>$000's</v>
      </c>
      <c r="J96" s="63" t="str">
        <f t="shared" si="12"/>
        <v>Nominal</v>
      </c>
      <c r="O96" s="66">
        <f>SUMIF(Calc_Revenue!$D$74:$D$77,$D96,Calc_Revenue!O$74:O$77)</f>
        <v>0</v>
      </c>
      <c r="P96" s="66">
        <f>SUMIF(Calc_Revenue!$D$74:$D$77,$D96,Calc_Revenue!P$74:P$77)</f>
        <v>0</v>
      </c>
      <c r="Q96" s="66">
        <f>SUMIF(Calc_Revenue!$D$74:$D$77,$D96,Calc_Revenue!Q$74:Q$77)</f>
        <v>0</v>
      </c>
      <c r="R96" s="66">
        <f>SUMIF(Calc_Revenue!$D$74:$D$77,$D96,Calc_Revenue!R$74:R$77)</f>
        <v>0</v>
      </c>
      <c r="S96" s="66">
        <f>SUMIF(Calc_Revenue!$D$74:$D$77,$D96,Calc_Revenue!S$74:S$77)</f>
        <v>0</v>
      </c>
    </row>
    <row r="97" spans="1:19" ht="12.75" x14ac:dyDescent="0.35">
      <c r="C97" s="171" t="str">
        <f t="shared" si="13"/>
        <v>3c</v>
      </c>
      <c r="D97" s="10" t="str">
        <f t="shared" si="14"/>
        <v>LV Smart Meter - Med Comm</v>
      </c>
      <c r="F97" s="63" t="str">
        <f t="shared" si="11"/>
        <v>LV &lt;750MWh</v>
      </c>
      <c r="H97" s="63" t="str">
        <f t="shared" si="12"/>
        <v>Calculated</v>
      </c>
      <c r="I97" s="63" t="str">
        <f t="shared" si="12"/>
        <v>$000's</v>
      </c>
      <c r="J97" s="63" t="str">
        <f t="shared" si="12"/>
        <v>Nominal</v>
      </c>
      <c r="O97" s="66">
        <f>SUMIF(Calc_Revenue!$D$74:$D$77,$D97,Calc_Revenue!O$74:O$77)</f>
        <v>0</v>
      </c>
      <c r="P97" s="66">
        <f>SUMIF(Calc_Revenue!$D$74:$D$77,$D97,Calc_Revenue!P$74:P$77)</f>
        <v>0</v>
      </c>
      <c r="Q97" s="66">
        <f>SUMIF(Calc_Revenue!$D$74:$D$77,$D97,Calc_Revenue!Q$74:Q$77)</f>
        <v>0</v>
      </c>
      <c r="R97" s="66">
        <f>SUMIF(Calc_Revenue!$D$74:$D$77,$D97,Calc_Revenue!R$74:R$77)</f>
        <v>0</v>
      </c>
      <c r="S97" s="66">
        <f>SUMIF(Calc_Revenue!$D$74:$D$77,$D97,Calc_Revenue!S$74:S$77)</f>
        <v>0</v>
      </c>
    </row>
    <row r="98" spans="1:19" ht="12.75" x14ac:dyDescent="0.35">
      <c r="C98" s="171">
        <f t="shared" si="13"/>
        <v>4</v>
      </c>
      <c r="D98" s="10" t="str">
        <f t="shared" si="14"/>
        <v>Unmetered</v>
      </c>
      <c r="F98" s="63" t="str">
        <f t="shared" si="11"/>
        <v>LV &lt;750MWh</v>
      </c>
      <c r="H98" s="63" t="str">
        <f t="shared" si="12"/>
        <v>Calculated</v>
      </c>
      <c r="I98" s="63" t="str">
        <f t="shared" si="12"/>
        <v>$000's</v>
      </c>
      <c r="J98" s="63" t="str">
        <f t="shared" si="12"/>
        <v>Nominal</v>
      </c>
      <c r="O98" s="66">
        <f>SUMIF(Calc_Revenue!$D$74:$D$77,$D98,Calc_Revenue!O$74:O$77)</f>
        <v>0</v>
      </c>
      <c r="P98" s="66">
        <f>SUMIF(Calc_Revenue!$D$74:$D$77,$D98,Calc_Revenue!P$74:P$77)</f>
        <v>0</v>
      </c>
      <c r="Q98" s="66">
        <f>SUMIF(Calc_Revenue!$D$74:$D$77,$D98,Calc_Revenue!Q$74:Q$77)</f>
        <v>0</v>
      </c>
      <c r="R98" s="66">
        <f>SUMIF(Calc_Revenue!$D$74:$D$77,$D98,Calc_Revenue!R$74:R$77)</f>
        <v>0</v>
      </c>
      <c r="S98" s="66">
        <f>SUMIF(Calc_Revenue!$D$74:$D$77,$D98,Calc_Revenue!S$74:S$77)</f>
        <v>0</v>
      </c>
    </row>
    <row r="99" spans="1:19" ht="12.75" x14ac:dyDescent="0.35">
      <c r="C99" s="171">
        <f t="shared" si="13"/>
        <v>5</v>
      </c>
      <c r="D99" s="10" t="str">
        <f t="shared" si="14"/>
        <v>LV Majors</v>
      </c>
      <c r="F99" s="63" t="str">
        <f t="shared" si="11"/>
        <v>LV &gt;750MWh</v>
      </c>
      <c r="H99" s="63" t="str">
        <f t="shared" si="12"/>
        <v>Calculated</v>
      </c>
      <c r="I99" s="63" t="str">
        <f t="shared" si="12"/>
        <v>$000's</v>
      </c>
      <c r="J99" s="63" t="str">
        <f t="shared" si="12"/>
        <v>Nominal</v>
      </c>
      <c r="O99" s="66">
        <f>SUMIF(Calc_Revenue!$D$74:$D$77,$D99,Calc_Revenue!O$74:O$77)</f>
        <v>8172.7328895004512</v>
      </c>
      <c r="P99" s="66">
        <f>SUMIF(Calc_Revenue!$D$74:$D$77,$D99,Calc_Revenue!P$74:P$77)</f>
        <v>8623.5013189653164</v>
      </c>
      <c r="Q99" s="66">
        <f>SUMIF(Calc_Revenue!$D$74:$D$77,$D99,Calc_Revenue!Q$74:Q$77)</f>
        <v>9039.5350146608871</v>
      </c>
      <c r="R99" s="66">
        <f>SUMIF(Calc_Revenue!$D$74:$D$77,$D99,Calc_Revenue!R$74:R$77)</f>
        <v>9471.6949325193418</v>
      </c>
      <c r="S99" s="66">
        <f>SUMIF(Calc_Revenue!$D$74:$D$77,$D99,Calc_Revenue!S$74:S$77)</f>
        <v>9878.9317940195833</v>
      </c>
    </row>
    <row r="100" spans="1:19" ht="12.75" x14ac:dyDescent="0.35">
      <c r="C100" s="171">
        <f t="shared" si="13"/>
        <v>6</v>
      </c>
      <c r="D100" s="10" t="str">
        <f t="shared" si="14"/>
        <v>HV Smart Meters</v>
      </c>
      <c r="F100" s="63" t="str">
        <f t="shared" si="11"/>
        <v>HV</v>
      </c>
      <c r="H100" s="63" t="str">
        <f t="shared" ref="H100:J101" si="15">H62</f>
        <v>Calculated</v>
      </c>
      <c r="I100" s="63" t="str">
        <f t="shared" si="15"/>
        <v>$000's</v>
      </c>
      <c r="J100" s="63" t="str">
        <f t="shared" si="15"/>
        <v>Nominal</v>
      </c>
      <c r="O100" s="66">
        <f>SUMIF(Calc_Revenue!$D$74:$D$77,$D100,Calc_Revenue!O$74:O$77)</f>
        <v>1412.4388002057995</v>
      </c>
      <c r="P100" s="66">
        <f>SUMIF(Calc_Revenue!$D$74:$D$77,$D100,Calc_Revenue!P$74:P$77)</f>
        <v>1590.6541235858399</v>
      </c>
      <c r="Q100" s="66">
        <f>SUMIF(Calc_Revenue!$D$74:$D$77,$D100,Calc_Revenue!Q$74:Q$77)</f>
        <v>1782.5048217039694</v>
      </c>
      <c r="R100" s="66">
        <f>SUMIF(Calc_Revenue!$D$74:$D$77,$D100,Calc_Revenue!R$74:R$77)</f>
        <v>1998.2959856817909</v>
      </c>
      <c r="S100" s="66">
        <f>SUMIF(Calc_Revenue!$D$74:$D$77,$D100,Calc_Revenue!S$74:S$77)</f>
        <v>2230.3264137595688</v>
      </c>
    </row>
    <row r="101" spans="1:19" ht="12.75" x14ac:dyDescent="0.35">
      <c r="C101" s="171">
        <f t="shared" si="13"/>
        <v>7</v>
      </c>
      <c r="D101" s="10" t="str">
        <f t="shared" si="14"/>
        <v>Super Users</v>
      </c>
      <c r="F101" s="63" t="str">
        <f t="shared" si="11"/>
        <v>HV</v>
      </c>
      <c r="H101" s="63" t="str">
        <f t="shared" si="15"/>
        <v>Calculated</v>
      </c>
      <c r="I101" s="63" t="str">
        <f t="shared" si="15"/>
        <v>$000's</v>
      </c>
      <c r="J101" s="63" t="str">
        <f t="shared" si="15"/>
        <v>Nominal</v>
      </c>
      <c r="O101" s="66">
        <f>SUMIF(Calc_Revenue!$D$74:$D$77,$D101,Calc_Revenue!O$74:O$77)</f>
        <v>0</v>
      </c>
      <c r="P101" s="66">
        <f>SUMIF(Calc_Revenue!$D$74:$D$77,$D101,Calc_Revenue!P$74:P$77)</f>
        <v>0</v>
      </c>
      <c r="Q101" s="66">
        <f>SUMIF(Calc_Revenue!$D$74:$D$77,$D101,Calc_Revenue!Q$74:Q$77)</f>
        <v>0</v>
      </c>
      <c r="R101" s="66">
        <f>SUMIF(Calc_Revenue!$D$74:$D$77,$D101,Calc_Revenue!R$74:R$77)</f>
        <v>0</v>
      </c>
      <c r="S101" s="66">
        <f>SUMIF(Calc_Revenue!$D$74:$D$77,$D101,Calc_Revenue!S$74:S$77)</f>
        <v>0</v>
      </c>
    </row>
    <row r="102" spans="1:19" ht="11.25" customHeight="1" x14ac:dyDescent="0.3"/>
    <row r="103" spans="1:19" ht="13.15" x14ac:dyDescent="0.3">
      <c r="D103" s="62" t="str">
        <f>"Total - "&amp;C89</f>
        <v>Total - Demand</v>
      </c>
      <c r="F103" s="56" t="s">
        <v>21</v>
      </c>
      <c r="H103" s="56" t="s">
        <v>52</v>
      </c>
      <c r="I103" s="56" t="str">
        <f>Thousands</f>
        <v>$000's</v>
      </c>
      <c r="J103" s="56" t="str">
        <f>Nominal</f>
        <v>Nominal</v>
      </c>
      <c r="O103" s="68">
        <f>SUM(O93:O101)</f>
        <v>9585.1716897062506</v>
      </c>
      <c r="P103" s="68">
        <f>SUM(P93:P101)</f>
        <v>10214.155442551157</v>
      </c>
      <c r="Q103" s="68">
        <f>SUM(Q93:Q101)</f>
        <v>10822.039836364856</v>
      </c>
      <c r="R103" s="68">
        <f>SUM(R93:R101)</f>
        <v>11469.990918201132</v>
      </c>
      <c r="S103" s="68">
        <f>SUM(S93:S101)</f>
        <v>12109.258207779152</v>
      </c>
    </row>
    <row r="104" spans="1:19" ht="11.25" customHeight="1" x14ac:dyDescent="0.3">
      <c r="O104" s="145"/>
      <c r="P104" s="145"/>
      <c r="Q104" s="145"/>
      <c r="R104" s="145"/>
      <c r="S104" s="145"/>
    </row>
    <row r="105" spans="1:19" ht="12.75" hidden="1" outlineLevel="1" x14ac:dyDescent="0.3">
      <c r="D105" s="10" t="str">
        <f>D67</f>
        <v>Check - Target Value</v>
      </c>
      <c r="F105" s="63" t="str">
        <f>F67</f>
        <v>N/A</v>
      </c>
      <c r="H105" s="63" t="str">
        <f>H67</f>
        <v>Calculated</v>
      </c>
      <c r="I105" s="63" t="str">
        <f>I67</f>
        <v>$000's</v>
      </c>
      <c r="J105" s="63" t="str">
        <f>J67</f>
        <v>Nominal</v>
      </c>
      <c r="K105" s="63"/>
      <c r="O105" s="66">
        <f>Calc_Revenue!O$79</f>
        <v>9585.1716897062506</v>
      </c>
      <c r="P105" s="66">
        <f>Calc_Revenue!P$79</f>
        <v>10214.155442551155</v>
      </c>
      <c r="Q105" s="66">
        <f>Calc_Revenue!Q$79</f>
        <v>10822.039836364855</v>
      </c>
      <c r="R105" s="66">
        <f>Calc_Revenue!R$79</f>
        <v>11469.990918201132</v>
      </c>
      <c r="S105" s="66">
        <f>Calc_Revenue!S$79</f>
        <v>12109.258207779152</v>
      </c>
    </row>
    <row r="106" spans="1:19" ht="12.75" hidden="1" outlineLevel="1" x14ac:dyDescent="0.3">
      <c r="A106" s="59">
        <f>IF(SUM($O106:$S106)=0,0,1)</f>
        <v>0</v>
      </c>
      <c r="D106" s="10" t="str">
        <f>D68</f>
        <v>Check</v>
      </c>
      <c r="F106" s="63"/>
      <c r="H106" s="63"/>
      <c r="I106" s="63"/>
      <c r="J106" s="63"/>
      <c r="K106" s="63"/>
      <c r="O106" s="59">
        <f>IF(ROUND(O105-O103,2)=0,0,1)</f>
        <v>0</v>
      </c>
      <c r="P106" s="59">
        <f>IF(ROUND(P105-P103,2)=0,0,1)</f>
        <v>0</v>
      </c>
      <c r="Q106" s="59">
        <f>IF(ROUND(Q105-Q103,2)=0,0,1)</f>
        <v>0</v>
      </c>
      <c r="R106" s="59">
        <f>IF(ROUND(R105-R103,2)=0,0,1)</f>
        <v>0</v>
      </c>
      <c r="S106" s="59">
        <f>IF(ROUND(S105-S103,2)=0,0,1)</f>
        <v>0</v>
      </c>
    </row>
    <row r="107" spans="1:19" ht="11.25" customHeight="1" collapsed="1" x14ac:dyDescent="0.3"/>
    <row r="108" spans="1:19" s="2" customFormat="1" ht="15" x14ac:dyDescent="0.3">
      <c r="B108" s="2" t="s">
        <v>20</v>
      </c>
    </row>
  </sheetData>
  <conditionalFormatting sqref="B2">
    <cfRule type="cellIs" dxfId="20" priority="1" operator="notEqual">
      <formula>"No Errors Found"</formula>
    </cfRule>
  </conditionalFormatting>
  <dataValidations count="5">
    <dataValidation type="list" allowBlank="1" showInputMessage="1" showErrorMessage="1" sqref="F55:F63 F93:F101 F74:F82 F34:F42" xr:uid="{00000000-0002-0000-0C00-000000000000}">
      <formula1>LU_Tariff_Classes</formula1>
    </dataValidation>
    <dataValidation type="list" allowBlank="1" showInputMessage="1" showErrorMessage="1" sqref="J67:J68 J28 J74:J82 J55:J63 J86:J87 J105:J106 J22 J93:J101 J46:J47 J34:J42" xr:uid="{00000000-0002-0000-0C00-000001000000}">
      <formula1>LU_Basis</formula1>
    </dataValidation>
    <dataValidation type="list" allowBlank="1" showInputMessage="1" showErrorMessage="1" sqref="I67:I68 I28 I74:I82 I55:I63 I86:I87 I105:I106 I22 I93:I101 I46:I47 I34:I42" xr:uid="{00000000-0002-0000-0C00-000002000000}">
      <formula1>LU_Units</formula1>
    </dataValidation>
    <dataValidation type="list" allowBlank="1" showInputMessage="1" showErrorMessage="1" sqref="K105:K106 K67:K68 K86:K87 K46:K47 K28" xr:uid="{00000000-0002-0000-0C00-000003000000}">
      <formula1>LU_Timing</formula1>
    </dataValidation>
    <dataValidation type="list" allowBlank="1" showInputMessage="1" showErrorMessage="1" sqref="D55:D63 D93:D101 D74:D82 D34:D42" xr:uid="{00000000-0002-0000-0C00-000004000000}">
      <formula1>LU_Tariffs</formula1>
    </dataValidation>
  </dataValidations>
  <hyperlinks>
    <hyperlink ref="B3:E3" location="TOC!A1" display="TOC!A1"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sheetPr>
  <dimension ref="A1:V209"/>
  <sheetViews>
    <sheetView showGridLines="0" zoomScaleNormal="100" workbookViewId="0">
      <pane xSplit="4" ySplit="9" topLeftCell="E10" activePane="bottomRight" state="frozen"/>
      <selection activeCell="E106" sqref="E106"/>
      <selection pane="topRight" activeCell="E106" sqref="E106"/>
      <selection pane="bottomLeft" activeCell="E106" sqref="E106"/>
      <selection pane="bottomRight"/>
    </sheetView>
  </sheetViews>
  <sheetFormatPr defaultColWidth="9.33203125" defaultRowHeight="10.15" outlineLevelRow="1" x14ac:dyDescent="0.3"/>
  <cols>
    <col min="1" max="1" width="3.33203125" customWidth="1"/>
    <col min="2" max="3" width="2.83203125" customWidth="1"/>
    <col min="4" max="4" width="52.33203125" customWidth="1"/>
    <col min="5" max="7" width="3.6640625" customWidth="1"/>
    <col min="8" max="8" width="12.33203125" bestFit="1" customWidth="1"/>
    <col min="9" max="9" width="10.83203125" customWidth="1"/>
    <col min="10" max="10" width="12.83203125" customWidth="1"/>
    <col min="11" max="12" width="3.5" customWidth="1"/>
    <col min="13" max="19" width="12.83203125" customWidth="1"/>
    <col min="20" max="20" width="4.33203125" customWidth="1"/>
    <col min="21" max="24" width="10.83203125" customWidth="1"/>
  </cols>
  <sheetData>
    <row r="1" spans="1:22" ht="18.75" x14ac:dyDescent="0.3">
      <c r="A1" s="59">
        <f ca="1">IF(SUM($A10:$A209)&gt;0,1,0)</f>
        <v>0</v>
      </c>
      <c r="B1" s="3" t="s">
        <v>752</v>
      </c>
    </row>
    <row r="2" spans="1:22" x14ac:dyDescent="0.3">
      <c r="B2" s="13" t="str">
        <f ca="1">Title_Msg</f>
        <v>No Errors Found</v>
      </c>
    </row>
    <row r="3" spans="1:22" x14ac:dyDescent="0.3">
      <c r="B3" s="46" t="str">
        <f>TOC!B1</f>
        <v>Table of contents</v>
      </c>
      <c r="C3" s="42"/>
      <c r="D3" s="42"/>
      <c r="E3" s="42"/>
    </row>
    <row r="4" spans="1:22" ht="13.15" x14ac:dyDescent="0.3">
      <c r="B4" s="40" t="str">
        <f>Model_Name</f>
        <v>Pricing Model - Power and Water Corporation</v>
      </c>
    </row>
    <row r="5" spans="1:22" ht="12.75" hidden="1" outlineLevel="1" x14ac:dyDescent="0.3">
      <c r="B5" s="10"/>
      <c r="J5" s="51"/>
      <c r="K5" s="51"/>
      <c r="L5" s="51"/>
      <c r="M5" s="51"/>
      <c r="N5" s="51"/>
      <c r="O5" s="51"/>
      <c r="P5" s="51"/>
      <c r="Q5" s="51"/>
      <c r="R5" s="51"/>
      <c r="S5" s="51"/>
    </row>
    <row r="6" spans="1:22" ht="12.75" hidden="1" outlineLevel="1" x14ac:dyDescent="0.3">
      <c r="B6" s="10"/>
      <c r="J6" s="51"/>
      <c r="K6" s="51"/>
      <c r="L6" s="51"/>
      <c r="M6" s="51"/>
      <c r="N6" s="51"/>
      <c r="O6" s="51"/>
      <c r="P6" s="51"/>
      <c r="Q6" s="51"/>
      <c r="R6" s="51"/>
      <c r="S6" s="51"/>
    </row>
    <row r="7" spans="1:22" ht="12.75" hidden="1" outlineLevel="1" x14ac:dyDescent="0.3">
      <c r="B7" s="10"/>
      <c r="J7" s="52"/>
      <c r="K7" s="52"/>
      <c r="L7" s="52"/>
      <c r="M7" s="52"/>
      <c r="N7" s="52"/>
      <c r="O7" s="52"/>
      <c r="P7" s="52"/>
      <c r="Q7" s="52"/>
      <c r="R7" s="52"/>
      <c r="S7" s="52"/>
    </row>
    <row r="8" spans="1:22" ht="12.75" hidden="1" outlineLevel="1" x14ac:dyDescent="0.3">
      <c r="B8" s="10"/>
      <c r="J8" s="53"/>
      <c r="K8" s="53"/>
      <c r="L8" s="53"/>
      <c r="M8" s="53"/>
      <c r="N8" s="53"/>
      <c r="O8" s="53"/>
      <c r="P8" s="53"/>
      <c r="Q8" s="53"/>
      <c r="R8" s="53"/>
      <c r="S8" s="53"/>
    </row>
    <row r="9" spans="1:22" ht="13.15" collapsed="1" x14ac:dyDescent="0.3">
      <c r="B9" s="5" t="str">
        <f>Lookup!B19</f>
        <v>FY</v>
      </c>
      <c r="D9" s="50"/>
      <c r="E9" s="50"/>
      <c r="F9" s="50"/>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U9" s="60"/>
      <c r="V9" s="60"/>
    </row>
    <row r="11" spans="1:22" s="2" customFormat="1" ht="15" x14ac:dyDescent="0.3">
      <c r="B11" s="2" t="s">
        <v>753</v>
      </c>
    </row>
    <row r="12" spans="1:22" ht="11.25" customHeight="1" x14ac:dyDescent="0.3"/>
    <row r="13" spans="1:22" x14ac:dyDescent="0.3">
      <c r="D13" s="105" t="s">
        <v>187</v>
      </c>
    </row>
    <row r="14" spans="1:22" x14ac:dyDescent="0.3">
      <c r="D14" s="105" t="s">
        <v>191</v>
      </c>
    </row>
    <row r="15" spans="1:22" x14ac:dyDescent="0.3">
      <c r="D15" s="105" t="s">
        <v>184</v>
      </c>
    </row>
    <row r="16" spans="1:22" x14ac:dyDescent="0.3">
      <c r="D16" s="105" t="s">
        <v>185</v>
      </c>
    </row>
    <row r="17" spans="2:9" x14ac:dyDescent="0.3">
      <c r="D17" s="105" t="s">
        <v>186</v>
      </c>
    </row>
    <row r="18" spans="2:9" ht="11.25" customHeight="1" x14ac:dyDescent="0.3"/>
    <row r="19" spans="2:9" ht="11.25" customHeight="1" x14ac:dyDescent="0.3">
      <c r="D19" s="105" t="s">
        <v>754</v>
      </c>
      <c r="H19" s="106" t="s">
        <v>281</v>
      </c>
      <c r="I19" s="107" t="str">
        <f>"Note: years prior to "&amp;H19&amp;" are ignored from the checks"</f>
        <v>Note: years prior to FY25 are ignored from the checks</v>
      </c>
    </row>
    <row r="20" spans="2:9" ht="11.25" customHeight="1" x14ac:dyDescent="0.3"/>
    <row r="21" spans="2:9" x14ac:dyDescent="0.3">
      <c r="D21" s="128" t="s">
        <v>128</v>
      </c>
    </row>
    <row r="22" spans="2:9" x14ac:dyDescent="0.3">
      <c r="D22" s="127" t="s">
        <v>190</v>
      </c>
      <c r="H22" s="129" t="str">
        <f>INDEX($O$62:$S$62,MATCH($H$19,$O$9:$S$9,0))</f>
        <v>Pass</v>
      </c>
    </row>
    <row r="23" spans="2:9" x14ac:dyDescent="0.3">
      <c r="D23" s="127" t="s">
        <v>181</v>
      </c>
      <c r="H23" s="129" t="str">
        <f>INDEX($O$106:$S$106,MATCH($H$19,$O$9:$S$9,0))</f>
        <v>Pass</v>
      </c>
    </row>
    <row r="24" spans="2:9" x14ac:dyDescent="0.3">
      <c r="D24" s="127" t="s">
        <v>182</v>
      </c>
      <c r="H24" s="129" t="str">
        <f>IF(H19=O9,"NA",INDEX($O$157:$S$157,MATCH($H$19,$O$9:$S$9,0)))</f>
        <v>NA</v>
      </c>
      <c r="I24" s="107" t="str">
        <f>IF(H24="NA","Note: The side constraint only applies from year 2 of the regulatory period","")</f>
        <v>Note: The side constraint only applies from year 2 of the regulatory period</v>
      </c>
    </row>
    <row r="25" spans="2:9" x14ac:dyDescent="0.3">
      <c r="D25" s="127" t="s">
        <v>183</v>
      </c>
      <c r="H25" s="129" t="str">
        <f ca="1">INDEX($O$206:$S$206,MATCH($H$19,$O$9:$S$9,0))</f>
        <v>Pass</v>
      </c>
    </row>
    <row r="26" spans="2:9" ht="11.25" customHeight="1" x14ac:dyDescent="0.3"/>
    <row r="27" spans="2:9" ht="11.25" customHeight="1" x14ac:dyDescent="0.3"/>
    <row r="28" spans="2:9" s="2" customFormat="1" ht="15" x14ac:dyDescent="0.3">
      <c r="B28" s="2" t="s">
        <v>755</v>
      </c>
    </row>
    <row r="29" spans="2:9" ht="11.25" customHeight="1" x14ac:dyDescent="0.3"/>
    <row r="30" spans="2:9" ht="11.25" customHeight="1" x14ac:dyDescent="0.3"/>
    <row r="31" spans="2:9" s="8" customFormat="1" ht="13.9" x14ac:dyDescent="0.3">
      <c r="C31" s="8" t="s">
        <v>756</v>
      </c>
    </row>
    <row r="32" spans="2:9" ht="11.25" customHeight="1" x14ac:dyDescent="0.3"/>
    <row r="33" spans="3:20" ht="11.25" customHeight="1" x14ac:dyDescent="0.3">
      <c r="D33" s="70" t="s">
        <v>95</v>
      </c>
      <c r="H33" s="54" t="str">
        <f>Lookup!E$19</f>
        <v>Source</v>
      </c>
      <c r="I33" s="54" t="str">
        <f>Lookup!F$19</f>
        <v>Unit</v>
      </c>
      <c r="J33" s="54" t="str">
        <f>Lookup!G$19</f>
        <v>Basis</v>
      </c>
      <c r="O33" s="54" t="str">
        <f>O$9</f>
        <v>FY25</v>
      </c>
      <c r="P33" s="54" t="str">
        <f>P$9</f>
        <v>FY26</v>
      </c>
      <c r="Q33" s="54" t="str">
        <f>Q$9</f>
        <v>FY27</v>
      </c>
      <c r="R33" s="54" t="str">
        <f>R$9</f>
        <v>FY28</v>
      </c>
      <c r="S33" s="54" t="str">
        <f>S$9</f>
        <v>FY29</v>
      </c>
    </row>
    <row r="35" spans="3:20" ht="12.75" x14ac:dyDescent="0.3">
      <c r="D35" s="7" t="s">
        <v>150</v>
      </c>
      <c r="H35" s="259" t="s">
        <v>52</v>
      </c>
      <c r="I35" s="259" t="s">
        <v>43</v>
      </c>
      <c r="J35" s="259" t="s">
        <v>40</v>
      </c>
      <c r="O35" s="126">
        <f>Inputs_Other!O32</f>
        <v>2.9196400498682218E-2</v>
      </c>
      <c r="P35" s="126">
        <f>Inputs_Other!P32</f>
        <v>2.9196400498682218E-2</v>
      </c>
      <c r="Q35" s="126">
        <f>Inputs_Other!Q32</f>
        <v>2.9196400498682218E-2</v>
      </c>
      <c r="R35" s="126">
        <f>Inputs_Other!R32</f>
        <v>2.9196400498682218E-2</v>
      </c>
      <c r="S35" s="126">
        <f>Inputs_Other!S32</f>
        <v>2.9196400498682218E-2</v>
      </c>
      <c r="T35" s="107" t="s">
        <v>219</v>
      </c>
    </row>
    <row r="36" spans="3:20" ht="12.75" x14ac:dyDescent="0.3">
      <c r="D36" s="7" t="s">
        <v>153</v>
      </c>
      <c r="H36" s="259" t="s">
        <v>52</v>
      </c>
      <c r="I36" s="259" t="s">
        <v>43</v>
      </c>
      <c r="J36" s="259" t="s">
        <v>21</v>
      </c>
      <c r="O36" s="126">
        <f>Inputs_Other!O53</f>
        <v>-8.4497832519404611E-2</v>
      </c>
      <c r="P36" s="126">
        <f>Inputs_Other!P53</f>
        <v>-8.4497832519404611E-2</v>
      </c>
      <c r="Q36" s="126">
        <f>Inputs_Other!Q53</f>
        <v>-8.4497832519404611E-2</v>
      </c>
      <c r="R36" s="126">
        <f>Inputs_Other!R53</f>
        <v>-8.4497832519404611E-2</v>
      </c>
      <c r="S36" s="126">
        <f>Inputs_Other!S53</f>
        <v>-1.171729988421899E-2</v>
      </c>
      <c r="T36" s="107" t="s">
        <v>159</v>
      </c>
    </row>
    <row r="37" spans="3:20" ht="12.75" x14ac:dyDescent="0.3">
      <c r="D37" s="7" t="s">
        <v>155</v>
      </c>
      <c r="H37" s="80"/>
      <c r="I37" s="84"/>
      <c r="J37" s="84"/>
      <c r="O37" s="116"/>
      <c r="P37" s="116"/>
      <c r="Q37" s="116"/>
      <c r="R37" s="116"/>
      <c r="S37" s="116"/>
    </row>
    <row r="38" spans="3:20" ht="12.75" x14ac:dyDescent="0.3">
      <c r="D38" s="19" t="s">
        <v>156</v>
      </c>
      <c r="H38" s="259" t="s">
        <v>52</v>
      </c>
      <c r="I38" s="259" t="s">
        <v>43</v>
      </c>
      <c r="J38" s="259" t="s">
        <v>204</v>
      </c>
      <c r="O38" s="126">
        <f>Inputs_Other!O62</f>
        <v>2.6676350888464519E-2</v>
      </c>
      <c r="P38" s="126">
        <f>Inputs_Other!P62</f>
        <v>2.8254767021382451E-2</v>
      </c>
      <c r="Q38" s="126">
        <f>Inputs_Other!Q62</f>
        <v>2.9833183154300523E-2</v>
      </c>
      <c r="R38" s="126">
        <f>Inputs_Other!R62</f>
        <v>3.1411599287218595E-2</v>
      </c>
      <c r="S38" s="126">
        <f>Inputs_Other!S62</f>
        <v>3.2990015420136798E-2</v>
      </c>
      <c r="T38" s="107" t="s">
        <v>160</v>
      </c>
    </row>
    <row r="39" spans="3:20" ht="12.75" x14ac:dyDescent="0.3">
      <c r="D39" s="19" t="s">
        <v>157</v>
      </c>
      <c r="H39" s="259" t="s">
        <v>52</v>
      </c>
      <c r="I39" s="259" t="s">
        <v>43</v>
      </c>
      <c r="J39" s="259" t="s">
        <v>40</v>
      </c>
      <c r="O39" s="126">
        <f>(1+O38)*(1+O35)-1</f>
        <v>5.6651604811529532E-2</v>
      </c>
      <c r="P39" s="126">
        <f>(1+P38)*(1+P35)-1</f>
        <v>5.827610501401792E-2</v>
      </c>
      <c r="Q39" s="126">
        <f>(1+Q38)*(1+Q35)-1</f>
        <v>5.9900605216506309E-2</v>
      </c>
      <c r="R39" s="126">
        <f>(1+R38)*(1+R35)-1</f>
        <v>6.1525105418994475E-2</v>
      </c>
      <c r="S39" s="126">
        <f>(1+S38)*(1+S35)-1</f>
        <v>6.3149605621483085E-2</v>
      </c>
      <c r="T39" s="107" t="s">
        <v>161</v>
      </c>
    </row>
    <row r="42" spans="3:20" s="8" customFormat="1" ht="13.9" x14ac:dyDescent="0.3">
      <c r="C42" s="8" t="s">
        <v>757</v>
      </c>
    </row>
    <row r="43" spans="3:20" ht="11.25" customHeight="1" x14ac:dyDescent="0.3"/>
    <row r="44" spans="3:20" ht="11.25" customHeight="1" x14ac:dyDescent="0.3">
      <c r="D44" s="70" t="s">
        <v>758</v>
      </c>
      <c r="H44" s="54" t="str">
        <f>Lookup!E$19</f>
        <v>Source</v>
      </c>
      <c r="I44" s="54" t="str">
        <f>Lookup!F$19</f>
        <v>Unit</v>
      </c>
      <c r="J44" s="54" t="str">
        <f>Lookup!G$19</f>
        <v>Basis</v>
      </c>
      <c r="O44" s="54" t="str">
        <f>O$9</f>
        <v>FY25</v>
      </c>
      <c r="P44" s="54" t="str">
        <f>P$9</f>
        <v>FY26</v>
      </c>
      <c r="Q44" s="54" t="str">
        <f>Q$9</f>
        <v>FY27</v>
      </c>
      <c r="R44" s="54" t="str">
        <f>R$9</f>
        <v>FY28</v>
      </c>
      <c r="S44" s="54" t="str">
        <f>S$9</f>
        <v>FY29</v>
      </c>
    </row>
    <row r="46" spans="3:20" ht="12.75" x14ac:dyDescent="0.3">
      <c r="D46" s="7" t="s">
        <v>108</v>
      </c>
      <c r="H46" s="259" t="s">
        <v>52</v>
      </c>
      <c r="I46" s="259" t="s">
        <v>47</v>
      </c>
      <c r="J46" s="259" t="s">
        <v>40</v>
      </c>
      <c r="O46" s="96">
        <f>Inputs_Other!O44</f>
        <v>175968.43825887243</v>
      </c>
      <c r="P46" s="66">
        <f>O46*(1+P35)*(1-P36)</f>
        <v>196409.15474873575</v>
      </c>
      <c r="Q46" s="66">
        <f>P46*(1+Q35)*(1-Q36)</f>
        <v>219224.29073537438</v>
      </c>
      <c r="R46" s="66">
        <f>Q46*(1+R35)*(1-R36)</f>
        <v>244689.66179254584</v>
      </c>
      <c r="S46" s="66">
        <f>R46*(1+S35)*(1-S36)</f>
        <v>254784.53036443866</v>
      </c>
    </row>
    <row r="47" spans="3:20" ht="12.75" x14ac:dyDescent="0.3">
      <c r="D47" s="7" t="s">
        <v>109</v>
      </c>
      <c r="H47" s="259" t="s">
        <v>52</v>
      </c>
      <c r="I47" s="259" t="s">
        <v>47</v>
      </c>
      <c r="J47" s="259" t="s">
        <v>40</v>
      </c>
      <c r="O47" s="66">
        <f>Inputs_Other!O73</f>
        <v>0</v>
      </c>
      <c r="P47" s="66">
        <f>Inputs_Other!P73</f>
        <v>0</v>
      </c>
      <c r="Q47" s="66">
        <f>Inputs_Other!Q73</f>
        <v>0</v>
      </c>
      <c r="R47" s="66">
        <f>Inputs_Other!R73</f>
        <v>0</v>
      </c>
      <c r="S47" s="66">
        <f>Inputs_Other!S73</f>
        <v>0</v>
      </c>
    </row>
    <row r="48" spans="3:20" ht="12.75" x14ac:dyDescent="0.3">
      <c r="D48" s="7" t="s">
        <v>110</v>
      </c>
      <c r="H48" s="259" t="s">
        <v>52</v>
      </c>
      <c r="I48" s="259" t="s">
        <v>47</v>
      </c>
      <c r="J48" s="259" t="s">
        <v>40</v>
      </c>
      <c r="O48" s="66">
        <f>IF(O33&lt;$H$19,Inputs_Other!O74,-O94*(1+O39)^0.5)</f>
        <v>0</v>
      </c>
      <c r="P48" s="66">
        <f>IF(P33&lt;$H$19,Inputs_Other!P74,-P94*(1+P39)^0.5)</f>
        <v>3.0776239668584417E-11</v>
      </c>
      <c r="Q48" s="66">
        <f>IF(Q33&lt;$H$19,Inputs_Other!Q74,-Q94*(1+Q39)^0.5)</f>
        <v>3.2594747461332283E-11</v>
      </c>
      <c r="R48" s="66">
        <f>IF(R33&lt;$H$19,Inputs_Other!R74,-R94*(1+R39)^0.5)</f>
        <v>3.7028594579713703E-12</v>
      </c>
      <c r="S48" s="66">
        <f>IF(S33&lt;$H$19,Inputs_Other!S74,-S94*(1+S39)^0.5)</f>
        <v>-5.7902469716650463E-11</v>
      </c>
      <c r="T48" s="107" t="s">
        <v>236</v>
      </c>
    </row>
    <row r="49" spans="1:19" ht="12.75" x14ac:dyDescent="0.3">
      <c r="D49" s="7" t="s">
        <v>111</v>
      </c>
      <c r="H49" s="259" t="s">
        <v>52</v>
      </c>
      <c r="I49" s="259" t="s">
        <v>47</v>
      </c>
      <c r="J49" s="259" t="s">
        <v>40</v>
      </c>
      <c r="O49" s="66">
        <f>Inputs_Other!O75</f>
        <v>0</v>
      </c>
      <c r="P49" s="66">
        <f>Inputs_Other!P75</f>
        <v>0</v>
      </c>
      <c r="Q49" s="66">
        <f>Inputs_Other!Q75</f>
        <v>0</v>
      </c>
      <c r="R49" s="66">
        <f>Inputs_Other!R75</f>
        <v>0</v>
      </c>
      <c r="S49" s="66">
        <f>Inputs_Other!S75</f>
        <v>0</v>
      </c>
    </row>
    <row r="51" spans="1:19" ht="13.15" x14ac:dyDescent="0.3">
      <c r="D51" s="62" t="s">
        <v>189</v>
      </c>
      <c r="H51" s="56" t="s">
        <v>52</v>
      </c>
      <c r="I51" s="56" t="str">
        <f>Output_Revenue!I$22</f>
        <v>$000's</v>
      </c>
      <c r="J51" s="56" t="str">
        <f>Output_Revenue!J$22</f>
        <v>Nominal</v>
      </c>
      <c r="O51" s="68">
        <f>SUM(O46:O49)</f>
        <v>175968.43825887243</v>
      </c>
      <c r="P51" s="68">
        <f>SUM(P46:P49)</f>
        <v>196409.15474873577</v>
      </c>
      <c r="Q51" s="68">
        <f>SUM(Q46:Q49)</f>
        <v>219224.29073537441</v>
      </c>
      <c r="R51" s="68">
        <f>SUM(R46:R49)</f>
        <v>244689.66179254584</v>
      </c>
      <c r="S51" s="68">
        <f>SUM(S46:S49)</f>
        <v>254784.5303644386</v>
      </c>
    </row>
    <row r="52" spans="1:19" ht="11.25" customHeight="1" x14ac:dyDescent="0.3"/>
    <row r="53" spans="1:19" ht="11.25" customHeight="1" x14ac:dyDescent="0.3"/>
    <row r="54" spans="1:19" ht="12.75" x14ac:dyDescent="0.3">
      <c r="D54" s="7" t="s">
        <v>133</v>
      </c>
      <c r="H54" s="259" t="s">
        <v>52</v>
      </c>
      <c r="I54" s="259" t="s">
        <v>47</v>
      </c>
      <c r="J54" s="259" t="s">
        <v>40</v>
      </c>
      <c r="O54" s="66">
        <f>Output_Revenue!O26</f>
        <v>175968.4382588724</v>
      </c>
      <c r="P54" s="66">
        <f>Output_Revenue!P26</f>
        <v>196409.15474873575</v>
      </c>
      <c r="Q54" s="66">
        <f>Output_Revenue!Q26</f>
        <v>219224.29073537441</v>
      </c>
      <c r="R54" s="66">
        <f>Output_Revenue!R26</f>
        <v>244689.6617925459</v>
      </c>
      <c r="S54" s="66">
        <f>Output_Revenue!S26</f>
        <v>254784.53036443872</v>
      </c>
    </row>
    <row r="55" spans="1:19" ht="11.25" customHeight="1" x14ac:dyDescent="0.3">
      <c r="O55" s="145"/>
      <c r="Q55" s="145"/>
    </row>
    <row r="56" spans="1:19" ht="12.75" hidden="1" outlineLevel="1" x14ac:dyDescent="0.3">
      <c r="A56" s="59">
        <f>IF(SUM($M56:$S56)=0,0,1)</f>
        <v>0</v>
      </c>
      <c r="D56" s="81" t="s">
        <v>55</v>
      </c>
      <c r="E56" s="82"/>
      <c r="F56" s="80"/>
      <c r="G56" s="82"/>
      <c r="H56" s="80"/>
      <c r="I56" s="84"/>
      <c r="J56" s="84"/>
      <c r="K56" s="78"/>
      <c r="O56" s="59">
        <f>IF(ISERROR(O51)=0,1,0)</f>
        <v>0</v>
      </c>
      <c r="P56" s="59">
        <f>IF(ISERROR(P51)=0,1,0)</f>
        <v>0</v>
      </c>
      <c r="Q56" s="59">
        <f>IF(ISERROR(Q51)=0,1,0)</f>
        <v>0</v>
      </c>
      <c r="R56" s="59">
        <f>IF(ISERROR(R51)=0,1,0)</f>
        <v>0</v>
      </c>
      <c r="S56" s="59">
        <f>IF(ISERROR(S51)=0,1,0)</f>
        <v>0</v>
      </c>
    </row>
    <row r="57" spans="1:19" ht="11.25" customHeight="1" collapsed="1" x14ac:dyDescent="0.3"/>
    <row r="58" spans="1:19" s="8" customFormat="1" ht="13.9" x14ac:dyDescent="0.3">
      <c r="C58" s="8" t="s">
        <v>116</v>
      </c>
    </row>
    <row r="59" spans="1:19" ht="11.25" customHeight="1" x14ac:dyDescent="0.3"/>
    <row r="60" spans="1:19" ht="11.25" customHeight="1" x14ac:dyDescent="0.3">
      <c r="D60" s="70" t="s">
        <v>55</v>
      </c>
      <c r="O60" s="54" t="str">
        <f>O$9</f>
        <v>FY25</v>
      </c>
      <c r="P60" s="54" t="str">
        <f>P$9</f>
        <v>FY26</v>
      </c>
      <c r="Q60" s="54" t="str">
        <f>Q$9</f>
        <v>FY27</v>
      </c>
      <c r="R60" s="54" t="str">
        <f>R$9</f>
        <v>FY28</v>
      </c>
      <c r="S60" s="54" t="str">
        <f>S$9</f>
        <v>FY29</v>
      </c>
    </row>
    <row r="61" spans="1:19" ht="11.25" customHeight="1" x14ac:dyDescent="0.3">
      <c r="D61" s="1"/>
    </row>
    <row r="62" spans="1:19" ht="12.75" x14ac:dyDescent="0.3">
      <c r="A62" s="59">
        <f>IF(COUNTIF($M62:$S62,"Fail")=0,0,1)</f>
        <v>0</v>
      </c>
      <c r="D62" s="7" t="s">
        <v>759</v>
      </c>
      <c r="O62" s="80" t="str">
        <f>IF(O$104&gt;=$H$19,IF(O51&gt;=O54,"Pass","Fail"),"")</f>
        <v>Pass</v>
      </c>
      <c r="P62" s="80" t="str">
        <f>IF(P$104&gt;=$H$19,IF(P51&gt;=P54,"Pass","Fail"),"")</f>
        <v>Pass</v>
      </c>
      <c r="Q62" s="80" t="str">
        <f>IF(Q$104&gt;=$H$19,IF(Q51&gt;=Q54,"Pass","Fail"),"")</f>
        <v>Pass</v>
      </c>
      <c r="R62" s="80" t="str">
        <f>IF(R$104&gt;=$H$19,IF(R51&gt;=R54,"Pass","Fail"),"")</f>
        <v>Pass</v>
      </c>
      <c r="S62" s="80" t="str">
        <f>IF(S$104&gt;=$H$19,IF(S51&gt;=S54,"Pass","Fail"),"")</f>
        <v>Pass</v>
      </c>
    </row>
    <row r="63" spans="1:19" ht="11.25" customHeight="1" x14ac:dyDescent="0.3"/>
    <row r="64" spans="1:19" ht="11.25" customHeight="1" x14ac:dyDescent="0.3"/>
    <row r="65" spans="2:20" s="2" customFormat="1" ht="15" x14ac:dyDescent="0.3">
      <c r="B65" s="2" t="s">
        <v>760</v>
      </c>
    </row>
    <row r="66" spans="2:20" ht="11.25" customHeight="1" x14ac:dyDescent="0.3"/>
    <row r="67" spans="2:20" ht="11.25" customHeight="1" x14ac:dyDescent="0.3">
      <c r="D67" s="105" t="s">
        <v>122</v>
      </c>
    </row>
    <row r="68" spans="2:20" ht="11.25" customHeight="1" x14ac:dyDescent="0.3">
      <c r="D68" s="105" t="s">
        <v>125</v>
      </c>
    </row>
    <row r="69" spans="2:20" ht="11.25" customHeight="1" x14ac:dyDescent="0.3"/>
    <row r="70" spans="2:20" ht="11.25" customHeight="1" x14ac:dyDescent="0.3"/>
    <row r="71" spans="2:20" s="8" customFormat="1" ht="13.9" x14ac:dyDescent="0.3">
      <c r="C71" s="8" t="s">
        <v>761</v>
      </c>
    </row>
    <row r="72" spans="2:20" ht="11.25" customHeight="1" x14ac:dyDescent="0.3"/>
    <row r="73" spans="2:20" ht="11.25" customHeight="1" x14ac:dyDescent="0.3">
      <c r="D73" s="70" t="s">
        <v>95</v>
      </c>
      <c r="H73" s="54" t="str">
        <f>Lookup!E$19</f>
        <v>Source</v>
      </c>
      <c r="I73" s="54" t="str">
        <f>Lookup!F$19</f>
        <v>Unit</v>
      </c>
      <c r="J73" s="54" t="str">
        <f>Lookup!G$19</f>
        <v>Basis</v>
      </c>
      <c r="M73" s="54" t="str">
        <f t="shared" ref="M73:S73" si="0">M$9</f>
        <v>FY23</v>
      </c>
      <c r="N73" s="54" t="str">
        <f t="shared" si="0"/>
        <v>FY24</v>
      </c>
      <c r="O73" s="54" t="str">
        <f t="shared" si="0"/>
        <v>FY25</v>
      </c>
      <c r="P73" s="54" t="str">
        <f t="shared" si="0"/>
        <v>FY26</v>
      </c>
      <c r="Q73" s="54" t="str">
        <f t="shared" si="0"/>
        <v>FY27</v>
      </c>
      <c r="R73" s="54" t="str">
        <f t="shared" si="0"/>
        <v>FY28</v>
      </c>
      <c r="S73" s="54" t="str">
        <f t="shared" si="0"/>
        <v>FY29</v>
      </c>
    </row>
    <row r="75" spans="2:20" ht="12.75" x14ac:dyDescent="0.3">
      <c r="D75" s="7" t="s">
        <v>166</v>
      </c>
      <c r="H75" s="259" t="s">
        <v>52</v>
      </c>
      <c r="I75" s="259" t="s">
        <v>47</v>
      </c>
      <c r="J75" s="259" t="s">
        <v>40</v>
      </c>
      <c r="M75" s="66">
        <f>Inputs_Other!M84</f>
        <v>0</v>
      </c>
      <c r="N75" s="96">
        <f>Inputs_Other!N84</f>
        <v>0</v>
      </c>
      <c r="O75" s="97">
        <f>IF(Inputs_Other!O83=No_Input,Output_Revenue!O26,Inputs_Other!O84)</f>
        <v>175968.4382588724</v>
      </c>
      <c r="P75" s="66">
        <f>IF(Inputs_Other!P83=No_Input,Output_Revenue!P26,Inputs_Other!P84)</f>
        <v>196409.15474873575</v>
      </c>
      <c r="Q75" s="66">
        <f>IF(Inputs_Other!Q83=No_Input,Output_Revenue!Q26,Inputs_Other!Q84)</f>
        <v>219224.29073537441</v>
      </c>
      <c r="R75" s="66">
        <f>IF(Inputs_Other!R83=No_Input,Output_Revenue!R26,Inputs_Other!R84)</f>
        <v>244689.6617925459</v>
      </c>
      <c r="S75" s="66">
        <f>IF(Inputs_Other!S83=No_Input,Output_Revenue!S26,Inputs_Other!S84)</f>
        <v>254784.53036443872</v>
      </c>
      <c r="T75" s="107" t="s">
        <v>224</v>
      </c>
    </row>
    <row r="76" spans="2:20" ht="12.75" x14ac:dyDescent="0.3">
      <c r="D76" s="7"/>
      <c r="H76" s="80"/>
      <c r="I76" s="84"/>
      <c r="J76" s="84"/>
      <c r="M76" s="66"/>
      <c r="N76" s="66"/>
      <c r="O76" s="66"/>
      <c r="P76" s="66"/>
      <c r="Q76" s="66"/>
      <c r="R76" s="66"/>
      <c r="S76" s="66"/>
    </row>
    <row r="77" spans="2:20" ht="12.75" x14ac:dyDescent="0.3">
      <c r="D77" s="19" t="s">
        <v>108</v>
      </c>
      <c r="H77" s="259" t="str">
        <f>H75</f>
        <v>Calculated</v>
      </c>
      <c r="I77" s="259" t="str">
        <f>I75</f>
        <v>$000's</v>
      </c>
      <c r="J77" s="259" t="str">
        <f>J75</f>
        <v>Nominal</v>
      </c>
      <c r="M77" s="66">
        <f>Inputs_Other!M85</f>
        <v>0</v>
      </c>
      <c r="N77" s="96">
        <f>Inputs_Other!N85</f>
        <v>0</v>
      </c>
      <c r="O77" s="97">
        <f>O46</f>
        <v>175968.43825887243</v>
      </c>
      <c r="P77" s="66">
        <f>P46</f>
        <v>196409.15474873575</v>
      </c>
      <c r="Q77" s="66">
        <f>Q46</f>
        <v>219224.29073537438</v>
      </c>
      <c r="R77" s="66">
        <f>R46</f>
        <v>244689.66179254584</v>
      </c>
      <c r="S77" s="66">
        <f>S46</f>
        <v>254784.53036443866</v>
      </c>
    </row>
    <row r="78" spans="2:20" ht="12.75" x14ac:dyDescent="0.3">
      <c r="D78" s="19" t="s">
        <v>109</v>
      </c>
      <c r="H78" s="259" t="str">
        <f t="shared" ref="H78:J80" si="1">H77</f>
        <v>Calculated</v>
      </c>
      <c r="I78" s="259" t="str">
        <f t="shared" si="1"/>
        <v>$000's</v>
      </c>
      <c r="J78" s="259" t="str">
        <f t="shared" si="1"/>
        <v>Nominal</v>
      </c>
      <c r="M78" s="66">
        <f>Inputs_Other!M73</f>
        <v>0</v>
      </c>
      <c r="N78" s="66">
        <f>Inputs_Other!N73</f>
        <v>0</v>
      </c>
      <c r="O78" s="66">
        <f>Inputs_Other!O73</f>
        <v>0</v>
      </c>
      <c r="P78" s="66">
        <f>Inputs_Other!P73</f>
        <v>0</v>
      </c>
      <c r="Q78" s="66">
        <f>Inputs_Other!Q73</f>
        <v>0</v>
      </c>
      <c r="R78" s="66">
        <f>Inputs_Other!R73</f>
        <v>0</v>
      </c>
      <c r="S78" s="66">
        <f>Inputs_Other!S73</f>
        <v>0</v>
      </c>
    </row>
    <row r="79" spans="2:20" ht="12.75" x14ac:dyDescent="0.3">
      <c r="D79" s="19" t="s">
        <v>110</v>
      </c>
      <c r="H79" s="259" t="str">
        <f t="shared" si="1"/>
        <v>Calculated</v>
      </c>
      <c r="I79" s="259" t="str">
        <f t="shared" si="1"/>
        <v>$000's</v>
      </c>
      <c r="J79" s="259" t="str">
        <f t="shared" si="1"/>
        <v>Nominal</v>
      </c>
      <c r="M79" s="95"/>
      <c r="N79" s="95"/>
      <c r="O79" s="95"/>
      <c r="P79" s="95"/>
      <c r="Q79" s="95"/>
      <c r="R79" s="95"/>
      <c r="S79" s="95"/>
      <c r="T79" s="107" t="s">
        <v>164</v>
      </c>
    </row>
    <row r="80" spans="2:20" ht="12.75" x14ac:dyDescent="0.3">
      <c r="D80" s="19" t="s">
        <v>111</v>
      </c>
      <c r="H80" s="259" t="str">
        <f t="shared" si="1"/>
        <v>Calculated</v>
      </c>
      <c r="I80" s="259" t="str">
        <f t="shared" si="1"/>
        <v>$000's</v>
      </c>
      <c r="J80" s="259" t="str">
        <f t="shared" si="1"/>
        <v>Nominal</v>
      </c>
      <c r="M80" s="66">
        <f>Inputs_Other!M75</f>
        <v>0</v>
      </c>
      <c r="N80" s="66">
        <f>Inputs_Other!N75</f>
        <v>0</v>
      </c>
      <c r="O80" s="66">
        <f>Inputs_Other!O75</f>
        <v>0</v>
      </c>
      <c r="P80" s="66">
        <f>Inputs_Other!P75</f>
        <v>0</v>
      </c>
      <c r="Q80" s="66">
        <f>Inputs_Other!Q75</f>
        <v>0</v>
      </c>
      <c r="R80" s="66">
        <f>Inputs_Other!R75</f>
        <v>0</v>
      </c>
      <c r="S80" s="66">
        <f>Inputs_Other!S75</f>
        <v>0</v>
      </c>
    </row>
    <row r="81" spans="3:19" ht="12.75" x14ac:dyDescent="0.3">
      <c r="D81" s="7"/>
      <c r="H81" s="86"/>
      <c r="I81" s="86"/>
      <c r="J81" s="86"/>
      <c r="M81" s="66"/>
      <c r="N81" s="66"/>
      <c r="O81" s="66"/>
      <c r="P81" s="66"/>
      <c r="Q81" s="66"/>
      <c r="R81" s="66"/>
      <c r="S81" s="66"/>
    </row>
    <row r="82" spans="3:19" ht="12.75" x14ac:dyDescent="0.3">
      <c r="D82" s="90" t="s">
        <v>762</v>
      </c>
      <c r="E82" s="91"/>
      <c r="F82" s="91"/>
      <c r="G82" s="91"/>
      <c r="H82" s="92" t="s">
        <v>52</v>
      </c>
      <c r="I82" s="92" t="str">
        <f>I$75</f>
        <v>$000's</v>
      </c>
      <c r="J82" s="92" t="str">
        <f>J$75</f>
        <v>Nominal</v>
      </c>
      <c r="K82" s="91"/>
      <c r="L82" s="91"/>
      <c r="M82" s="93">
        <f>SUM(M77:M80)</f>
        <v>0</v>
      </c>
      <c r="N82" s="93">
        <f t="shared" ref="N82:S82" si="2">SUM(N77:N80)</f>
        <v>0</v>
      </c>
      <c r="O82" s="93">
        <f t="shared" si="2"/>
        <v>175968.43825887243</v>
      </c>
      <c r="P82" s="93">
        <f t="shared" si="2"/>
        <v>196409.15474873575</v>
      </c>
      <c r="Q82" s="93">
        <f t="shared" si="2"/>
        <v>219224.29073537438</v>
      </c>
      <c r="R82" s="93">
        <f t="shared" si="2"/>
        <v>244689.66179254584</v>
      </c>
      <c r="S82" s="93">
        <f t="shared" si="2"/>
        <v>254784.53036443866</v>
      </c>
    </row>
    <row r="84" spans="3:19" ht="12.75" x14ac:dyDescent="0.3">
      <c r="D84" s="123" t="s">
        <v>168</v>
      </c>
      <c r="H84" s="259" t="s">
        <v>52</v>
      </c>
      <c r="I84" s="259" t="s">
        <v>47</v>
      </c>
      <c r="J84" s="259" t="s">
        <v>40</v>
      </c>
      <c r="M84" s="66">
        <f>Inputs_Other!M76</f>
        <v>0</v>
      </c>
      <c r="N84" s="66">
        <f>Inputs_Other!N76</f>
        <v>0</v>
      </c>
      <c r="O84" s="66">
        <f>Inputs_Other!O76</f>
        <v>0</v>
      </c>
      <c r="P84" s="66">
        <f>Inputs_Other!P76</f>
        <v>0</v>
      </c>
      <c r="Q84" s="66">
        <f>Inputs_Other!Q76</f>
        <v>0</v>
      </c>
      <c r="R84" s="66">
        <f>Inputs_Other!R76</f>
        <v>0</v>
      </c>
      <c r="S84" s="66">
        <f>Inputs_Other!S76</f>
        <v>0</v>
      </c>
    </row>
    <row r="86" spans="3:19" ht="13.15" x14ac:dyDescent="0.3">
      <c r="D86" s="62" t="s">
        <v>167</v>
      </c>
      <c r="H86" s="56" t="str">
        <f>H75</f>
        <v>Calculated</v>
      </c>
      <c r="I86" s="56" t="str">
        <f>I75</f>
        <v>$000's</v>
      </c>
      <c r="J86" s="56" t="str">
        <f>J75</f>
        <v>Nominal</v>
      </c>
      <c r="M86" s="68">
        <f>M75-M82+M84</f>
        <v>0</v>
      </c>
      <c r="N86" s="68">
        <f t="shared" ref="N86:S86" si="3">N75-N82+N84</f>
        <v>0</v>
      </c>
      <c r="O86" s="68">
        <f t="shared" si="3"/>
        <v>-2.9103830456733704E-11</v>
      </c>
      <c r="P86" s="68">
        <f t="shared" si="3"/>
        <v>0</v>
      </c>
      <c r="Q86" s="68">
        <f t="shared" si="3"/>
        <v>2.9103830456733704E-11</v>
      </c>
      <c r="R86" s="68">
        <f t="shared" si="3"/>
        <v>5.8207660913467407E-11</v>
      </c>
      <c r="S86" s="68">
        <f t="shared" si="3"/>
        <v>5.8207660913467407E-11</v>
      </c>
    </row>
    <row r="89" spans="3:19" s="8" customFormat="1" ht="13.9" x14ac:dyDescent="0.3">
      <c r="C89" s="8" t="s">
        <v>763</v>
      </c>
    </row>
    <row r="90" spans="3:19" ht="4.5" customHeight="1" x14ac:dyDescent="0.3"/>
    <row r="91" spans="3:19" ht="11.25" customHeight="1" x14ac:dyDescent="0.3"/>
    <row r="92" spans="3:19" ht="11.25" customHeight="1" x14ac:dyDescent="0.3">
      <c r="D92" s="70" t="s">
        <v>123</v>
      </c>
      <c r="H92" s="54" t="str">
        <f>Lookup!E$19</f>
        <v>Source</v>
      </c>
      <c r="I92" s="54" t="str">
        <f>Lookup!F$19</f>
        <v>Unit</v>
      </c>
      <c r="J92" s="54" t="str">
        <f>Lookup!G$19</f>
        <v>Basis</v>
      </c>
      <c r="M92" s="54" t="str">
        <f t="shared" ref="M92:S92" si="4">M$9</f>
        <v>FY23</v>
      </c>
      <c r="N92" s="54" t="str">
        <f t="shared" si="4"/>
        <v>FY24</v>
      </c>
      <c r="O92" s="54" t="str">
        <f t="shared" si="4"/>
        <v>FY25</v>
      </c>
      <c r="P92" s="54" t="str">
        <f t="shared" si="4"/>
        <v>FY26</v>
      </c>
      <c r="Q92" s="54" t="str">
        <f t="shared" si="4"/>
        <v>FY27</v>
      </c>
      <c r="R92" s="54" t="str">
        <f t="shared" si="4"/>
        <v>FY28</v>
      </c>
      <c r="S92" s="54" t="str">
        <f t="shared" si="4"/>
        <v>FY29</v>
      </c>
    </row>
    <row r="93" spans="3:19" ht="11.25" customHeight="1" x14ac:dyDescent="0.3"/>
    <row r="94" spans="3:19" ht="12.75" x14ac:dyDescent="0.3">
      <c r="D94" s="7" t="s">
        <v>112</v>
      </c>
      <c r="H94" s="259" t="s">
        <v>52</v>
      </c>
      <c r="I94" s="259" t="s">
        <v>47</v>
      </c>
      <c r="J94" s="259" t="s">
        <v>40</v>
      </c>
      <c r="M94" s="98">
        <f>Inputs_Other!M87</f>
        <v>0</v>
      </c>
      <c r="N94" s="97">
        <f t="shared" ref="N94:S94" si="5">M99</f>
        <v>0</v>
      </c>
      <c r="O94" s="66">
        <f t="shared" si="5"/>
        <v>0</v>
      </c>
      <c r="P94" s="66">
        <f t="shared" si="5"/>
        <v>-2.991686352284437E-11</v>
      </c>
      <c r="Q94" s="66">
        <f t="shared" si="5"/>
        <v>-3.1660301803191693E-11</v>
      </c>
      <c r="R94" s="66">
        <f t="shared" si="5"/>
        <v>-3.5939505214031303E-12</v>
      </c>
      <c r="S94" s="66">
        <f t="shared" si="5"/>
        <v>5.6156482503699118E-11</v>
      </c>
    </row>
    <row r="95" spans="3:19" ht="12.75" x14ac:dyDescent="0.3">
      <c r="D95" s="7" t="s">
        <v>113</v>
      </c>
      <c r="H95" s="259" t="s">
        <v>52</v>
      </c>
      <c r="I95" s="259" t="s">
        <v>47</v>
      </c>
      <c r="J95" s="259" t="s">
        <v>40</v>
      </c>
      <c r="M95" s="66">
        <f>M94*Inputs_Other!M$89</f>
        <v>0</v>
      </c>
      <c r="N95" s="96">
        <f>N94*Inputs_Other!N$89</f>
        <v>0</v>
      </c>
      <c r="O95" s="66">
        <f>O94*O39</f>
        <v>0</v>
      </c>
      <c r="P95" s="66">
        <f>P94*P39</f>
        <v>-1.7434382803473207E-12</v>
      </c>
      <c r="Q95" s="66">
        <f>Q94*Q39</f>
        <v>-1.8964712393484286E-12</v>
      </c>
      <c r="R95" s="66">
        <f>R94*R39</f>
        <v>-2.2111818469997776E-13</v>
      </c>
      <c r="S95" s="66">
        <f>S94*S39</f>
        <v>3.5462597231983143E-12</v>
      </c>
    </row>
    <row r="96" spans="3:19" ht="12.75" x14ac:dyDescent="0.3">
      <c r="D96" s="7" t="s">
        <v>114</v>
      </c>
      <c r="H96" s="259" t="s">
        <v>52</v>
      </c>
      <c r="I96" s="259" t="s">
        <v>47</v>
      </c>
      <c r="J96" s="259" t="s">
        <v>40</v>
      </c>
      <c r="M96" s="66">
        <f>M86</f>
        <v>0</v>
      </c>
      <c r="N96" s="66">
        <f t="shared" ref="N96:S96" si="6">N86</f>
        <v>0</v>
      </c>
      <c r="O96" s="66">
        <f t="shared" si="6"/>
        <v>-2.9103830456733704E-11</v>
      </c>
      <c r="P96" s="66">
        <f t="shared" si="6"/>
        <v>0</v>
      </c>
      <c r="Q96" s="66">
        <f t="shared" si="6"/>
        <v>2.9103830456733704E-11</v>
      </c>
      <c r="R96" s="66">
        <f t="shared" si="6"/>
        <v>5.8207660913467407E-11</v>
      </c>
      <c r="S96" s="66">
        <f t="shared" si="6"/>
        <v>5.8207660913467407E-11</v>
      </c>
    </row>
    <row r="97" spans="1:20" ht="12.75" x14ac:dyDescent="0.3">
      <c r="D97" s="7" t="s">
        <v>115</v>
      </c>
      <c r="H97" s="259" t="s">
        <v>52</v>
      </c>
      <c r="I97" s="259" t="s">
        <v>47</v>
      </c>
      <c r="J97" s="259" t="s">
        <v>40</v>
      </c>
      <c r="M97" s="66">
        <f>M96*(1+Inputs_Other!M$89)^0.5-M96</f>
        <v>0</v>
      </c>
      <c r="N97" s="96">
        <f>N96*(1+Inputs_Other!N$89)^0.5-N96</f>
        <v>0</v>
      </c>
      <c r="O97" s="97">
        <f>O96*(1+O39)^0.5-O96</f>
        <v>-8.1303306611066677E-13</v>
      </c>
      <c r="P97" s="66">
        <f>P96*(1+P39)^0.5-P96</f>
        <v>0</v>
      </c>
      <c r="Q97" s="66">
        <f>Q96*(1+Q39)^0.5-Q96</f>
        <v>8.5899206440328457E-13</v>
      </c>
      <c r="R97" s="66">
        <f>R96*(1+R39)^0.5-R96</f>
        <v>1.7638902963348167E-12</v>
      </c>
      <c r="S97" s="66">
        <f>S96*(1+S39)^0.5-S96</f>
        <v>1.8097613511321236E-12</v>
      </c>
    </row>
    <row r="98" spans="1:20" ht="11.25" customHeight="1" x14ac:dyDescent="0.3"/>
    <row r="99" spans="1:20" ht="13.15" x14ac:dyDescent="0.3">
      <c r="D99" s="62" t="s">
        <v>764</v>
      </c>
      <c r="H99" s="56" t="str">
        <f>H94</f>
        <v>Calculated</v>
      </c>
      <c r="I99" s="56" t="str">
        <f>I94</f>
        <v>$000's</v>
      </c>
      <c r="J99" s="56" t="str">
        <f>J94</f>
        <v>Nominal</v>
      </c>
      <c r="M99" s="68">
        <f>SUM(M94:M97)</f>
        <v>0</v>
      </c>
      <c r="N99" s="68">
        <f t="shared" ref="N99:S99" si="7">SUM(N94:N97)</f>
        <v>0</v>
      </c>
      <c r="O99" s="68">
        <f t="shared" si="7"/>
        <v>-2.991686352284437E-11</v>
      </c>
      <c r="P99" s="68">
        <f t="shared" si="7"/>
        <v>-3.1660301803191693E-11</v>
      </c>
      <c r="Q99" s="68">
        <f t="shared" si="7"/>
        <v>-3.5939505214031303E-12</v>
      </c>
      <c r="R99" s="68">
        <f t="shared" si="7"/>
        <v>5.6156482503699118E-11</v>
      </c>
      <c r="S99" s="68">
        <f t="shared" si="7"/>
        <v>1.1972016449149696E-10</v>
      </c>
    </row>
    <row r="100" spans="1:20" ht="11.25" customHeight="1" x14ac:dyDescent="0.3"/>
    <row r="101" spans="1:20" ht="11.25" customHeight="1" x14ac:dyDescent="0.3"/>
    <row r="102" spans="1:20" s="8" customFormat="1" ht="13.9" x14ac:dyDescent="0.3">
      <c r="C102" s="8" t="s">
        <v>116</v>
      </c>
    </row>
    <row r="103" spans="1:20" ht="11.25" customHeight="1" x14ac:dyDescent="0.3"/>
    <row r="104" spans="1:20" ht="11.25" customHeight="1" x14ac:dyDescent="0.3">
      <c r="D104" s="70" t="s">
        <v>55</v>
      </c>
      <c r="O104" s="54" t="str">
        <f>O$9</f>
        <v>FY25</v>
      </c>
      <c r="P104" s="54" t="str">
        <f>P$9</f>
        <v>FY26</v>
      </c>
      <c r="Q104" s="54" t="str">
        <f>Q$9</f>
        <v>FY27</v>
      </c>
      <c r="R104" s="54" t="str">
        <f>R$9</f>
        <v>FY28</v>
      </c>
      <c r="S104" s="54" t="str">
        <f>S$9</f>
        <v>FY29</v>
      </c>
    </row>
    <row r="105" spans="1:20" ht="11.25" customHeight="1" x14ac:dyDescent="0.3">
      <c r="D105" s="1"/>
    </row>
    <row r="106" spans="1:20" ht="12.75" x14ac:dyDescent="0.3">
      <c r="A106" s="59">
        <f>IF(COUNTIF($M106:$S106,"Fail")=0,0,1)</f>
        <v>0</v>
      </c>
      <c r="D106" s="7" t="s">
        <v>765</v>
      </c>
      <c r="O106" s="80" t="str">
        <f>IF(O$9&gt;=$H$19,IF(ROUND(O99,0)=0,"Pass","Fail"),"")</f>
        <v>Pass</v>
      </c>
      <c r="P106" s="80" t="str">
        <f>IF(P$9&gt;=$H$19,IF(ROUND(P99,0)=0,"Pass","Fail"),"")</f>
        <v>Pass</v>
      </c>
      <c r="Q106" s="80" t="str">
        <f>IF(Q$9&gt;=$H$19,IF(ROUND(Q99,0)=0,"Pass","Fail"),"")</f>
        <v>Pass</v>
      </c>
      <c r="R106" s="80" t="str">
        <f>IF(R$9&gt;=$H$19,IF(ROUND(R99,0)=0,"Pass","Fail"),"")</f>
        <v>Pass</v>
      </c>
      <c r="S106" s="80" t="str">
        <f>IF(S$9&gt;=$H$19,IF(ROUND(S99,0)=0,"Pass","Fail"),"")</f>
        <v>Pass</v>
      </c>
      <c r="T106" s="107" t="s">
        <v>231</v>
      </c>
    </row>
    <row r="107" spans="1:20" ht="11.25" customHeight="1" x14ac:dyDescent="0.3"/>
    <row r="108" spans="1:20" ht="11.25" customHeight="1" x14ac:dyDescent="0.3"/>
    <row r="109" spans="1:20" s="2" customFormat="1" ht="15" x14ac:dyDescent="0.3">
      <c r="B109" s="2" t="s">
        <v>766</v>
      </c>
    </row>
    <row r="110" spans="1:20" ht="4.5" customHeight="1" x14ac:dyDescent="0.3"/>
    <row r="111" spans="1:20" ht="11.25" customHeight="1" x14ac:dyDescent="0.3">
      <c r="D111" s="105" t="s">
        <v>180</v>
      </c>
    </row>
    <row r="112" spans="1:20" ht="11.25" customHeight="1" x14ac:dyDescent="0.3"/>
    <row r="113" spans="3:20" ht="11.25" customHeight="1" x14ac:dyDescent="0.3"/>
    <row r="114" spans="3:20" s="8" customFormat="1" ht="13.9" x14ac:dyDescent="0.3">
      <c r="C114" s="8" t="s">
        <v>170</v>
      </c>
    </row>
    <row r="115" spans="3:20" ht="11.25" customHeight="1" x14ac:dyDescent="0.3"/>
    <row r="116" spans="3:20" ht="11.25" customHeight="1" x14ac:dyDescent="0.3">
      <c r="D116" s="70" t="s">
        <v>767</v>
      </c>
      <c r="H116" s="54" t="str">
        <f>Lookup!E$19</f>
        <v>Source</v>
      </c>
      <c r="I116" s="54" t="str">
        <f>Lookup!F$19</f>
        <v>Unit</v>
      </c>
      <c r="J116" s="54" t="str">
        <f>Lookup!G$19</f>
        <v>Basis</v>
      </c>
      <c r="O116" s="54" t="str">
        <f>O$9</f>
        <v>FY25</v>
      </c>
      <c r="P116" s="54" t="str">
        <f>P$9</f>
        <v>FY26</v>
      </c>
      <c r="Q116" s="54" t="str">
        <f>Q$9</f>
        <v>FY27</v>
      </c>
      <c r="R116" s="54" t="str">
        <f>R$9</f>
        <v>FY28</v>
      </c>
      <c r="S116" s="54" t="str">
        <f>S$9</f>
        <v>FY29</v>
      </c>
    </row>
    <row r="117" spans="3:20" ht="11.25" customHeight="1" x14ac:dyDescent="0.3">
      <c r="D117" s="1"/>
    </row>
    <row r="118" spans="3:20" ht="12.75" x14ac:dyDescent="0.3">
      <c r="D118" s="124" t="s">
        <v>174</v>
      </c>
    </row>
    <row r="119" spans="3:20" ht="12.75" x14ac:dyDescent="0.3">
      <c r="D119" s="125" t="s">
        <v>64</v>
      </c>
      <c r="E119" s="82"/>
      <c r="F119" s="82"/>
      <c r="G119" s="82"/>
      <c r="H119" s="259" t="s">
        <v>130</v>
      </c>
      <c r="I119" s="259" t="s">
        <v>47</v>
      </c>
      <c r="J119" s="259" t="s">
        <v>40</v>
      </c>
      <c r="O119" s="95"/>
      <c r="P119" s="66">
        <f t="shared" ref="P119:S121" si="8">P191</f>
        <v>157127.32379898863</v>
      </c>
      <c r="Q119" s="66">
        <f t="shared" si="8"/>
        <v>175379.4325882995</v>
      </c>
      <c r="R119" s="66">
        <f t="shared" si="8"/>
        <v>195751.72943403668</v>
      </c>
      <c r="S119" s="66">
        <f t="shared" si="8"/>
        <v>203827.62429155101</v>
      </c>
    </row>
    <row r="120" spans="3:20" ht="12.75" x14ac:dyDescent="0.3">
      <c r="D120" s="125" t="s">
        <v>70</v>
      </c>
      <c r="E120" s="82"/>
      <c r="F120" s="82"/>
      <c r="G120" s="82"/>
      <c r="H120" s="259" t="s">
        <v>130</v>
      </c>
      <c r="I120" s="259" t="s">
        <v>47</v>
      </c>
      <c r="J120" s="259" t="s">
        <v>40</v>
      </c>
      <c r="O120" s="95"/>
      <c r="P120" s="66">
        <f t="shared" si="8"/>
        <v>19346.301742750471</v>
      </c>
      <c r="Q120" s="66">
        <f t="shared" si="8"/>
        <v>21703.204782802066</v>
      </c>
      <c r="R120" s="66">
        <f t="shared" si="8"/>
        <v>24346.621348358316</v>
      </c>
      <c r="S120" s="66">
        <f t="shared" si="8"/>
        <v>25478.453036443872</v>
      </c>
    </row>
    <row r="121" spans="3:20" ht="12.75" x14ac:dyDescent="0.3">
      <c r="D121" s="125" t="s">
        <v>69</v>
      </c>
      <c r="E121" s="82"/>
      <c r="F121" s="82"/>
      <c r="G121" s="82"/>
      <c r="H121" s="259" t="s">
        <v>130</v>
      </c>
      <c r="I121" s="259" t="s">
        <v>47</v>
      </c>
      <c r="J121" s="259" t="s">
        <v>40</v>
      </c>
      <c r="O121" s="95"/>
      <c r="P121" s="66">
        <f t="shared" si="8"/>
        <v>19935.529206996678</v>
      </c>
      <c r="Q121" s="66">
        <f t="shared" si="8"/>
        <v>22141.653364272817</v>
      </c>
      <c r="R121" s="66">
        <f t="shared" si="8"/>
        <v>24591.311010150861</v>
      </c>
      <c r="S121" s="66">
        <f t="shared" si="8"/>
        <v>25478.453036443869</v>
      </c>
    </row>
    <row r="122" spans="3:20" ht="11.25" customHeight="1" x14ac:dyDescent="0.3">
      <c r="D122" s="7"/>
    </row>
    <row r="123" spans="3:20" ht="12.75" x14ac:dyDescent="0.3">
      <c r="D123" s="124" t="s">
        <v>173</v>
      </c>
    </row>
    <row r="124" spans="3:20" ht="12.75" x14ac:dyDescent="0.3">
      <c r="D124" s="125" t="s">
        <v>64</v>
      </c>
      <c r="E124" s="82"/>
      <c r="F124" s="82"/>
      <c r="G124" s="82"/>
      <c r="H124" s="259" t="s">
        <v>52</v>
      </c>
      <c r="I124" s="259" t="s">
        <v>47</v>
      </c>
      <c r="J124" s="259" t="s">
        <v>40</v>
      </c>
      <c r="O124" s="95"/>
      <c r="P124" s="66">
        <f t="array" ref="P124">((SUM((Inputs_Prices!$F$20:$F$28=$D124)*(Inputs_Prices!O$20:O$28)*Inputs_Volumes!P$20:P$28)
+SUM((Inputs_Prices!$F$35:$F$49=$D124)*(Inputs_Prices!O$35:O$49)*Inputs_Volumes!P$35:P$49))
+SUM((Inputs_Prices!$F$56:$F$59=$D124)*(Inputs_Prices!O$56:O$59)*Inputs_Volumes!P$56:P$59))*Dollars_to_Thousands</f>
        <v>138887.283993922</v>
      </c>
      <c r="Q124" s="66">
        <f t="array" ref="Q124">((SUM((Inputs_Prices!$F$20:$F$28=$D124)*(Inputs_Prices!P$20:P$28)*Inputs_Volumes!Q$20:Q$28)
+SUM((Inputs_Prices!$F$35:$F$49=$D124)*(Inputs_Prices!P$35:P$49)*Inputs_Volumes!Q$35:Q$49))
+SUM((Inputs_Prices!$F$56:$F$59=$D124)*(Inputs_Prices!P$56:P$59)*Inputs_Volumes!Q$56:Q$59))*Dollars_to_Thousands</f>
        <v>155142.5352311992</v>
      </c>
      <c r="R124" s="66">
        <f t="array" ref="R124">((SUM((Inputs_Prices!$F$20:$F$28=$D124)*(Inputs_Prices!Q$20:Q$28)*Inputs_Volumes!R$20:R$28)
+SUM((Inputs_Prices!$F$35:$F$49=$D124)*(Inputs_Prices!Q$35:Q$49)*Inputs_Volumes!R$35:R$49))
+SUM((Inputs_Prices!$F$56:$F$59=$D124)*(Inputs_Prices!Q$56:Q$59)*Inputs_Volumes!R$56:R$59))*Dollars_to_Thousands</f>
        <v>171670.61111140286</v>
      </c>
      <c r="S124" s="66">
        <f t="array" ref="S124">((SUM((Inputs_Prices!$F$20:$F$28=$D124)*(Inputs_Prices!R$20:R$28)*Inputs_Volumes!S$20:S$28)
+SUM((Inputs_Prices!$F$35:$F$49=$D124)*(Inputs_Prices!R$35:R$49)*Inputs_Volumes!S$35:S$49))
+SUM((Inputs_Prices!$F$56:$F$59=$D124)*(Inputs_Prices!R$56:R$59)*Inputs_Volumes!S$56:S$59))*Dollars_to_Thousands</f>
        <v>189646.67830504471</v>
      </c>
      <c r="T124" s="107" t="s">
        <v>179</v>
      </c>
    </row>
    <row r="125" spans="3:20" ht="12.75" x14ac:dyDescent="0.3">
      <c r="D125" s="125" t="s">
        <v>70</v>
      </c>
      <c r="E125" s="82"/>
      <c r="F125" s="82"/>
      <c r="G125" s="82"/>
      <c r="H125" s="259" t="s">
        <v>52</v>
      </c>
      <c r="I125" s="259" t="s">
        <v>47</v>
      </c>
      <c r="J125" s="259" t="s">
        <v>40</v>
      </c>
      <c r="O125" s="95"/>
      <c r="P125" s="66">
        <f t="array" ref="P125">((SUM((Inputs_Prices!$F$20:$F$28=$D125)*(Inputs_Prices!O$20:O$28)*Inputs_Volumes!P$20:P$28)
+SUM((Inputs_Prices!$F$35:$F$49=$D125)*(Inputs_Prices!O$35:O$49)*Inputs_Volumes!P$35:P$49))
+SUM((Inputs_Prices!$F$56:$F$59=$D125)*(Inputs_Prices!O$56:O$59)*Inputs_Volumes!P$56:P$59))*Dollars_to_Thousands</f>
        <v>17364.147328440791</v>
      </c>
      <c r="Q125" s="66">
        <f t="array" ref="Q125">((SUM((Inputs_Prices!$F$20:$F$28=$D125)*(Inputs_Prices!P$20:P$28)*Inputs_Volumes!Q$20:Q$28)
+SUM((Inputs_Prices!$F$35:$F$49=$D125)*(Inputs_Prices!P$35:P$49)*Inputs_Volumes!Q$35:Q$49))
+SUM((Inputs_Prices!$F$56:$F$59=$D125)*(Inputs_Prices!P$56:P$59)*Inputs_Volumes!Q$56:Q$59))*Dollars_to_Thousands</f>
        <v>19483.656978364685</v>
      </c>
      <c r="R125" s="66">
        <f t="array" ref="R125">((SUM((Inputs_Prices!$F$20:$F$28=$D125)*(Inputs_Prices!Q$20:Q$28)*Inputs_Volumes!R$20:R$28)
+SUM((Inputs_Prices!$F$35:$F$49=$D125)*(Inputs_Prices!Q$35:Q$49)*Inputs_Volumes!R$35:R$49))
+SUM((Inputs_Prices!$F$56:$F$59=$D125)*(Inputs_Prices!Q$56:Q$59)*Inputs_Volumes!R$56:R$59))*Dollars_to_Thousands</f>
        <v>21894.303687512042</v>
      </c>
      <c r="S125" s="66">
        <f t="array" ref="S125">((SUM((Inputs_Prices!$F$20:$F$28=$D125)*(Inputs_Prices!R$20:R$28)*Inputs_Volumes!S$20:S$28)
+SUM((Inputs_Prices!$F$35:$F$49=$D125)*(Inputs_Prices!R$35:R$49)*Inputs_Volumes!S$35:S$49))
+SUM((Inputs_Prices!$F$56:$F$59=$D125)*(Inputs_Prices!R$56:R$59)*Inputs_Volumes!S$56:S$59))*Dollars_to_Thousands</f>
        <v>24499.176482546711</v>
      </c>
      <c r="T125" s="107"/>
    </row>
    <row r="126" spans="3:20" ht="12.75" x14ac:dyDescent="0.3">
      <c r="D126" s="125" t="s">
        <v>69</v>
      </c>
      <c r="E126" s="82"/>
      <c r="F126" s="82"/>
      <c r="G126" s="82"/>
      <c r="H126" s="259" t="s">
        <v>52</v>
      </c>
      <c r="I126" s="259" t="s">
        <v>47</v>
      </c>
      <c r="J126" s="259" t="s">
        <v>40</v>
      </c>
      <c r="O126" s="95"/>
      <c r="P126" s="66">
        <f t="array" ref="P126">((SUM((Inputs_Prices!$F$20:$F$28=$D126)*(Inputs_Prices!O$20:O$28)*Inputs_Volumes!P$20:P$28)
+SUM((Inputs_Prices!$F$35:$F$49=$D126)*(Inputs_Prices!O$35:O$49)*Inputs_Volumes!P$35:P$49))
+SUM((Inputs_Prices!$F$56:$F$59=$D126)*(Inputs_Prices!O$56:O$59)*Inputs_Volumes!P$56:P$59))*Dollars_to_Thousands</f>
        <v>19358.874245902214</v>
      </c>
      <c r="Q126" s="66">
        <f t="array" ref="Q126">((SUM((Inputs_Prices!$F$20:$F$28=$D126)*(Inputs_Prices!P$20:P$28)*Inputs_Volumes!Q$20:Q$28)
+SUM((Inputs_Prices!$F$35:$F$49=$D126)*(Inputs_Prices!P$35:P$49)*Inputs_Volumes!Q$35:Q$49))
+SUM((Inputs_Prices!$F$56:$F$59=$D126)*(Inputs_Prices!P$56:P$59)*Inputs_Volumes!Q$56:Q$59))*Dollars_to_Thousands</f>
        <v>21235.647035764392</v>
      </c>
      <c r="R126" s="66">
        <f t="array" ref="R126">((SUM((Inputs_Prices!$F$20:$F$28=$D126)*(Inputs_Prices!Q$20:Q$28)*Inputs_Volumes!R$20:R$28)
+SUM((Inputs_Prices!$F$35:$F$49=$D126)*(Inputs_Prices!Q$35:Q$49)*Inputs_Volumes!R$35:R$49))
+SUM((Inputs_Prices!$F$56:$F$59=$D126)*(Inputs_Prices!Q$56:Q$59)*Inputs_Volumes!R$56:R$59))*Dollars_to_Thousands</f>
        <v>23633.429778465506</v>
      </c>
      <c r="S126" s="66">
        <f t="array" ref="S126">((SUM((Inputs_Prices!$F$20:$F$28=$D126)*(Inputs_Prices!R$20:R$28)*Inputs_Volumes!S$20:S$28)
+SUM((Inputs_Prices!$F$35:$F$49=$D126)*(Inputs_Prices!R$35:R$49)*Inputs_Volumes!S$35:S$49))
+SUM((Inputs_Prices!$F$56:$F$59=$D126)*(Inputs_Prices!R$56:R$59)*Inputs_Volumes!S$56:S$59))*Dollars_to_Thousands</f>
        <v>26215.429709936067</v>
      </c>
      <c r="T126" s="107"/>
    </row>
    <row r="127" spans="3:20" ht="11.25" customHeight="1" x14ac:dyDescent="0.3">
      <c r="D127" s="7"/>
    </row>
    <row r="128" spans="3:20" ht="12.75" x14ac:dyDescent="0.3">
      <c r="D128" s="124" t="s">
        <v>170</v>
      </c>
    </row>
    <row r="129" spans="3:20" ht="12.75" x14ac:dyDescent="0.3">
      <c r="D129" s="125" t="s">
        <v>64</v>
      </c>
      <c r="E129" s="82"/>
      <c r="F129" s="82"/>
      <c r="G129" s="82"/>
      <c r="H129" s="259" t="s">
        <v>52</v>
      </c>
      <c r="I129" s="259" t="s">
        <v>43</v>
      </c>
      <c r="J129" s="259" t="s">
        <v>21</v>
      </c>
      <c r="O129" s="95"/>
      <c r="P129" s="126">
        <f>P119/P124-1</f>
        <v>0.13132980414437978</v>
      </c>
      <c r="Q129" s="126">
        <f>Q119/Q124-1</f>
        <v>0.13044067719366925</v>
      </c>
      <c r="R129" s="126">
        <f>R119/R124-1</f>
        <v>0.1402751360103609</v>
      </c>
      <c r="S129" s="126">
        <f>S119/S124-1</f>
        <v>7.4775609640240548E-2</v>
      </c>
    </row>
    <row r="130" spans="3:20" ht="12.75" x14ac:dyDescent="0.3">
      <c r="D130" s="125" t="s">
        <v>70</v>
      </c>
      <c r="E130" s="82"/>
      <c r="F130" s="82"/>
      <c r="G130" s="82"/>
      <c r="H130" s="259" t="s">
        <v>52</v>
      </c>
      <c r="I130" s="259" t="s">
        <v>43</v>
      </c>
      <c r="J130" s="259" t="s">
        <v>21</v>
      </c>
      <c r="O130" s="95"/>
      <c r="P130" s="126">
        <f t="shared" ref="P130:S131" si="9">P120/P125-1</f>
        <v>0.11415213064122676</v>
      </c>
      <c r="Q130" s="126">
        <f t="shared" si="9"/>
        <v>0.11391843979300398</v>
      </c>
      <c r="R130" s="126">
        <f t="shared" si="9"/>
        <v>0.11200710905663636</v>
      </c>
      <c r="S130" s="126">
        <f t="shared" si="9"/>
        <v>3.9971815158554413E-2</v>
      </c>
    </row>
    <row r="131" spans="3:20" ht="12.75" x14ac:dyDescent="0.3">
      <c r="D131" s="125" t="s">
        <v>69</v>
      </c>
      <c r="E131" s="82"/>
      <c r="F131" s="82"/>
      <c r="G131" s="82"/>
      <c r="H131" s="259" t="s">
        <v>52</v>
      </c>
      <c r="I131" s="259" t="s">
        <v>43</v>
      </c>
      <c r="J131" s="259" t="s">
        <v>21</v>
      </c>
      <c r="O131" s="95"/>
      <c r="P131" s="126">
        <f t="shared" si="9"/>
        <v>2.9787628855356907E-2</v>
      </c>
      <c r="Q131" s="126">
        <f t="shared" si="9"/>
        <v>4.266440890558032E-2</v>
      </c>
      <c r="R131" s="126">
        <f t="shared" si="9"/>
        <v>4.0530775290100518E-2</v>
      </c>
      <c r="S131" s="126">
        <f t="shared" si="9"/>
        <v>-2.8112324750979467E-2</v>
      </c>
    </row>
    <row r="132" spans="3:20" ht="11.25" customHeight="1" x14ac:dyDescent="0.3"/>
    <row r="133" spans="3:20" ht="11.25" customHeight="1" x14ac:dyDescent="0.3"/>
    <row r="134" spans="3:20" s="8" customFormat="1" ht="13.9" x14ac:dyDescent="0.3">
      <c r="C134" s="8" t="s">
        <v>768</v>
      </c>
    </row>
    <row r="135" spans="3:20" ht="11.25" customHeight="1" x14ac:dyDescent="0.3"/>
    <row r="136" spans="3:20" ht="11.25" customHeight="1" x14ac:dyDescent="0.3">
      <c r="D136" s="70" t="s">
        <v>95</v>
      </c>
      <c r="H136" s="54" t="str">
        <f>Lookup!E$19</f>
        <v>Source</v>
      </c>
      <c r="I136" s="54" t="str">
        <f>Lookup!F$19</f>
        <v>Unit</v>
      </c>
      <c r="J136" s="54" t="str">
        <f>Lookup!G$19</f>
        <v>Basis</v>
      </c>
      <c r="O136" s="54" t="str">
        <f>O$9</f>
        <v>FY25</v>
      </c>
      <c r="P136" s="54" t="str">
        <f>P$9</f>
        <v>FY26</v>
      </c>
      <c r="Q136" s="54" t="str">
        <f>Q$9</f>
        <v>FY27</v>
      </c>
      <c r="R136" s="54" t="str">
        <f>R$9</f>
        <v>FY28</v>
      </c>
      <c r="S136" s="54" t="str">
        <f>S$9</f>
        <v>FY29</v>
      </c>
    </row>
    <row r="137" spans="3:20" ht="11.25" customHeight="1" x14ac:dyDescent="0.3">
      <c r="D137" s="1"/>
    </row>
    <row r="138" spans="3:20" ht="12.75" x14ac:dyDescent="0.3">
      <c r="D138" s="124" t="s">
        <v>172</v>
      </c>
    </row>
    <row r="139" spans="3:20" ht="12.75" x14ac:dyDescent="0.3">
      <c r="D139" s="19" t="s">
        <v>150</v>
      </c>
      <c r="H139" s="259" t="s">
        <v>52</v>
      </c>
      <c r="I139" s="259" t="s">
        <v>43</v>
      </c>
      <c r="J139" s="259" t="s">
        <v>21</v>
      </c>
      <c r="O139" s="95"/>
      <c r="P139" s="126">
        <f>Inputs_Other!P32</f>
        <v>2.9196400498682218E-2</v>
      </c>
      <c r="Q139" s="126">
        <f>Inputs_Other!Q32</f>
        <v>2.9196400498682218E-2</v>
      </c>
      <c r="R139" s="126">
        <f>Inputs_Other!R32</f>
        <v>2.9196400498682218E-2</v>
      </c>
      <c r="S139" s="126">
        <f>Inputs_Other!S32</f>
        <v>2.9196400498682218E-2</v>
      </c>
      <c r="T139" s="107" t="s">
        <v>219</v>
      </c>
    </row>
    <row r="140" spans="3:20" ht="12.75" x14ac:dyDescent="0.3">
      <c r="D140" s="19" t="s">
        <v>153</v>
      </c>
      <c r="H140" s="259" t="s">
        <v>52</v>
      </c>
      <c r="I140" s="259" t="s">
        <v>43</v>
      </c>
      <c r="J140" s="259" t="s">
        <v>21</v>
      </c>
      <c r="O140" s="95"/>
      <c r="P140" s="126">
        <f>Inputs_Other!P53</f>
        <v>-8.4497832519404611E-2</v>
      </c>
      <c r="Q140" s="126">
        <f>Inputs_Other!Q53</f>
        <v>-8.4497832519404611E-2</v>
      </c>
      <c r="R140" s="126">
        <f>Inputs_Other!R53</f>
        <v>-8.4497832519404611E-2</v>
      </c>
      <c r="S140" s="126">
        <f>Inputs_Other!S53</f>
        <v>-1.171729988421899E-2</v>
      </c>
      <c r="T140" s="107" t="s">
        <v>159</v>
      </c>
    </row>
    <row r="141" spans="3:20" ht="12.75" x14ac:dyDescent="0.3">
      <c r="D141" s="19" t="s">
        <v>171</v>
      </c>
      <c r="H141" s="259" t="s">
        <v>52</v>
      </c>
      <c r="I141" s="259" t="s">
        <v>43</v>
      </c>
      <c r="J141" s="259" t="s">
        <v>21</v>
      </c>
      <c r="O141" s="95"/>
      <c r="P141" s="126">
        <f>Inputs_Other!$O$65</f>
        <v>0.02</v>
      </c>
      <c r="Q141" s="126">
        <f>Inputs_Other!$O$65</f>
        <v>0.02</v>
      </c>
      <c r="R141" s="126">
        <f>Inputs_Other!$O$65</f>
        <v>0.02</v>
      </c>
      <c r="S141" s="126">
        <f>Inputs_Other!$O$65</f>
        <v>0.02</v>
      </c>
    </row>
    <row r="142" spans="3:20" ht="12.75" x14ac:dyDescent="0.3">
      <c r="D142" s="19" t="s">
        <v>175</v>
      </c>
      <c r="H142" s="259" t="s">
        <v>52</v>
      </c>
      <c r="I142" s="259" t="s">
        <v>43</v>
      </c>
      <c r="J142" s="259" t="s">
        <v>21</v>
      </c>
      <c r="O142" s="95"/>
      <c r="P142" s="126">
        <f t="shared" ref="P142:S144" si="10">(P47-O47)/SUM(P$124:P$126)</f>
        <v>0</v>
      </c>
      <c r="Q142" s="126">
        <f t="shared" si="10"/>
        <v>0</v>
      </c>
      <c r="R142" s="126">
        <f t="shared" si="10"/>
        <v>0</v>
      </c>
      <c r="S142" s="126">
        <f t="shared" si="10"/>
        <v>0</v>
      </c>
      <c r="T142" s="107" t="s">
        <v>232</v>
      </c>
    </row>
    <row r="143" spans="3:20" ht="12.75" x14ac:dyDescent="0.3">
      <c r="D143" s="19" t="s">
        <v>176</v>
      </c>
      <c r="H143" s="259" t="s">
        <v>52</v>
      </c>
      <c r="I143" s="259" t="s">
        <v>43</v>
      </c>
      <c r="J143" s="259" t="s">
        <v>21</v>
      </c>
      <c r="O143" s="95"/>
      <c r="P143" s="126">
        <f t="shared" si="10"/>
        <v>1.7525303864710131E-16</v>
      </c>
      <c r="Q143" s="126">
        <f t="shared" si="10"/>
        <v>9.2846457469955657E-18</v>
      </c>
      <c r="R143" s="126">
        <f t="shared" si="10"/>
        <v>-1.3302075602637808E-16</v>
      </c>
      <c r="S143" s="126">
        <f t="shared" si="10"/>
        <v>-2.5630304524044736E-16</v>
      </c>
      <c r="T143" s="107" t="s">
        <v>233</v>
      </c>
    </row>
    <row r="144" spans="3:20" ht="12.75" x14ac:dyDescent="0.3">
      <c r="D144" s="19" t="s">
        <v>177</v>
      </c>
      <c r="H144" s="259" t="s">
        <v>52</v>
      </c>
      <c r="I144" s="259" t="s">
        <v>43</v>
      </c>
      <c r="J144" s="259" t="s">
        <v>21</v>
      </c>
      <c r="O144" s="95"/>
      <c r="P144" s="126">
        <f t="shared" si="10"/>
        <v>0</v>
      </c>
      <c r="Q144" s="126">
        <f t="shared" si="10"/>
        <v>0</v>
      </c>
      <c r="R144" s="126">
        <f t="shared" si="10"/>
        <v>0</v>
      </c>
      <c r="S144" s="126">
        <f t="shared" si="10"/>
        <v>0</v>
      </c>
    </row>
    <row r="145" spans="1:21" ht="11.25" customHeight="1" x14ac:dyDescent="0.3">
      <c r="D145" s="1"/>
    </row>
    <row r="146" spans="1:21" ht="12.75" x14ac:dyDescent="0.3">
      <c r="D146" s="7" t="s">
        <v>169</v>
      </c>
      <c r="E146" s="82"/>
      <c r="F146" s="82"/>
      <c r="G146" s="82"/>
      <c r="H146" s="259" t="s">
        <v>52</v>
      </c>
      <c r="I146" s="259" t="s">
        <v>43</v>
      </c>
      <c r="J146" s="259" t="s">
        <v>21</v>
      </c>
      <c r="O146" s="95"/>
      <c r="P146" s="126">
        <f>(1+P139)*(1-P140)*(1+P141)+P142+P143+P144-1</f>
        <v>0.13848449088914605</v>
      </c>
      <c r="Q146" s="126">
        <f>(1+Q139)*(1-Q140)*(1+Q141)+Q142+Q143+Q144-1</f>
        <v>0.13848449088914583</v>
      </c>
      <c r="R146" s="126">
        <f>(1+R139)*(1-R140)*(1+R141)+R142+R143+R144-1</f>
        <v>0.13848449088914561</v>
      </c>
      <c r="S146" s="126">
        <f>(1+S139)*(1-S140)*(1+S141)+S142+S143+S144-1</f>
        <v>6.2080919430345549E-2</v>
      </c>
    </row>
    <row r="147" spans="1:21" ht="11.25" customHeight="1" x14ac:dyDescent="0.3"/>
    <row r="148" spans="1:21" ht="11.25" customHeight="1" x14ac:dyDescent="0.3"/>
    <row r="149" spans="1:21" s="8" customFormat="1" ht="13.9" x14ac:dyDescent="0.3">
      <c r="C149" s="8" t="s">
        <v>116</v>
      </c>
      <c r="O149" s="8" t="s">
        <v>770</v>
      </c>
    </row>
    <row r="150" spans="1:21" ht="11.25" customHeight="1" x14ac:dyDescent="0.3"/>
    <row r="151" spans="1:21" ht="11.25" customHeight="1" x14ac:dyDescent="0.3">
      <c r="D151" s="70" t="s">
        <v>767</v>
      </c>
      <c r="O151" s="54" t="str">
        <f>O$9</f>
        <v>FY25</v>
      </c>
      <c r="P151" s="54" t="str">
        <f>P$9</f>
        <v>FY26</v>
      </c>
      <c r="Q151" s="54" t="str">
        <f>Q$9</f>
        <v>FY27</v>
      </c>
      <c r="R151" s="54" t="str">
        <f>R$9</f>
        <v>FY28</v>
      </c>
      <c r="S151" s="54" t="str">
        <f>S$9</f>
        <v>FY29</v>
      </c>
    </row>
    <row r="152" spans="1:21" ht="11.25" customHeight="1" x14ac:dyDescent="0.3">
      <c r="D152" s="1"/>
    </row>
    <row r="153" spans="1:21" ht="12.75" x14ac:dyDescent="0.3">
      <c r="A153" s="59">
        <f>IF(COUNTIF($M153:$S153,"Fail")=0,0,1)</f>
        <v>0</v>
      </c>
      <c r="D153" s="85" t="s">
        <v>64</v>
      </c>
      <c r="O153" s="95"/>
      <c r="P153" s="80" t="str">
        <f t="shared" ref="P153:S155" si="11">IF($O$9=$H$19,NA,
IF(P$9&gt;$H$19,IF(AND(P129&lt;=P$146),"Pass","Fail"),""))</f>
        <v>N/A</v>
      </c>
      <c r="Q153" s="80" t="str">
        <f t="shared" si="11"/>
        <v>N/A</v>
      </c>
      <c r="R153" s="80" t="str">
        <f t="shared" si="11"/>
        <v>N/A</v>
      </c>
      <c r="S153" s="80" t="str">
        <f t="shared" si="11"/>
        <v>N/A</v>
      </c>
      <c r="U153" s="107" t="s">
        <v>824</v>
      </c>
    </row>
    <row r="154" spans="1:21" ht="12.75" x14ac:dyDescent="0.3">
      <c r="A154" s="59">
        <f>IF(COUNTIF($M154:$S154,"Fail")=0,0,1)</f>
        <v>0</v>
      </c>
      <c r="D154" s="85" t="s">
        <v>70</v>
      </c>
      <c r="O154" s="95"/>
      <c r="P154" s="80" t="str">
        <f t="shared" si="11"/>
        <v>N/A</v>
      </c>
      <c r="Q154" s="80" t="str">
        <f t="shared" si="11"/>
        <v>N/A</v>
      </c>
      <c r="R154" s="80" t="str">
        <f t="shared" si="11"/>
        <v>N/A</v>
      </c>
      <c r="S154" s="80" t="str">
        <f t="shared" si="11"/>
        <v>N/A</v>
      </c>
    </row>
    <row r="155" spans="1:21" ht="12.75" x14ac:dyDescent="0.3">
      <c r="A155" s="59">
        <f>IF(COUNTIF($M155:$S155,"Fail")=0,0,1)</f>
        <v>0</v>
      </c>
      <c r="D155" s="85" t="s">
        <v>69</v>
      </c>
      <c r="O155" s="95"/>
      <c r="P155" s="80" t="str">
        <f t="shared" si="11"/>
        <v>N/A</v>
      </c>
      <c r="Q155" s="80" t="str">
        <f t="shared" si="11"/>
        <v>N/A</v>
      </c>
      <c r="R155" s="80" t="str">
        <f t="shared" si="11"/>
        <v>N/A</v>
      </c>
      <c r="S155" s="80" t="str">
        <f t="shared" si="11"/>
        <v>N/A</v>
      </c>
    </row>
    <row r="156" spans="1:21" ht="11.25" customHeight="1" x14ac:dyDescent="0.3"/>
    <row r="157" spans="1:21" ht="12.75" x14ac:dyDescent="0.3">
      <c r="A157" s="59">
        <f>IF(COUNTIF($M157:$S157,"Fail")=0,0,1)</f>
        <v>0</v>
      </c>
      <c r="D157" s="7" t="s">
        <v>188</v>
      </c>
      <c r="O157" s="95"/>
      <c r="P157" s="80" t="str">
        <f>IF(COUNTIF(P153:P155,"Fail")&gt;0,"Fail","Pass")</f>
        <v>Pass</v>
      </c>
      <c r="Q157" s="80" t="str">
        <f>IF(COUNTIF(Q153:Q155,"Fail")&gt;0,"Fail","Pass")</f>
        <v>Pass</v>
      </c>
      <c r="R157" s="80" t="str">
        <f>IF(COUNTIF(R153:R155,"Fail")&gt;0,"Fail","Pass")</f>
        <v>Pass</v>
      </c>
      <c r="S157" s="80" t="str">
        <f>IF(COUNTIF(S153:S155,"Fail")&gt;0,"Fail","Pass")</f>
        <v>Pass</v>
      </c>
    </row>
    <row r="158" spans="1:21" ht="11.25" customHeight="1" x14ac:dyDescent="0.3"/>
    <row r="159" spans="1:21" ht="11.25" customHeight="1" x14ac:dyDescent="0.3"/>
    <row r="160" spans="1:21" s="2" customFormat="1" ht="15" x14ac:dyDescent="0.3">
      <c r="B160" s="2" t="s">
        <v>769</v>
      </c>
    </row>
    <row r="161" spans="1:19" ht="4.5" customHeight="1" x14ac:dyDescent="0.3"/>
    <row r="162" spans="1:19" ht="11.25" customHeight="1" x14ac:dyDescent="0.3">
      <c r="D162" s="105" t="s">
        <v>124</v>
      </c>
    </row>
    <row r="163" spans="1:19" ht="11.25" customHeight="1" x14ac:dyDescent="0.3"/>
    <row r="164" spans="1:19" ht="11.25" customHeight="1" x14ac:dyDescent="0.3"/>
    <row r="165" spans="1:19" s="8" customFormat="1" ht="13.9" x14ac:dyDescent="0.3">
      <c r="C165" s="8" t="s">
        <v>554</v>
      </c>
    </row>
    <row r="166" spans="1:19" ht="11.25" customHeight="1" x14ac:dyDescent="0.3"/>
    <row r="167" spans="1:19" ht="11.25" customHeight="1" x14ac:dyDescent="0.3">
      <c r="D167" s="70" t="s">
        <v>767</v>
      </c>
      <c r="H167" s="54" t="str">
        <f>Lookup!E$19</f>
        <v>Source</v>
      </c>
      <c r="I167" s="54" t="str">
        <f>Lookup!F$19</f>
        <v>Unit</v>
      </c>
      <c r="J167" s="54" t="str">
        <f>Lookup!G$19</f>
        <v>Basis</v>
      </c>
      <c r="O167" s="54" t="str">
        <f>O$9</f>
        <v>FY25</v>
      </c>
      <c r="P167" s="54" t="str">
        <f>P$9</f>
        <v>FY26</v>
      </c>
      <c r="Q167" s="54" t="str">
        <f>Q$9</f>
        <v>FY27</v>
      </c>
      <c r="R167" s="54" t="str">
        <f>R$9</f>
        <v>FY28</v>
      </c>
      <c r="S167" s="54" t="str">
        <f>S$9</f>
        <v>FY29</v>
      </c>
    </row>
    <row r="168" spans="1:19" ht="11.25" customHeight="1" x14ac:dyDescent="0.3">
      <c r="D168" s="1"/>
    </row>
    <row r="169" spans="1:19" ht="12.75" x14ac:dyDescent="0.3">
      <c r="D169" s="85" t="s">
        <v>64</v>
      </c>
      <c r="E169" s="82"/>
      <c r="F169" s="82"/>
      <c r="G169" s="82"/>
      <c r="H169" s="259" t="s">
        <v>52</v>
      </c>
      <c r="I169" s="259" t="s">
        <v>47</v>
      </c>
      <c r="J169" s="259" t="s">
        <v>40</v>
      </c>
      <c r="O169" s="66">
        <f>Calc_A_SA_Cost!O27</f>
        <v>562475.63155045942</v>
      </c>
      <c r="P169" s="66">
        <f>Calc_A_SA_Cost!P27</f>
        <v>562418.07106050022</v>
      </c>
      <c r="Q169" s="66">
        <f>Calc_A_SA_Cost!Q27</f>
        <v>562080.99040589284</v>
      </c>
      <c r="R169" s="66">
        <f>Calc_A_SA_Cost!R27</f>
        <v>552868.23254566477</v>
      </c>
      <c r="S169" s="66">
        <f>Calc_A_SA_Cost!S27</f>
        <v>536808.27556118229</v>
      </c>
    </row>
    <row r="170" spans="1:19" ht="12.75" x14ac:dyDescent="0.3">
      <c r="D170" s="85" t="s">
        <v>70</v>
      </c>
      <c r="E170" s="82"/>
      <c r="F170" s="82"/>
      <c r="G170" s="82"/>
      <c r="H170" s="259" t="s">
        <v>52</v>
      </c>
      <c r="I170" s="259" t="s">
        <v>47</v>
      </c>
      <c r="J170" s="259" t="s">
        <v>40</v>
      </c>
      <c r="O170" s="66">
        <f>Calc_A_SA_Cost!O28</f>
        <v>74327.160663166651</v>
      </c>
      <c r="P170" s="66">
        <f>Calc_A_SA_Cost!P28</f>
        <v>76994.466040175321</v>
      </c>
      <c r="Q170" s="66">
        <f>Calc_A_SA_Cost!Q28</f>
        <v>79732.245713510565</v>
      </c>
      <c r="R170" s="66">
        <f>Calc_A_SA_Cost!R28</f>
        <v>82542.037171022093</v>
      </c>
      <c r="S170" s="66">
        <f>Calc_A_SA_Cost!S28</f>
        <v>85425.402866485383</v>
      </c>
    </row>
    <row r="171" spans="1:19" ht="12.75" x14ac:dyDescent="0.3">
      <c r="D171" s="85" t="s">
        <v>69</v>
      </c>
      <c r="E171" s="82"/>
      <c r="F171" s="82"/>
      <c r="G171" s="82"/>
      <c r="H171" s="259" t="s">
        <v>52</v>
      </c>
      <c r="I171" s="259" t="s">
        <v>47</v>
      </c>
      <c r="J171" s="259" t="s">
        <v>40</v>
      </c>
      <c r="O171" s="66">
        <f>Calc_A_SA_Cost!O29</f>
        <v>115751.48022238733</v>
      </c>
      <c r="P171" s="66">
        <f>Calc_A_SA_Cost!P29</f>
        <v>129467.41332239466</v>
      </c>
      <c r="Q171" s="66">
        <f>Calc_A_SA_Cost!Q29</f>
        <v>141539.67777656397</v>
      </c>
      <c r="R171" s="66">
        <f>Calc_A_SA_Cost!R29</f>
        <v>154918.74430651934</v>
      </c>
      <c r="S171" s="66">
        <f>Calc_A_SA_Cost!S29</f>
        <v>169666.6826180408</v>
      </c>
    </row>
    <row r="172" spans="1:19" ht="11.25" customHeight="1" x14ac:dyDescent="0.3"/>
    <row r="173" spans="1:19" ht="12.75" hidden="1" outlineLevel="1" x14ac:dyDescent="0.3">
      <c r="D173" s="81" t="s">
        <v>90</v>
      </c>
      <c r="E173" s="82"/>
      <c r="G173" s="82"/>
      <c r="H173" s="259" t="s">
        <v>52</v>
      </c>
      <c r="I173" s="259" t="s">
        <v>47</v>
      </c>
      <c r="J173" s="259" t="s">
        <v>40</v>
      </c>
      <c r="K173" s="78"/>
      <c r="O173" s="66">
        <f>SUM(Calc_A_SA_Cost!O83:O91)</f>
        <v>752554.27243601345</v>
      </c>
      <c r="P173" s="66">
        <f>SUM(Calc_A_SA_Cost!P83:P91)</f>
        <v>768879.95042307023</v>
      </c>
      <c r="Q173" s="66">
        <f>SUM(Calc_A_SA_Cost!Q83:Q91)</f>
        <v>783352.91389596742</v>
      </c>
      <c r="R173" s="66">
        <f>SUM(Calc_A_SA_Cost!R83:R91)</f>
        <v>790329.0140232062</v>
      </c>
      <c r="S173" s="66">
        <f>SUM(Calc_A_SA_Cost!S83:S91)</f>
        <v>791900.36104570853</v>
      </c>
    </row>
    <row r="174" spans="1:19" ht="12.75" hidden="1" outlineLevel="1" x14ac:dyDescent="0.3">
      <c r="A174" s="59">
        <f>IF(SUM($M174:$S174)=0,0,1)</f>
        <v>0</v>
      </c>
      <c r="D174" s="81" t="s">
        <v>55</v>
      </c>
      <c r="E174" s="82"/>
      <c r="F174" s="80"/>
      <c r="G174" s="82"/>
      <c r="H174" s="80"/>
      <c r="I174" s="84"/>
      <c r="J174" s="84"/>
      <c r="K174" s="78"/>
      <c r="O174" s="59">
        <f>IF(ROUND(O173-SUM(O169:O171),2)=0,0,1)</f>
        <v>0</v>
      </c>
      <c r="P174" s="59">
        <f>IF(ROUND(P173-SUM(P169:P171),2)=0,0,1)</f>
        <v>0</v>
      </c>
      <c r="Q174" s="59">
        <f>IF(ROUND(Q173-SUM(Q169:Q171),2)=0,0,1)</f>
        <v>0</v>
      </c>
      <c r="R174" s="59">
        <f>IF(ROUND(R173-SUM(R169:R171),2)=0,0,1)</f>
        <v>0</v>
      </c>
      <c r="S174" s="59">
        <f>IF(ROUND(S173-SUM(S169:S171),2)=0,0,1)</f>
        <v>0</v>
      </c>
    </row>
    <row r="175" spans="1:19" ht="11.25" customHeight="1" collapsed="1" x14ac:dyDescent="0.3"/>
    <row r="176" spans="1:19" s="8" customFormat="1" ht="13.9" x14ac:dyDescent="0.3">
      <c r="C176" s="8" t="s">
        <v>200</v>
      </c>
    </row>
    <row r="177" spans="1:21" ht="11.25" customHeight="1" x14ac:dyDescent="0.3"/>
    <row r="178" spans="1:21" ht="11.25" customHeight="1" x14ac:dyDescent="0.3">
      <c r="D178" s="70" t="s">
        <v>767</v>
      </c>
      <c r="H178" s="54" t="str">
        <f>Lookup!E$19</f>
        <v>Source</v>
      </c>
      <c r="I178" s="54" t="str">
        <f>Lookup!F$19</f>
        <v>Unit</v>
      </c>
      <c r="J178" s="54" t="str">
        <f>Lookup!G$19</f>
        <v>Basis</v>
      </c>
      <c r="O178" s="54" t="str">
        <f>O$9</f>
        <v>FY25</v>
      </c>
      <c r="P178" s="54" t="str">
        <f>P$9</f>
        <v>FY26</v>
      </c>
      <c r="Q178" s="54" t="str">
        <f>Q$9</f>
        <v>FY27</v>
      </c>
      <c r="R178" s="54" t="str">
        <f>R$9</f>
        <v>FY28</v>
      </c>
      <c r="S178" s="54" t="str">
        <f>S$9</f>
        <v>FY29</v>
      </c>
    </row>
    <row r="179" spans="1:21" ht="11.25" customHeight="1" x14ac:dyDescent="0.3">
      <c r="D179" s="1"/>
    </row>
    <row r="180" spans="1:21" ht="12.75" x14ac:dyDescent="0.3">
      <c r="D180" s="85" t="s">
        <v>64</v>
      </c>
      <c r="E180" s="82"/>
      <c r="F180" s="82"/>
      <c r="G180" s="82"/>
      <c r="H180" s="259" t="s">
        <v>52</v>
      </c>
      <c r="I180" s="259" t="s">
        <v>47</v>
      </c>
      <c r="J180" s="259" t="s">
        <v>40</v>
      </c>
      <c r="O180" s="66">
        <f ca="1">Calc_A_SA_Cost!O39</f>
        <v>52119.670366259787</v>
      </c>
      <c r="P180" s="66">
        <f ca="1">Calc_A_SA_Cost!P39</f>
        <v>54901.416853987961</v>
      </c>
      <c r="Q180" s="66">
        <f ca="1">Calc_A_SA_Cost!Q39</f>
        <v>57455.862463766905</v>
      </c>
      <c r="R180" s="66">
        <f ca="1">Calc_A_SA_Cost!R39</f>
        <v>60162.214912858151</v>
      </c>
      <c r="S180" s="66">
        <f ca="1">Calc_A_SA_Cost!S39</f>
        <v>62750.317825830527</v>
      </c>
    </row>
    <row r="181" spans="1:21" ht="12.75" x14ac:dyDescent="0.3">
      <c r="D181" s="85" t="s">
        <v>70</v>
      </c>
      <c r="E181" s="82"/>
      <c r="F181" s="82"/>
      <c r="G181" s="82"/>
      <c r="H181" s="259" t="s">
        <v>52</v>
      </c>
      <c r="I181" s="259" t="s">
        <v>47</v>
      </c>
      <c r="J181" s="259" t="s">
        <v>40</v>
      </c>
      <c r="O181" s="66">
        <f ca="1">Calc_A_SA_Cost!O40</f>
        <v>7141.9470334601019</v>
      </c>
      <c r="P181" s="66">
        <f ca="1">Calc_A_SA_Cost!P40</f>
        <v>7523.1291463985881</v>
      </c>
      <c r="Q181" s="66">
        <f ca="1">Calc_A_SA_Cost!Q40</f>
        <v>7873.1642697347907</v>
      </c>
      <c r="R181" s="66">
        <f ca="1">Calc_A_SA_Cost!R40</f>
        <v>8244.0151540450097</v>
      </c>
      <c r="S181" s="66">
        <f ca="1">Calc_A_SA_Cost!S40</f>
        <v>8598.6623302780827</v>
      </c>
    </row>
    <row r="182" spans="1:21" ht="12.75" x14ac:dyDescent="0.3">
      <c r="D182" s="85" t="s">
        <v>69</v>
      </c>
      <c r="E182" s="82"/>
      <c r="F182" s="82"/>
      <c r="G182" s="82"/>
      <c r="H182" s="259" t="s">
        <v>52</v>
      </c>
      <c r="I182" s="259" t="s">
        <v>47</v>
      </c>
      <c r="J182" s="259" t="s">
        <v>40</v>
      </c>
      <c r="O182" s="66">
        <f ca="1">Calc_A_SA_Cost!O41</f>
        <v>6155.5767379374793</v>
      </c>
      <c r="P182" s="66">
        <f ca="1">Calc_A_SA_Cost!P41</f>
        <v>6484.1140032418989</v>
      </c>
      <c r="Q182" s="66">
        <f ca="1">Calc_A_SA_Cost!Q41</f>
        <v>6785.8059721930495</v>
      </c>
      <c r="R182" s="66">
        <f ca="1">Calc_A_SA_Cost!R41</f>
        <v>7105.4388490554211</v>
      </c>
      <c r="S182" s="66">
        <f ca="1">Calc_A_SA_Cost!S41</f>
        <v>7411.1059028669179</v>
      </c>
    </row>
    <row r="183" spans="1:21" ht="11.25" customHeight="1" x14ac:dyDescent="0.3"/>
    <row r="184" spans="1:21" ht="12.75" hidden="1" outlineLevel="1" x14ac:dyDescent="0.3">
      <c r="D184" s="81" t="s">
        <v>90</v>
      </c>
      <c r="E184" s="82"/>
      <c r="G184" s="82"/>
      <c r="H184" s="259" t="s">
        <v>52</v>
      </c>
      <c r="I184" s="259" t="s">
        <v>47</v>
      </c>
      <c r="J184" s="259" t="s">
        <v>40</v>
      </c>
      <c r="K184" s="78"/>
      <c r="O184" s="66">
        <f ca="1">SUM(Calc_A_SA_Cost!O100:O108)</f>
        <v>65417.194137657367</v>
      </c>
      <c r="P184" s="66">
        <f ca="1">SUM(Calc_A_SA_Cost!P100:P108)</f>
        <v>68908.660003628451</v>
      </c>
      <c r="Q184" s="66">
        <f ca="1">SUM(Calc_A_SA_Cost!Q100:Q108)</f>
        <v>72114.832705694746</v>
      </c>
      <c r="R184" s="66">
        <f ca="1">SUM(Calc_A_SA_Cost!R100:R108)</f>
        <v>75511.668915958595</v>
      </c>
      <c r="S184" s="66">
        <f ca="1">SUM(Calc_A_SA_Cost!S100:S108)</f>
        <v>78760.086058975518</v>
      </c>
    </row>
    <row r="185" spans="1:21" ht="12.75" hidden="1" outlineLevel="1" x14ac:dyDescent="0.3">
      <c r="A185" s="59">
        <f ca="1">IF(SUM($M185:$S185)=0,0,1)</f>
        <v>0</v>
      </c>
      <c r="D185" s="81" t="s">
        <v>55</v>
      </c>
      <c r="E185" s="82"/>
      <c r="F185" s="80"/>
      <c r="G185" s="82"/>
      <c r="H185" s="80"/>
      <c r="I185" s="84"/>
      <c r="J185" s="84"/>
      <c r="K185" s="78"/>
      <c r="O185" s="59">
        <f ca="1">IF(ROUND(O184-SUM(O180:O182),2)=0,0,1)</f>
        <v>0</v>
      </c>
      <c r="P185" s="59">
        <f ca="1">IF(ROUND(P184-SUM(P180:P182),2)=0,0,1)</f>
        <v>0</v>
      </c>
      <c r="Q185" s="59">
        <f ca="1">IF(ROUND(Q184-SUM(Q180:Q182),2)=0,0,1)</f>
        <v>0</v>
      </c>
      <c r="R185" s="59">
        <f ca="1">IF(ROUND(R184-SUM(R180:R182),2)=0,0,1)</f>
        <v>0</v>
      </c>
      <c r="S185" s="59">
        <f ca="1">IF(ROUND(S184-SUM(S180:S182),2)=0,0,1)</f>
        <v>0</v>
      </c>
    </row>
    <row r="186" spans="1:21" ht="11.25" customHeight="1" collapsed="1" x14ac:dyDescent="0.3"/>
    <row r="187" spans="1:21" s="8" customFormat="1" ht="13.9" x14ac:dyDescent="0.3">
      <c r="C187" s="8" t="s">
        <v>103</v>
      </c>
    </row>
    <row r="188" spans="1:21" ht="11.25" customHeight="1" x14ac:dyDescent="0.3"/>
    <row r="189" spans="1:21" ht="11.25" customHeight="1" x14ac:dyDescent="0.3">
      <c r="D189" s="70" t="s">
        <v>62</v>
      </c>
      <c r="H189" s="54" t="str">
        <f>Lookup!E$19</f>
        <v>Source</v>
      </c>
      <c r="I189" s="54" t="str">
        <f>Lookup!F$19</f>
        <v>Unit</v>
      </c>
      <c r="J189" s="54" t="str">
        <f>Lookup!G$19</f>
        <v>Basis</v>
      </c>
      <c r="O189" s="54" t="str">
        <f>O$9</f>
        <v>FY25</v>
      </c>
      <c r="P189" s="54" t="str">
        <f>P$9</f>
        <v>FY26</v>
      </c>
      <c r="Q189" s="54" t="str">
        <f>Q$9</f>
        <v>FY27</v>
      </c>
      <c r="R189" s="54" t="str">
        <f>R$9</f>
        <v>FY28</v>
      </c>
      <c r="S189" s="54" t="str">
        <f>S$9</f>
        <v>FY29</v>
      </c>
    </row>
    <row r="190" spans="1:21" ht="11.25" customHeight="1" x14ac:dyDescent="0.3">
      <c r="D190" s="1"/>
    </row>
    <row r="191" spans="1:21" ht="12.75" x14ac:dyDescent="0.3">
      <c r="D191" s="85" t="s">
        <v>64</v>
      </c>
      <c r="E191" s="82"/>
      <c r="F191" s="82"/>
      <c r="G191" s="82"/>
      <c r="H191" s="259" t="s">
        <v>52</v>
      </c>
      <c r="I191" s="259" t="s">
        <v>47</v>
      </c>
      <c r="J191" s="259" t="s">
        <v>40</v>
      </c>
      <c r="O191" s="66">
        <f>SUMIF(Output_Revenue!$F$34:$F$42,$D191,Output_Revenue!O$34:O$42)</f>
        <v>140774.75060709793</v>
      </c>
      <c r="P191" s="66">
        <f>SUMIF(Output_Revenue!$F$34:$F$42,$D191,Output_Revenue!P$34:P$42)</f>
        <v>157127.32379898863</v>
      </c>
      <c r="Q191" s="66">
        <f>SUMIF(Output_Revenue!$F$34:$F$42,$D191,Output_Revenue!Q$34:Q$42)</f>
        <v>175379.4325882995</v>
      </c>
      <c r="R191" s="66">
        <f>SUMIF(Output_Revenue!$F$34:$F$42,$D191,Output_Revenue!R$34:R$42)</f>
        <v>195751.72943403668</v>
      </c>
      <c r="S191" s="66">
        <f>SUMIF(Output_Revenue!$F$34:$F$42,$D191,Output_Revenue!S$34:S$42)</f>
        <v>203827.62429155101</v>
      </c>
      <c r="U191" s="149"/>
    </row>
    <row r="192" spans="1:21" ht="12.75" x14ac:dyDescent="0.3">
      <c r="D192" s="85" t="s">
        <v>70</v>
      </c>
      <c r="E192" s="82"/>
      <c r="F192" s="82"/>
      <c r="G192" s="82"/>
      <c r="H192" s="259" t="s">
        <v>52</v>
      </c>
      <c r="I192" s="259" t="s">
        <v>47</v>
      </c>
      <c r="J192" s="259" t="s">
        <v>40</v>
      </c>
      <c r="O192" s="66">
        <f>SUMIF(Output_Revenue!$F$34:$F$42,$D192,Output_Revenue!O$34:O$42)</f>
        <v>17244.906949369499</v>
      </c>
      <c r="P192" s="66">
        <f>SUMIF(Output_Revenue!$F$34:$F$42,$D192,Output_Revenue!P$34:P$42)</f>
        <v>19346.301742750471</v>
      </c>
      <c r="Q192" s="66">
        <f>SUMIF(Output_Revenue!$F$34:$F$42,$D192,Output_Revenue!Q$34:Q$42)</f>
        <v>21703.204782802066</v>
      </c>
      <c r="R192" s="66">
        <f>SUMIF(Output_Revenue!$F$34:$F$42,$D192,Output_Revenue!R$34:R$42)</f>
        <v>24346.621348358316</v>
      </c>
      <c r="S192" s="66">
        <f>SUMIF(Output_Revenue!$F$34:$F$42,$D192,Output_Revenue!S$34:S$42)</f>
        <v>25478.453036443872</v>
      </c>
      <c r="U192" s="149"/>
    </row>
    <row r="193" spans="1:21" ht="12.75" x14ac:dyDescent="0.3">
      <c r="D193" s="85" t="s">
        <v>69</v>
      </c>
      <c r="E193" s="82"/>
      <c r="F193" s="82"/>
      <c r="G193" s="82"/>
      <c r="H193" s="259" t="s">
        <v>52</v>
      </c>
      <c r="I193" s="259" t="s">
        <v>47</v>
      </c>
      <c r="J193" s="259" t="s">
        <v>40</v>
      </c>
      <c r="O193" s="66">
        <f>SUMIF(Output_Revenue!$F$34:$F$42,$D193,Output_Revenue!O$34:O$42)</f>
        <v>17948.780702404991</v>
      </c>
      <c r="P193" s="66">
        <f>SUMIF(Output_Revenue!$F$34:$F$42,$D193,Output_Revenue!P$34:P$42)</f>
        <v>19935.529206996678</v>
      </c>
      <c r="Q193" s="66">
        <f>SUMIF(Output_Revenue!$F$34:$F$42,$D193,Output_Revenue!Q$34:Q$42)</f>
        <v>22141.653364272817</v>
      </c>
      <c r="R193" s="66">
        <f>SUMIF(Output_Revenue!$F$34:$F$42,$D193,Output_Revenue!R$34:R$42)</f>
        <v>24591.311010150861</v>
      </c>
      <c r="S193" s="66">
        <f>SUMIF(Output_Revenue!$F$34:$F$42,$D193,Output_Revenue!S$34:S$42)</f>
        <v>25478.453036443869</v>
      </c>
      <c r="U193" s="149"/>
    </row>
    <row r="194" spans="1:21" ht="11.25" customHeight="1" x14ac:dyDescent="0.3"/>
    <row r="195" spans="1:21" ht="12.75" hidden="1" outlineLevel="1" x14ac:dyDescent="0.3">
      <c r="D195" s="81" t="s">
        <v>90</v>
      </c>
      <c r="E195" s="82"/>
      <c r="G195" s="82"/>
      <c r="H195" s="259" t="s">
        <v>52</v>
      </c>
      <c r="I195" s="259" t="s">
        <v>47</v>
      </c>
      <c r="J195" s="259" t="s">
        <v>40</v>
      </c>
      <c r="K195" s="78"/>
      <c r="O195" s="66">
        <f>Output_Revenue!O26</f>
        <v>175968.4382588724</v>
      </c>
      <c r="P195" s="66">
        <f>Output_Revenue!P26</f>
        <v>196409.15474873575</v>
      </c>
      <c r="Q195" s="66">
        <f>Output_Revenue!Q26</f>
        <v>219224.29073537441</v>
      </c>
      <c r="R195" s="66">
        <f>Output_Revenue!R26</f>
        <v>244689.6617925459</v>
      </c>
      <c r="S195" s="66">
        <f>Output_Revenue!S26</f>
        <v>254784.53036443872</v>
      </c>
    </row>
    <row r="196" spans="1:21" ht="12.75" hidden="1" outlineLevel="1" x14ac:dyDescent="0.3">
      <c r="A196" s="59">
        <f>IF(SUM($M196:$S196)=0,0,1)</f>
        <v>0</v>
      </c>
      <c r="D196" s="81" t="s">
        <v>55</v>
      </c>
      <c r="E196" s="82"/>
      <c r="F196" s="80"/>
      <c r="G196" s="82"/>
      <c r="H196" s="80"/>
      <c r="I196" s="84"/>
      <c r="J196" s="84"/>
      <c r="K196" s="78"/>
      <c r="O196" s="59">
        <f>IF(ROUND(O195-SUM(O191:O193),2)=0,0,1)</f>
        <v>0</v>
      </c>
      <c r="P196" s="59">
        <f>IF(ROUND(P195-SUM(P191:P193),2)=0,0,1)</f>
        <v>0</v>
      </c>
      <c r="Q196" s="59">
        <f>IF(ROUND(Q195-SUM(Q191:Q193),2)=0,0,1)</f>
        <v>0</v>
      </c>
      <c r="R196" s="59">
        <f>IF(ROUND(R195-SUM(R191:R193),2)=0,0,1)</f>
        <v>0</v>
      </c>
      <c r="S196" s="59">
        <f>IF(ROUND(S195-SUM(S191:S193),2)=0,0,1)</f>
        <v>0</v>
      </c>
    </row>
    <row r="197" spans="1:21" ht="11.25" customHeight="1" collapsed="1" x14ac:dyDescent="0.3"/>
    <row r="198" spans="1:21" s="8" customFormat="1" ht="13.9" x14ac:dyDescent="0.3">
      <c r="C198" s="8" t="s">
        <v>116</v>
      </c>
    </row>
    <row r="199" spans="1:21" ht="11.25" customHeight="1" x14ac:dyDescent="0.3"/>
    <row r="200" spans="1:21" ht="11.25" customHeight="1" x14ac:dyDescent="0.3">
      <c r="D200" s="70" t="s">
        <v>62</v>
      </c>
      <c r="O200" s="54" t="str">
        <f>O$9</f>
        <v>FY25</v>
      </c>
      <c r="P200" s="54" t="str">
        <f>P$9</f>
        <v>FY26</v>
      </c>
      <c r="Q200" s="54" t="str">
        <f>Q$9</f>
        <v>FY27</v>
      </c>
      <c r="R200" s="54" t="str">
        <f>R$9</f>
        <v>FY28</v>
      </c>
      <c r="S200" s="54" t="str">
        <f>S$9</f>
        <v>FY29</v>
      </c>
    </row>
    <row r="201" spans="1:21" ht="11.25" customHeight="1" x14ac:dyDescent="0.3">
      <c r="D201" s="1"/>
    </row>
    <row r="202" spans="1:21" ht="12.75" x14ac:dyDescent="0.3">
      <c r="A202" s="59">
        <f ca="1">IF(COUNTIF($M202:$S202,"Fail")=0,0,1)</f>
        <v>0</v>
      </c>
      <c r="D202" s="85" t="s">
        <v>64</v>
      </c>
      <c r="O202" s="80" t="str">
        <f t="shared" ref="O202:S204" ca="1" si="12">IF(O$9&gt;=$H$19,IF(AND(O191&gt;O180,O191&lt;O169),"Pass","Fail"),"")</f>
        <v>Pass</v>
      </c>
      <c r="P202" s="80" t="str">
        <f t="shared" ca="1" si="12"/>
        <v>Pass</v>
      </c>
      <c r="Q202" s="80" t="str">
        <f t="shared" ca="1" si="12"/>
        <v>Pass</v>
      </c>
      <c r="R202" s="80" t="str">
        <f t="shared" ca="1" si="12"/>
        <v>Pass</v>
      </c>
      <c r="S202" s="80" t="str">
        <f t="shared" ca="1" si="12"/>
        <v>Pass</v>
      </c>
    </row>
    <row r="203" spans="1:21" ht="12.75" x14ac:dyDescent="0.3">
      <c r="A203" s="59">
        <f ca="1">IF(COUNTIF($M203:$S203,"Fail")=0,0,1)</f>
        <v>0</v>
      </c>
      <c r="D203" s="85" t="s">
        <v>70</v>
      </c>
      <c r="O203" s="80" t="str">
        <f t="shared" ca="1" si="12"/>
        <v>Pass</v>
      </c>
      <c r="P203" s="80" t="str">
        <f t="shared" ca="1" si="12"/>
        <v>Pass</v>
      </c>
      <c r="Q203" s="80" t="str">
        <f t="shared" ca="1" si="12"/>
        <v>Pass</v>
      </c>
      <c r="R203" s="80" t="str">
        <f t="shared" ca="1" si="12"/>
        <v>Pass</v>
      </c>
      <c r="S203" s="80" t="str">
        <f t="shared" ca="1" si="12"/>
        <v>Pass</v>
      </c>
    </row>
    <row r="204" spans="1:21" ht="12.75" x14ac:dyDescent="0.3">
      <c r="A204" s="59">
        <f ca="1">IF(COUNTIF($M204:$S204,"Fail")=0,0,1)</f>
        <v>0</v>
      </c>
      <c r="D204" s="85" t="s">
        <v>69</v>
      </c>
      <c r="O204" s="80" t="str">
        <f t="shared" ca="1" si="12"/>
        <v>Pass</v>
      </c>
      <c r="P204" s="80" t="str">
        <f t="shared" ca="1" si="12"/>
        <v>Pass</v>
      </c>
      <c r="Q204" s="80" t="str">
        <f t="shared" ca="1" si="12"/>
        <v>Pass</v>
      </c>
      <c r="R204" s="80" t="str">
        <f t="shared" ca="1" si="12"/>
        <v>Pass</v>
      </c>
      <c r="S204" s="80" t="str">
        <f t="shared" ca="1" si="12"/>
        <v>Pass</v>
      </c>
    </row>
    <row r="205" spans="1:21" ht="11.25" customHeight="1" x14ac:dyDescent="0.3"/>
    <row r="206" spans="1:21" ht="12.75" x14ac:dyDescent="0.3">
      <c r="A206" s="59">
        <f ca="1">IF(COUNTIF($M206:$S206,"Fail")=0,0,1)</f>
        <v>0</v>
      </c>
      <c r="D206" s="7" t="s">
        <v>188</v>
      </c>
      <c r="O206" s="80" t="str">
        <f ca="1">IF(O$9&gt;=$H$19,IF(COUNTIF(O202:O204,"Fail")&gt;0,"Fail","Pass"),"")</f>
        <v>Pass</v>
      </c>
      <c r="P206" s="80" t="str">
        <f ca="1">IF(P$9&gt;=$H$19,IF(COUNTIF(P202:P204,"Fail")&gt;0,"Fail","Pass"),"")</f>
        <v>Pass</v>
      </c>
      <c r="Q206" s="80" t="str">
        <f ca="1">IF(Q$9&gt;=$H$19,IF(COUNTIF(Q202:Q204,"Fail")&gt;0,"Fail","Pass"),"")</f>
        <v>Pass</v>
      </c>
      <c r="R206" s="80" t="str">
        <f ca="1">IF(R$9&gt;=$H$19,IF(COUNTIF(R202:R204,"Fail")&gt;0,"Fail","Pass"),"")</f>
        <v>Pass</v>
      </c>
      <c r="S206" s="80" t="str">
        <f ca="1">IF(S$9&gt;=$H$19,IF(COUNTIF(S202:S204,"Fail")&gt;0,"Fail","Pass"),"")</f>
        <v>Pass</v>
      </c>
    </row>
    <row r="207" spans="1:21" ht="11.25" customHeight="1" x14ac:dyDescent="0.3"/>
    <row r="208" spans="1:21" ht="11.25" customHeight="1" x14ac:dyDescent="0.3"/>
    <row r="209" spans="2:2" s="2" customFormat="1" ht="15" x14ac:dyDescent="0.3">
      <c r="B209" s="2" t="s">
        <v>20</v>
      </c>
    </row>
  </sheetData>
  <conditionalFormatting sqref="B2">
    <cfRule type="cellIs" dxfId="19" priority="45" operator="notEqual">
      <formula>"No Errors Found"</formula>
    </cfRule>
  </conditionalFormatting>
  <conditionalFormatting sqref="O202:S204">
    <cfRule type="cellIs" dxfId="18" priority="43" operator="equal">
      <formula>"Fail"</formula>
    </cfRule>
    <cfRule type="cellIs" dxfId="17" priority="44" operator="equal">
      <formula>"Pass"</formula>
    </cfRule>
  </conditionalFormatting>
  <conditionalFormatting sqref="O106:S106">
    <cfRule type="cellIs" dxfId="16" priority="41" operator="equal">
      <formula>"Fail"</formula>
    </cfRule>
    <cfRule type="cellIs" dxfId="15" priority="42" operator="equal">
      <formula>"Pass"</formula>
    </cfRule>
  </conditionalFormatting>
  <conditionalFormatting sqref="P153:S155">
    <cfRule type="cellIs" dxfId="14" priority="29" operator="equal">
      <formula>"Fail"</formula>
    </cfRule>
    <cfRule type="cellIs" dxfId="13" priority="30" operator="equal">
      <formula>"Pass"</formula>
    </cfRule>
  </conditionalFormatting>
  <conditionalFormatting sqref="O62:S62">
    <cfRule type="cellIs" dxfId="12" priority="14" operator="equal">
      <formula>"Fail"</formula>
    </cfRule>
    <cfRule type="cellIs" dxfId="11" priority="15" operator="equal">
      <formula>"Pass"</formula>
    </cfRule>
  </conditionalFormatting>
  <conditionalFormatting sqref="H22:H25">
    <cfRule type="cellIs" dxfId="10" priority="5" operator="equal">
      <formula>"Fail"</formula>
    </cfRule>
    <cfRule type="cellIs" dxfId="9" priority="6" operator="equal">
      <formula>"Pass"</formula>
    </cfRule>
  </conditionalFormatting>
  <conditionalFormatting sqref="P157:S157">
    <cfRule type="cellIs" dxfId="8" priority="3" operator="equal">
      <formula>"Fail"</formula>
    </cfRule>
    <cfRule type="cellIs" dxfId="7" priority="4" operator="equal">
      <formula>"Pass"</formula>
    </cfRule>
  </conditionalFormatting>
  <conditionalFormatting sqref="O206:S206">
    <cfRule type="cellIs" dxfId="6" priority="1" operator="equal">
      <formula>"Fail"</formula>
    </cfRule>
    <cfRule type="cellIs" dxfId="5" priority="2" operator="equal">
      <formula>"Pass"</formula>
    </cfRule>
  </conditionalFormatting>
  <dataValidations count="4">
    <dataValidation type="list" allowBlank="1" showInputMessage="1" showErrorMessage="1" sqref="K184:K185 K173:K174 K195:K196 K56" xr:uid="{00000000-0002-0000-0D00-000000000000}">
      <formula1>LU_Timing</formula1>
    </dataValidation>
    <dataValidation type="list" allowBlank="1" showInputMessage="1" showErrorMessage="1" sqref="I173:I174 I169:I171 I184:I185 I94:I97 I180:I182 I75:I76 I191:I193 I84 I195:I196 I146 I124:I127 I129:I131 I119:I122 I139:I144 I46:I49 I35:I39 I56 I54" xr:uid="{00000000-0002-0000-0D00-000001000000}">
      <formula1>LU_Units</formula1>
    </dataValidation>
    <dataValidation type="list" allowBlank="1" showInputMessage="1" showErrorMessage="1" sqref="J173:J174 J169:J171 J184:J185 J94:J97 J180:J182 J75:J76 J191:J193 J84 J195:J196 J146 J124:J127 J129:J131 J119:J122 J139:J144 J46:J49 J35:J39 J56 J54" xr:uid="{00000000-0002-0000-0D00-000002000000}">
      <formula1>LU_Basis</formula1>
    </dataValidation>
    <dataValidation type="list" allowBlank="1" showInputMessage="1" showErrorMessage="1" sqref="D169:D171 D180:D182 D191:D193 D153:D155 D119:D122 D124:D127 D129:D131 D202:D204" xr:uid="{00000000-0002-0000-0D00-000003000000}">
      <formula1>LU_Tariff_Classes</formula1>
    </dataValidation>
  </dataValidations>
  <hyperlinks>
    <hyperlink ref="B3:E3" location="TOC!A1" display="TOC!A1" xr:uid="{00000000-0004-0000-0D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Lookup!$O$19:$S$19</xm:f>
          </x14:formula1>
          <xm:sqref>H19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4"/>
  </sheetPr>
  <dimension ref="A1:XFB74"/>
  <sheetViews>
    <sheetView showGridLines="0" zoomScaleNormal="100" workbookViewId="0">
      <pane ySplit="5" topLeftCell="A6" activePane="bottomLeft" state="frozen"/>
      <selection activeCell="E106" sqref="E106"/>
      <selection pane="bottomLeft"/>
    </sheetView>
  </sheetViews>
  <sheetFormatPr defaultColWidth="9.33203125" defaultRowHeight="10.15" x14ac:dyDescent="0.3"/>
  <cols>
    <col min="1" max="1" width="3.6640625" customWidth="1"/>
    <col min="2" max="3" width="2.83203125" customWidth="1"/>
    <col min="4" max="4" width="25.83203125" customWidth="1"/>
    <col min="5" max="5" width="24" customWidth="1"/>
    <col min="6" max="9" width="10.83203125" customWidth="1"/>
    <col min="10" max="10" width="12.83203125" customWidth="1"/>
    <col min="11" max="15" width="10.83203125" customWidth="1"/>
    <col min="16" max="16" width="28.83203125" customWidth="1"/>
    <col min="17" max="17" width="15.1640625" customWidth="1"/>
    <col min="18" max="24" width="10.83203125" customWidth="1"/>
  </cols>
  <sheetData>
    <row r="1" spans="1:7" ht="18.75" x14ac:dyDescent="0.3">
      <c r="A1" s="59">
        <f>IF(SUM($A10:$A74)&gt;0,1,0)</f>
        <v>0</v>
      </c>
      <c r="B1" s="3" t="s">
        <v>117</v>
      </c>
    </row>
    <row r="2" spans="1:7" x14ac:dyDescent="0.3">
      <c r="B2" s="13" t="str">
        <f ca="1">Title_Msg</f>
        <v>No Errors Found</v>
      </c>
    </row>
    <row r="3" spans="1:7" x14ac:dyDescent="0.3">
      <c r="B3" s="46" t="str">
        <f>TOC!B1</f>
        <v>Table of contents</v>
      </c>
      <c r="C3" s="42"/>
      <c r="D3" s="42"/>
      <c r="E3" s="42"/>
    </row>
    <row r="4" spans="1:7" ht="13.15" x14ac:dyDescent="0.3">
      <c r="B4" s="40" t="str">
        <f>Model_Name</f>
        <v>Pricing Model - Power and Water Corporation</v>
      </c>
    </row>
    <row r="6" spans="1:7" s="2" customFormat="1" ht="15" x14ac:dyDescent="0.3">
      <c r="B6" s="2" t="s">
        <v>771</v>
      </c>
    </row>
    <row r="7" spans="1:7" ht="11.25" customHeight="1" x14ac:dyDescent="0.3"/>
    <row r="8" spans="1:7" ht="11.25" customHeight="1" x14ac:dyDescent="0.3">
      <c r="D8" s="105" t="s">
        <v>148</v>
      </c>
    </row>
    <row r="9" spans="1:7" ht="11.25" customHeight="1" x14ac:dyDescent="0.3"/>
    <row r="10" spans="1:7" ht="11.25" customHeight="1" x14ac:dyDescent="0.3">
      <c r="D10" s="105" t="s">
        <v>147</v>
      </c>
      <c r="F10" s="106" t="s">
        <v>281</v>
      </c>
      <c r="G10" s="113">
        <f>MATCH(F10,Lookup!$O$19:$S$19)</f>
        <v>1</v>
      </c>
    </row>
    <row r="11" spans="1:7" ht="11.25" customHeight="1" x14ac:dyDescent="0.3"/>
    <row r="12" spans="1:7" ht="11.25" customHeight="1" x14ac:dyDescent="0.3"/>
    <row r="13" spans="1:7" s="2" customFormat="1" ht="15" x14ac:dyDescent="0.3">
      <c r="B13" s="2" t="s">
        <v>772</v>
      </c>
    </row>
    <row r="14" spans="1:7" ht="4.5" customHeight="1" x14ac:dyDescent="0.3"/>
    <row r="15" spans="1:7" s="8" customFormat="1" ht="13.9" x14ac:dyDescent="0.3">
      <c r="C15" s="8" t="str">
        <f>"Residual cost recovery share by tariff ("&amp;F10&amp;")"</f>
        <v>Residual cost recovery share by tariff (FY25)</v>
      </c>
    </row>
    <row r="17" spans="16:19 16382:16382" s="99" customFormat="1" ht="13.15" x14ac:dyDescent="0.4"/>
    <row r="18" spans="16:19 16382:16382" s="99" customFormat="1" ht="13.15" x14ac:dyDescent="0.4"/>
    <row r="19" spans="16:19 16382:16382" s="99" customFormat="1" ht="13.05" customHeight="1" x14ac:dyDescent="0.4"/>
    <row r="20" spans="16:19 16382:16382" s="99" customFormat="1" ht="13.15" x14ac:dyDescent="0.4">
      <c r="P20" s="109" t="s">
        <v>118</v>
      </c>
      <c r="Q20" s="108"/>
      <c r="R20" s="139" t="str">
        <f>"FY"&amp;RIGHT(S20,2)-1</f>
        <v>FY24</v>
      </c>
      <c r="S20" s="144" t="str">
        <f>F10</f>
        <v>FY25</v>
      </c>
    </row>
    <row r="21" spans="16:19 16382:16382" s="99" customFormat="1" ht="13.15" x14ac:dyDescent="0.4">
      <c r="P21" s="154" t="s">
        <v>282</v>
      </c>
      <c r="Q21" s="155"/>
      <c r="R21" s="147" t="str">
        <f>IF($G$10=1,NA,INDEX(Calc_Residual_Tariff!$O87:$S87,$G$10-1))</f>
        <v>N/A</v>
      </c>
      <c r="S21" s="147">
        <f ca="1">INDEX(Calc_Residual_Tariff!$O87:$S87,$G$10)</f>
        <v>0.36874525959779969</v>
      </c>
      <c r="XFB21" s="99" t="s">
        <v>205</v>
      </c>
    </row>
    <row r="22" spans="16:19 16382:16382" s="99" customFormat="1" ht="12.75" customHeight="1" x14ac:dyDescent="0.4">
      <c r="P22" s="154" t="s">
        <v>283</v>
      </c>
      <c r="Q22" s="155"/>
      <c r="R22" s="147" t="str">
        <f>IF($G$10=1,NA,INDEX(Calc_Residual_Tariff!$O88:$S88,$G$10-1))</f>
        <v>N/A</v>
      </c>
      <c r="S22" s="147">
        <f ca="1">INDEX(Calc_Residual_Tariff!$O88:$S88,$G$10)</f>
        <v>1.6791165435658627E-2</v>
      </c>
      <c r="XFB22" s="99" t="s">
        <v>206</v>
      </c>
    </row>
    <row r="23" spans="16:19 16382:16382" s="99" customFormat="1" ht="13.15" x14ac:dyDescent="0.4">
      <c r="P23" s="154" t="s">
        <v>284</v>
      </c>
      <c r="Q23" s="155"/>
      <c r="R23" s="147" t="str">
        <f>IF($G$10=1,NA,INDEX(Calc_Residual_Tariff!$O89:$S89,$G$10-1))</f>
        <v>N/A</v>
      </c>
      <c r="S23" s="147">
        <f ca="1">INDEX(Calc_Residual_Tariff!$O89:$S89,$G$10)</f>
        <v>0.20512079755850979</v>
      </c>
      <c r="XFB23" s="99" t="s">
        <v>211</v>
      </c>
    </row>
    <row r="24" spans="16:19 16382:16382" s="99" customFormat="1" ht="12.75" customHeight="1" x14ac:dyDescent="0.4">
      <c r="P24" s="154" t="s">
        <v>285</v>
      </c>
      <c r="Q24" s="155"/>
      <c r="R24" s="147" t="str">
        <f>IF($G$10=1,NA,INDEX(Calc_Residual_Tariff!$O90:$S90,$G$10-1))</f>
        <v>N/A</v>
      </c>
      <c r="S24" s="147">
        <f ca="1">INDEX(Calc_Residual_Tariff!$O90:$S90,$G$10)</f>
        <v>0.13935894111690267</v>
      </c>
      <c r="XFB24" s="99" t="s">
        <v>207</v>
      </c>
    </row>
    <row r="25" spans="16:19 16382:16382" s="99" customFormat="1" ht="12.75" customHeight="1" x14ac:dyDescent="0.4">
      <c r="P25" s="154" t="s">
        <v>286</v>
      </c>
      <c r="Q25" s="155"/>
      <c r="R25" s="147" t="str">
        <f>IF($G$10=1,NA,INDEX(Calc_Residual_Tariff!$O91:$S91,$G$10-1))</f>
        <v>N/A</v>
      </c>
      <c r="S25" s="147">
        <f ca="1">INDEX(Calc_Residual_Tariff!$O91:$S91,$G$10)</f>
        <v>6.5888735457994882E-2</v>
      </c>
      <c r="XFB25" s="99" t="s">
        <v>208</v>
      </c>
    </row>
    <row r="26" spans="16:19 16382:16382" s="99" customFormat="1" ht="13.15" x14ac:dyDescent="0.4">
      <c r="P26" s="154" t="s">
        <v>287</v>
      </c>
      <c r="Q26" s="155"/>
      <c r="R26" s="147" t="str">
        <f>IF($G$10=1,NA,INDEX(Calc_Residual_Tariff!$O92:$S92,$G$10-1))</f>
        <v>N/A</v>
      </c>
      <c r="S26" s="147">
        <f ca="1">INDEX(Calc_Residual_Tariff!$O92:$S92,$G$10)</f>
        <v>1.5917363902836774E-2</v>
      </c>
      <c r="XFB26" s="99" t="s">
        <v>209</v>
      </c>
    </row>
    <row r="27" spans="16:19 16382:16382" s="99" customFormat="1" ht="13.15" x14ac:dyDescent="0.4">
      <c r="P27" s="154" t="s">
        <v>288</v>
      </c>
      <c r="Q27" s="155"/>
      <c r="R27" s="147" t="str">
        <f>IF($G$10=1,NA,INDEX(Calc_Residual_Tariff!$O93:$S93,$G$10-1))</f>
        <v>N/A</v>
      </c>
      <c r="S27" s="147">
        <f ca="1">INDEX(Calc_Residual_Tariff!$O93:$S93,$G$10)</f>
        <v>8.2063066155291492E-2</v>
      </c>
      <c r="XFB27" s="99" t="s">
        <v>210</v>
      </c>
    </row>
    <row r="28" spans="16:19 16382:16382" s="99" customFormat="1" ht="13.15" x14ac:dyDescent="0.4">
      <c r="P28" s="154" t="s">
        <v>289</v>
      </c>
      <c r="Q28" s="155"/>
      <c r="R28" s="147" t="str">
        <f>IF($G$10=1,NA,INDEX(Calc_Residual_Tariff!$O94:$S94,$G$10-1))</f>
        <v>N/A</v>
      </c>
      <c r="S28" s="147">
        <f ca="1">INDEX(Calc_Residual_Tariff!$O94:$S94,$G$10)</f>
        <v>5.4872469993597829E-2</v>
      </c>
    </row>
    <row r="29" spans="16:19 16382:16382" s="99" customFormat="1" ht="13.15" x14ac:dyDescent="0.4">
      <c r="P29" s="154" t="s">
        <v>290</v>
      </c>
      <c r="Q29" s="155"/>
      <c r="R29" s="147" t="str">
        <f>IF($G$10=1,NA,INDEX(Calc_Residual_Tariff!$O95:$S95,$G$10-1))</f>
        <v>N/A</v>
      </c>
      <c r="S29" s="147">
        <f ca="1">INDEX(Calc_Residual_Tariff!$O95:$S95,$G$10)</f>
        <v>5.1242200781408433E-2</v>
      </c>
    </row>
    <row r="30" spans="16:19 16382:16382" s="99" customFormat="1" ht="13.15" x14ac:dyDescent="0.4">
      <c r="P30" s="279" t="s">
        <v>51</v>
      </c>
      <c r="Q30" s="280"/>
      <c r="R30" s="148">
        <f>SUM(R21:R29)</f>
        <v>0</v>
      </c>
      <c r="S30" s="148">
        <f ca="1">SUM(S21:S29)</f>
        <v>1.0000000000000002</v>
      </c>
    </row>
    <row r="31" spans="16:19 16382:16382" s="99" customFormat="1" ht="13.15" x14ac:dyDescent="0.4"/>
    <row r="39" spans="3:20" s="8" customFormat="1" ht="13.9" x14ac:dyDescent="0.3">
      <c r="C39" s="8" t="str">
        <f>"Residual cost recovery shares by tariff and tariff charging parameter ("&amp;F10&amp;")"</f>
        <v>Residual cost recovery shares by tariff and tariff charging parameter (FY25)</v>
      </c>
    </row>
    <row r="40" spans="3:20" s="99" customFormat="1" ht="11.25" customHeight="1" x14ac:dyDescent="0.4"/>
    <row r="41" spans="3:20" s="99" customFormat="1" ht="13.15" x14ac:dyDescent="0.4">
      <c r="P41" s="110" t="s">
        <v>118</v>
      </c>
      <c r="Q41" s="100" t="s">
        <v>119</v>
      </c>
      <c r="R41" s="139" t="str">
        <f>"FY"&amp;RIGHT(S41,2)-1</f>
        <v>FY24</v>
      </c>
      <c r="S41" s="144" t="str">
        <f>S20</f>
        <v>FY25</v>
      </c>
    </row>
    <row r="42" spans="3:20" s="99" customFormat="1" ht="11.25" customHeight="1" x14ac:dyDescent="0.4">
      <c r="P42" s="283" t="s">
        <v>298</v>
      </c>
      <c r="Q42" s="101" t="str">
        <f>Calc_Residual_Tariff!E106</f>
        <v>SAC</v>
      </c>
      <c r="R42" s="102" t="str">
        <f>IF($G$10=1,NA,INDEX(Calc_Residual_Tariff!$O106:$S106,$G$10-1))</f>
        <v>N/A</v>
      </c>
      <c r="S42" s="102">
        <f ca="1">INDEX(Calc_Residual_Tariff!$O106:$S106,$G$10)</f>
        <v>0.25812168171845984</v>
      </c>
      <c r="T42" s="159" t="s">
        <v>205</v>
      </c>
    </row>
    <row r="43" spans="3:20" s="99" customFormat="1" ht="11.25" customHeight="1" x14ac:dyDescent="0.4">
      <c r="P43" s="283"/>
      <c r="Q43" s="101" t="str">
        <f>Calc_Residual_Tariff!E107</f>
        <v>Anytime Energy</v>
      </c>
      <c r="R43" s="102" t="str">
        <f>IF($G$10=1,NA,INDEX(Calc_Residual_Tariff!$O107:$S107,$G$10-1))</f>
        <v>N/A</v>
      </c>
      <c r="S43" s="102">
        <f ca="1">INDEX(Calc_Residual_Tariff!$O107:$S107,$G$10)</f>
        <v>0.11062357787933993</v>
      </c>
      <c r="T43" s="159"/>
    </row>
    <row r="44" spans="3:20" s="99" customFormat="1" ht="11.25" customHeight="1" x14ac:dyDescent="0.4">
      <c r="P44" s="283" t="s">
        <v>300</v>
      </c>
      <c r="Q44" s="101" t="str">
        <f>Calc_Residual_Tariff!E108</f>
        <v>SAC</v>
      </c>
      <c r="R44" s="102" t="str">
        <f>IF($G$10=1,NA,INDEX(Calc_Residual_Tariff!$O108:$S108,$G$10-1))</f>
        <v>N/A</v>
      </c>
      <c r="S44" s="102">
        <f ca="1">INDEX(Calc_Residual_Tariff!$O108:$S108,$G$10)</f>
        <v>4.8459303447310805E-3</v>
      </c>
      <c r="T44" s="159" t="s">
        <v>206</v>
      </c>
    </row>
    <row r="45" spans="3:20" s="99" customFormat="1" ht="11.25" customHeight="1" x14ac:dyDescent="0.4">
      <c r="P45" s="283"/>
      <c r="Q45" s="101" t="str">
        <f>Calc_Residual_Tariff!E109</f>
        <v>Anytime Energy</v>
      </c>
      <c r="R45" s="102" t="str">
        <f>IF($G$10=1,NA,INDEX(Calc_Residual_Tariff!$O109:$S109,$G$10-1))</f>
        <v>N/A</v>
      </c>
      <c r="S45" s="102">
        <f ca="1">INDEX(Calc_Residual_Tariff!$O109:$S109,$G$10)</f>
        <v>1.1945235090927549E-2</v>
      </c>
      <c r="T45" s="159"/>
    </row>
    <row r="46" spans="3:20" s="99" customFormat="1" ht="11.25" customHeight="1" x14ac:dyDescent="0.4">
      <c r="P46" s="276" t="s">
        <v>299</v>
      </c>
      <c r="Q46" s="101" t="str">
        <f>Calc_Residual_Tariff!E110</f>
        <v>SAC</v>
      </c>
      <c r="R46" s="102" t="str">
        <f>IF($G$10=1,NA,INDEX(Calc_Residual_Tariff!$O110:$S110,$G$10-1))</f>
        <v>N/A</v>
      </c>
      <c r="S46" s="102">
        <f ca="1">INDEX(Calc_Residual_Tariff!$O110:$S110,$G$10)</f>
        <v>0.18460871780265881</v>
      </c>
      <c r="T46" s="159" t="s">
        <v>284</v>
      </c>
    </row>
    <row r="47" spans="3:20" s="99" customFormat="1" ht="11.25" customHeight="1" x14ac:dyDescent="0.4">
      <c r="P47" s="277"/>
      <c r="Q47" s="101" t="str">
        <f>Calc_Residual_Tariff!E111</f>
        <v>Peak Energy</v>
      </c>
      <c r="R47" s="102" t="str">
        <f>IF($G$10=1,NA,INDEX(Calc_Residual_Tariff!$O111:$S111,$G$10-1))</f>
        <v>N/A</v>
      </c>
      <c r="S47" s="102">
        <f ca="1">INDEX(Calc_Residual_Tariff!$O111:$S111,$G$10)</f>
        <v>0</v>
      </c>
      <c r="T47" s="159"/>
    </row>
    <row r="48" spans="3:20" s="99" customFormat="1" ht="11.25" customHeight="1" x14ac:dyDescent="0.4">
      <c r="P48" s="277"/>
      <c r="Q48" s="101" t="str">
        <f>Calc_Residual_Tariff!E112</f>
        <v>Off-peak Energy</v>
      </c>
      <c r="R48" s="102" t="str">
        <f>IF($G$10=1,NA,INDEX(Calc_Residual_Tariff!$O112:$S112,$G$10-1))</f>
        <v>N/A</v>
      </c>
      <c r="S48" s="102">
        <f ca="1">INDEX(Calc_Residual_Tariff!$O112:$S112,$G$10)</f>
        <v>2.0512079755850975E-2</v>
      </c>
      <c r="T48" s="159"/>
    </row>
    <row r="49" spans="16:20" s="99" customFormat="1" ht="11.25" customHeight="1" x14ac:dyDescent="0.4">
      <c r="P49" s="278"/>
      <c r="Q49" s="101" t="str">
        <f>Calc_Residual_Tariff!E113</f>
        <v>Super Off-peak Energy</v>
      </c>
      <c r="R49" s="102" t="str">
        <f>IF($G$10=1,NA,INDEX(Calc_Residual_Tariff!$O113:$S113,$G$10-1))</f>
        <v>N/A</v>
      </c>
      <c r="S49" s="102">
        <f ca="1">INDEX(Calc_Residual_Tariff!$O113:$S113,$G$10)</f>
        <v>0</v>
      </c>
      <c r="T49" s="159"/>
    </row>
    <row r="50" spans="16:20" s="99" customFormat="1" ht="11.25" customHeight="1" x14ac:dyDescent="0.4">
      <c r="P50" s="276" t="s">
        <v>301</v>
      </c>
      <c r="Q50" s="101" t="str">
        <f>Calc_Residual_Tariff!E114</f>
        <v>SAC</v>
      </c>
      <c r="R50" s="102" t="str">
        <f>IF($G$10=1,NA,INDEX(Calc_Residual_Tariff!$O114:$S114,$G$10-1))</f>
        <v>N/A</v>
      </c>
      <c r="S50" s="102">
        <f ca="1">INDEX(Calc_Residual_Tariff!$O114:$S114,$G$10)</f>
        <v>2.7871788223380538E-2</v>
      </c>
      <c r="T50" s="159" t="s">
        <v>285</v>
      </c>
    </row>
    <row r="51" spans="16:20" s="99" customFormat="1" ht="11.25" customHeight="1" x14ac:dyDescent="0.4">
      <c r="P51" s="277"/>
      <c r="Q51" s="101" t="str">
        <f>Calc_Residual_Tariff!E115</f>
        <v>Peak Energy</v>
      </c>
      <c r="R51" s="102" t="str">
        <f>IF($G$10=1,NA,INDEX(Calc_Residual_Tariff!$O115:$S115,$G$10-1))</f>
        <v>N/A</v>
      </c>
      <c r="S51" s="102">
        <f ca="1">INDEX(Calc_Residual_Tariff!$O115:$S115,$G$10)</f>
        <v>0</v>
      </c>
      <c r="T51" s="159"/>
    </row>
    <row r="52" spans="16:20" s="99" customFormat="1" ht="11.25" customHeight="1" x14ac:dyDescent="0.4">
      <c r="P52" s="277"/>
      <c r="Q52" s="101" t="str">
        <f>Calc_Residual_Tariff!E116</f>
        <v>Off-peak Energy</v>
      </c>
      <c r="R52" s="102" t="str">
        <f>IF($G$10=1,NA,INDEX(Calc_Residual_Tariff!$O116:$S116,$G$10-1))</f>
        <v>N/A</v>
      </c>
      <c r="S52" s="102">
        <f ca="1">INDEX(Calc_Residual_Tariff!$O116:$S116,$G$10)</f>
        <v>0.11148715289352215</v>
      </c>
      <c r="T52" s="159"/>
    </row>
    <row r="53" spans="16:20" s="99" customFormat="1" ht="11.25" customHeight="1" x14ac:dyDescent="0.4">
      <c r="P53" s="278"/>
      <c r="Q53" s="101" t="str">
        <f>Calc_Residual_Tariff!E117</f>
        <v>Super Off-peak Energy</v>
      </c>
      <c r="R53" s="102" t="str">
        <f>IF($G$10=1,NA,INDEX(Calc_Residual_Tariff!$O117:$S117,$G$10-1))</f>
        <v>N/A</v>
      </c>
      <c r="S53" s="102">
        <f ca="1">INDEX(Calc_Residual_Tariff!$O117:$S117,$G$10)</f>
        <v>0</v>
      </c>
      <c r="T53" s="159"/>
    </row>
    <row r="54" spans="16:20" s="99" customFormat="1" ht="11.25" customHeight="1" x14ac:dyDescent="0.4">
      <c r="P54" s="276" t="s">
        <v>302</v>
      </c>
      <c r="Q54" s="101" t="str">
        <f>Calc_Residual_Tariff!E118</f>
        <v>SAC</v>
      </c>
      <c r="R54" s="102" t="str">
        <f>IF($G$10=1,NA,INDEX(Calc_Residual_Tariff!$O118:$S118,$G$10-1))</f>
        <v>N/A</v>
      </c>
      <c r="S54" s="102">
        <f ca="1">INDEX(Calc_Residual_Tariff!$O118:$S118,$G$10)</f>
        <v>2.1743282701138313E-2</v>
      </c>
      <c r="T54" s="159" t="s">
        <v>286</v>
      </c>
    </row>
    <row r="55" spans="16:20" s="99" customFormat="1" ht="11.25" customHeight="1" x14ac:dyDescent="0.4">
      <c r="P55" s="277"/>
      <c r="Q55" s="101" t="str">
        <f>Calc_Residual_Tariff!E119</f>
        <v>Peak Energy</v>
      </c>
      <c r="R55" s="102" t="str">
        <f>IF($G$10=1,NA,INDEX(Calc_Residual_Tariff!$O119:$S119,$G$10-1))</f>
        <v>N/A</v>
      </c>
      <c r="S55" s="102">
        <f ca="1">INDEX(Calc_Residual_Tariff!$O119:$S119,$G$10)</f>
        <v>0</v>
      </c>
      <c r="T55" s="159"/>
    </row>
    <row r="56" spans="16:20" s="99" customFormat="1" ht="11.25" customHeight="1" x14ac:dyDescent="0.4">
      <c r="P56" s="277"/>
      <c r="Q56" s="101" t="str">
        <f>Calc_Residual_Tariff!E120</f>
        <v>Off-peak Energy</v>
      </c>
      <c r="R56" s="102" t="str">
        <f>IF($G$10=1,NA,INDEX(Calc_Residual_Tariff!$O120:$S120,$G$10-1))</f>
        <v>N/A</v>
      </c>
      <c r="S56" s="102">
        <f ca="1">INDEX(Calc_Residual_Tariff!$O120:$S120,$G$10)</f>
        <v>4.4145452756856572E-2</v>
      </c>
      <c r="T56" s="159"/>
    </row>
    <row r="57" spans="16:20" s="99" customFormat="1" ht="11.25" customHeight="1" x14ac:dyDescent="0.4">
      <c r="P57" s="278"/>
      <c r="Q57" s="101" t="str">
        <f>Calc_Residual_Tariff!E121</f>
        <v>Super Off-peak Energy</v>
      </c>
      <c r="R57" s="102" t="str">
        <f>IF($G$10=1,NA,INDEX(Calc_Residual_Tariff!$O121:$S121,$G$10-1))</f>
        <v>N/A</v>
      </c>
      <c r="S57" s="102">
        <f ca="1">INDEX(Calc_Residual_Tariff!$O121:$S121,$G$10)</f>
        <v>0</v>
      </c>
      <c r="T57" s="159"/>
    </row>
    <row r="58" spans="16:20" s="99" customFormat="1" ht="11.25" customHeight="1" x14ac:dyDescent="0.4">
      <c r="P58" s="103" t="s">
        <v>303</v>
      </c>
      <c r="Q58" s="101" t="str">
        <f>Calc_Residual_Tariff!E122</f>
        <v>Anytime Energy</v>
      </c>
      <c r="R58" s="102" t="str">
        <f>IF($G$10=1,NA,INDEX(Calc_Residual_Tariff!$O122:$S122,$G$10-1))</f>
        <v>N/A</v>
      </c>
      <c r="S58" s="102">
        <f ca="1">INDEX(Calc_Residual_Tariff!$O122:$S122,$G$10)</f>
        <v>1.5917363902836778E-2</v>
      </c>
      <c r="T58" s="160" t="s">
        <v>287</v>
      </c>
    </row>
    <row r="59" spans="16:20" s="99" customFormat="1" ht="13.15" x14ac:dyDescent="0.4">
      <c r="P59" s="276" t="s">
        <v>304</v>
      </c>
      <c r="Q59" s="101" t="str">
        <f>Calc_Residual_Tariff!E123</f>
        <v>SAC</v>
      </c>
      <c r="R59" s="102" t="str">
        <f>IF($G$10=1,NA,INDEX(Calc_Residual_Tariff!$O123:$S123,$G$10-1))</f>
        <v>N/A</v>
      </c>
      <c r="S59" s="102">
        <f ca="1">INDEX(Calc_Residual_Tariff!$O123:$S123,$G$10)</f>
        <v>7.1805182885880059E-2</v>
      </c>
      <c r="T59" s="159" t="s">
        <v>288</v>
      </c>
    </row>
    <row r="60" spans="16:20" s="99" customFormat="1" ht="13.15" x14ac:dyDescent="0.4">
      <c r="P60" s="277"/>
      <c r="Q60" s="101" t="str">
        <f>Calc_Residual_Tariff!E124</f>
        <v>Anytime Energy Price</v>
      </c>
      <c r="R60" s="102" t="str">
        <f>IF($G$10=1,NA,INDEX(Calc_Residual_Tariff!$O124:$S124,$G$10-1))</f>
        <v>N/A</v>
      </c>
      <c r="S60" s="102">
        <f ca="1">INDEX(Calc_Residual_Tariff!$O124:$S124,$G$10)</f>
        <v>1.0257883269411438E-2</v>
      </c>
      <c r="T60" s="159"/>
    </row>
    <row r="61" spans="16:20" s="99" customFormat="1" ht="13.15" x14ac:dyDescent="0.4">
      <c r="P61" s="277"/>
      <c r="Q61" s="101" t="str">
        <f>Calc_Residual_Tariff!E125</f>
        <v>On-Season Demand</v>
      </c>
      <c r="R61" s="102" t="str">
        <f>IF($G$10=1,NA,INDEX(Calc_Residual_Tariff!$O125:$S125,$G$10-1))</f>
        <v>N/A</v>
      </c>
      <c r="S61" s="102">
        <f ca="1">INDEX(Calc_Residual_Tariff!$O125:$S125,$G$10)</f>
        <v>0</v>
      </c>
      <c r="T61" s="159"/>
    </row>
    <row r="62" spans="16:20" s="99" customFormat="1" ht="13.15" x14ac:dyDescent="0.4">
      <c r="P62" s="278"/>
      <c r="Q62" s="101" t="str">
        <f>Calc_Residual_Tariff!E126</f>
        <v>Off-Season Demand</v>
      </c>
      <c r="R62" s="102" t="str">
        <f>IF($G$10=1,NA,INDEX(Calc_Residual_Tariff!$O126:$S126,$G$10-1))</f>
        <v>N/A</v>
      </c>
      <c r="S62" s="102">
        <f ca="1">INDEX(Calc_Residual_Tariff!$O126:$S126,$G$10)</f>
        <v>0</v>
      </c>
      <c r="T62" s="159"/>
    </row>
    <row r="63" spans="16:20" s="99" customFormat="1" ht="13.15" x14ac:dyDescent="0.4">
      <c r="P63" s="276" t="s">
        <v>305</v>
      </c>
      <c r="Q63" s="101" t="str">
        <f>Calc_Residual_Tariff!E127</f>
        <v>SAC</v>
      </c>
      <c r="R63" s="102" t="str">
        <f>IF($G$10=1,NA,INDEX(Calc_Residual_Tariff!$O127:$S127,$G$10-1))</f>
        <v>N/A</v>
      </c>
      <c r="S63" s="102">
        <f ca="1">INDEX(Calc_Residual_Tariff!$O127:$S127,$G$10)</f>
        <v>1.3718117498399459E-2</v>
      </c>
      <c r="T63" s="159" t="s">
        <v>289</v>
      </c>
    </row>
    <row r="64" spans="16:20" s="99" customFormat="1" ht="13.15" x14ac:dyDescent="0.4">
      <c r="P64" s="277"/>
      <c r="Q64" s="101" t="str">
        <f>Calc_Residual_Tariff!E128</f>
        <v>Anytime Energy Price</v>
      </c>
      <c r="R64" s="102" t="str">
        <f>IF($G$10=1,NA,INDEX(Calc_Residual_Tariff!$O128:$S128,$G$10-1))</f>
        <v>N/A</v>
      </c>
      <c r="S64" s="102">
        <f ca="1">INDEX(Calc_Residual_Tariff!$O128:$S128,$G$10)</f>
        <v>4.1154352495198374E-2</v>
      </c>
      <c r="T64" s="159"/>
    </row>
    <row r="65" spans="2:20" s="99" customFormat="1" ht="13.15" x14ac:dyDescent="0.4">
      <c r="P65" s="277"/>
      <c r="Q65" s="101" t="str">
        <f>Calc_Residual_Tariff!E129</f>
        <v>On-Season Demand</v>
      </c>
      <c r="R65" s="102" t="str">
        <f>IF($G$10=1,NA,INDEX(Calc_Residual_Tariff!$O129:$S129,$G$10-1))</f>
        <v>N/A</v>
      </c>
      <c r="S65" s="102">
        <f ca="1">INDEX(Calc_Residual_Tariff!$O129:$S129,$G$10)</f>
        <v>0</v>
      </c>
      <c r="T65" s="159"/>
    </row>
    <row r="66" spans="2:20" s="99" customFormat="1" ht="13.15" x14ac:dyDescent="0.4">
      <c r="P66" s="278"/>
      <c r="Q66" s="101" t="str">
        <f>Calc_Residual_Tariff!E130</f>
        <v>Off-Season Demand</v>
      </c>
      <c r="R66" s="102" t="str">
        <f>IF($G$10=1,NA,INDEX(Calc_Residual_Tariff!$O130:$S130,$G$10-1))</f>
        <v>N/A</v>
      </c>
      <c r="S66" s="102">
        <f ca="1">INDEX(Calc_Residual_Tariff!$O130:$S130,$G$10)</f>
        <v>0</v>
      </c>
      <c r="T66" s="159"/>
    </row>
    <row r="67" spans="2:20" s="99" customFormat="1" ht="13.15" x14ac:dyDescent="0.4">
      <c r="P67" s="283" t="s">
        <v>306</v>
      </c>
      <c r="Q67" s="101" t="str">
        <f>Calc_Residual_Tariff!E131</f>
        <v>SAC</v>
      </c>
      <c r="R67" s="102" t="str">
        <f>IF($G$10=1,NA,INDEX(Calc_Residual_Tariff!$O131:$S131,$G$10-1))</f>
        <v>N/A</v>
      </c>
      <c r="S67" s="102">
        <f ca="1">INDEX(Calc_Residual_Tariff!$O131:$S131,$G$10)</f>
        <v>1.7934770273492953E-2</v>
      </c>
      <c r="T67" s="159" t="s">
        <v>290</v>
      </c>
    </row>
    <row r="68" spans="2:20" s="99" customFormat="1" ht="13.15" x14ac:dyDescent="0.4">
      <c r="P68" s="283"/>
      <c r="Q68" s="101" t="str">
        <f>Calc_Residual_Tariff!E132</f>
        <v>Anytime Energy</v>
      </c>
      <c r="R68" s="102" t="str">
        <f>IF($G$10=1,NA,INDEX(Calc_Residual_Tariff!$O132:$S132,$G$10-1))</f>
        <v>N/A</v>
      </c>
      <c r="S68" s="102">
        <f ca="1">INDEX(Calc_Residual_Tariff!$O132:$S132,$G$10)</f>
        <v>3.3307430507915486E-2</v>
      </c>
      <c r="T68" s="159"/>
    </row>
    <row r="69" spans="2:20" s="99" customFormat="1" ht="13.15" x14ac:dyDescent="0.4">
      <c r="P69" s="281" t="s">
        <v>51</v>
      </c>
      <c r="Q69" s="282"/>
      <c r="R69" s="104">
        <f>SUM(R42:R68)</f>
        <v>0</v>
      </c>
      <c r="S69" s="104">
        <f ca="1">SUM(S42:S68)</f>
        <v>1.0000000000000007</v>
      </c>
      <c r="T69" s="161"/>
    </row>
    <row r="70" spans="2:20" s="99" customFormat="1" ht="13.15" x14ac:dyDescent="0.4"/>
    <row r="71" spans="2:20" s="99" customFormat="1" ht="13.15" x14ac:dyDescent="0.4"/>
    <row r="72" spans="2:20" s="99" customFormat="1" ht="13.15" x14ac:dyDescent="0.4"/>
    <row r="73" spans="2:20" s="99" customFormat="1" ht="13.15" x14ac:dyDescent="0.4"/>
    <row r="74" spans="2:20" s="2" customFormat="1" ht="15" x14ac:dyDescent="0.3">
      <c r="B74" s="2" t="s">
        <v>20</v>
      </c>
    </row>
  </sheetData>
  <mergeCells count="10">
    <mergeCell ref="P46:P49"/>
    <mergeCell ref="P30:Q30"/>
    <mergeCell ref="P69:Q69"/>
    <mergeCell ref="P42:P43"/>
    <mergeCell ref="P44:P45"/>
    <mergeCell ref="P67:P68"/>
    <mergeCell ref="P63:P66"/>
    <mergeCell ref="P59:P62"/>
    <mergeCell ref="P54:P57"/>
    <mergeCell ref="P50:P53"/>
  </mergeCells>
  <conditionalFormatting sqref="B2">
    <cfRule type="cellIs" dxfId="4" priority="1" operator="notEqual">
      <formula>"No Errors Found"</formula>
    </cfRule>
  </conditionalFormatting>
  <hyperlinks>
    <hyperlink ref="B3:E3" location="TOC!A1" display="TOC!A1" xr:uid="{00000000-0004-0000-0E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Lookup!$O$19:$S$19</xm:f>
          </x14:formula1>
          <xm:sqref>F10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FF00"/>
  </sheetPr>
  <dimension ref="A1:AK79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1640625" defaultRowHeight="13.15" x14ac:dyDescent="0.3"/>
  <cols>
    <col min="1" max="3" width="4.1640625" style="131" customWidth="1"/>
    <col min="4" max="4" width="61.83203125" style="131" customWidth="1"/>
    <col min="5" max="5" width="20.1640625" style="131" customWidth="1"/>
    <col min="6" max="10" width="14.83203125" style="131" customWidth="1"/>
    <col min="11" max="11" width="13.33203125" style="131" customWidth="1"/>
    <col min="12" max="12" width="14.83203125" style="131" customWidth="1"/>
    <col min="13" max="13" width="15" style="131" customWidth="1"/>
    <col min="14" max="16" width="13.33203125" style="131" customWidth="1"/>
    <col min="17" max="17" width="12.33203125" style="131" customWidth="1"/>
    <col min="18" max="18" width="14.6640625" style="131" customWidth="1"/>
    <col min="19" max="19" width="12.33203125" style="131" customWidth="1"/>
    <col min="20" max="25" width="17" style="131" customWidth="1"/>
    <col min="26" max="26" width="2.6640625" style="131" customWidth="1"/>
    <col min="27" max="31" width="17" style="131" customWidth="1"/>
    <col min="32" max="32" width="2.6640625" style="131" customWidth="1"/>
    <col min="33" max="37" width="17" style="131" customWidth="1"/>
    <col min="38" max="16384" width="9.1640625" style="131"/>
  </cols>
  <sheetData>
    <row r="1" spans="1:9" ht="21" x14ac:dyDescent="0.3">
      <c r="A1" s="59">
        <f>IF(SUM($A563:$A793)&gt;0,1,0)</f>
        <v>0</v>
      </c>
      <c r="B1" s="138" t="s">
        <v>798</v>
      </c>
    </row>
    <row r="2" spans="1:9" s="133" customFormat="1" ht="10.15" x14ac:dyDescent="0.3">
      <c r="B2" s="137" t="s">
        <v>213</v>
      </c>
    </row>
    <row r="3" spans="1:9" s="133" customFormat="1" ht="12.75" x14ac:dyDescent="0.3">
      <c r="B3" s="136" t="s">
        <v>33</v>
      </c>
      <c r="C3" s="136"/>
      <c r="D3" s="136"/>
      <c r="E3" s="135"/>
    </row>
    <row r="4" spans="1:9" s="133" customFormat="1" x14ac:dyDescent="0.3">
      <c r="B4" s="134" t="s">
        <v>212</v>
      </c>
      <c r="I4"/>
    </row>
    <row r="6" spans="1:9" s="2" customFormat="1" ht="15" x14ac:dyDescent="0.3">
      <c r="B6" s="2" t="s">
        <v>799</v>
      </c>
    </row>
    <row r="8" spans="1:9" s="8" customFormat="1" ht="13.9" x14ac:dyDescent="0.3">
      <c r="C8" s="8" t="s">
        <v>552</v>
      </c>
    </row>
    <row r="9" spans="1:9" ht="13.5" thickBot="1" x14ac:dyDescent="0.35"/>
    <row r="10" spans="1:9" ht="14.25" x14ac:dyDescent="0.3">
      <c r="D10" s="182" t="s">
        <v>201</v>
      </c>
      <c r="E10" s="183" t="s">
        <v>553</v>
      </c>
      <c r="F10" s="183" t="s">
        <v>70</v>
      </c>
      <c r="G10" s="183" t="s">
        <v>69</v>
      </c>
    </row>
    <row r="11" spans="1:9" ht="14.25" x14ac:dyDescent="0.3">
      <c r="D11" s="184" t="s">
        <v>554</v>
      </c>
      <c r="E11" s="185">
        <f t="array" ref="E11:G11">TRANSPOSE(Output_AER_Compliance!$O$169:$O$171)/10^3/Inputs_Other!$O$34</f>
        <v>546.51923702601368</v>
      </c>
      <c r="F11" s="185">
        <v>72.218636430473822</v>
      </c>
      <c r="G11" s="185">
        <v>112.46782457294023</v>
      </c>
    </row>
    <row r="12" spans="1:9" ht="14.25" x14ac:dyDescent="0.3">
      <c r="D12" s="186" t="s">
        <v>555</v>
      </c>
      <c r="E12" s="187">
        <f t="array" ref="E12:G12">TRANSPOSE(Output_AER_Compliance!$O$191:$O$193)/10^3/Inputs_Other!$O$34</f>
        <v>136.78123100594559</v>
      </c>
      <c r="F12" s="187">
        <v>16.755700798228332</v>
      </c>
      <c r="G12" s="187">
        <v>17.439606953258068</v>
      </c>
    </row>
    <row r="13" spans="1:9" ht="14.25" x14ac:dyDescent="0.3">
      <c r="D13" s="184" t="s">
        <v>200</v>
      </c>
      <c r="E13" s="185">
        <f t="array" aca="1" ref="E13:G13" ca="1">TRANSPOSE(Output_AER_Compliance!$O$180:$O$182)/10^3/Inputs_Other!$O$34</f>
        <v>50.641131606179307</v>
      </c>
      <c r="F13" s="185">
        <f ca="1"/>
        <v>6.9393431904732426</v>
      </c>
      <c r="G13" s="185">
        <f ca="1"/>
        <v>5.9809543979699926</v>
      </c>
    </row>
    <row r="14" spans="1:9" ht="28.9" thickBot="1" x14ac:dyDescent="0.35">
      <c r="D14" s="188" t="s">
        <v>556</v>
      </c>
      <c r="E14" s="189" t="str">
        <f ca="1">IF(AND(E12&lt;=E11,E12&gt;=E13),"Yes","No")</f>
        <v>Yes</v>
      </c>
      <c r="F14" s="189" t="str">
        <f ca="1">IF(AND(F12&lt;=F11,F12&gt;=F13),"Yes","No")</f>
        <v>Yes</v>
      </c>
      <c r="G14" s="189" t="str">
        <f ca="1">IF(AND(G12&lt;=G11,G12&gt;=G13),"Yes","No")</f>
        <v>Yes</v>
      </c>
    </row>
    <row r="17" spans="3:12" s="8" customFormat="1" ht="13.9" x14ac:dyDescent="0.3">
      <c r="C17" s="8" t="s">
        <v>557</v>
      </c>
    </row>
    <row r="18" spans="3:12" ht="13.5" thickBot="1" x14ac:dyDescent="0.35"/>
    <row r="19" spans="3:12" ht="42.75" x14ac:dyDescent="0.3">
      <c r="D19" s="182" t="s">
        <v>256</v>
      </c>
      <c r="E19" s="190" t="s">
        <v>558</v>
      </c>
      <c r="F19" s="190" t="s">
        <v>559</v>
      </c>
      <c r="G19" s="190" t="s">
        <v>560</v>
      </c>
      <c r="H19" s="190" t="s">
        <v>561</v>
      </c>
      <c r="I19" s="190" t="s">
        <v>562</v>
      </c>
    </row>
    <row r="20" spans="3:12" ht="14.25" x14ac:dyDescent="0.3">
      <c r="D20" s="184" t="s">
        <v>563</v>
      </c>
      <c r="E20" s="191" t="s">
        <v>77</v>
      </c>
      <c r="F20" s="192">
        <f ca="1">Calc_LRMC!AE23</f>
        <v>24.912184611062727</v>
      </c>
      <c r="G20" s="192">
        <f ca="1">Calc_LRMC!AF23</f>
        <v>82.652453408028705</v>
      </c>
      <c r="H20" s="192">
        <f ca="1">Calc_LRMC!AG23</f>
        <v>57.340160522495609</v>
      </c>
      <c r="I20" s="192">
        <f ca="1">Calc_LRMC!AH23</f>
        <v>164.90479854158701</v>
      </c>
    </row>
    <row r="21" spans="3:12" ht="14.65" thickBot="1" x14ac:dyDescent="0.35">
      <c r="D21" s="188" t="s">
        <v>564</v>
      </c>
      <c r="E21" s="189" t="s">
        <v>77</v>
      </c>
      <c r="F21" s="193">
        <f ca="1">Calc_LRMC!AE22</f>
        <v>31.211441225589098</v>
      </c>
      <c r="G21" s="193">
        <f ca="1">Calc_LRMC!AF22</f>
        <v>36.592243389096403</v>
      </c>
      <c r="H21" s="193">
        <f ca="1">Calc_LRMC!AG22</f>
        <v>36.144538125370516</v>
      </c>
      <c r="I21" s="193">
        <f ca="1">Calc_LRMC!AH22</f>
        <v>103.94822274005604</v>
      </c>
    </row>
    <row r="24" spans="3:12" s="8" customFormat="1" ht="13.9" x14ac:dyDescent="0.3">
      <c r="C24" s="8" t="s">
        <v>565</v>
      </c>
    </row>
    <row r="25" spans="3:12" customFormat="1" ht="10.15" x14ac:dyDescent="0.3"/>
    <row r="26" spans="3:12" s="99" customFormat="1" x14ac:dyDescent="0.4">
      <c r="C26"/>
    </row>
    <row r="27" spans="3:12" s="99" customFormat="1" x14ac:dyDescent="0.4">
      <c r="C27"/>
      <c r="I27" s="110" t="str">
        <f>Output_Charts!P41</f>
        <v>Tariff</v>
      </c>
      <c r="J27" s="100" t="str">
        <f>Output_Charts!Q41</f>
        <v>Component</v>
      </c>
      <c r="K27" s="144" t="s">
        <v>281</v>
      </c>
    </row>
    <row r="28" spans="3:12" s="99" customFormat="1" x14ac:dyDescent="0.4">
      <c r="C28"/>
      <c r="I28" s="283" t="s">
        <v>298</v>
      </c>
      <c r="J28" s="101" t="str">
        <f>Output_Charts!Q42</f>
        <v>SAC</v>
      </c>
      <c r="K28" s="102">
        <f ca="1">Calc_Residual_Tariff!O106</f>
        <v>0.25812168171845984</v>
      </c>
      <c r="L28" s="159" t="s">
        <v>205</v>
      </c>
    </row>
    <row r="29" spans="3:12" s="99" customFormat="1" x14ac:dyDescent="0.4">
      <c r="C29"/>
      <c r="I29" s="283"/>
      <c r="J29" s="101" t="str">
        <f>Output_Charts!Q43</f>
        <v>Anytime Energy</v>
      </c>
      <c r="K29" s="102">
        <f ca="1">Calc_Residual_Tariff!O107</f>
        <v>0.11062357787933993</v>
      </c>
      <c r="L29" s="159"/>
    </row>
    <row r="30" spans="3:12" s="99" customFormat="1" x14ac:dyDescent="0.4">
      <c r="C30"/>
      <c r="I30" s="283" t="s">
        <v>300</v>
      </c>
      <c r="J30" s="101" t="str">
        <f>Output_Charts!Q44</f>
        <v>SAC</v>
      </c>
      <c r="K30" s="102">
        <f ca="1">Calc_Residual_Tariff!O108</f>
        <v>4.8459303447310805E-3</v>
      </c>
      <c r="L30" s="159" t="s">
        <v>206</v>
      </c>
    </row>
    <row r="31" spans="3:12" s="99" customFormat="1" x14ac:dyDescent="0.4">
      <c r="C31"/>
      <c r="I31" s="283"/>
      <c r="J31" s="101" t="str">
        <f>Output_Charts!Q45</f>
        <v>Anytime Energy</v>
      </c>
      <c r="K31" s="102">
        <f ca="1">Calc_Residual_Tariff!O109</f>
        <v>1.1945235090927549E-2</v>
      </c>
      <c r="L31" s="159"/>
    </row>
    <row r="32" spans="3:12" s="99" customFormat="1" x14ac:dyDescent="0.4">
      <c r="C32"/>
      <c r="I32" s="276" t="s">
        <v>299</v>
      </c>
      <c r="J32" s="101" t="str">
        <f>Output_Charts!Q46</f>
        <v>SAC</v>
      </c>
      <c r="K32" s="102">
        <f ca="1">Calc_Residual_Tariff!O110</f>
        <v>0.18460871780265881</v>
      </c>
      <c r="L32" s="159" t="s">
        <v>284</v>
      </c>
    </row>
    <row r="33" spans="3:12" s="99" customFormat="1" x14ac:dyDescent="0.4">
      <c r="C33"/>
      <c r="I33" s="277"/>
      <c r="J33" s="101" t="str">
        <f>Output_Charts!Q47</f>
        <v>Peak Energy</v>
      </c>
      <c r="K33" s="102">
        <f ca="1">Calc_Residual_Tariff!O111</f>
        <v>0</v>
      </c>
      <c r="L33" s="159"/>
    </row>
    <row r="34" spans="3:12" s="99" customFormat="1" x14ac:dyDescent="0.4">
      <c r="C34"/>
      <c r="I34" s="277"/>
      <c r="J34" s="101" t="str">
        <f>Output_Charts!Q48</f>
        <v>Off-peak Energy</v>
      </c>
      <c r="K34" s="102">
        <f ca="1">Calc_Residual_Tariff!O112</f>
        <v>2.0512079755850975E-2</v>
      </c>
      <c r="L34" s="159"/>
    </row>
    <row r="35" spans="3:12" s="99" customFormat="1" x14ac:dyDescent="0.4">
      <c r="C35"/>
      <c r="I35" s="278"/>
      <c r="J35" s="101" t="str">
        <f>Output_Charts!Q49</f>
        <v>Super Off-peak Energy</v>
      </c>
      <c r="K35" s="102">
        <f ca="1">Calc_Residual_Tariff!O113</f>
        <v>0</v>
      </c>
      <c r="L35" s="159"/>
    </row>
    <row r="36" spans="3:12" s="99" customFormat="1" x14ac:dyDescent="0.4">
      <c r="C36"/>
      <c r="I36" s="276" t="s">
        <v>301</v>
      </c>
      <c r="J36" s="101" t="str">
        <f>Output_Charts!Q50</f>
        <v>SAC</v>
      </c>
      <c r="K36" s="102">
        <f ca="1">Calc_Residual_Tariff!O114</f>
        <v>2.7871788223380538E-2</v>
      </c>
      <c r="L36" s="159" t="s">
        <v>285</v>
      </c>
    </row>
    <row r="37" spans="3:12" s="99" customFormat="1" x14ac:dyDescent="0.4">
      <c r="C37"/>
      <c r="I37" s="277"/>
      <c r="J37" s="101" t="str">
        <f>Output_Charts!Q51</f>
        <v>Peak Energy</v>
      </c>
      <c r="K37" s="102">
        <f ca="1">Calc_Residual_Tariff!O115</f>
        <v>0</v>
      </c>
      <c r="L37" s="159"/>
    </row>
    <row r="38" spans="3:12" s="99" customFormat="1" x14ac:dyDescent="0.4">
      <c r="C38"/>
      <c r="I38" s="277"/>
      <c r="J38" s="101" t="str">
        <f>Output_Charts!Q52</f>
        <v>Off-peak Energy</v>
      </c>
      <c r="K38" s="102">
        <f ca="1">Calc_Residual_Tariff!O116</f>
        <v>0.11148715289352215</v>
      </c>
      <c r="L38" s="159"/>
    </row>
    <row r="39" spans="3:12" s="99" customFormat="1" x14ac:dyDescent="0.4">
      <c r="C39"/>
      <c r="I39" s="278"/>
      <c r="J39" s="101" t="str">
        <f>Output_Charts!Q53</f>
        <v>Super Off-peak Energy</v>
      </c>
      <c r="K39" s="102">
        <f ca="1">Calc_Residual_Tariff!O117</f>
        <v>0</v>
      </c>
      <c r="L39" s="159"/>
    </row>
    <row r="40" spans="3:12" s="99" customFormat="1" x14ac:dyDescent="0.4">
      <c r="C40"/>
      <c r="I40" s="276" t="s">
        <v>302</v>
      </c>
      <c r="J40" s="101" t="str">
        <f>Output_Charts!Q54</f>
        <v>SAC</v>
      </c>
      <c r="K40" s="102">
        <f ca="1">Calc_Residual_Tariff!O118</f>
        <v>2.1743282701138313E-2</v>
      </c>
      <c r="L40" s="159" t="s">
        <v>286</v>
      </c>
    </row>
    <row r="41" spans="3:12" s="99" customFormat="1" x14ac:dyDescent="0.4">
      <c r="C41"/>
      <c r="I41" s="277"/>
      <c r="J41" s="101" t="str">
        <f>Output_Charts!Q55</f>
        <v>Peak Energy</v>
      </c>
      <c r="K41" s="102">
        <f ca="1">Calc_Residual_Tariff!O119</f>
        <v>0</v>
      </c>
      <c r="L41" s="159"/>
    </row>
    <row r="42" spans="3:12" s="99" customFormat="1" x14ac:dyDescent="0.4">
      <c r="C42"/>
      <c r="I42" s="277"/>
      <c r="J42" s="101" t="str">
        <f>Output_Charts!Q56</f>
        <v>Off-peak Energy</v>
      </c>
      <c r="K42" s="102">
        <f ca="1">Calc_Residual_Tariff!O120</f>
        <v>4.4145452756856572E-2</v>
      </c>
      <c r="L42" s="159"/>
    </row>
    <row r="43" spans="3:12" s="99" customFormat="1" x14ac:dyDescent="0.4">
      <c r="I43" s="278"/>
      <c r="J43" s="101" t="str">
        <f>Output_Charts!Q57</f>
        <v>Super Off-peak Energy</v>
      </c>
      <c r="K43" s="102">
        <f ca="1">Calc_Residual_Tariff!O121</f>
        <v>0</v>
      </c>
      <c r="L43" s="159"/>
    </row>
    <row r="44" spans="3:12" s="99" customFormat="1" x14ac:dyDescent="0.4">
      <c r="I44" s="103" t="s">
        <v>303</v>
      </c>
      <c r="J44" s="101" t="str">
        <f>Output_Charts!Q58</f>
        <v>Anytime Energy</v>
      </c>
      <c r="K44" s="102">
        <f ca="1">Calc_Residual_Tariff!O122</f>
        <v>1.5917363902836778E-2</v>
      </c>
      <c r="L44" s="160" t="s">
        <v>287</v>
      </c>
    </row>
    <row r="45" spans="3:12" s="99" customFormat="1" x14ac:dyDescent="0.4">
      <c r="I45" s="276" t="s">
        <v>304</v>
      </c>
      <c r="J45" s="101" t="str">
        <f>Output_Charts!Q59</f>
        <v>SAC</v>
      </c>
      <c r="K45" s="102">
        <f ca="1">Calc_Residual_Tariff!O123</f>
        <v>7.1805182885880059E-2</v>
      </c>
      <c r="L45" s="159" t="s">
        <v>288</v>
      </c>
    </row>
    <row r="46" spans="3:12" s="99" customFormat="1" x14ac:dyDescent="0.4">
      <c r="I46" s="277"/>
      <c r="J46" s="101" t="str">
        <f>Output_Charts!Q60</f>
        <v>Anytime Energy Price</v>
      </c>
      <c r="K46" s="102">
        <f ca="1">Calc_Residual_Tariff!O124</f>
        <v>1.0257883269411438E-2</v>
      </c>
      <c r="L46" s="159"/>
    </row>
    <row r="47" spans="3:12" s="99" customFormat="1" x14ac:dyDescent="0.4">
      <c r="I47" s="277"/>
      <c r="J47" s="101" t="str">
        <f>Output_Charts!Q61</f>
        <v>On-Season Demand</v>
      </c>
      <c r="K47" s="102">
        <f ca="1">Calc_Residual_Tariff!O125</f>
        <v>0</v>
      </c>
      <c r="L47" s="159"/>
    </row>
    <row r="48" spans="3:12" s="99" customFormat="1" x14ac:dyDescent="0.4">
      <c r="I48" s="278"/>
      <c r="J48" s="101" t="str">
        <f>Output_Charts!Q62</f>
        <v>Off-Season Demand</v>
      </c>
      <c r="K48" s="102">
        <f ca="1">Calc_Residual_Tariff!O126</f>
        <v>0</v>
      </c>
      <c r="L48" s="159"/>
    </row>
    <row r="49" spans="3:18" s="99" customFormat="1" x14ac:dyDescent="0.4">
      <c r="I49" s="276" t="s">
        <v>305</v>
      </c>
      <c r="J49" s="101" t="str">
        <f>Output_Charts!Q63</f>
        <v>SAC</v>
      </c>
      <c r="K49" s="102">
        <f ca="1">Calc_Residual_Tariff!O127</f>
        <v>1.3718117498399459E-2</v>
      </c>
      <c r="L49" s="159" t="s">
        <v>289</v>
      </c>
    </row>
    <row r="50" spans="3:18" s="99" customFormat="1" x14ac:dyDescent="0.4">
      <c r="I50" s="277"/>
      <c r="J50" s="101" t="str">
        <f>Output_Charts!Q64</f>
        <v>Anytime Energy Price</v>
      </c>
      <c r="K50" s="102">
        <f ca="1">Calc_Residual_Tariff!O128</f>
        <v>4.1154352495198374E-2</v>
      </c>
      <c r="L50" s="159"/>
    </row>
    <row r="51" spans="3:18" s="99" customFormat="1" x14ac:dyDescent="0.4">
      <c r="I51" s="277"/>
      <c r="J51" s="101" t="str">
        <f>Output_Charts!Q65</f>
        <v>On-Season Demand</v>
      </c>
      <c r="K51" s="102">
        <f ca="1">Calc_Residual_Tariff!O129</f>
        <v>0</v>
      </c>
      <c r="L51" s="159"/>
    </row>
    <row r="52" spans="3:18" s="99" customFormat="1" x14ac:dyDescent="0.4">
      <c r="I52" s="278"/>
      <c r="J52" s="101" t="str">
        <f>Output_Charts!Q66</f>
        <v>Off-Season Demand</v>
      </c>
      <c r="K52" s="102">
        <f ca="1">Calc_Residual_Tariff!O130</f>
        <v>0</v>
      </c>
      <c r="L52" s="159"/>
    </row>
    <row r="53" spans="3:18" s="99" customFormat="1" x14ac:dyDescent="0.4">
      <c r="I53" s="283" t="s">
        <v>306</v>
      </c>
      <c r="J53" s="101" t="str">
        <f>Output_Charts!Q67</f>
        <v>SAC</v>
      </c>
      <c r="K53" s="102">
        <f ca="1">Calc_Residual_Tariff!O131</f>
        <v>1.7934770273492953E-2</v>
      </c>
      <c r="L53" s="159" t="s">
        <v>290</v>
      </c>
    </row>
    <row r="54" spans="3:18" s="99" customFormat="1" x14ac:dyDescent="0.4">
      <c r="I54" s="283"/>
      <c r="J54" s="101" t="str">
        <f>Output_Charts!Q68</f>
        <v>Anytime Energy</v>
      </c>
      <c r="K54" s="102">
        <f ca="1">Calc_Residual_Tariff!O132</f>
        <v>3.3307430507915486E-2</v>
      </c>
      <c r="L54" s="159"/>
    </row>
    <row r="55" spans="3:18" s="99" customFormat="1" x14ac:dyDescent="0.4">
      <c r="I55" s="279" t="s">
        <v>51</v>
      </c>
      <c r="J55" s="280"/>
      <c r="K55" s="104">
        <f ca="1">SUM(K28:K54)</f>
        <v>1.0000000000000007</v>
      </c>
      <c r="L55" s="161"/>
    </row>
    <row r="56" spans="3:18" s="99" customFormat="1" x14ac:dyDescent="0.4"/>
    <row r="58" spans="3:18" s="8" customFormat="1" ht="13.9" x14ac:dyDescent="0.3">
      <c r="C58" s="8" t="s">
        <v>641</v>
      </c>
    </row>
    <row r="60" spans="3:18" x14ac:dyDescent="0.3">
      <c r="L60" s="238" t="s">
        <v>118</v>
      </c>
      <c r="M60" s="139" t="str">
        <f>Lookup!N$19</f>
        <v>FY24</v>
      </c>
      <c r="N60" s="139" t="str">
        <f>Lookup!O$19</f>
        <v>FY25</v>
      </c>
      <c r="O60" s="139" t="str">
        <f>Lookup!P$19</f>
        <v>FY26</v>
      </c>
      <c r="P60" s="139" t="str">
        <f>Lookup!Q$19</f>
        <v>FY27</v>
      </c>
      <c r="Q60" s="139" t="str">
        <f>Lookup!R$19</f>
        <v>FY28</v>
      </c>
      <c r="R60" s="139" t="str">
        <f>Lookup!S$19</f>
        <v>FY29</v>
      </c>
    </row>
    <row r="61" spans="3:18" x14ac:dyDescent="0.4">
      <c r="L61" s="239" t="s">
        <v>617</v>
      </c>
      <c r="M61" s="240">
        <f>T$300</f>
        <v>1079.3</v>
      </c>
      <c r="N61" s="240">
        <f t="shared" ref="N61:R61" si="0">U$300</f>
        <v>1346.7771860558994</v>
      </c>
      <c r="O61" s="240">
        <f t="shared" si="0"/>
        <v>1524.0030511067621</v>
      </c>
      <c r="P61" s="240">
        <f t="shared" si="0"/>
        <v>1696.4080643980567</v>
      </c>
      <c r="Q61" s="240">
        <f t="shared" si="0"/>
        <v>1903.1991652781203</v>
      </c>
      <c r="R61" s="240">
        <f t="shared" si="0"/>
        <v>2022.9609092996379</v>
      </c>
    </row>
    <row r="62" spans="3:18" x14ac:dyDescent="0.4">
      <c r="L62" s="239" t="s">
        <v>619</v>
      </c>
      <c r="M62" s="240">
        <f>T$303</f>
        <v>1258.25</v>
      </c>
      <c r="N62" s="240">
        <f t="shared" ref="N62:R62" si="1">U$303</f>
        <v>1339.8552514951921</v>
      </c>
      <c r="O62" s="240">
        <f t="shared" si="1"/>
        <v>1503.6254990824584</v>
      </c>
      <c r="P62" s="240">
        <f t="shared" si="1"/>
        <v>1676.2370128185889</v>
      </c>
      <c r="Q62" s="240">
        <f t="shared" si="1"/>
        <v>1882.0551238279199</v>
      </c>
      <c r="R62" s="240">
        <f t="shared" si="1"/>
        <v>2010.3304782247847</v>
      </c>
    </row>
    <row r="76" spans="3:17" s="8" customFormat="1" ht="13.9" x14ac:dyDescent="0.3">
      <c r="C76" s="8" t="s">
        <v>566</v>
      </c>
    </row>
    <row r="78" spans="3:17" x14ac:dyDescent="0.3">
      <c r="L78" s="238" t="s">
        <v>118</v>
      </c>
      <c r="M78" s="139" t="str">
        <f>Lookup!O$19</f>
        <v>FY25</v>
      </c>
      <c r="N78" s="139" t="str">
        <f>Lookup!P$19</f>
        <v>FY26</v>
      </c>
      <c r="O78" s="139" t="str">
        <f>Lookup!Q$19</f>
        <v>FY27</v>
      </c>
      <c r="P78" s="139" t="str">
        <f>Lookup!R$19</f>
        <v>FY28</v>
      </c>
      <c r="Q78" s="139" t="str">
        <f>Lookup!S$19</f>
        <v>FY29</v>
      </c>
    </row>
    <row r="79" spans="3:17" x14ac:dyDescent="0.4">
      <c r="L79" s="239" t="s">
        <v>617</v>
      </c>
      <c r="M79" s="245">
        <f>AG300</f>
        <v>0.24782468827564111</v>
      </c>
      <c r="N79" s="245">
        <f>AH300</f>
        <v>0.13159256548581508</v>
      </c>
      <c r="O79" s="245">
        <f>AI300</f>
        <v>0.11312642265780937</v>
      </c>
      <c r="P79" s="245">
        <f>AJ300</f>
        <v>0.12189938566074909</v>
      </c>
      <c r="Q79" s="245">
        <f>AK300</f>
        <v>6.2926542952753184E-2</v>
      </c>
    </row>
    <row r="80" spans="3:17" x14ac:dyDescent="0.4">
      <c r="L80" s="239" t="s">
        <v>619</v>
      </c>
      <c r="M80" s="245">
        <f>AG303</f>
        <v>6.485615060217928E-2</v>
      </c>
      <c r="N80" s="245">
        <f>AH303</f>
        <v>0.12222980609622518</v>
      </c>
      <c r="O80" s="245">
        <f>AI303</f>
        <v>0.11479687850562618</v>
      </c>
      <c r="P80" s="245">
        <f>AJ303</f>
        <v>0.12278580501169599</v>
      </c>
      <c r="Q80" s="245">
        <f>AK303</f>
        <v>6.8157065525246099E-2</v>
      </c>
    </row>
    <row r="94" spans="3:3" s="8" customFormat="1" ht="13.9" x14ac:dyDescent="0.3">
      <c r="C94" s="8" t="s">
        <v>567</v>
      </c>
    </row>
    <row r="116" spans="3:3" s="8" customFormat="1" ht="13.9" x14ac:dyDescent="0.3">
      <c r="C116" s="8" t="s">
        <v>568</v>
      </c>
    </row>
    <row r="137" spans="3:3" s="8" customFormat="1" ht="13.9" x14ac:dyDescent="0.3">
      <c r="C137" s="8" t="s">
        <v>569</v>
      </c>
    </row>
    <row r="157" spans="3:18" s="8" customFormat="1" ht="13.9" x14ac:dyDescent="0.3">
      <c r="C157" s="8" t="s">
        <v>642</v>
      </c>
    </row>
    <row r="158" spans="3:18" ht="13.5" thickBot="1" x14ac:dyDescent="0.35"/>
    <row r="159" spans="3:18" ht="58.5" x14ac:dyDescent="0.3">
      <c r="C159" s="182" t="s">
        <v>118</v>
      </c>
      <c r="D159" s="194" t="s">
        <v>570</v>
      </c>
      <c r="E159" s="194" t="s">
        <v>571</v>
      </c>
      <c r="F159" s="183" t="s">
        <v>572</v>
      </c>
      <c r="G159" s="183" t="s">
        <v>74</v>
      </c>
      <c r="H159" s="183" t="s">
        <v>76</v>
      </c>
      <c r="I159" s="195" t="s">
        <v>573</v>
      </c>
      <c r="J159" s="190"/>
      <c r="K159" s="196" t="s">
        <v>574</v>
      </c>
      <c r="L159" s="183"/>
      <c r="M159" s="197" t="s">
        <v>575</v>
      </c>
      <c r="N159" s="197" t="s">
        <v>576</v>
      </c>
      <c r="R159" s="295" t="s">
        <v>643</v>
      </c>
    </row>
    <row r="160" spans="3:18" ht="14.25" x14ac:dyDescent="0.3">
      <c r="C160" s="198"/>
      <c r="D160" s="199"/>
      <c r="E160" s="199" t="s">
        <v>228</v>
      </c>
      <c r="F160" s="199" t="s">
        <v>228</v>
      </c>
      <c r="G160" s="199"/>
      <c r="H160" s="199"/>
      <c r="I160" s="199" t="s">
        <v>577</v>
      </c>
      <c r="J160" s="199" t="s">
        <v>578</v>
      </c>
      <c r="K160" s="199" t="s">
        <v>199</v>
      </c>
      <c r="L160" s="199" t="s">
        <v>198</v>
      </c>
      <c r="M160" s="200"/>
      <c r="N160" s="200"/>
      <c r="R160" s="296"/>
    </row>
    <row r="161" spans="3:18" ht="15.75" x14ac:dyDescent="0.3">
      <c r="C161" s="201">
        <v>1</v>
      </c>
      <c r="D161" s="202" t="s">
        <v>579</v>
      </c>
      <c r="E161" s="203">
        <f>Inputs_Volumes!O20/Lookup!O$17</f>
        <v>43810.753334597604</v>
      </c>
      <c r="F161" s="203">
        <f>Inputs_Volumes!S20/Lookup!S$17</f>
        <v>35589.012595843327</v>
      </c>
      <c r="G161" s="203">
        <f>L300</f>
        <v>8500</v>
      </c>
      <c r="H161" s="203">
        <f>H300</f>
        <v>0</v>
      </c>
      <c r="I161" s="203">
        <f>T300</f>
        <v>1079.3</v>
      </c>
      <c r="J161" s="203">
        <f>U300</f>
        <v>1346.7771860558994</v>
      </c>
      <c r="K161" s="203">
        <f>J161-I161</f>
        <v>267.47718605589944</v>
      </c>
      <c r="L161" s="246">
        <f>K161/I161</f>
        <v>0.24782468827564111</v>
      </c>
      <c r="M161" s="246">
        <f t="shared" ref="M161:M168" si="2">R161</f>
        <v>0.56999999999999995</v>
      </c>
      <c r="N161" s="246" t="s">
        <v>580</v>
      </c>
      <c r="R161" s="249">
        <v>0.56999999999999995</v>
      </c>
    </row>
    <row r="162" spans="3:18" ht="15.75" x14ac:dyDescent="0.3">
      <c r="C162" s="204">
        <v>2</v>
      </c>
      <c r="D162" s="205" t="s">
        <v>581</v>
      </c>
      <c r="E162" s="206">
        <f>Inputs_Volumes!O21/Lookup!O$17</f>
        <v>2192.6701995819194</v>
      </c>
      <c r="F162" s="206">
        <f>Inputs_Volumes!S21/Lookup!S$17</f>
        <v>0</v>
      </c>
      <c r="G162" s="206">
        <f>L301</f>
        <v>30000</v>
      </c>
      <c r="H162" s="206">
        <f>H301</f>
        <v>0</v>
      </c>
      <c r="I162" s="206">
        <f>T301</f>
        <v>2605.8000000000002</v>
      </c>
      <c r="J162" s="206">
        <f>U301</f>
        <v>3179.4678791028537</v>
      </c>
      <c r="K162" s="206">
        <f t="shared" ref="K162:K168" si="3">J162-I162</f>
        <v>573.66787910285348</v>
      </c>
      <c r="L162" s="247">
        <f t="shared" ref="L162:L168" si="4">K162/I162</f>
        <v>0.22015038725261088</v>
      </c>
      <c r="M162" s="247">
        <f t="shared" si="2"/>
        <v>0.34</v>
      </c>
      <c r="N162" s="247" t="s">
        <v>582</v>
      </c>
      <c r="R162" s="249">
        <v>0.34</v>
      </c>
    </row>
    <row r="163" spans="3:18" ht="15.75" x14ac:dyDescent="0.3">
      <c r="C163" s="201" t="s">
        <v>494</v>
      </c>
      <c r="D163" s="202" t="s">
        <v>583</v>
      </c>
      <c r="E163" s="203">
        <f>Inputs_Volumes!O22/Lookup!O$17</f>
        <v>29223.816574265235</v>
      </c>
      <c r="F163" s="203">
        <f>Inputs_Volumes!S22/Lookup!S$17</f>
        <v>38332.520268036649</v>
      </c>
      <c r="G163" s="203">
        <f>L303</f>
        <v>8500</v>
      </c>
      <c r="H163" s="203">
        <f>H303</f>
        <v>20</v>
      </c>
      <c r="I163" s="203">
        <f>T303</f>
        <v>1258.25</v>
      </c>
      <c r="J163" s="203">
        <f>U303</f>
        <v>1339.8552514951921</v>
      </c>
      <c r="K163" s="203">
        <f t="shared" si="3"/>
        <v>81.605251495192078</v>
      </c>
      <c r="L163" s="246">
        <f t="shared" si="4"/>
        <v>6.485615060217928E-2</v>
      </c>
      <c r="M163" s="246">
        <f t="shared" si="2"/>
        <v>0.56999999999999995</v>
      </c>
      <c r="N163" s="246" t="s">
        <v>580</v>
      </c>
      <c r="R163" s="249">
        <v>0.56999999999999995</v>
      </c>
    </row>
    <row r="164" spans="3:18" ht="15.75" x14ac:dyDescent="0.3">
      <c r="C164" s="204" t="s">
        <v>495</v>
      </c>
      <c r="D164" s="205" t="s">
        <v>584</v>
      </c>
      <c r="E164" s="206">
        <f>Inputs_Volumes!O23/Lookup!O$17</f>
        <v>8305.3789297831463</v>
      </c>
      <c r="F164" s="206">
        <f>Inputs_Volumes!S23/Lookup!S$17</f>
        <v>10617.988885424827</v>
      </c>
      <c r="G164" s="206">
        <f>L305</f>
        <v>30000</v>
      </c>
      <c r="H164" s="206">
        <f>H305</f>
        <v>150</v>
      </c>
      <c r="I164" s="206">
        <f>T305</f>
        <v>4257</v>
      </c>
      <c r="J164" s="206">
        <f>U305</f>
        <v>3175.06394968217</v>
      </c>
      <c r="K164" s="206">
        <f t="shared" si="3"/>
        <v>-1081.93605031783</v>
      </c>
      <c r="L164" s="247">
        <f t="shared" si="4"/>
        <v>-0.25415458076528774</v>
      </c>
      <c r="M164" s="247">
        <f t="shared" si="2"/>
        <v>0.34</v>
      </c>
      <c r="N164" s="247" t="s">
        <v>582</v>
      </c>
      <c r="R164" s="249">
        <v>0.34</v>
      </c>
    </row>
    <row r="165" spans="3:18" ht="15.75" x14ac:dyDescent="0.3">
      <c r="C165" s="201" t="s">
        <v>496</v>
      </c>
      <c r="D165" s="202" t="s">
        <v>585</v>
      </c>
      <c r="E165" s="203">
        <f>Inputs_Volumes!O24/Lookup!O$17</f>
        <v>753.94243688928862</v>
      </c>
      <c r="F165" s="203">
        <f>Inputs_Volumes!S24/Lookup!S$17</f>
        <v>856.81075646080433</v>
      </c>
      <c r="G165" s="203">
        <f>L307</f>
        <v>250000</v>
      </c>
      <c r="H165" s="203">
        <f>H307</f>
        <v>500</v>
      </c>
      <c r="I165" s="203">
        <f>T307</f>
        <v>14357</v>
      </c>
      <c r="J165" s="203">
        <f>U307</f>
        <v>17733.207491429341</v>
      </c>
      <c r="K165" s="203">
        <f t="shared" si="3"/>
        <v>3376.2074914293407</v>
      </c>
      <c r="L165" s="246">
        <f t="shared" si="4"/>
        <v>0.23516107065747305</v>
      </c>
      <c r="M165" s="246">
        <f t="shared" si="2"/>
        <v>0.24</v>
      </c>
      <c r="N165" s="246" t="s">
        <v>580</v>
      </c>
      <c r="R165" s="249">
        <v>0.24</v>
      </c>
    </row>
    <row r="166" spans="3:18" ht="14.25" x14ac:dyDescent="0.3">
      <c r="C166" s="204">
        <v>5</v>
      </c>
      <c r="D166" s="205" t="s">
        <v>70</v>
      </c>
      <c r="E166" s="206">
        <f>Inputs_Volumes!O26/Lookup!O$17</f>
        <v>157.94184815909028</v>
      </c>
      <c r="F166" s="206">
        <f>Inputs_Volumes!S26/Lookup!S$17</f>
        <v>168.42358037409625</v>
      </c>
      <c r="G166" s="206">
        <f>L310</f>
        <v>3200000</v>
      </c>
      <c r="H166" s="206">
        <f>H310</f>
        <v>6675</v>
      </c>
      <c r="I166" s="206">
        <f>T310</f>
        <v>164055</v>
      </c>
      <c r="J166" s="206">
        <f>U310</f>
        <v>142740.57763540366</v>
      </c>
      <c r="K166" s="206">
        <f t="shared" si="3"/>
        <v>-21314.422364596336</v>
      </c>
      <c r="L166" s="247">
        <f t="shared" si="4"/>
        <v>-0.12992241848524175</v>
      </c>
      <c r="M166" s="247">
        <f t="shared" si="2"/>
        <v>0.24</v>
      </c>
      <c r="N166" s="247">
        <f>L166*M166</f>
        <v>-3.1181380436458017E-2</v>
      </c>
      <c r="R166" s="249">
        <v>0.24</v>
      </c>
    </row>
    <row r="167" spans="3:18" ht="14.25" x14ac:dyDescent="0.3">
      <c r="C167" s="201">
        <v>6</v>
      </c>
      <c r="D167" s="202" t="s">
        <v>586</v>
      </c>
      <c r="E167" s="203">
        <f>Inputs_Volumes!O27/Lookup!O$17</f>
        <v>37.624170447087288</v>
      </c>
      <c r="F167" s="203">
        <f>Inputs_Volumes!S27/Lookup!S$17</f>
        <v>52.411757089812681</v>
      </c>
      <c r="G167" s="203">
        <f>L312</f>
        <v>1600000</v>
      </c>
      <c r="H167" s="203">
        <f>H312</f>
        <v>6850</v>
      </c>
      <c r="I167" s="203">
        <f>T312</f>
        <v>131710.85499999998</v>
      </c>
      <c r="J167" s="203">
        <f>U312</f>
        <v>129969.82675668408</v>
      </c>
      <c r="K167" s="203">
        <f t="shared" si="3"/>
        <v>-1741.0282433159009</v>
      </c>
      <c r="L167" s="246">
        <f t="shared" si="4"/>
        <v>-1.3218563066164144E-2</v>
      </c>
      <c r="M167" s="246">
        <f t="shared" si="2"/>
        <v>0.24</v>
      </c>
      <c r="N167" s="246">
        <f t="shared" ref="N167:N168" si="5">L167*M167</f>
        <v>-3.1724551358793943E-3</v>
      </c>
      <c r="R167" s="249">
        <v>0.24</v>
      </c>
    </row>
    <row r="168" spans="3:18" ht="14.65" thickBot="1" x14ac:dyDescent="0.35">
      <c r="C168" s="207">
        <v>7</v>
      </c>
      <c r="D168" s="208" t="s">
        <v>587</v>
      </c>
      <c r="E168" s="209">
        <f>Inputs_Volumes!O28/Lookup!O$17</f>
        <v>13.795529163932004</v>
      </c>
      <c r="F168" s="209">
        <f>Inputs_Volumes!S28/Lookup!S$17</f>
        <v>19.217644266264649</v>
      </c>
      <c r="G168" s="209">
        <f>L315</f>
        <v>25000000</v>
      </c>
      <c r="H168" s="209">
        <f>H315</f>
        <v>53000</v>
      </c>
      <c r="I168" s="209">
        <f>T315</f>
        <v>1035905.8999999999</v>
      </c>
      <c r="J168" s="209">
        <f>U315</f>
        <v>847695.33484654617</v>
      </c>
      <c r="K168" s="209">
        <f t="shared" si="3"/>
        <v>-188210.56515345373</v>
      </c>
      <c r="L168" s="248">
        <f t="shared" si="4"/>
        <v>-0.18168693232990926</v>
      </c>
      <c r="M168" s="248">
        <f t="shared" si="2"/>
        <v>0.14000000000000001</v>
      </c>
      <c r="N168" s="248">
        <f t="shared" si="5"/>
        <v>-2.54361705261873E-2</v>
      </c>
      <c r="R168" s="249">
        <v>0.14000000000000001</v>
      </c>
    </row>
    <row r="171" spans="3:18" s="8" customFormat="1" ht="13.9" x14ac:dyDescent="0.3">
      <c r="C171" s="8" t="s">
        <v>588</v>
      </c>
    </row>
    <row r="172" spans="3:18" ht="13.5" thickBot="1" x14ac:dyDescent="0.35"/>
    <row r="173" spans="3:18" ht="14.25" x14ac:dyDescent="0.3">
      <c r="C173" s="285" t="s">
        <v>118</v>
      </c>
      <c r="D173" s="286"/>
      <c r="E173" s="289" t="s">
        <v>589</v>
      </c>
      <c r="F173" s="290"/>
      <c r="G173" s="290"/>
      <c r="H173" s="290"/>
      <c r="I173" s="291"/>
    </row>
    <row r="174" spans="3:18" ht="14.25" x14ac:dyDescent="0.3">
      <c r="C174" s="287"/>
      <c r="D174" s="288"/>
      <c r="E174" s="211" t="s">
        <v>578</v>
      </c>
      <c r="F174" s="211" t="s">
        <v>590</v>
      </c>
      <c r="G174" s="211" t="s">
        <v>591</v>
      </c>
      <c r="H174" s="211" t="s">
        <v>592</v>
      </c>
      <c r="I174" s="211" t="s">
        <v>593</v>
      </c>
    </row>
    <row r="175" spans="3:18" ht="14.25" x14ac:dyDescent="0.3">
      <c r="C175" s="212">
        <v>1</v>
      </c>
      <c r="D175" s="213" t="s">
        <v>243</v>
      </c>
      <c r="E175" s="214"/>
      <c r="F175" s="214"/>
      <c r="G175" s="214"/>
      <c r="H175" s="214"/>
      <c r="I175" s="214"/>
    </row>
    <row r="176" spans="3:18" ht="14.25" x14ac:dyDescent="0.3">
      <c r="C176" s="212"/>
      <c r="D176" s="215" t="s">
        <v>594</v>
      </c>
      <c r="E176" s="261">
        <f>Inputs_Prices!O$20/Inputs_Other!O$34</f>
        <v>2.5634305239602511</v>
      </c>
      <c r="F176" s="261">
        <f>Inputs_Prices!P$20/Inputs_Other!P$34</f>
        <v>2.8103797727455024</v>
      </c>
      <c r="G176" s="261">
        <f>Inputs_Prices!Q$20/Inputs_Other!Q$34</f>
        <v>3.0307764203141994</v>
      </c>
      <c r="H176" s="261">
        <f>Inputs_Prices!R$20/Inputs_Other!R$34</f>
        <v>3.2851482296656092</v>
      </c>
      <c r="I176" s="261">
        <f>Inputs_Prices!S$20/Inputs_Other!S$34</f>
        <v>3.3921322101474507</v>
      </c>
    </row>
    <row r="177" spans="3:9" ht="14.25" x14ac:dyDescent="0.3">
      <c r="C177" s="212"/>
      <c r="D177" s="215" t="s">
        <v>595</v>
      </c>
      <c r="E177" s="261">
        <f>Inputs_Prices!O$35/Inputs_Other!O$34</f>
        <v>4.3872878133931245E-2</v>
      </c>
      <c r="F177" s="261">
        <f>Inputs_Prices!P$35/Inputs_Other!P$34</f>
        <v>4.8585244303770925E-2</v>
      </c>
      <c r="G177" s="261">
        <f>Inputs_Prices!Q$35/Inputs_Other!Q$34</f>
        <v>5.2924661008913222E-2</v>
      </c>
      <c r="H177" s="261">
        <f>Inputs_Prices!R$35/Inputs_Other!R$34</f>
        <v>5.8104822893665614E-2</v>
      </c>
      <c r="I177" s="261">
        <f>Inputs_Prices!S$35/Inputs_Other!S$34</f>
        <v>6.0437510489874606E-2</v>
      </c>
    </row>
    <row r="178" spans="3:9" ht="14.25" x14ac:dyDescent="0.3">
      <c r="C178" s="216">
        <v>2</v>
      </c>
      <c r="D178" s="217" t="s">
        <v>244</v>
      </c>
      <c r="E178" s="262"/>
      <c r="F178" s="262"/>
      <c r="G178" s="262"/>
      <c r="H178" s="262"/>
      <c r="I178" s="262"/>
    </row>
    <row r="179" spans="3:9" ht="14.25" x14ac:dyDescent="0.3">
      <c r="C179" s="216"/>
      <c r="D179" s="218" t="s">
        <v>594</v>
      </c>
      <c r="E179" s="262">
        <f>Inputs_Prices!O$21/Inputs_Other!O$34</f>
        <v>1.5228727738914547</v>
      </c>
      <c r="F179" s="262">
        <f>Inputs_Prices!P$21/Inputs_Other!P$34</f>
        <v>1.6448310538144963</v>
      </c>
      <c r="G179" s="262">
        <f>Inputs_Prices!Q$21/Inputs_Other!Q$34</f>
        <v>1.785445869029086</v>
      </c>
      <c r="H179" s="262">
        <f>Inputs_Prices!R$21/Inputs_Other!R$34</f>
        <v>0</v>
      </c>
      <c r="I179" s="262">
        <f>Inputs_Prices!S$21/Inputs_Other!S$34</f>
        <v>0</v>
      </c>
    </row>
    <row r="180" spans="3:9" ht="14.25" x14ac:dyDescent="0.3">
      <c r="C180" s="216"/>
      <c r="D180" s="218" t="s">
        <v>595</v>
      </c>
      <c r="E180" s="262">
        <f>Inputs_Prices!O$36/Inputs_Other!O$34</f>
        <v>8.4447456226449988E-2</v>
      </c>
      <c r="F180" s="262">
        <f>Inputs_Prices!P$36/Inputs_Other!P$34</f>
        <v>9.2131693002322559E-2</v>
      </c>
      <c r="G180" s="262">
        <f>Inputs_Prices!Q$36/Inputs_Other!Q$34</f>
        <v>0.10101811220787194</v>
      </c>
      <c r="H180" s="262">
        <f>Inputs_Prices!R$36/Inputs_Other!R$34</f>
        <v>0</v>
      </c>
      <c r="I180" s="262">
        <f>Inputs_Prices!S$36/Inputs_Other!S$34</f>
        <v>0</v>
      </c>
    </row>
    <row r="181" spans="3:9" ht="14.25" x14ac:dyDescent="0.3">
      <c r="C181" s="212" t="s">
        <v>494</v>
      </c>
      <c r="D181" s="213" t="s">
        <v>245</v>
      </c>
      <c r="E181" s="261"/>
      <c r="F181" s="261"/>
      <c r="G181" s="261"/>
      <c r="H181" s="261"/>
      <c r="I181" s="261"/>
    </row>
    <row r="182" spans="3:9" ht="14.25" x14ac:dyDescent="0.3">
      <c r="C182" s="212"/>
      <c r="D182" s="215" t="s">
        <v>594</v>
      </c>
      <c r="E182" s="261">
        <f>Inputs_Prices!O$22/Inputs_Other!O$34</f>
        <v>1.8590359314551859</v>
      </c>
      <c r="F182" s="261">
        <f>Inputs_Prices!P$22/Inputs_Other!P$34</f>
        <v>2.0308223200744044</v>
      </c>
      <c r="G182" s="261">
        <f>Inputs_Prices!Q$22/Inputs_Other!Q$34</f>
        <v>2.2108044374218401</v>
      </c>
      <c r="H182" s="261">
        <f>Inputs_Prices!R$22/Inputs_Other!R$34</f>
        <v>2.4036891448486797</v>
      </c>
      <c r="I182" s="261">
        <f>Inputs_Prices!S$22/Inputs_Other!S$34</f>
        <v>2.3925581906313598</v>
      </c>
    </row>
    <row r="183" spans="3:9" ht="14.25" x14ac:dyDescent="0.3">
      <c r="C183" s="212"/>
      <c r="D183" s="215" t="s">
        <v>596</v>
      </c>
      <c r="E183" s="261">
        <f>Inputs_Prices!O$37/Inputs_Other!O$34</f>
        <v>0.45130768023348439</v>
      </c>
      <c r="F183" s="261">
        <f>Inputs_Prices!P$37/Inputs_Other!P$34</f>
        <v>0.48511751519017587</v>
      </c>
      <c r="G183" s="261">
        <f>Inputs_Prices!Q$37/Inputs_Other!Q$34</f>
        <v>0.51550771327402689</v>
      </c>
      <c r="H183" s="261">
        <f>Inputs_Prices!R$37/Inputs_Other!R$34</f>
        <v>0.55448125894794198</v>
      </c>
      <c r="I183" s="261">
        <f>Inputs_Prices!S$37/Inputs_Other!S$34</f>
        <v>0.60367572159317529</v>
      </c>
    </row>
    <row r="184" spans="3:9" ht="14.25" x14ac:dyDescent="0.3">
      <c r="C184" s="212"/>
      <c r="D184" s="215" t="s">
        <v>597</v>
      </c>
      <c r="E184" s="261">
        <f>Inputs_Prices!O$38/Inputs_Other!O$34</f>
        <v>1.6655648248792641E-2</v>
      </c>
      <c r="F184" s="261">
        <f>Inputs_Prices!P$38/Inputs_Other!P$34</f>
        <v>1.9394579154453993E-2</v>
      </c>
      <c r="G184" s="261">
        <f>Inputs_Prices!Q$38/Inputs_Other!Q$34</f>
        <v>2.2388438567894742E-2</v>
      </c>
      <c r="H184" s="261">
        <f>Inputs_Prices!R$38/Inputs_Other!R$34</f>
        <v>2.6200892614902379E-2</v>
      </c>
      <c r="I184" s="261">
        <f>Inputs_Prices!S$38/Inputs_Other!S$34</f>
        <v>2.8380711817631785E-2</v>
      </c>
    </row>
    <row r="185" spans="3:9" ht="14.65" thickBot="1" x14ac:dyDescent="0.35">
      <c r="C185" s="219"/>
      <c r="D185" s="220" t="s">
        <v>598</v>
      </c>
      <c r="E185" s="263">
        <f>Inputs_Prices!O$39/Inputs_Other!O$34</f>
        <v>0</v>
      </c>
      <c r="F185" s="263">
        <f>Inputs_Prices!P$39/Inputs_Other!P$34</f>
        <v>0</v>
      </c>
      <c r="G185" s="263">
        <f>Inputs_Prices!Q$39/Inputs_Other!Q$34</f>
        <v>0</v>
      </c>
      <c r="H185" s="263">
        <f>Inputs_Prices!R$39/Inputs_Other!R$34</f>
        <v>0</v>
      </c>
      <c r="I185" s="263">
        <f>Inputs_Prices!S$39/Inputs_Other!S$34</f>
        <v>0</v>
      </c>
    </row>
    <row r="186" spans="3:9" ht="14.25" x14ac:dyDescent="0.3">
      <c r="C186" s="216" t="s">
        <v>495</v>
      </c>
      <c r="D186" s="217" t="s">
        <v>246</v>
      </c>
      <c r="E186" s="262"/>
      <c r="F186" s="262"/>
      <c r="G186" s="262"/>
      <c r="H186" s="262"/>
      <c r="I186" s="262"/>
    </row>
    <row r="187" spans="3:9" ht="14.25" x14ac:dyDescent="0.3">
      <c r="C187" s="216"/>
      <c r="D187" s="218" t="s">
        <v>594</v>
      </c>
      <c r="E187" s="262">
        <f>Inputs_Prices!O$23/Inputs_Other!O$34</f>
        <v>0.98759274983512346</v>
      </c>
      <c r="F187" s="262">
        <f>Inputs_Prices!P$23/Inputs_Other!P$34</f>
        <v>1.7870629961341822</v>
      </c>
      <c r="G187" s="262">
        <f>Inputs_Prices!Q$23/Inputs_Other!Q$34</f>
        <v>1.9617328045131326</v>
      </c>
      <c r="H187" s="262">
        <f>Inputs_Prices!R$23/Inputs_Other!R$34</f>
        <v>2.2375282994297225</v>
      </c>
      <c r="I187" s="262">
        <f>Inputs_Prices!S$23/Inputs_Other!S$34</f>
        <v>2.2744869920508197</v>
      </c>
    </row>
    <row r="188" spans="3:9" ht="14.25" x14ac:dyDescent="0.3">
      <c r="C188" s="216"/>
      <c r="D188" s="218" t="s">
        <v>596</v>
      </c>
      <c r="E188" s="262">
        <f>Inputs_Prices!O$40/Inputs_Other!O$34</f>
        <v>0.2907055943242714</v>
      </c>
      <c r="F188" s="262">
        <f>Inputs_Prices!P$40/Inputs_Other!P$34</f>
        <v>0.31248388127920557</v>
      </c>
      <c r="G188" s="262">
        <f>Inputs_Prices!Q$40/Inputs_Other!Q$34</f>
        <v>0.33205944132956333</v>
      </c>
      <c r="H188" s="262">
        <f>Inputs_Prices!R$40/Inputs_Other!R$34</f>
        <v>0.35716388393997534</v>
      </c>
      <c r="I188" s="262">
        <f>Inputs_Prices!S$40/Inputs_Other!S$34</f>
        <v>0.38885203401388269</v>
      </c>
    </row>
    <row r="189" spans="3:9" ht="14.25" x14ac:dyDescent="0.3">
      <c r="C189" s="216"/>
      <c r="D189" s="218" t="s">
        <v>597</v>
      </c>
      <c r="E189" s="262">
        <f>Inputs_Prices!O$41/Inputs_Other!O$34</f>
        <v>9.6014243423523354E-2</v>
      </c>
      <c r="F189" s="262">
        <f>Inputs_Prices!P$41/Inputs_Other!P$34</f>
        <v>8.9874675686989688E-2</v>
      </c>
      <c r="G189" s="262">
        <f>Inputs_Prices!Q$41/Inputs_Other!Q$34</f>
        <v>0.10461702707013933</v>
      </c>
      <c r="H189" s="262">
        <f>Inputs_Prices!R$41/Inputs_Other!R$34</f>
        <v>0.12843854100943572</v>
      </c>
      <c r="I189" s="262">
        <f>Inputs_Prices!S$41/Inputs_Other!S$34</f>
        <v>0.14208010641956392</v>
      </c>
    </row>
    <row r="190" spans="3:9" ht="14.25" x14ac:dyDescent="0.3">
      <c r="C190" s="216"/>
      <c r="D190" s="218" t="s">
        <v>598</v>
      </c>
      <c r="E190" s="262">
        <f>Inputs_Prices!O$42/Inputs_Other!O$34</f>
        <v>0</v>
      </c>
      <c r="F190" s="262">
        <f>Inputs_Prices!P$42/Inputs_Other!P$34</f>
        <v>0</v>
      </c>
      <c r="G190" s="262">
        <f>Inputs_Prices!Q$42/Inputs_Other!Q$34</f>
        <v>0</v>
      </c>
      <c r="H190" s="262">
        <f>Inputs_Prices!R$42/Inputs_Other!R$34</f>
        <v>0</v>
      </c>
      <c r="I190" s="262">
        <f>Inputs_Prices!S$42/Inputs_Other!S$34</f>
        <v>0</v>
      </c>
    </row>
    <row r="191" spans="3:9" ht="14.25" x14ac:dyDescent="0.3">
      <c r="C191" s="212" t="s">
        <v>496</v>
      </c>
      <c r="D191" s="213" t="s">
        <v>599</v>
      </c>
      <c r="E191" s="261"/>
      <c r="F191" s="261"/>
      <c r="G191" s="261"/>
      <c r="H191" s="261"/>
      <c r="I191" s="261"/>
    </row>
    <row r="192" spans="3:9" ht="14.25" x14ac:dyDescent="0.3">
      <c r="C192" s="212"/>
      <c r="D192" s="215" t="s">
        <v>594</v>
      </c>
      <c r="E192" s="261">
        <f>Inputs_Prices!O$24/Inputs_Other!O$34</f>
        <v>8.4871022570415562</v>
      </c>
      <c r="F192" s="261">
        <f>Inputs_Prices!P$24/Inputs_Other!P$34</f>
        <v>9.4454708427545917</v>
      </c>
      <c r="G192" s="261">
        <f>Inputs_Prices!Q$24/Inputs_Other!Q$34</f>
        <v>11.593923967503784</v>
      </c>
      <c r="H192" s="261">
        <f>Inputs_Prices!R$24/Inputs_Other!R$34</f>
        <v>13.145317963660368</v>
      </c>
      <c r="I192" s="261">
        <f>Inputs_Prices!S$24/Inputs_Other!S$34</f>
        <v>13.003466138143386</v>
      </c>
    </row>
    <row r="193" spans="3:9" ht="14.25" x14ac:dyDescent="0.3">
      <c r="C193" s="212"/>
      <c r="D193" s="215" t="s">
        <v>596</v>
      </c>
      <c r="E193" s="261">
        <f>Inputs_Prices!O$43/Inputs_Other!O$34</f>
        <v>0.26271780014756874</v>
      </c>
      <c r="F193" s="261">
        <f>Inputs_Prices!P$43/Inputs_Other!P$34</f>
        <v>0.28239937405426363</v>
      </c>
      <c r="G193" s="261">
        <f>Inputs_Prices!Q$43/Inputs_Other!Q$34</f>
        <v>0.30009028944597083</v>
      </c>
      <c r="H193" s="261">
        <f>Inputs_Prices!R$43/Inputs_Other!R$34</f>
        <v>0.32277779207855323</v>
      </c>
      <c r="I193" s="261">
        <f>Inputs_Prices!S$43/Inputs_Other!S$34</f>
        <v>0.35141515317755101</v>
      </c>
    </row>
    <row r="194" spans="3:9" ht="14.25" x14ac:dyDescent="0.3">
      <c r="C194" s="212"/>
      <c r="D194" s="215" t="s">
        <v>597</v>
      </c>
      <c r="E194" s="261">
        <f>Inputs_Prices!O$44/Inputs_Other!O$34</f>
        <v>3.9694630300196987E-2</v>
      </c>
      <c r="F194" s="261">
        <f>Inputs_Prices!P$44/Inputs_Other!P$34</f>
        <v>4.7090208588286275E-2</v>
      </c>
      <c r="G194" s="261">
        <f>Inputs_Prices!Q$44/Inputs_Other!Q$34</f>
        <v>6.1291817000535841E-2</v>
      </c>
      <c r="H194" s="261">
        <f>Inputs_Prices!R$44/Inputs_Other!R$34</f>
        <v>7.4801008039668632E-2</v>
      </c>
      <c r="I194" s="261">
        <f>Inputs_Prices!S$44/Inputs_Other!S$34</f>
        <v>8.0522727258757656E-2</v>
      </c>
    </row>
    <row r="195" spans="3:9" ht="14.25" x14ac:dyDescent="0.3">
      <c r="C195" s="212"/>
      <c r="D195" s="215" t="s">
        <v>598</v>
      </c>
      <c r="E195" s="261">
        <f>Inputs_Prices!O$45/Inputs_Other!O$34</f>
        <v>0</v>
      </c>
      <c r="F195" s="261">
        <f>Inputs_Prices!P$45/Inputs_Other!P$34</f>
        <v>0</v>
      </c>
      <c r="G195" s="261">
        <f>Inputs_Prices!Q$45/Inputs_Other!Q$34</f>
        <v>0</v>
      </c>
      <c r="H195" s="261">
        <f>Inputs_Prices!R$45/Inputs_Other!R$34</f>
        <v>0</v>
      </c>
      <c r="I195" s="261">
        <f>Inputs_Prices!S$45/Inputs_Other!S$34</f>
        <v>0</v>
      </c>
    </row>
    <row r="196" spans="3:9" ht="14.25" x14ac:dyDescent="0.3">
      <c r="C196" s="216">
        <v>4</v>
      </c>
      <c r="D196" s="217" t="s">
        <v>600</v>
      </c>
      <c r="E196" s="262"/>
      <c r="F196" s="262"/>
      <c r="G196" s="262"/>
      <c r="H196" s="262"/>
      <c r="I196" s="262"/>
    </row>
    <row r="197" spans="3:9" ht="14.25" x14ac:dyDescent="0.3">
      <c r="C197" s="216"/>
      <c r="D197" s="218" t="s">
        <v>595</v>
      </c>
      <c r="E197" s="262">
        <f>Inputs_Prices!O$46/Inputs_Other!O$34</f>
        <v>0.1048032695460997</v>
      </c>
      <c r="F197" s="262">
        <f>Inputs_Prices!P$46/Inputs_Other!P$34</f>
        <v>0.11143031241538436</v>
      </c>
      <c r="G197" s="262">
        <f>Inputs_Prices!Q$46/Inputs_Other!Q$34</f>
        <v>0.11847640420729849</v>
      </c>
      <c r="H197" s="262">
        <f>Inputs_Prices!R$46/Inputs_Other!R$34</f>
        <v>0.12596804271324322</v>
      </c>
      <c r="I197" s="262">
        <f>Inputs_Prices!S$46/Inputs_Other!S$34</f>
        <v>0.12494514514268862</v>
      </c>
    </row>
    <row r="198" spans="3:9" ht="14.25" x14ac:dyDescent="0.3">
      <c r="C198" s="212">
        <v>5</v>
      </c>
      <c r="D198" s="213" t="s">
        <v>249</v>
      </c>
      <c r="E198" s="261"/>
      <c r="F198" s="261"/>
      <c r="G198" s="261"/>
      <c r="H198" s="261"/>
      <c r="I198" s="261"/>
    </row>
    <row r="199" spans="3:9" ht="14.25" x14ac:dyDescent="0.3">
      <c r="C199" s="212"/>
      <c r="D199" s="215" t="s">
        <v>594</v>
      </c>
      <c r="E199" s="261">
        <f>Inputs_Prices!O$26/Inputs_Other!O$34</f>
        <v>133.79229035336184</v>
      </c>
      <c r="F199" s="261">
        <f>Inputs_Prices!P$26/Inputs_Other!P$34</f>
        <v>146.81216251960456</v>
      </c>
      <c r="G199" s="261">
        <f>Inputs_Prices!Q$26/Inputs_Other!Q$34</f>
        <v>165.75784787940856</v>
      </c>
      <c r="H199" s="261">
        <f>Inputs_Prices!R$26/Inputs_Other!R$34</f>
        <v>185.68427892063866</v>
      </c>
      <c r="I199" s="261">
        <f>Inputs_Prices!S$26/Inputs_Other!S$34</f>
        <v>186.78549275974459</v>
      </c>
    </row>
    <row r="200" spans="3:9" ht="14.25" x14ac:dyDescent="0.3">
      <c r="C200" s="212"/>
      <c r="D200" s="215" t="s">
        <v>595</v>
      </c>
      <c r="E200" s="261">
        <f>Inputs_Prices!O$47/Inputs_Other!O$34</f>
        <v>4.4810309378384575E-3</v>
      </c>
      <c r="F200" s="261">
        <f>Inputs_Prices!P$47/Inputs_Other!P$34</f>
        <v>6.1354167629092205E-3</v>
      </c>
      <c r="G200" s="261">
        <f>Inputs_Prices!Q$47/Inputs_Other!Q$34</f>
        <v>6.9971460281740691E-3</v>
      </c>
      <c r="H200" s="261">
        <f>Inputs_Prices!R$47/Inputs_Other!R$34</f>
        <v>7.9391681438506188E-3</v>
      </c>
      <c r="I200" s="261">
        <f>Inputs_Prices!S$47/Inputs_Other!S$34</f>
        <v>8.0448803892774166E-3</v>
      </c>
    </row>
    <row r="201" spans="3:9" ht="14.25" x14ac:dyDescent="0.3">
      <c r="C201" s="212"/>
      <c r="D201" s="215" t="s">
        <v>601</v>
      </c>
      <c r="E201" s="261">
        <f>Inputs_Prices!O$56/Inputs_Other!O$34</f>
        <v>16.22490436535103</v>
      </c>
      <c r="F201" s="261">
        <f>Inputs_Prices!P$56/Inputs_Other!P$34</f>
        <v>16.675824339542288</v>
      </c>
      <c r="G201" s="261">
        <f>Inputs_Prices!Q$56/Inputs_Other!Q$34</f>
        <v>17.027018421914626</v>
      </c>
      <c r="H201" s="261">
        <f>Inputs_Prices!R$56/Inputs_Other!R$34</f>
        <v>17.37837055159039</v>
      </c>
      <c r="I201" s="261">
        <f>Inputs_Prices!S$56/Inputs_Other!S$34</f>
        <v>17.655506274713989</v>
      </c>
    </row>
    <row r="202" spans="3:9" ht="14.25" x14ac:dyDescent="0.3">
      <c r="C202" s="212"/>
      <c r="D202" s="215" t="s">
        <v>602</v>
      </c>
      <c r="E202" s="261">
        <f>Inputs_Prices!O$57/Inputs_Other!O$34</f>
        <v>5.9291561726590123</v>
      </c>
      <c r="F202" s="261">
        <f>Inputs_Prices!P$57/Inputs_Other!P$34</f>
        <v>6.0939383425965366</v>
      </c>
      <c r="G202" s="261">
        <f>Inputs_Prices!Q$57/Inputs_Other!Q$34</f>
        <v>6.2222771305739917</v>
      </c>
      <c r="H202" s="261">
        <f>Inputs_Prices!R$57/Inputs_Other!R$34</f>
        <v>6.3506736746480978</v>
      </c>
      <c r="I202" s="261">
        <f>Inputs_Prices!S$57/Inputs_Other!S$34</f>
        <v>6.451948908475158</v>
      </c>
    </row>
    <row r="203" spans="3:9" ht="14.25" x14ac:dyDescent="0.3">
      <c r="C203" s="216">
        <v>6</v>
      </c>
      <c r="D203" s="217" t="s">
        <v>250</v>
      </c>
      <c r="E203" s="262"/>
      <c r="F203" s="262"/>
      <c r="G203" s="262"/>
      <c r="H203" s="262"/>
      <c r="I203" s="262"/>
    </row>
    <row r="204" spans="3:9" ht="14.25" x14ac:dyDescent="0.3">
      <c r="C204" s="216"/>
      <c r="D204" s="218" t="s">
        <v>594</v>
      </c>
      <c r="E204" s="262">
        <f>Inputs_Prices!O$27/Inputs_Other!O$34</f>
        <v>107.30009252367073</v>
      </c>
      <c r="F204" s="262">
        <f>Inputs_Prices!P$27/Inputs_Other!P$34</f>
        <v>103.90604125585398</v>
      </c>
      <c r="G204" s="262">
        <f>Inputs_Prices!Q$27/Inputs_Other!Q$34</f>
        <v>102.06086400730396</v>
      </c>
      <c r="H204" s="262">
        <f>Inputs_Prices!R$27/Inputs_Other!R$34</f>
        <v>99.88681267244209</v>
      </c>
      <c r="I204" s="262">
        <f>Inputs_Prices!S$27/Inputs_Other!S$34</f>
        <v>90.094389114394232</v>
      </c>
    </row>
    <row r="205" spans="3:9" ht="14.25" x14ac:dyDescent="0.3">
      <c r="C205" s="216"/>
      <c r="D205" s="218" t="s">
        <v>595</v>
      </c>
      <c r="E205" s="262">
        <f>Inputs_Prices!O$48/Inputs_Other!O$34</f>
        <v>3.2492870748765473E-2</v>
      </c>
      <c r="F205" s="262">
        <f>Inputs_Prices!P$48/Inputs_Other!P$34</f>
        <v>3.1782905073832655E-2</v>
      </c>
      <c r="G205" s="262">
        <f>Inputs_Prices!Q$48/Inputs_Other!Q$34</f>
        <v>3.1533838418364615E-2</v>
      </c>
      <c r="H205" s="262">
        <f>Inputs_Prices!R$48/Inputs_Other!R$34</f>
        <v>3.1259266205631984E-2</v>
      </c>
      <c r="I205" s="262">
        <f>Inputs_Prices!S$48/Inputs_Other!S$34</f>
        <v>2.840174036874607E-2</v>
      </c>
    </row>
    <row r="206" spans="3:9" ht="14.25" x14ac:dyDescent="0.3">
      <c r="C206" s="216"/>
      <c r="D206" s="218" t="s">
        <v>601</v>
      </c>
      <c r="E206" s="262">
        <f>Inputs_Prices!O$58/Inputs_Other!O$34</f>
        <v>7.5460264210068155</v>
      </c>
      <c r="F206" s="262">
        <f>Inputs_Prices!P$58/Inputs_Other!P$34</f>
        <v>8.2777684676855667</v>
      </c>
      <c r="G206" s="262">
        <f>Inputs_Prices!Q$58/Inputs_Other!Q$34</f>
        <v>9.0356015132687819</v>
      </c>
      <c r="H206" s="262">
        <f>Inputs_Prices!R$58/Inputs_Other!R$34</f>
        <v>8.8143146235622147</v>
      </c>
      <c r="I206" s="262">
        <f>Inputs_Prices!S$58/Inputs_Other!S$34</f>
        <v>9.4396334399586586</v>
      </c>
    </row>
    <row r="207" spans="3:9" ht="14.25" x14ac:dyDescent="0.3">
      <c r="C207" s="216"/>
      <c r="D207" s="218" t="s">
        <v>602</v>
      </c>
      <c r="E207" s="262">
        <f>Inputs_Prices!O$59/Inputs_Other!O$34</f>
        <v>2.6150171535520936</v>
      </c>
      <c r="F207" s="262">
        <f>Inputs_Prices!P$59/Inputs_Other!P$34</f>
        <v>2.8685967061909965</v>
      </c>
      <c r="G207" s="262">
        <f>Inputs_Prices!Q$59/Inputs_Other!Q$34</f>
        <v>3.1312178929141044</v>
      </c>
      <c r="H207" s="262">
        <f>Inputs_Prices!R$59/Inputs_Other!R$34</f>
        <v>4.5134138876100947</v>
      </c>
      <c r="I207" s="262">
        <f>Inputs_Prices!S$59/Inputs_Other!S$34</f>
        <v>5.0555404184199109</v>
      </c>
    </row>
    <row r="208" spans="3:9" ht="14.25" x14ac:dyDescent="0.3">
      <c r="C208" s="212">
        <v>7</v>
      </c>
      <c r="D208" s="213" t="s">
        <v>603</v>
      </c>
      <c r="E208" s="261"/>
      <c r="F208" s="261"/>
      <c r="G208" s="261"/>
      <c r="H208" s="261"/>
      <c r="I208" s="261"/>
    </row>
    <row r="209" spans="2:17" ht="14.25" x14ac:dyDescent="0.3">
      <c r="C209" s="212"/>
      <c r="D209" s="215" t="s">
        <v>594</v>
      </c>
      <c r="E209" s="261">
        <f>Inputs_Prices!O$28/Inputs_Other!O$34</f>
        <v>707.11541186430304</v>
      </c>
      <c r="F209" s="261">
        <f>Inputs_Prices!P$28/Inputs_Other!P$34</f>
        <v>763.56883900844218</v>
      </c>
      <c r="G209" s="261">
        <f>Inputs_Prices!Q$28/Inputs_Other!Q$34</f>
        <v>812.96542651045104</v>
      </c>
      <c r="H209" s="261">
        <f>Inputs_Prices!R$28/Inputs_Other!R$34</f>
        <v>859.38200752106411</v>
      </c>
      <c r="I209" s="261">
        <f>Inputs_Prices!S$28/Inputs_Other!S$34</f>
        <v>849.28315869376559</v>
      </c>
    </row>
    <row r="210" spans="2:17" ht="14.65" thickBot="1" x14ac:dyDescent="0.35">
      <c r="C210" s="219"/>
      <c r="D210" s="220" t="s">
        <v>595</v>
      </c>
      <c r="E210" s="263">
        <f>Inputs_Prices!O$49/Inputs_Other!O$34</f>
        <v>2.2622026357470296E-2</v>
      </c>
      <c r="F210" s="263">
        <f>Inputs_Prices!P$49/Inputs_Other!P$34</f>
        <v>2.1758199756116477E-2</v>
      </c>
      <c r="G210" s="263">
        <f>Inputs_Prices!Q$49/Inputs_Other!Q$34</f>
        <v>2.1464644526155298E-2</v>
      </c>
      <c r="H210" s="263">
        <f>Inputs_Prices!R$49/Inputs_Other!R$34</f>
        <v>2.110880912365443E-2</v>
      </c>
      <c r="I210" s="263">
        <f>Inputs_Prices!S$49/Inputs_Other!S$34</f>
        <v>1.9311848349603564E-2</v>
      </c>
    </row>
    <row r="213" spans="2:17" s="2" customFormat="1" ht="15" x14ac:dyDescent="0.3">
      <c r="B213" s="2" t="s">
        <v>800</v>
      </c>
    </row>
    <row r="215" spans="2:17" s="8" customFormat="1" ht="13.9" x14ac:dyDescent="0.3">
      <c r="C215" s="8" t="s">
        <v>801</v>
      </c>
    </row>
    <row r="217" spans="2:17" x14ac:dyDescent="0.3">
      <c r="L217" s="238" t="s">
        <v>118</v>
      </c>
      <c r="M217" s="139" t="str">
        <f>Lookup!O19</f>
        <v>FY25</v>
      </c>
      <c r="N217" s="139" t="str">
        <f>Lookup!P19</f>
        <v>FY26</v>
      </c>
      <c r="O217" s="139" t="str">
        <f>Lookup!Q19</f>
        <v>FY27</v>
      </c>
      <c r="P217" s="139" t="str">
        <f>Lookup!R19</f>
        <v>FY28</v>
      </c>
      <c r="Q217" s="139" t="str">
        <f>Lookup!S19</f>
        <v>FY29</v>
      </c>
    </row>
    <row r="218" spans="2:17" x14ac:dyDescent="0.4">
      <c r="L218" s="239" t="s">
        <v>617</v>
      </c>
      <c r="M218" s="240">
        <f ca="1">Calc_A_SA_Cost!O100*Thousands_to_Millions/Inputs_Other!O$34</f>
        <v>19.922709000439603</v>
      </c>
      <c r="N218" s="240">
        <f ca="1">Calc_A_SA_Cost!P100*Thousands_to_Millions/Inputs_Other!P$34</f>
        <v>19.912021263877485</v>
      </c>
      <c r="O218" s="240">
        <f ca="1">Calc_A_SA_Cost!Q100*Thousands_to_Millions/Inputs_Other!Q$34</f>
        <v>19.7322847875039</v>
      </c>
      <c r="P218" s="240">
        <f ca="1">Calc_A_SA_Cost!R100*Thousands_to_Millions/Inputs_Other!R$34</f>
        <v>19.646785783259226</v>
      </c>
      <c r="Q218" s="240">
        <f ca="1">Calc_A_SA_Cost!S100*Thousands_to_Millions/Inputs_Other!S$34</f>
        <v>19.603442344470448</v>
      </c>
    </row>
    <row r="219" spans="2:17" x14ac:dyDescent="0.4">
      <c r="L219" s="239" t="s">
        <v>618</v>
      </c>
      <c r="M219" s="240">
        <f ca="1">Calc_A_SA_Cost!O101*Thousands_to_Millions/Inputs_Other!O$34</f>
        <v>1.5174024524326877</v>
      </c>
      <c r="N219" s="240">
        <f ca="1">Calc_A_SA_Cost!P101*Thousands_to_Millions/Inputs_Other!P$34</f>
        <v>0.8484505113539561</v>
      </c>
      <c r="O219" s="240">
        <f ca="1">Calc_A_SA_Cost!Q101*Thousands_to_Millions/Inputs_Other!Q$34</f>
        <v>0.13105196226350344</v>
      </c>
      <c r="P219" s="240">
        <f ca="1">Calc_A_SA_Cost!R101*Thousands_to_Millions/Inputs_Other!R$34</f>
        <v>0</v>
      </c>
      <c r="Q219" s="240">
        <f ca="1">Calc_A_SA_Cost!S101*Thousands_to_Millions/Inputs_Other!S$34</f>
        <v>0</v>
      </c>
    </row>
    <row r="220" spans="2:17" x14ac:dyDescent="0.4">
      <c r="L220" s="239" t="s">
        <v>619</v>
      </c>
      <c r="M220" s="240">
        <f ca="1">Calc_A_SA_Cost!O102*Thousands_to_Millions/Inputs_Other!O$34</f>
        <v>10.071831410650375</v>
      </c>
      <c r="N220" s="240">
        <f ca="1">Calc_A_SA_Cost!P102*Thousands_to_Millions/Inputs_Other!P$34</f>
        <v>10.787093008932729</v>
      </c>
      <c r="O220" s="240">
        <f ca="1">Calc_A_SA_Cost!Q102*Thousands_to_Millions/Inputs_Other!Q$34</f>
        <v>11.483796462646414</v>
      </c>
      <c r="P220" s="240">
        <f ca="1">Calc_A_SA_Cost!R102*Thousands_to_Millions/Inputs_Other!R$34</f>
        <v>12.112417005597955</v>
      </c>
      <c r="Q220" s="240">
        <f ca="1">Calc_A_SA_Cost!S102*Thousands_to_Millions/Inputs_Other!S$34</f>
        <v>12.582293810999733</v>
      </c>
    </row>
    <row r="221" spans="2:17" x14ac:dyDescent="0.4">
      <c r="L221" s="239" t="s">
        <v>620</v>
      </c>
      <c r="M221" s="240">
        <f ca="1">Calc_A_SA_Cost!O103*Thousands_to_Millions/Inputs_Other!O$34</f>
        <v>9.8357401816415209</v>
      </c>
      <c r="N221" s="240">
        <f ca="1">Calc_A_SA_Cost!P103*Thousands_to_Millions/Inputs_Other!P$34</f>
        <v>10.84135170344204</v>
      </c>
      <c r="O221" s="240">
        <f ca="1">Calc_A_SA_Cost!Q103*Thousands_to_Millions/Inputs_Other!Q$34</f>
        <v>11.795999059280932</v>
      </c>
      <c r="P221" s="240">
        <f ca="1">Calc_A_SA_Cost!R103*Thousands_to_Millions/Inputs_Other!R$34</f>
        <v>12.02139956352668</v>
      </c>
      <c r="Q221" s="240">
        <f ca="1">Calc_A_SA_Cost!S103*Thousands_to_Millions/Inputs_Other!S$34</f>
        <v>12.047579336893897</v>
      </c>
    </row>
    <row r="222" spans="2:17" x14ac:dyDescent="0.4">
      <c r="L222" s="239" t="s">
        <v>621</v>
      </c>
      <c r="M222" s="240">
        <f ca="1">Calc_A_SA_Cost!O104*Thousands_to_Millions/Inputs_Other!O$34</f>
        <v>8.5580880023103152</v>
      </c>
      <c r="N222" s="240">
        <f ca="1">Calc_A_SA_Cost!P104*Thousands_to_Millions/Inputs_Other!P$34</f>
        <v>8.6891446282316824</v>
      </c>
      <c r="O222" s="240">
        <f ca="1">Calc_A_SA_Cost!Q104*Thousands_to_Millions/Inputs_Other!Q$34</f>
        <v>8.7950732323098944</v>
      </c>
      <c r="P222" s="240">
        <f ca="1">Calc_A_SA_Cost!R104*Thousands_to_Millions/Inputs_Other!R$34</f>
        <v>9.0612642442786751</v>
      </c>
      <c r="Q222" s="240">
        <f ca="1">Calc_A_SA_Cost!S104*Thousands_to_Millions/Inputs_Other!S$34</f>
        <v>9.3182294739802476</v>
      </c>
    </row>
    <row r="223" spans="2:17" x14ac:dyDescent="0.4">
      <c r="L223" s="239" t="s">
        <v>622</v>
      </c>
      <c r="M223" s="240">
        <f ca="1">Calc_A_SA_Cost!O105*Thousands_to_Millions/Inputs_Other!O$34</f>
        <v>0.73536055870480299</v>
      </c>
      <c r="N223" s="240">
        <f ca="1">Calc_A_SA_Cost!P105*Thousands_to_Millions/Inputs_Other!P$34</f>
        <v>0.75263422989637208</v>
      </c>
      <c r="O223" s="240">
        <f ca="1">Calc_A_SA_Cost!Q105*Thousands_to_Millions/Inputs_Other!Q$34</f>
        <v>0.76530844060533798</v>
      </c>
      <c r="P223" s="240">
        <f ca="1">Calc_A_SA_Cost!R105*Thousands_to_Millions/Inputs_Other!R$34</f>
        <v>0.77862386910246617</v>
      </c>
      <c r="Q223" s="240">
        <f ca="1">Calc_A_SA_Cost!S105*Thousands_to_Millions/Inputs_Other!S$34</f>
        <v>0.78908096597676292</v>
      </c>
    </row>
    <row r="224" spans="2:17" x14ac:dyDescent="0.4">
      <c r="L224" s="239" t="s">
        <v>625</v>
      </c>
      <c r="M224" s="240">
        <f ca="1">Calc_A_SA_Cost!O106*Thousands_to_Millions/Inputs_Other!O$34</f>
        <v>6.9393431904732426</v>
      </c>
      <c r="N224" s="240">
        <f ca="1">Calc_A_SA_Cost!P106*Thousands_to_Millions/Inputs_Other!P$34</f>
        <v>7.1023488495866607</v>
      </c>
      <c r="O224" s="240">
        <f ca="1">Calc_A_SA_Cost!Q106*Thousands_to_Millions/Inputs_Other!Q$34</f>
        <v>7.2219509913343698</v>
      </c>
      <c r="P224" s="240">
        <f ca="1">Calc_A_SA_Cost!R106*Thousands_to_Millions/Inputs_Other!R$34</f>
        <v>7.3476040835161482</v>
      </c>
      <c r="Q224" s="240">
        <f ca="1">Calc_A_SA_Cost!S106*Thousands_to_Millions/Inputs_Other!S$34</f>
        <v>7.4462840890287927</v>
      </c>
    </row>
    <row r="225" spans="3:17" x14ac:dyDescent="0.4">
      <c r="L225" s="239" t="s">
        <v>623</v>
      </c>
      <c r="M225" s="240">
        <f ca="1">Calc_A_SA_Cost!O107*Thousands_to_Millions/Inputs_Other!O$34</f>
        <v>4.4278459554628764</v>
      </c>
      <c r="N225" s="240">
        <f ca="1">Calc_A_SA_Cost!P107*Thousands_to_Millions/Inputs_Other!P$34</f>
        <v>4.531856368064143</v>
      </c>
      <c r="O225" s="240">
        <f ca="1">Calc_A_SA_Cost!Q107*Thousands_to_Millions/Inputs_Other!Q$34</f>
        <v>4.6081719277743662</v>
      </c>
      <c r="P225" s="240">
        <f ca="1">Calc_A_SA_Cost!R107*Thousands_to_Millions/Inputs_Other!R$34</f>
        <v>4.6883484690891581</v>
      </c>
      <c r="Q225" s="240">
        <f ca="1">Calc_A_SA_Cost!S107*Thousands_to_Millions/Inputs_Other!S$34</f>
        <v>4.7513140627052897</v>
      </c>
    </row>
    <row r="226" spans="3:17" x14ac:dyDescent="0.4">
      <c r="L226" s="239" t="s">
        <v>624</v>
      </c>
      <c r="M226" s="240">
        <f ca="1">Calc_A_SA_Cost!O108*Thousands_to_Millions/Inputs_Other!O$34</f>
        <v>1.5531084425071155</v>
      </c>
      <c r="N226" s="240">
        <f ca="1">Calc_A_SA_Cost!P108*Thousands_to_Millions/Inputs_Other!P$34</f>
        <v>1.5895910689454573</v>
      </c>
      <c r="O226" s="240">
        <f ca="1">Calc_A_SA_Cost!Q108*Thousands_to_Millions/Inputs_Other!Q$34</f>
        <v>1.6163594663271168</v>
      </c>
      <c r="P226" s="240">
        <f ca="1">Calc_A_SA_Cost!R108*Thousands_to_Millions/Inputs_Other!R$34</f>
        <v>1.644482139170645</v>
      </c>
      <c r="Q226" s="240">
        <f ca="1">Calc_A_SA_Cost!S108*Thousands_to_Millions/Inputs_Other!S$34</f>
        <v>1.6665679109017137</v>
      </c>
    </row>
    <row r="233" spans="3:17" s="8" customFormat="1" ht="13.9" x14ac:dyDescent="0.3">
      <c r="C233" s="8" t="s">
        <v>613</v>
      </c>
    </row>
    <row r="234" spans="3:17" ht="13.5" thickBot="1" x14ac:dyDescent="0.35"/>
    <row r="235" spans="3:17" ht="14.25" x14ac:dyDescent="0.3">
      <c r="C235"/>
      <c r="D235" s="221" t="s">
        <v>604</v>
      </c>
      <c r="E235" s="210" t="s">
        <v>605</v>
      </c>
      <c r="F235" s="210" t="s">
        <v>606</v>
      </c>
      <c r="G235" s="210" t="s">
        <v>607</v>
      </c>
      <c r="H235" s="210" t="s">
        <v>608</v>
      </c>
      <c r="I235" s="210" t="s">
        <v>609</v>
      </c>
      <c r="J235" s="210" t="s">
        <v>610</v>
      </c>
      <c r="K235" s="210" t="s">
        <v>611</v>
      </c>
      <c r="M235" s="234" t="s">
        <v>134</v>
      </c>
    </row>
    <row r="236" spans="3:17" ht="14.25" x14ac:dyDescent="0.3">
      <c r="C236"/>
      <c r="D236" s="222">
        <v>1</v>
      </c>
      <c r="E236" s="228">
        <f ca="1">SUMIF(Calc_LRMC_Tariff!$C$60:$C$68,$D236,Calc_LRMC_Tariff!$O$60:$O$68)/Inputs_Other!O$34*Thousands_to_Millions</f>
        <v>18.950652063956202</v>
      </c>
      <c r="F236" s="228"/>
      <c r="G236" s="228"/>
      <c r="H236" s="228"/>
      <c r="I236" s="228">
        <f>SUMIFS(Calc_Revenue!$O$50:$O$64,Calc_Revenue!$E$50:$E$64,I$246,Calc_Revenue!$C$50:$C$64,$D236)/Inputs_Other!$O$34*Thousands_to_Millions</f>
        <v>17.56783935732614</v>
      </c>
      <c r="J236" s="228">
        <f ca="1">IF(E236&gt;SUM(F236:I236),E236-SUM(F236:I236),"")</f>
        <v>1.3828127066300624</v>
      </c>
      <c r="K236" s="223" t="str">
        <f ca="1">IF(M236&gt;=E236,"YES","NO")</f>
        <v>YES</v>
      </c>
      <c r="M236" s="235">
        <f>SUMIF(Output_Revenue!$C$34:$C$42,$D236,Output_Revenue!$O$34:$O$42)/Inputs_Other!O$34*Thousands_to_Millions</f>
        <v>58.559464524420463</v>
      </c>
    </row>
    <row r="237" spans="3:17" ht="14.25" x14ac:dyDescent="0.3">
      <c r="C237"/>
      <c r="D237" s="224">
        <v>2</v>
      </c>
      <c r="E237" s="229">
        <f ca="1">SUMIF(Calc_LRMC_Tariff!$C$60:$C$68,$D237,Calc_LRMC_Tariff!$O$60:$O$68)/Inputs_Other!O$34*Thousands_to_Millions</f>
        <v>2.4194956323500398</v>
      </c>
      <c r="F237" s="229"/>
      <c r="G237" s="229"/>
      <c r="H237" s="229"/>
      <c r="I237" s="229">
        <f>SUMIFS(Calc_Revenue!$O$50:$O$64,Calc_Revenue!$E$50:$E$64,I$246,Calc_Revenue!$C$50:$C$64,$D237)/Inputs_Other!$O$34*Thousands_to_Millions</f>
        <v>3.0043279288993161</v>
      </c>
      <c r="J237" s="229" t="str">
        <f t="shared" ref="J237:J244" ca="1" si="6">IF(E237&gt;SUM(F237:I237),E237-SUM(F237:I237),"")</f>
        <v/>
      </c>
      <c r="K237" s="225" t="str">
        <f t="shared" ref="K237:K244" ca="1" si="7">IF(M237&gt;=E237,"YES","NO")</f>
        <v>YES</v>
      </c>
      <c r="M237" s="236">
        <f>SUMIF(Output_Revenue!$C$34:$C$42,$D237,Output_Revenue!$O$34:$O$42)/Inputs_Other!O$34*Thousands_to_Millions</f>
        <v>4.2231205073085691</v>
      </c>
    </row>
    <row r="238" spans="3:17" ht="14.25" x14ac:dyDescent="0.3">
      <c r="C238"/>
      <c r="D238" s="222" t="s">
        <v>494</v>
      </c>
      <c r="E238" s="228">
        <f ca="1">SUMIF(Calc_LRMC_Tariff!$C$60:$C$68,$D238,Calc_LRMC_Tariff!$O$60:$O$68)/Inputs_Other!O$34*Thousands_to_Millions</f>
        <v>12.640969116649027</v>
      </c>
      <c r="F238" s="228">
        <f>SUMIFS(Calc_Revenue!$O$50:$O$64,Calc_Revenue!$E$50:$E$64,F$246,Calc_Revenue!$C$50:$C$64,$D238)/Inputs_Other!$O$34*Thousands_to_Millions</f>
        <v>12.640969116649032</v>
      </c>
      <c r="G238" s="228"/>
      <c r="H238" s="228"/>
      <c r="I238" s="228"/>
      <c r="J238" s="228" t="str">
        <f t="shared" ca="1" si="6"/>
        <v/>
      </c>
      <c r="K238" s="223" t="str">
        <f t="shared" ca="1" si="7"/>
        <v>YES</v>
      </c>
      <c r="M238" s="235">
        <f>SUMIF(Output_Revenue!$C$34:$C$42,$D238,Output_Revenue!$O$34:$O$42)/Inputs_Other!O$34*Thousands_to_Millions</f>
        <v>34.674042060007203</v>
      </c>
    </row>
    <row r="239" spans="3:17" ht="14.25" x14ac:dyDescent="0.3">
      <c r="C239"/>
      <c r="D239" s="224" t="s">
        <v>495</v>
      </c>
      <c r="E239" s="229">
        <f ca="1">SUMIF(Calc_LRMC_Tariff!$C$60:$C$68,$D239,Calc_LRMC_Tariff!$O$60:$O$68)/Inputs_Other!O$34*Thousands_to_Millions</f>
        <v>8.9674594974112782</v>
      </c>
      <c r="F239" s="229">
        <f>SUMIFS(Calc_Revenue!$O$50:$O$64,Calc_Revenue!$E$50:$E$64,F$246,Calc_Revenue!$C$50:$C$64,$D239)/Inputs_Other!$O$34*Thousands_to_Millions</f>
        <v>8.96745949741128</v>
      </c>
      <c r="G239" s="229"/>
      <c r="H239" s="229"/>
      <c r="I239" s="229"/>
      <c r="J239" s="229" t="str">
        <f t="shared" ca="1" si="6"/>
        <v/>
      </c>
      <c r="K239" s="225" t="str">
        <f t="shared" ca="1" si="7"/>
        <v>YES</v>
      </c>
      <c r="M239" s="236">
        <f>SUMIF(Output_Revenue!$C$34:$C$42,$D239,Output_Revenue!$O$34:$O$42)/Inputs_Other!O$34*Thousands_to_Millions</f>
        <v>23.936715426040482</v>
      </c>
    </row>
    <row r="240" spans="3:17" ht="14.65" thickBot="1" x14ac:dyDescent="0.35">
      <c r="C240"/>
      <c r="D240" s="222" t="s">
        <v>496</v>
      </c>
      <c r="E240" s="228">
        <f ca="1">SUMIF(Calc_LRMC_Tariff!$C$60:$C$68,$D240,Calc_LRMC_Tariff!$O$60:$O$68)/Inputs_Other!O$34*Thousands_to_Millions</f>
        <v>6.6006773624190727</v>
      </c>
      <c r="F240" s="228">
        <f>SUMIFS(Calc_Revenue!$O$50:$O$64,Calc_Revenue!$E$50:$E$64,F$246,Calc_Revenue!$C$50:$C$64,$D240)/Inputs_Other!$O$34*Thousands_to_Millions</f>
        <v>6.6006773624190744</v>
      </c>
      <c r="G240" s="228"/>
      <c r="H240" s="228"/>
      <c r="I240" s="228"/>
      <c r="J240" s="228" t="str">
        <f t="shared" ca="1" si="6"/>
        <v/>
      </c>
      <c r="K240" s="223" t="str">
        <f t="shared" ca="1" si="7"/>
        <v>YES</v>
      </c>
      <c r="M240" s="235">
        <f>SUMIF(Output_Revenue!$C$34:$C$42,$D240,Output_Revenue!$O$34:$O$42)/Inputs_Other!O$34*Thousands_to_Millions</f>
        <v>13.678123100594558</v>
      </c>
    </row>
    <row r="241" spans="3:18" ht="14.65" thickBot="1" x14ac:dyDescent="0.35">
      <c r="C241"/>
      <c r="D241" s="224">
        <v>4</v>
      </c>
      <c r="E241" s="229">
        <f ca="1">SUMIF(Calc_LRMC_Tariff!$C$60:$C$68,$D241,Calc_LRMC_Tariff!$O$60:$O$68)/Inputs_Other!O$34*Thousands_to_Millions</f>
        <v>0</v>
      </c>
      <c r="F241" s="229"/>
      <c r="G241" s="229"/>
      <c r="H241" s="229"/>
      <c r="I241" s="232">
        <f>SUMIFS(Calc_Revenue!$O$50:$O$64,Calc_Revenue!$E$50:$E$64,I$246,Calc_Revenue!$C$50:$C$64,$D241)/Inputs_Other!$O$34*Thousands_to_Millions*0</f>
        <v>0</v>
      </c>
      <c r="J241" s="229" t="str">
        <f t="shared" ca="1" si="6"/>
        <v/>
      </c>
      <c r="K241" s="225" t="str">
        <f t="shared" ca="1" si="7"/>
        <v>YES</v>
      </c>
      <c r="M241" s="236">
        <f>SUMIF(Output_Revenue!$C$34:$C$42,$D241,Output_Revenue!$O$34:$O$42)/Inputs_Other!O$34*Thousands_to_Millions</f>
        <v>1.7097653875743197</v>
      </c>
      <c r="N241" s="233" t="s">
        <v>614</v>
      </c>
    </row>
    <row r="242" spans="3:18" ht="14.25" x14ac:dyDescent="0.3">
      <c r="C242"/>
      <c r="D242" s="222">
        <v>5</v>
      </c>
      <c r="E242" s="228">
        <f ca="1">SUMIF(Calc_LRMC_Tariff!$C$60:$C$68,$D242,Calc_LRMC_Tariff!$O$60:$O$68)/Inputs_Other!O$34*Thousands_to_Millions</f>
        <v>7.9408875560976213</v>
      </c>
      <c r="F242" s="228"/>
      <c r="G242" s="228">
        <f>SUMIFS(Calc_Revenue!$O$74:$O$77,Calc_Revenue!$E$74:$E$77,G$246,Calc_Revenue!$C$74:$C$77,$D242)/Inputs_Other!$O$34*Thousands_to_Millions</f>
        <v>5.9556656670732178</v>
      </c>
      <c r="H242" s="228">
        <f>SUMIFS(Calc_Revenue!$O$74:$O$77,Calc_Revenue!$E$74:$E$77,H$246,Calc_Revenue!$C$74:$C$77,$D242)/Inputs_Other!$O$34*Thousands_to_Millions</f>
        <v>1.9852218890244058</v>
      </c>
      <c r="I242" s="228"/>
      <c r="J242" s="228" t="str">
        <f t="shared" ca="1" si="6"/>
        <v/>
      </c>
      <c r="K242" s="223" t="str">
        <f t="shared" ca="1" si="7"/>
        <v>YES</v>
      </c>
      <c r="M242" s="235">
        <f>SUMIF(Output_Revenue!$C$34:$C$42,$D242,Output_Revenue!$O$34:$O$42)/Inputs_Other!O$34*Thousands_to_Millions</f>
        <v>16.755700798228336</v>
      </c>
    </row>
    <row r="243" spans="3:18" ht="14.25" x14ac:dyDescent="0.3">
      <c r="C243"/>
      <c r="D243" s="224">
        <v>6</v>
      </c>
      <c r="E243" s="229">
        <f ca="1">SUMIF(Calc_LRMC_Tariff!$C$60:$C$68,$D243,Calc_LRMC_Tariff!$O$60:$O$68)/Inputs_Other!O$34*Thousands_to_Millions</f>
        <v>1.3723705208465775</v>
      </c>
      <c r="F243" s="229"/>
      <c r="G243" s="229">
        <f>SUMIFS(Calc_Revenue!$O$74:$O$77,Calc_Revenue!$E$74:$E$77,G$246,Calc_Revenue!$C$74:$C$77,$D243)/Inputs_Other!$O$34*Thousands_to_Millions</f>
        <v>1.0292778906349334</v>
      </c>
      <c r="H243" s="229">
        <f>SUMIFS(Calc_Revenue!$O$74:$O$77,Calc_Revenue!$E$74:$E$77,H$246,Calc_Revenue!$C$74:$C$77,$D243)/Inputs_Other!$O$34*Thousands_to_Millions</f>
        <v>0.34309263021164438</v>
      </c>
      <c r="I243" s="229"/>
      <c r="J243" s="229" t="str">
        <f t="shared" ca="1" si="6"/>
        <v/>
      </c>
      <c r="K243" s="225" t="str">
        <f t="shared" ca="1" si="7"/>
        <v>YES</v>
      </c>
      <c r="M243" s="236">
        <f>SUMIF(Output_Revenue!$C$34:$C$42,$D243,Output_Revenue!$O$34:$O$42)/Inputs_Other!O$34*Thousands_to_Millions</f>
        <v>7.2665028971908603</v>
      </c>
    </row>
    <row r="244" spans="3:18" ht="14.65" thickBot="1" x14ac:dyDescent="0.35">
      <c r="C244"/>
      <c r="D244" s="226">
        <v>7</v>
      </c>
      <c r="E244" s="230">
        <f ca="1">SUMIF(Calc_LRMC_Tariff!$C$60:$C$68,$D244,Calc_LRMC_Tariff!$O$60:$O$68)/Inputs_Other!O$34*Thousands_to_Millions</f>
        <v>4.6689174448927382</v>
      </c>
      <c r="F244" s="230"/>
      <c r="G244" s="230"/>
      <c r="H244" s="230"/>
      <c r="I244" s="230">
        <f>SUMIFS(Calc_Revenue!$O$50:$O$64,Calc_Revenue!$E$50:$E$64,I$246,Calc_Revenue!$C$50:$C$64,$D244)/Inputs_Other!$O$34*Thousands_to_Millions</f>
        <v>6.6125176364436822</v>
      </c>
      <c r="J244" s="230" t="str">
        <f t="shared" ca="1" si="6"/>
        <v/>
      </c>
      <c r="K244" s="227" t="str">
        <f t="shared" ca="1" si="7"/>
        <v>YES</v>
      </c>
      <c r="M244" s="237">
        <f>SUMIF(Output_Revenue!$C$34:$C$42,$D244,Output_Revenue!$O$34:$O$42)/Inputs_Other!O$34*Thousands_to_Millions</f>
        <v>10.173104056067203</v>
      </c>
    </row>
    <row r="246" spans="3:18" x14ac:dyDescent="0.3">
      <c r="F246" s="231" t="s">
        <v>274</v>
      </c>
      <c r="G246" s="231" t="s">
        <v>278</v>
      </c>
      <c r="H246" s="231" t="s">
        <v>279</v>
      </c>
      <c r="I246" s="231" t="s">
        <v>277</v>
      </c>
    </row>
    <row r="249" spans="3:18" s="8" customFormat="1" ht="13.9" x14ac:dyDescent="0.3">
      <c r="C249" s="8" t="s">
        <v>615</v>
      </c>
    </row>
    <row r="251" spans="3:18" x14ac:dyDescent="0.3">
      <c r="L251" s="238" t="s">
        <v>118</v>
      </c>
      <c r="M251" s="139" t="str">
        <f>Lookup!N$19</f>
        <v>FY24</v>
      </c>
      <c r="N251" s="139" t="str">
        <f>Lookup!O$19</f>
        <v>FY25</v>
      </c>
      <c r="O251" s="139" t="str">
        <f>Lookup!P$19</f>
        <v>FY26</v>
      </c>
      <c r="P251" s="139" t="str">
        <f>Lookup!Q$19</f>
        <v>FY27</v>
      </c>
      <c r="Q251" s="139" t="str">
        <f>Lookup!R$19</f>
        <v>FY28</v>
      </c>
      <c r="R251" s="139" t="str">
        <f>Lookup!S$19</f>
        <v>FY29</v>
      </c>
    </row>
    <row r="252" spans="3:18" x14ac:dyDescent="0.4">
      <c r="L252" s="239" t="s">
        <v>618</v>
      </c>
      <c r="M252" s="240">
        <f>T$301</f>
        <v>2605.8000000000002</v>
      </c>
      <c r="N252" s="240">
        <f t="shared" ref="N252:R252" si="8">U$301</f>
        <v>3179.4678791028537</v>
      </c>
      <c r="O252" s="240">
        <f t="shared" si="8"/>
        <v>3563.6336915123575</v>
      </c>
      <c r="P252" s="240">
        <f t="shared" si="8"/>
        <v>4014.26296448108</v>
      </c>
      <c r="Q252" s="240">
        <f t="shared" si="8"/>
        <v>0</v>
      </c>
      <c r="R252" s="240">
        <f t="shared" si="8"/>
        <v>0</v>
      </c>
    </row>
    <row r="253" spans="3:18" x14ac:dyDescent="0.4">
      <c r="L253" s="239" t="s">
        <v>620</v>
      </c>
      <c r="M253" s="240">
        <f>T$304</f>
        <v>2605.8000000000002</v>
      </c>
      <c r="N253" s="240">
        <f t="shared" ref="N253:R253" si="9">U$304</f>
        <v>3175.06394968217</v>
      </c>
      <c r="O253" s="240">
        <f t="shared" si="9"/>
        <v>3563.9114772949251</v>
      </c>
      <c r="P253" s="240">
        <f t="shared" si="9"/>
        <v>4083.8862881070909</v>
      </c>
      <c r="Q253" s="240">
        <f t="shared" si="9"/>
        <v>4865.2951536432329</v>
      </c>
      <c r="R253" s="240">
        <f t="shared" si="9"/>
        <v>5422.7848265078119</v>
      </c>
    </row>
    <row r="267" spans="2:3" s="2" customFormat="1" ht="15" x14ac:dyDescent="0.3">
      <c r="B267" s="2" t="s">
        <v>802</v>
      </c>
    </row>
    <row r="269" spans="2:3" s="8" customFormat="1" ht="13.9" x14ac:dyDescent="0.3">
      <c r="C269" s="8" t="s">
        <v>647</v>
      </c>
    </row>
    <row r="291" spans="2:37" s="2" customFormat="1" ht="15" x14ac:dyDescent="0.3">
      <c r="B291" s="2" t="s">
        <v>803</v>
      </c>
    </row>
    <row r="293" spans="2:37" s="8" customFormat="1" ht="13.9" x14ac:dyDescent="0.3">
      <c r="C293" s="8" t="s">
        <v>804</v>
      </c>
    </row>
    <row r="295" spans="2:37" x14ac:dyDescent="0.3">
      <c r="S295" s="242" t="s">
        <v>635</v>
      </c>
      <c r="T295" s="64">
        <f>Lookup!N$17</f>
        <v>366</v>
      </c>
      <c r="U295" s="64">
        <f>Lookup!O$17</f>
        <v>365</v>
      </c>
      <c r="V295" s="64">
        <f>Lookup!P$17</f>
        <v>365</v>
      </c>
      <c r="W295" s="64">
        <f>Lookup!Q$17</f>
        <v>365</v>
      </c>
      <c r="X295" s="64">
        <f>Lookup!R$17</f>
        <v>366</v>
      </c>
      <c r="Y295" s="64">
        <f>Lookup!S$17</f>
        <v>365</v>
      </c>
    </row>
    <row r="297" spans="2:37" x14ac:dyDescent="0.3">
      <c r="H297" s="284" t="s">
        <v>810</v>
      </c>
      <c r="I297" s="284"/>
      <c r="J297" s="284"/>
      <c r="L297" s="284" t="s">
        <v>636</v>
      </c>
      <c r="M297" s="284"/>
      <c r="N297" s="284"/>
      <c r="O297" s="284"/>
      <c r="T297" s="297" t="s">
        <v>818</v>
      </c>
      <c r="U297" s="297"/>
      <c r="V297" s="297"/>
      <c r="W297" s="297"/>
      <c r="X297" s="297"/>
      <c r="Y297" s="297"/>
      <c r="AA297" s="293" t="s">
        <v>819</v>
      </c>
      <c r="AB297" s="293"/>
      <c r="AC297" s="293"/>
      <c r="AD297" s="293"/>
      <c r="AE297" s="293"/>
      <c r="AG297" s="294" t="s">
        <v>640</v>
      </c>
      <c r="AH297" s="294"/>
      <c r="AI297" s="294"/>
      <c r="AJ297" s="294"/>
      <c r="AK297" s="294"/>
    </row>
    <row r="298" spans="2:37" ht="39.4" x14ac:dyDescent="0.3">
      <c r="D298" s="70" t="s">
        <v>809</v>
      </c>
      <c r="E298" s="54" t="s">
        <v>626</v>
      </c>
      <c r="F298" s="54" t="s">
        <v>627</v>
      </c>
      <c r="H298" s="61" t="s">
        <v>811</v>
      </c>
      <c r="I298" s="61" t="s">
        <v>812</v>
      </c>
      <c r="J298" s="61" t="s">
        <v>813</v>
      </c>
      <c r="L298" s="61" t="s">
        <v>814</v>
      </c>
      <c r="M298" s="61" t="s">
        <v>815</v>
      </c>
      <c r="N298" s="61" t="s">
        <v>816</v>
      </c>
      <c r="O298" s="61" t="s">
        <v>817</v>
      </c>
      <c r="T298" s="54" t="str">
        <f>Lookup!N$19</f>
        <v>FY24</v>
      </c>
      <c r="U298" s="54" t="str">
        <f>Lookup!O$19</f>
        <v>FY25</v>
      </c>
      <c r="V298" s="54" t="str">
        <f>Lookup!P$19</f>
        <v>FY26</v>
      </c>
      <c r="W298" s="54" t="str">
        <f>Lookup!Q$19</f>
        <v>FY27</v>
      </c>
      <c r="X298" s="54" t="str">
        <f>Lookup!R$19</f>
        <v>FY28</v>
      </c>
      <c r="Y298" s="54" t="str">
        <f>Lookup!S$19</f>
        <v>FY29</v>
      </c>
      <c r="AA298" s="54" t="str">
        <f>Lookup!O$19</f>
        <v>FY25</v>
      </c>
      <c r="AB298" s="54" t="str">
        <f>Lookup!P$19</f>
        <v>FY26</v>
      </c>
      <c r="AC298" s="54" t="str">
        <f>Lookup!Q$19</f>
        <v>FY27</v>
      </c>
      <c r="AD298" s="54" t="str">
        <f>Lookup!R$19</f>
        <v>FY28</v>
      </c>
      <c r="AE298" s="54" t="str">
        <f>Lookup!S$19</f>
        <v>FY29</v>
      </c>
      <c r="AG298" s="54" t="str">
        <f>Lookup!O$19</f>
        <v>FY25</v>
      </c>
      <c r="AH298" s="54" t="str">
        <f>Lookup!P$19</f>
        <v>FY26</v>
      </c>
      <c r="AI298" s="54" t="str">
        <f>Lookup!Q$19</f>
        <v>FY27</v>
      </c>
      <c r="AJ298" s="54" t="str">
        <f>Lookup!R$19</f>
        <v>FY28</v>
      </c>
      <c r="AK298" s="54" t="str">
        <f>Lookup!S$19</f>
        <v>FY29</v>
      </c>
    </row>
    <row r="300" spans="2:37" x14ac:dyDescent="0.3">
      <c r="D300" s="75" t="s">
        <v>197</v>
      </c>
      <c r="E300" s="80">
        <v>1</v>
      </c>
      <c r="F300" s="80">
        <v>1</v>
      </c>
      <c r="H300" s="64">
        <v>0</v>
      </c>
      <c r="I300" s="95"/>
      <c r="J300" s="95"/>
      <c r="L300" s="64">
        <v>8500</v>
      </c>
      <c r="M300" s="95"/>
      <c r="N300" s="95"/>
      <c r="O300" s="95"/>
      <c r="T300" s="96">
        <f>SUMIF(Inputs_FY23_FY24!$C$27:$C$33,$E300,Inputs_FY23_FY24!$N$27:$N$33)*T$295+
SUMIF(Inputs_FY23_FY24!$C$46:$C$52,$E300,Inputs_FY23_FY24!$N$46:$N$52)*$L300+
SUMIF(Inputs_FY23_FY24!$C$66:$C$69,$E300,Inputs_FY23_FY24!$N$66:$N$69)*$H300</f>
        <v>1079.3</v>
      </c>
      <c r="U300" s="97">
        <f>SUMIF(Inputs_Prices!$C$20:$C$28,$F300,Inputs_Prices!O$20:O$28)*U$295
+SUMIFS(Inputs_Prices!O$35:O$49,Inputs_Prices!$C$35:$C$49,$F300,Inputs_Prices!$E$35:$E$49,$L$298)*$L300
+SUMIFS(Inputs_Prices!O$35:O$49,Inputs_Prices!$C$35:$C$49,$F300,Inputs_Prices!$E$35:$E$49,$M$298)*$M300
+SUMIFS(Inputs_Prices!O$35:O$49,Inputs_Prices!$C$35:$C$49,$F300,Inputs_Prices!$E$35:$E$49,$N$298)*$N300
+SUMIFS(Inputs_Prices!O$35:O$49,Inputs_Prices!$C$35:$C$49,$F300,Inputs_Prices!$E$35:$E$49,$O$298)*$O300
+SUMIFS(Inputs_Prices!O$56:O$59,Inputs_Prices!$C$56:$C$59,$F300,Inputs_Prices!$E$56:$E$59,$I$298)*$I300
+SUMIFS(Inputs_Prices!O$56:O$59,Inputs_Prices!$C$56:$C$59,$F300,Inputs_Prices!$E$56:$E$59,$J$298)*$J300</f>
        <v>1346.7771860558994</v>
      </c>
      <c r="V300" s="177">
        <f>SUMIF(Inputs_Prices!$C$20:$C$28,$F300,Inputs_Prices!P$20:P$28)*V$295
+SUMIFS(Inputs_Prices!P$35:P$49,Inputs_Prices!$C$35:$C$49,$F300,Inputs_Prices!$E$35:$E$49,$L$298)*$L300
+SUMIFS(Inputs_Prices!P$35:P$49,Inputs_Prices!$C$35:$C$49,$F300,Inputs_Prices!$E$35:$E$49,$M$298)*$M300
+SUMIFS(Inputs_Prices!P$35:P$49,Inputs_Prices!$C$35:$C$49,$F300,Inputs_Prices!$E$35:$E$49,$N$298)*$N300
+SUMIFS(Inputs_Prices!P$35:P$49,Inputs_Prices!$C$35:$C$49,$F300,Inputs_Prices!$E$35:$E$49,$O$298)*$O300
+SUMIFS(Inputs_Prices!P$56:P$59,Inputs_Prices!$C$56:$C$59,$F300,Inputs_Prices!$E$56:$E$59,$I$298)*$I300
+SUMIFS(Inputs_Prices!P$56:P$59,Inputs_Prices!$C$56:$C$59,$F300,Inputs_Prices!$E$56:$E$59,$J$298)*$J300</f>
        <v>1524.0030511067621</v>
      </c>
      <c r="W300" s="177">
        <f>SUMIF(Inputs_Prices!$C$20:$C$28,$F300,Inputs_Prices!Q$20:Q$28)*W$295
+SUMIFS(Inputs_Prices!Q$35:Q$49,Inputs_Prices!$C$35:$C$49,$F300,Inputs_Prices!$E$35:$E$49,$L$298)*$L300
+SUMIFS(Inputs_Prices!Q$35:Q$49,Inputs_Prices!$C$35:$C$49,$F300,Inputs_Prices!$E$35:$E$49,$M$298)*$M300
+SUMIFS(Inputs_Prices!Q$35:Q$49,Inputs_Prices!$C$35:$C$49,$F300,Inputs_Prices!$E$35:$E$49,$N$298)*$N300
+SUMIFS(Inputs_Prices!Q$35:Q$49,Inputs_Prices!$C$35:$C$49,$F300,Inputs_Prices!$E$35:$E$49,$O$298)*$O300
+SUMIFS(Inputs_Prices!Q$56:Q$59,Inputs_Prices!$C$56:$C$59,$F300,Inputs_Prices!$E$56:$E$59,$I$298)*$I300
+SUMIFS(Inputs_Prices!Q$56:Q$59,Inputs_Prices!$C$56:$C$59,$F300,Inputs_Prices!$E$56:$E$59,$J$298)*$J300</f>
        <v>1696.4080643980567</v>
      </c>
      <c r="X300" s="177">
        <f>SUMIF(Inputs_Prices!$C$20:$C$28,$F300,Inputs_Prices!R$20:R$28)*X$295
+SUMIFS(Inputs_Prices!R$35:R$49,Inputs_Prices!$C$35:$C$49,$F300,Inputs_Prices!$E$35:$E$49,$L$298)*$L300
+SUMIFS(Inputs_Prices!R$35:R$49,Inputs_Prices!$C$35:$C$49,$F300,Inputs_Prices!$E$35:$E$49,$M$298)*$M300
+SUMIFS(Inputs_Prices!R$35:R$49,Inputs_Prices!$C$35:$C$49,$F300,Inputs_Prices!$E$35:$E$49,$N$298)*$N300
+SUMIFS(Inputs_Prices!R$35:R$49,Inputs_Prices!$C$35:$C$49,$F300,Inputs_Prices!$E$35:$E$49,$O$298)*$O300
+SUMIFS(Inputs_Prices!R$56:R$59,Inputs_Prices!$C$56:$C$59,$F300,Inputs_Prices!$E$56:$E$59,$I$298)*$I300
+SUMIFS(Inputs_Prices!R$56:R$59,Inputs_Prices!$C$56:$C$59,$F300,Inputs_Prices!$E$56:$E$59,$J$298)*$J300</f>
        <v>1903.1991652781203</v>
      </c>
      <c r="Y300" s="177">
        <f>SUMIF(Inputs_Prices!$C$20:$C$28,$F300,Inputs_Prices!S$20:S$28)*Y$295
+SUMIFS(Inputs_Prices!S$35:S$49,Inputs_Prices!$C$35:$C$49,$F300,Inputs_Prices!$E$35:$E$49,$L$298)*$L300
+SUMIFS(Inputs_Prices!S$35:S$49,Inputs_Prices!$C$35:$C$49,$F300,Inputs_Prices!$E$35:$E$49,$M$298)*$M300
+SUMIFS(Inputs_Prices!S$35:S$49,Inputs_Prices!$C$35:$C$49,$F300,Inputs_Prices!$E$35:$E$49,$N$298)*$N300
+SUMIFS(Inputs_Prices!S$35:S$49,Inputs_Prices!$C$35:$C$49,$F300,Inputs_Prices!$E$35:$E$49,$O$298)*$O300
+SUMIFS(Inputs_Prices!S$56:S$59,Inputs_Prices!$C$56:$C$59,$F300,Inputs_Prices!$E$56:$E$59,$I$298)*$I300
+SUMIFS(Inputs_Prices!S$56:S$59,Inputs_Prices!$C$56:$C$59,$F300,Inputs_Prices!$E$56:$E$59,$J$298)*$J300</f>
        <v>2022.9609092996379</v>
      </c>
      <c r="AA300" s="177">
        <f>U300-T300</f>
        <v>267.47718605589944</v>
      </c>
      <c r="AB300" s="177">
        <f t="shared" ref="AB300:AB315" si="10">V300-U300</f>
        <v>177.22586505086269</v>
      </c>
      <c r="AC300" s="177">
        <f t="shared" ref="AC300:AC315" si="11">W300-V300</f>
        <v>172.40501329129461</v>
      </c>
      <c r="AD300" s="177">
        <f t="shared" ref="AD300:AD315" si="12">X300-W300</f>
        <v>206.7911008800636</v>
      </c>
      <c r="AE300" s="177">
        <f t="shared" ref="AE300:AE315" si="13">Y300-X300</f>
        <v>119.76174402151764</v>
      </c>
      <c r="AG300" s="244">
        <f>IF(T300=0,0,AA300/T300)</f>
        <v>0.24782468827564111</v>
      </c>
      <c r="AH300" s="244">
        <f t="shared" ref="AH300:AH315" si="14">IF(U300=0,0,AB300/U300)</f>
        <v>0.13159256548581508</v>
      </c>
      <c r="AI300" s="244">
        <f t="shared" ref="AI300:AI315" si="15">IF(V300=0,0,AC300/V300)</f>
        <v>0.11312642265780937</v>
      </c>
      <c r="AJ300" s="244">
        <f t="shared" ref="AJ300:AJ315" si="16">IF(W300=0,0,AD300/W300)</f>
        <v>0.12189938566074909</v>
      </c>
      <c r="AK300" s="244">
        <f t="shared" ref="AK300:AK315" si="17">IF(X300=0,0,AE300/X300)</f>
        <v>6.2926542952753184E-2</v>
      </c>
    </row>
    <row r="301" spans="2:37" x14ac:dyDescent="0.3">
      <c r="D301" s="75" t="s">
        <v>195</v>
      </c>
      <c r="E301" s="80">
        <v>2</v>
      </c>
      <c r="F301" s="80">
        <v>2</v>
      </c>
      <c r="H301" s="64">
        <v>0</v>
      </c>
      <c r="I301" s="95"/>
      <c r="J301" s="95"/>
      <c r="L301" s="64">
        <v>30000</v>
      </c>
      <c r="M301" s="95"/>
      <c r="N301" s="95"/>
      <c r="O301" s="95"/>
      <c r="T301" s="96">
        <f>SUMIF(Inputs_FY23_FY24!$C$27:$C$33,$E301,Inputs_FY23_FY24!$N$27:$N$33)*T$295+
SUMIF(Inputs_FY23_FY24!$C$46:$C$52,$E301,Inputs_FY23_FY24!$N$46:$N$52)*$L301+
SUMIF(Inputs_FY23_FY24!$C$66:$C$69,$E301,Inputs_FY23_FY24!$N$66:$N$69)*$H301</f>
        <v>2605.8000000000002</v>
      </c>
      <c r="U301" s="97">
        <f>SUMIF(Inputs_Prices!$C$20:$C$28,$F301,Inputs_Prices!O$20:O$28)*U$295
+SUMIFS(Inputs_Prices!O$35:O$49,Inputs_Prices!$C$35:$C$49,$F301,Inputs_Prices!$E$35:$E$49,$L$298)*$L301
+SUMIFS(Inputs_Prices!O$35:O$49,Inputs_Prices!$C$35:$C$49,$F301,Inputs_Prices!$E$35:$E$49,$M$298)*$M301
+SUMIFS(Inputs_Prices!O$35:O$49,Inputs_Prices!$C$35:$C$49,$F301,Inputs_Prices!$E$35:$E$49,$N$298)*$N301
+SUMIFS(Inputs_Prices!O$35:O$49,Inputs_Prices!$C$35:$C$49,$F301,Inputs_Prices!$E$35:$E$49,$O$298)*$O301
+SUMIFS(Inputs_Prices!O$56:O$59,Inputs_Prices!$C$56:$C$59,$F301,Inputs_Prices!$E$56:$E$59,$I$298)*$I301
+SUMIFS(Inputs_Prices!O$56:O$59,Inputs_Prices!$C$56:$C$59,$F301,Inputs_Prices!$E$56:$E$59,$J$298)*$J301</f>
        <v>3179.4678791028537</v>
      </c>
      <c r="V301" s="177">
        <f>SUMIF(Inputs_Prices!$C$20:$C$28,$F301,Inputs_Prices!P$20:P$28)*V$295
+SUMIFS(Inputs_Prices!P$35:P$49,Inputs_Prices!$C$35:$C$49,$F301,Inputs_Prices!$E$35:$E$49,$L$298)*$L301
+SUMIFS(Inputs_Prices!P$35:P$49,Inputs_Prices!$C$35:$C$49,$F301,Inputs_Prices!$E$35:$E$49,$M$298)*$M301
+SUMIFS(Inputs_Prices!P$35:P$49,Inputs_Prices!$C$35:$C$49,$F301,Inputs_Prices!$E$35:$E$49,$N$298)*$N301
+SUMIFS(Inputs_Prices!P$35:P$49,Inputs_Prices!$C$35:$C$49,$F301,Inputs_Prices!$E$35:$E$49,$O$298)*$O301
+SUMIFS(Inputs_Prices!P$56:P$59,Inputs_Prices!$C$56:$C$59,$F301,Inputs_Prices!$E$56:$E$59,$I$298)*$I301
+SUMIFS(Inputs_Prices!P$56:P$59,Inputs_Prices!$C$56:$C$59,$F301,Inputs_Prices!$E$56:$E$59,$J$298)*$J301</f>
        <v>3563.6336915123575</v>
      </c>
      <c r="W301" s="177">
        <f>SUMIF(Inputs_Prices!$C$20:$C$28,$F301,Inputs_Prices!Q$20:Q$28)*W$295
+SUMIFS(Inputs_Prices!Q$35:Q$49,Inputs_Prices!$C$35:$C$49,$F301,Inputs_Prices!$E$35:$E$49,$L$298)*$L301
+SUMIFS(Inputs_Prices!Q$35:Q$49,Inputs_Prices!$C$35:$C$49,$F301,Inputs_Prices!$E$35:$E$49,$M$298)*$M301
+SUMIFS(Inputs_Prices!Q$35:Q$49,Inputs_Prices!$C$35:$C$49,$F301,Inputs_Prices!$E$35:$E$49,$N$298)*$N301
+SUMIFS(Inputs_Prices!Q$35:Q$49,Inputs_Prices!$C$35:$C$49,$F301,Inputs_Prices!$E$35:$E$49,$O$298)*$O301
+SUMIFS(Inputs_Prices!Q$56:Q$59,Inputs_Prices!$C$56:$C$59,$F301,Inputs_Prices!$E$56:$E$59,$I$298)*$I301
+SUMIFS(Inputs_Prices!Q$56:Q$59,Inputs_Prices!$C$56:$C$59,$F301,Inputs_Prices!$E$56:$E$59,$J$298)*$J301</f>
        <v>4014.26296448108</v>
      </c>
      <c r="X301" s="177">
        <f>SUMIF(Inputs_Prices!$C$20:$C$28,$F301,Inputs_Prices!R$20:R$28)*X$295
+SUMIFS(Inputs_Prices!R$35:R$49,Inputs_Prices!$C$35:$C$49,$F301,Inputs_Prices!$E$35:$E$49,$L$298)*$L301
+SUMIFS(Inputs_Prices!R$35:R$49,Inputs_Prices!$C$35:$C$49,$F301,Inputs_Prices!$E$35:$E$49,$M$298)*$M301
+SUMIFS(Inputs_Prices!R$35:R$49,Inputs_Prices!$C$35:$C$49,$F301,Inputs_Prices!$E$35:$E$49,$N$298)*$N301
+SUMIFS(Inputs_Prices!R$35:R$49,Inputs_Prices!$C$35:$C$49,$F301,Inputs_Prices!$E$35:$E$49,$O$298)*$O301
+SUMIFS(Inputs_Prices!R$56:R$59,Inputs_Prices!$C$56:$C$59,$F301,Inputs_Prices!$E$56:$E$59,$I$298)*$I301
+SUMIFS(Inputs_Prices!R$56:R$59,Inputs_Prices!$C$56:$C$59,$F301,Inputs_Prices!$E$56:$E$59,$J$298)*$J301</f>
        <v>0</v>
      </c>
      <c r="Y301" s="177">
        <f>SUMIF(Inputs_Prices!$C$20:$C$28,$F301,Inputs_Prices!S$20:S$28)*Y$295
+SUMIFS(Inputs_Prices!S$35:S$49,Inputs_Prices!$C$35:$C$49,$F301,Inputs_Prices!$E$35:$E$49,$L$298)*$L301
+SUMIFS(Inputs_Prices!S$35:S$49,Inputs_Prices!$C$35:$C$49,$F301,Inputs_Prices!$E$35:$E$49,$M$298)*$M301
+SUMIFS(Inputs_Prices!S$35:S$49,Inputs_Prices!$C$35:$C$49,$F301,Inputs_Prices!$E$35:$E$49,$N$298)*$N301
+SUMIFS(Inputs_Prices!S$35:S$49,Inputs_Prices!$C$35:$C$49,$F301,Inputs_Prices!$E$35:$E$49,$O$298)*$O301
+SUMIFS(Inputs_Prices!S$56:S$59,Inputs_Prices!$C$56:$C$59,$F301,Inputs_Prices!$E$56:$E$59,$I$298)*$I301
+SUMIFS(Inputs_Prices!S$56:S$59,Inputs_Prices!$C$56:$C$59,$F301,Inputs_Prices!$E$56:$E$59,$J$298)*$J301</f>
        <v>0</v>
      </c>
      <c r="AA301" s="177">
        <f t="shared" ref="AA301:AA315" si="18">U301-T301</f>
        <v>573.66787910285348</v>
      </c>
      <c r="AB301" s="177">
        <f t="shared" si="10"/>
        <v>384.16581240950381</v>
      </c>
      <c r="AC301" s="177">
        <f t="shared" si="11"/>
        <v>450.62927296872249</v>
      </c>
      <c r="AD301" s="177">
        <f t="shared" si="12"/>
        <v>-4014.26296448108</v>
      </c>
      <c r="AE301" s="177">
        <f t="shared" si="13"/>
        <v>0</v>
      </c>
      <c r="AG301" s="244">
        <f t="shared" ref="AG301:AG315" si="19">IF(T301=0,0,AA301/T301)</f>
        <v>0.22015038725261088</v>
      </c>
      <c r="AH301" s="244">
        <f t="shared" si="14"/>
        <v>0.12082707768002468</v>
      </c>
      <c r="AI301" s="244">
        <f t="shared" si="15"/>
        <v>0.12645218672222217</v>
      </c>
      <c r="AJ301" s="244">
        <f t="shared" si="16"/>
        <v>-1</v>
      </c>
      <c r="AK301" s="244">
        <f t="shared" si="17"/>
        <v>0</v>
      </c>
    </row>
    <row r="302" spans="2:37" x14ac:dyDescent="0.3">
      <c r="D302" s="75" t="s">
        <v>196</v>
      </c>
      <c r="E302" s="80">
        <v>1</v>
      </c>
      <c r="F302" s="80" t="s">
        <v>494</v>
      </c>
      <c r="H302" s="64">
        <v>20</v>
      </c>
      <c r="I302" s="95"/>
      <c r="J302" s="95"/>
      <c r="L302" s="64">
        <v>8500</v>
      </c>
      <c r="M302" s="243">
        <f t="shared" ref="M302:O307" si="20">$L302*SUMIF($L$318:$L$320,$F302,M$318:M$320)</f>
        <v>1176.100107963259</v>
      </c>
      <c r="N302" s="243">
        <f t="shared" si="20"/>
        <v>5554.5665655559314</v>
      </c>
      <c r="O302" s="243">
        <f t="shared" si="20"/>
        <v>1769.3333264808093</v>
      </c>
      <c r="Q302" s="241"/>
      <c r="T302" s="96">
        <f>SUMIF(Inputs_FY23_FY24!$C$27:$C$33,$E302,Inputs_FY23_FY24!$N$27:$N$33)*T$295+
SUMIF(Inputs_FY23_FY24!$C$46:$C$52,$E302,Inputs_FY23_FY24!$N$46:$N$52)*$L302+
SUMIF(Inputs_FY23_FY24!$C$66:$C$69,$E302,Inputs_FY23_FY24!$N$66:$N$69)*$H302</f>
        <v>1079.3</v>
      </c>
      <c r="U302" s="97">
        <f>SUMIF(Inputs_Prices!$C$20:$C$28,$F302,Inputs_Prices!O$20:O$28)*U$295
+SUMIFS(Inputs_Prices!O$35:O$49,Inputs_Prices!$C$35:$C$49,$F302,Inputs_Prices!$E$35:$E$49,$L$298)*$L302
+SUMIFS(Inputs_Prices!O$35:O$49,Inputs_Prices!$C$35:$C$49,$F302,Inputs_Prices!$E$35:$E$49,$M$298)*$M302
+SUMIFS(Inputs_Prices!O$35:O$49,Inputs_Prices!$C$35:$C$49,$F302,Inputs_Prices!$E$35:$E$49,$N$298)*$N302
+SUMIFS(Inputs_Prices!O$35:O$49,Inputs_Prices!$C$35:$C$49,$F302,Inputs_Prices!$E$35:$E$49,$O$298)*$O302
+SUMIFS(Inputs_Prices!O$56:O$59,Inputs_Prices!$C$56:$C$59,$F302,Inputs_Prices!$E$56:$E$59,$I$298)*$I302
+SUMIFS(Inputs_Prices!O$56:O$59,Inputs_Prices!$C$56:$C$59,$F302,Inputs_Prices!$E$56:$E$59,$J$298)*$J302</f>
        <v>1339.8552514951921</v>
      </c>
      <c r="V302" s="177">
        <f>SUMIF(Inputs_Prices!$C$20:$C$28,$F302,Inputs_Prices!P$20:P$28)*V$295
+SUMIFS(Inputs_Prices!P$35:P$49,Inputs_Prices!$C$35:$C$49,$F302,Inputs_Prices!$E$35:$E$49,$L$298)*$L302
+SUMIFS(Inputs_Prices!P$35:P$49,Inputs_Prices!$C$35:$C$49,$F302,Inputs_Prices!$E$35:$E$49,$M$298)*$M302
+SUMIFS(Inputs_Prices!P$35:P$49,Inputs_Prices!$C$35:$C$49,$F302,Inputs_Prices!$E$35:$E$49,$N$298)*$N302
+SUMIFS(Inputs_Prices!P$35:P$49,Inputs_Prices!$C$35:$C$49,$F302,Inputs_Prices!$E$35:$E$49,$O$298)*$O302
+SUMIFS(Inputs_Prices!P$56:P$59,Inputs_Prices!$C$56:$C$59,$F302,Inputs_Prices!$E$56:$E$59,$I$298)*$I302
+SUMIFS(Inputs_Prices!P$56:P$59,Inputs_Prices!$C$56:$C$59,$F302,Inputs_Prices!$E$56:$E$59,$J$298)*$J302</f>
        <v>1503.6254990824584</v>
      </c>
      <c r="W302" s="177">
        <f>SUMIF(Inputs_Prices!$C$20:$C$28,$F302,Inputs_Prices!Q$20:Q$28)*W$295
+SUMIFS(Inputs_Prices!Q$35:Q$49,Inputs_Prices!$C$35:$C$49,$F302,Inputs_Prices!$E$35:$E$49,$L$298)*$L302
+SUMIFS(Inputs_Prices!Q$35:Q$49,Inputs_Prices!$C$35:$C$49,$F302,Inputs_Prices!$E$35:$E$49,$M$298)*$M302
+SUMIFS(Inputs_Prices!Q$35:Q$49,Inputs_Prices!$C$35:$C$49,$F302,Inputs_Prices!$E$35:$E$49,$N$298)*$N302
+SUMIFS(Inputs_Prices!Q$35:Q$49,Inputs_Prices!$C$35:$C$49,$F302,Inputs_Prices!$E$35:$E$49,$O$298)*$O302
+SUMIFS(Inputs_Prices!Q$56:Q$59,Inputs_Prices!$C$56:$C$59,$F302,Inputs_Prices!$E$56:$E$59,$I$298)*$I302
+SUMIFS(Inputs_Prices!Q$56:Q$59,Inputs_Prices!$C$56:$C$59,$F302,Inputs_Prices!$E$56:$E$59,$J$298)*$J302</f>
        <v>1676.2370128185889</v>
      </c>
      <c r="X302" s="177">
        <f>SUMIF(Inputs_Prices!$C$20:$C$28,$F302,Inputs_Prices!R$20:R$28)*X$295
+SUMIFS(Inputs_Prices!R$35:R$49,Inputs_Prices!$C$35:$C$49,$F302,Inputs_Prices!$E$35:$E$49,$L$298)*$L302
+SUMIFS(Inputs_Prices!R$35:R$49,Inputs_Prices!$C$35:$C$49,$F302,Inputs_Prices!$E$35:$E$49,$M$298)*$M302
+SUMIFS(Inputs_Prices!R$35:R$49,Inputs_Prices!$C$35:$C$49,$F302,Inputs_Prices!$E$35:$E$49,$N$298)*$N302
+SUMIFS(Inputs_Prices!R$35:R$49,Inputs_Prices!$C$35:$C$49,$F302,Inputs_Prices!$E$35:$E$49,$O$298)*$O302
+SUMIFS(Inputs_Prices!R$56:R$59,Inputs_Prices!$C$56:$C$59,$F302,Inputs_Prices!$E$56:$E$59,$I$298)*$I302
+SUMIFS(Inputs_Prices!R$56:R$59,Inputs_Prices!$C$56:$C$59,$F302,Inputs_Prices!$E$56:$E$59,$J$298)*$J302</f>
        <v>1882.0551238279199</v>
      </c>
      <c r="Y302" s="177">
        <f>SUMIF(Inputs_Prices!$C$20:$C$28,$F302,Inputs_Prices!S$20:S$28)*Y$295
+SUMIFS(Inputs_Prices!S$35:S$49,Inputs_Prices!$C$35:$C$49,$F302,Inputs_Prices!$E$35:$E$49,$L$298)*$L302
+SUMIFS(Inputs_Prices!S$35:S$49,Inputs_Prices!$C$35:$C$49,$F302,Inputs_Prices!$E$35:$E$49,$M$298)*$M302
+SUMIFS(Inputs_Prices!S$35:S$49,Inputs_Prices!$C$35:$C$49,$F302,Inputs_Prices!$E$35:$E$49,$N$298)*$N302
+SUMIFS(Inputs_Prices!S$35:S$49,Inputs_Prices!$C$35:$C$49,$F302,Inputs_Prices!$E$35:$E$49,$O$298)*$O302
+SUMIFS(Inputs_Prices!S$56:S$59,Inputs_Prices!$C$56:$C$59,$F302,Inputs_Prices!$E$56:$E$59,$I$298)*$I302
+SUMIFS(Inputs_Prices!S$56:S$59,Inputs_Prices!$C$56:$C$59,$F302,Inputs_Prices!$E$56:$E$59,$J$298)*$J302</f>
        <v>2010.3304782247847</v>
      </c>
      <c r="AA302" s="177">
        <f t="shared" si="18"/>
        <v>260.55525149519212</v>
      </c>
      <c r="AB302" s="177">
        <f t="shared" si="10"/>
        <v>163.77024758726634</v>
      </c>
      <c r="AC302" s="177">
        <f t="shared" si="11"/>
        <v>172.61151373613052</v>
      </c>
      <c r="AD302" s="177">
        <f t="shared" si="12"/>
        <v>205.81811100933101</v>
      </c>
      <c r="AE302" s="177">
        <f t="shared" si="13"/>
        <v>128.27535439686471</v>
      </c>
      <c r="AG302" s="244">
        <f t="shared" si="19"/>
        <v>0.24141133280384705</v>
      </c>
      <c r="AH302" s="244">
        <f t="shared" si="14"/>
        <v>0.12222980609622518</v>
      </c>
      <c r="AI302" s="244">
        <f t="shared" si="15"/>
        <v>0.11479687850562618</v>
      </c>
      <c r="AJ302" s="244">
        <f t="shared" si="16"/>
        <v>0.12278580501169599</v>
      </c>
      <c r="AK302" s="244">
        <f t="shared" si="17"/>
        <v>6.8157065525246099E-2</v>
      </c>
    </row>
    <row r="303" spans="2:37" x14ac:dyDescent="0.3">
      <c r="D303" s="75" t="s">
        <v>196</v>
      </c>
      <c r="E303" s="80">
        <v>3</v>
      </c>
      <c r="F303" s="80" t="s">
        <v>494</v>
      </c>
      <c r="H303" s="64">
        <v>20</v>
      </c>
      <c r="I303" s="95"/>
      <c r="J303" s="95"/>
      <c r="L303" s="64">
        <v>8500</v>
      </c>
      <c r="M303" s="243">
        <f t="shared" si="20"/>
        <v>1176.100107963259</v>
      </c>
      <c r="N303" s="243">
        <f t="shared" si="20"/>
        <v>5554.5665655559314</v>
      </c>
      <c r="O303" s="243">
        <f t="shared" si="20"/>
        <v>1769.3333264808093</v>
      </c>
      <c r="Q303" s="241"/>
      <c r="T303" s="96">
        <f>SUMIF(Inputs_FY23_FY24!$C$27:$C$33,$E303,Inputs_FY23_FY24!$N$27:$N$33)*T$295+
SUMIF(Inputs_FY23_FY24!$C$46:$C$52,$E303,Inputs_FY23_FY24!$N$46:$N$52)*$L303+
SUMIF(Inputs_FY23_FY24!$C$66:$C$69,$E303,Inputs_FY23_FY24!$N$66:$N$69)*$H303</f>
        <v>1258.25</v>
      </c>
      <c r="U303" s="97">
        <f>SUMIF(Inputs_Prices!$C$20:$C$28,$F303,Inputs_Prices!O$20:O$28)*U$295
+SUMIFS(Inputs_Prices!O$35:O$49,Inputs_Prices!$C$35:$C$49,$F303,Inputs_Prices!$E$35:$E$49,$L$298)*$L303
+SUMIFS(Inputs_Prices!O$35:O$49,Inputs_Prices!$C$35:$C$49,$F303,Inputs_Prices!$E$35:$E$49,$M$298)*$M303
+SUMIFS(Inputs_Prices!O$35:O$49,Inputs_Prices!$C$35:$C$49,$F303,Inputs_Prices!$E$35:$E$49,$N$298)*$N303
+SUMIFS(Inputs_Prices!O$35:O$49,Inputs_Prices!$C$35:$C$49,$F303,Inputs_Prices!$E$35:$E$49,$O$298)*$O303
+SUMIFS(Inputs_Prices!O$56:O$59,Inputs_Prices!$C$56:$C$59,$F303,Inputs_Prices!$E$56:$E$59,$I$298)*$I303
+SUMIFS(Inputs_Prices!O$56:O$59,Inputs_Prices!$C$56:$C$59,$F303,Inputs_Prices!$E$56:$E$59,$J$298)*$J303</f>
        <v>1339.8552514951921</v>
      </c>
      <c r="V303" s="177">
        <f>SUMIF(Inputs_Prices!$C$20:$C$28,$F303,Inputs_Prices!P$20:P$28)*V$295
+SUMIFS(Inputs_Prices!P$35:P$49,Inputs_Prices!$C$35:$C$49,$F303,Inputs_Prices!$E$35:$E$49,$L$298)*$L303
+SUMIFS(Inputs_Prices!P$35:P$49,Inputs_Prices!$C$35:$C$49,$F303,Inputs_Prices!$E$35:$E$49,$M$298)*$M303
+SUMIFS(Inputs_Prices!P$35:P$49,Inputs_Prices!$C$35:$C$49,$F303,Inputs_Prices!$E$35:$E$49,$N$298)*$N303
+SUMIFS(Inputs_Prices!P$35:P$49,Inputs_Prices!$C$35:$C$49,$F303,Inputs_Prices!$E$35:$E$49,$O$298)*$O303
+SUMIFS(Inputs_Prices!P$56:P$59,Inputs_Prices!$C$56:$C$59,$F303,Inputs_Prices!$E$56:$E$59,$I$298)*$I303
+SUMIFS(Inputs_Prices!P$56:P$59,Inputs_Prices!$C$56:$C$59,$F303,Inputs_Prices!$E$56:$E$59,$J$298)*$J303</f>
        <v>1503.6254990824584</v>
      </c>
      <c r="W303" s="177">
        <f>SUMIF(Inputs_Prices!$C$20:$C$28,$F303,Inputs_Prices!Q$20:Q$28)*W$295
+SUMIFS(Inputs_Prices!Q$35:Q$49,Inputs_Prices!$C$35:$C$49,$F303,Inputs_Prices!$E$35:$E$49,$L$298)*$L303
+SUMIFS(Inputs_Prices!Q$35:Q$49,Inputs_Prices!$C$35:$C$49,$F303,Inputs_Prices!$E$35:$E$49,$M$298)*$M303
+SUMIFS(Inputs_Prices!Q$35:Q$49,Inputs_Prices!$C$35:$C$49,$F303,Inputs_Prices!$E$35:$E$49,$N$298)*$N303
+SUMIFS(Inputs_Prices!Q$35:Q$49,Inputs_Prices!$C$35:$C$49,$F303,Inputs_Prices!$E$35:$E$49,$O$298)*$O303
+SUMIFS(Inputs_Prices!Q$56:Q$59,Inputs_Prices!$C$56:$C$59,$F303,Inputs_Prices!$E$56:$E$59,$I$298)*$I303
+SUMIFS(Inputs_Prices!Q$56:Q$59,Inputs_Prices!$C$56:$C$59,$F303,Inputs_Prices!$E$56:$E$59,$J$298)*$J303</f>
        <v>1676.2370128185889</v>
      </c>
      <c r="X303" s="177">
        <f>SUMIF(Inputs_Prices!$C$20:$C$28,$F303,Inputs_Prices!R$20:R$28)*X$295
+SUMIFS(Inputs_Prices!R$35:R$49,Inputs_Prices!$C$35:$C$49,$F303,Inputs_Prices!$E$35:$E$49,$L$298)*$L303
+SUMIFS(Inputs_Prices!R$35:R$49,Inputs_Prices!$C$35:$C$49,$F303,Inputs_Prices!$E$35:$E$49,$M$298)*$M303
+SUMIFS(Inputs_Prices!R$35:R$49,Inputs_Prices!$C$35:$C$49,$F303,Inputs_Prices!$E$35:$E$49,$N$298)*$N303
+SUMIFS(Inputs_Prices!R$35:R$49,Inputs_Prices!$C$35:$C$49,$F303,Inputs_Prices!$E$35:$E$49,$O$298)*$O303
+SUMIFS(Inputs_Prices!R$56:R$59,Inputs_Prices!$C$56:$C$59,$F303,Inputs_Prices!$E$56:$E$59,$I$298)*$I303
+SUMIFS(Inputs_Prices!R$56:R$59,Inputs_Prices!$C$56:$C$59,$F303,Inputs_Prices!$E$56:$E$59,$J$298)*$J303</f>
        <v>1882.0551238279199</v>
      </c>
      <c r="Y303" s="177">
        <f>SUMIF(Inputs_Prices!$C$20:$C$28,$F303,Inputs_Prices!S$20:S$28)*Y$295
+SUMIFS(Inputs_Prices!S$35:S$49,Inputs_Prices!$C$35:$C$49,$F303,Inputs_Prices!$E$35:$E$49,$L$298)*$L303
+SUMIFS(Inputs_Prices!S$35:S$49,Inputs_Prices!$C$35:$C$49,$F303,Inputs_Prices!$E$35:$E$49,$M$298)*$M303
+SUMIFS(Inputs_Prices!S$35:S$49,Inputs_Prices!$C$35:$C$49,$F303,Inputs_Prices!$E$35:$E$49,$N$298)*$N303
+SUMIFS(Inputs_Prices!S$35:S$49,Inputs_Prices!$C$35:$C$49,$F303,Inputs_Prices!$E$35:$E$49,$O$298)*$O303
+SUMIFS(Inputs_Prices!S$56:S$59,Inputs_Prices!$C$56:$C$59,$F303,Inputs_Prices!$E$56:$E$59,$I$298)*$I303
+SUMIFS(Inputs_Prices!S$56:S$59,Inputs_Prices!$C$56:$C$59,$F303,Inputs_Prices!$E$56:$E$59,$J$298)*$J303</f>
        <v>2010.3304782247847</v>
      </c>
      <c r="AA303" s="177">
        <f t="shared" si="18"/>
        <v>81.605251495192078</v>
      </c>
      <c r="AB303" s="177">
        <f t="shared" si="10"/>
        <v>163.77024758726634</v>
      </c>
      <c r="AC303" s="177">
        <f t="shared" si="11"/>
        <v>172.61151373613052</v>
      </c>
      <c r="AD303" s="177">
        <f t="shared" si="12"/>
        <v>205.81811100933101</v>
      </c>
      <c r="AE303" s="177">
        <f t="shared" si="13"/>
        <v>128.27535439686471</v>
      </c>
      <c r="AG303" s="244">
        <f t="shared" si="19"/>
        <v>6.485615060217928E-2</v>
      </c>
      <c r="AH303" s="244">
        <f t="shared" si="14"/>
        <v>0.12222980609622518</v>
      </c>
      <c r="AI303" s="244">
        <f t="shared" si="15"/>
        <v>0.11479687850562618</v>
      </c>
      <c r="AJ303" s="244">
        <f t="shared" si="16"/>
        <v>0.12278580501169599</v>
      </c>
      <c r="AK303" s="244">
        <f t="shared" si="17"/>
        <v>6.8157065525246099E-2</v>
      </c>
    </row>
    <row r="304" spans="2:37" x14ac:dyDescent="0.3">
      <c r="D304" s="75" t="s">
        <v>628</v>
      </c>
      <c r="E304" s="80">
        <v>2</v>
      </c>
      <c r="F304" s="80" t="s">
        <v>495</v>
      </c>
      <c r="H304" s="64">
        <v>150</v>
      </c>
      <c r="I304" s="95"/>
      <c r="J304" s="95"/>
      <c r="L304" s="64">
        <v>30000</v>
      </c>
      <c r="M304" s="243">
        <f t="shared" si="20"/>
        <v>4013.0101640614484</v>
      </c>
      <c r="N304" s="243">
        <f t="shared" si="20"/>
        <v>16225.898753897929</v>
      </c>
      <c r="O304" s="243">
        <f t="shared" si="20"/>
        <v>9761.0910820406225</v>
      </c>
      <c r="Q304" s="241"/>
      <c r="T304" s="96">
        <f>SUMIF(Inputs_FY23_FY24!$C$27:$C$33,$E304,Inputs_FY23_FY24!$N$27:$N$33)*T$295+
SUMIF(Inputs_FY23_FY24!$C$46:$C$52,$E304,Inputs_FY23_FY24!$N$46:$N$52)*$L304+
SUMIF(Inputs_FY23_FY24!$C$66:$C$69,$E304,Inputs_FY23_FY24!$N$66:$N$69)*$H304</f>
        <v>2605.8000000000002</v>
      </c>
      <c r="U304" s="97">
        <f>SUMIF(Inputs_Prices!$C$20:$C$28,$F304,Inputs_Prices!O$20:O$28)*U$295
+SUMIFS(Inputs_Prices!O$35:O$49,Inputs_Prices!$C$35:$C$49,$F304,Inputs_Prices!$E$35:$E$49,$L$298)*$L304
+SUMIFS(Inputs_Prices!O$35:O$49,Inputs_Prices!$C$35:$C$49,$F304,Inputs_Prices!$E$35:$E$49,$M$298)*$M304
+SUMIFS(Inputs_Prices!O$35:O$49,Inputs_Prices!$C$35:$C$49,$F304,Inputs_Prices!$E$35:$E$49,$N$298)*$N304
+SUMIFS(Inputs_Prices!O$35:O$49,Inputs_Prices!$C$35:$C$49,$F304,Inputs_Prices!$E$35:$E$49,$O$298)*$O304
+SUMIFS(Inputs_Prices!O$56:O$59,Inputs_Prices!$C$56:$C$59,$F304,Inputs_Prices!$E$56:$E$59,$I$298)*$I304
+SUMIFS(Inputs_Prices!O$56:O$59,Inputs_Prices!$C$56:$C$59,$F304,Inputs_Prices!$E$56:$E$59,$J$298)*$J304</f>
        <v>3175.06394968217</v>
      </c>
      <c r="V304" s="177">
        <f>SUMIF(Inputs_Prices!$C$20:$C$28,$F304,Inputs_Prices!P$20:P$28)*V$295
+SUMIFS(Inputs_Prices!P$35:P$49,Inputs_Prices!$C$35:$C$49,$F304,Inputs_Prices!$E$35:$E$49,$L$298)*$L304
+SUMIFS(Inputs_Prices!P$35:P$49,Inputs_Prices!$C$35:$C$49,$F304,Inputs_Prices!$E$35:$E$49,$M$298)*$M304
+SUMIFS(Inputs_Prices!P$35:P$49,Inputs_Prices!$C$35:$C$49,$F304,Inputs_Prices!$E$35:$E$49,$N$298)*$N304
+SUMIFS(Inputs_Prices!P$35:P$49,Inputs_Prices!$C$35:$C$49,$F304,Inputs_Prices!$E$35:$E$49,$O$298)*$O304
+SUMIFS(Inputs_Prices!P$56:P$59,Inputs_Prices!$C$56:$C$59,$F304,Inputs_Prices!$E$56:$E$59,$I$298)*$I304
+SUMIFS(Inputs_Prices!P$56:P$59,Inputs_Prices!$C$56:$C$59,$F304,Inputs_Prices!$E$56:$E$59,$J$298)*$J304</f>
        <v>3563.9114772949251</v>
      </c>
      <c r="W304" s="177">
        <f>SUMIF(Inputs_Prices!$C$20:$C$28,$F304,Inputs_Prices!Q$20:Q$28)*W$295
+SUMIFS(Inputs_Prices!Q$35:Q$49,Inputs_Prices!$C$35:$C$49,$F304,Inputs_Prices!$E$35:$E$49,$L$298)*$L304
+SUMIFS(Inputs_Prices!Q$35:Q$49,Inputs_Prices!$C$35:$C$49,$F304,Inputs_Prices!$E$35:$E$49,$M$298)*$M304
+SUMIFS(Inputs_Prices!Q$35:Q$49,Inputs_Prices!$C$35:$C$49,$F304,Inputs_Prices!$E$35:$E$49,$N$298)*$N304
+SUMIFS(Inputs_Prices!Q$35:Q$49,Inputs_Prices!$C$35:$C$49,$F304,Inputs_Prices!$E$35:$E$49,$O$298)*$O304
+SUMIFS(Inputs_Prices!Q$56:Q$59,Inputs_Prices!$C$56:$C$59,$F304,Inputs_Prices!$E$56:$E$59,$I$298)*$I304
+SUMIFS(Inputs_Prices!Q$56:Q$59,Inputs_Prices!$C$56:$C$59,$F304,Inputs_Prices!$E$56:$E$59,$J$298)*$J304</f>
        <v>4083.8862881070909</v>
      </c>
      <c r="X304" s="177">
        <f>SUMIF(Inputs_Prices!$C$20:$C$28,$F304,Inputs_Prices!R$20:R$28)*X$295
+SUMIFS(Inputs_Prices!R$35:R$49,Inputs_Prices!$C$35:$C$49,$F304,Inputs_Prices!$E$35:$E$49,$L$298)*$L304
+SUMIFS(Inputs_Prices!R$35:R$49,Inputs_Prices!$C$35:$C$49,$F304,Inputs_Prices!$E$35:$E$49,$M$298)*$M304
+SUMIFS(Inputs_Prices!R$35:R$49,Inputs_Prices!$C$35:$C$49,$F304,Inputs_Prices!$E$35:$E$49,$N$298)*$N304
+SUMIFS(Inputs_Prices!R$35:R$49,Inputs_Prices!$C$35:$C$49,$F304,Inputs_Prices!$E$35:$E$49,$O$298)*$O304
+SUMIFS(Inputs_Prices!R$56:R$59,Inputs_Prices!$C$56:$C$59,$F304,Inputs_Prices!$E$56:$E$59,$I$298)*$I304
+SUMIFS(Inputs_Prices!R$56:R$59,Inputs_Prices!$C$56:$C$59,$F304,Inputs_Prices!$E$56:$E$59,$J$298)*$J304</f>
        <v>4865.2951536432329</v>
      </c>
      <c r="Y304" s="177">
        <f>SUMIF(Inputs_Prices!$C$20:$C$28,$F304,Inputs_Prices!S$20:S$28)*Y$295
+SUMIFS(Inputs_Prices!S$35:S$49,Inputs_Prices!$C$35:$C$49,$F304,Inputs_Prices!$E$35:$E$49,$L$298)*$L304
+SUMIFS(Inputs_Prices!S$35:S$49,Inputs_Prices!$C$35:$C$49,$F304,Inputs_Prices!$E$35:$E$49,$M$298)*$M304
+SUMIFS(Inputs_Prices!S$35:S$49,Inputs_Prices!$C$35:$C$49,$F304,Inputs_Prices!$E$35:$E$49,$N$298)*$N304
+SUMIFS(Inputs_Prices!S$35:S$49,Inputs_Prices!$C$35:$C$49,$F304,Inputs_Prices!$E$35:$E$49,$O$298)*$O304
+SUMIFS(Inputs_Prices!S$56:S$59,Inputs_Prices!$C$56:$C$59,$F304,Inputs_Prices!$E$56:$E$59,$I$298)*$I304
+SUMIFS(Inputs_Prices!S$56:S$59,Inputs_Prices!$C$56:$C$59,$F304,Inputs_Prices!$E$56:$E$59,$J$298)*$J304</f>
        <v>5422.7848265078119</v>
      </c>
      <c r="AA304" s="177">
        <f t="shared" si="18"/>
        <v>569.26394968216982</v>
      </c>
      <c r="AB304" s="177">
        <f t="shared" si="10"/>
        <v>388.84752761275513</v>
      </c>
      <c r="AC304" s="177">
        <f t="shared" si="11"/>
        <v>519.97481081216574</v>
      </c>
      <c r="AD304" s="177">
        <f t="shared" si="12"/>
        <v>781.408865536142</v>
      </c>
      <c r="AE304" s="177">
        <f t="shared" si="13"/>
        <v>557.48967286457901</v>
      </c>
      <c r="AG304" s="244">
        <f t="shared" si="19"/>
        <v>0.21846033835373774</v>
      </c>
      <c r="AH304" s="244">
        <f t="shared" si="14"/>
        <v>0.12246919551074853</v>
      </c>
      <c r="AI304" s="244">
        <f t="shared" si="15"/>
        <v>0.14590003543152993</v>
      </c>
      <c r="AJ304" s="244">
        <f t="shared" si="16"/>
        <v>0.19133952573844321</v>
      </c>
      <c r="AK304" s="244">
        <f t="shared" si="17"/>
        <v>0.11458496458269737</v>
      </c>
    </row>
    <row r="305" spans="4:37" x14ac:dyDescent="0.3">
      <c r="D305" s="75" t="s">
        <v>628</v>
      </c>
      <c r="E305" s="80">
        <v>3</v>
      </c>
      <c r="F305" s="80" t="s">
        <v>495</v>
      </c>
      <c r="H305" s="64">
        <v>150</v>
      </c>
      <c r="I305" s="95"/>
      <c r="J305" s="95"/>
      <c r="L305" s="64">
        <v>30000</v>
      </c>
      <c r="M305" s="243">
        <f t="shared" si="20"/>
        <v>4013.0101640614484</v>
      </c>
      <c r="N305" s="243">
        <f t="shared" si="20"/>
        <v>16225.898753897929</v>
      </c>
      <c r="O305" s="243">
        <f t="shared" si="20"/>
        <v>9761.0910820406225</v>
      </c>
      <c r="Q305" s="241"/>
      <c r="T305" s="96">
        <f>SUMIF(Inputs_FY23_FY24!$C$27:$C$33,$E305,Inputs_FY23_FY24!$N$27:$N$33)*T$295+
SUMIF(Inputs_FY23_FY24!$C$46:$C$52,$E305,Inputs_FY23_FY24!$N$46:$N$52)*$L305+
SUMIF(Inputs_FY23_FY24!$C$66:$C$69,$E305,Inputs_FY23_FY24!$N$66:$N$69)*$H305</f>
        <v>4257</v>
      </c>
      <c r="U305" s="97">
        <f>SUMIF(Inputs_Prices!$C$20:$C$28,$F305,Inputs_Prices!O$20:O$28)*U$295
+SUMIFS(Inputs_Prices!O$35:O$49,Inputs_Prices!$C$35:$C$49,$F305,Inputs_Prices!$E$35:$E$49,$L$298)*$L305
+SUMIFS(Inputs_Prices!O$35:O$49,Inputs_Prices!$C$35:$C$49,$F305,Inputs_Prices!$E$35:$E$49,$M$298)*$M305
+SUMIFS(Inputs_Prices!O$35:O$49,Inputs_Prices!$C$35:$C$49,$F305,Inputs_Prices!$E$35:$E$49,$N$298)*$N305
+SUMIFS(Inputs_Prices!O$35:O$49,Inputs_Prices!$C$35:$C$49,$F305,Inputs_Prices!$E$35:$E$49,$O$298)*$O305
+SUMIFS(Inputs_Prices!O$56:O$59,Inputs_Prices!$C$56:$C$59,$F305,Inputs_Prices!$E$56:$E$59,$I$298)*$I305
+SUMIFS(Inputs_Prices!O$56:O$59,Inputs_Prices!$C$56:$C$59,$F305,Inputs_Prices!$E$56:$E$59,$J$298)*$J305</f>
        <v>3175.06394968217</v>
      </c>
      <c r="V305" s="177">
        <f>SUMIF(Inputs_Prices!$C$20:$C$28,$F305,Inputs_Prices!P$20:P$28)*V$295
+SUMIFS(Inputs_Prices!P$35:P$49,Inputs_Prices!$C$35:$C$49,$F305,Inputs_Prices!$E$35:$E$49,$L$298)*$L305
+SUMIFS(Inputs_Prices!P$35:P$49,Inputs_Prices!$C$35:$C$49,$F305,Inputs_Prices!$E$35:$E$49,$M$298)*$M305
+SUMIFS(Inputs_Prices!P$35:P$49,Inputs_Prices!$C$35:$C$49,$F305,Inputs_Prices!$E$35:$E$49,$N$298)*$N305
+SUMIFS(Inputs_Prices!P$35:P$49,Inputs_Prices!$C$35:$C$49,$F305,Inputs_Prices!$E$35:$E$49,$O$298)*$O305
+SUMIFS(Inputs_Prices!P$56:P$59,Inputs_Prices!$C$56:$C$59,$F305,Inputs_Prices!$E$56:$E$59,$I$298)*$I305
+SUMIFS(Inputs_Prices!P$56:P$59,Inputs_Prices!$C$56:$C$59,$F305,Inputs_Prices!$E$56:$E$59,$J$298)*$J305</f>
        <v>3563.9114772949251</v>
      </c>
      <c r="W305" s="177">
        <f>SUMIF(Inputs_Prices!$C$20:$C$28,$F305,Inputs_Prices!Q$20:Q$28)*W$295
+SUMIFS(Inputs_Prices!Q$35:Q$49,Inputs_Prices!$C$35:$C$49,$F305,Inputs_Prices!$E$35:$E$49,$L$298)*$L305
+SUMIFS(Inputs_Prices!Q$35:Q$49,Inputs_Prices!$C$35:$C$49,$F305,Inputs_Prices!$E$35:$E$49,$M$298)*$M305
+SUMIFS(Inputs_Prices!Q$35:Q$49,Inputs_Prices!$C$35:$C$49,$F305,Inputs_Prices!$E$35:$E$49,$N$298)*$N305
+SUMIFS(Inputs_Prices!Q$35:Q$49,Inputs_Prices!$C$35:$C$49,$F305,Inputs_Prices!$E$35:$E$49,$O$298)*$O305
+SUMIFS(Inputs_Prices!Q$56:Q$59,Inputs_Prices!$C$56:$C$59,$F305,Inputs_Prices!$E$56:$E$59,$I$298)*$I305
+SUMIFS(Inputs_Prices!Q$56:Q$59,Inputs_Prices!$C$56:$C$59,$F305,Inputs_Prices!$E$56:$E$59,$J$298)*$J305</f>
        <v>4083.8862881070909</v>
      </c>
      <c r="X305" s="177">
        <f>SUMIF(Inputs_Prices!$C$20:$C$28,$F305,Inputs_Prices!R$20:R$28)*X$295
+SUMIFS(Inputs_Prices!R$35:R$49,Inputs_Prices!$C$35:$C$49,$F305,Inputs_Prices!$E$35:$E$49,$L$298)*$L305
+SUMIFS(Inputs_Prices!R$35:R$49,Inputs_Prices!$C$35:$C$49,$F305,Inputs_Prices!$E$35:$E$49,$M$298)*$M305
+SUMIFS(Inputs_Prices!R$35:R$49,Inputs_Prices!$C$35:$C$49,$F305,Inputs_Prices!$E$35:$E$49,$N$298)*$N305
+SUMIFS(Inputs_Prices!R$35:R$49,Inputs_Prices!$C$35:$C$49,$F305,Inputs_Prices!$E$35:$E$49,$O$298)*$O305
+SUMIFS(Inputs_Prices!R$56:R$59,Inputs_Prices!$C$56:$C$59,$F305,Inputs_Prices!$E$56:$E$59,$I$298)*$I305
+SUMIFS(Inputs_Prices!R$56:R$59,Inputs_Prices!$C$56:$C$59,$F305,Inputs_Prices!$E$56:$E$59,$J$298)*$J305</f>
        <v>4865.2951536432329</v>
      </c>
      <c r="Y305" s="177">
        <f>SUMIF(Inputs_Prices!$C$20:$C$28,$F305,Inputs_Prices!S$20:S$28)*Y$295
+SUMIFS(Inputs_Prices!S$35:S$49,Inputs_Prices!$C$35:$C$49,$F305,Inputs_Prices!$E$35:$E$49,$L$298)*$L305
+SUMIFS(Inputs_Prices!S$35:S$49,Inputs_Prices!$C$35:$C$49,$F305,Inputs_Prices!$E$35:$E$49,$M$298)*$M305
+SUMIFS(Inputs_Prices!S$35:S$49,Inputs_Prices!$C$35:$C$49,$F305,Inputs_Prices!$E$35:$E$49,$N$298)*$N305
+SUMIFS(Inputs_Prices!S$35:S$49,Inputs_Prices!$C$35:$C$49,$F305,Inputs_Prices!$E$35:$E$49,$O$298)*$O305
+SUMIFS(Inputs_Prices!S$56:S$59,Inputs_Prices!$C$56:$C$59,$F305,Inputs_Prices!$E$56:$E$59,$I$298)*$I305
+SUMIFS(Inputs_Prices!S$56:S$59,Inputs_Prices!$C$56:$C$59,$F305,Inputs_Prices!$E$56:$E$59,$J$298)*$J305</f>
        <v>5422.7848265078119</v>
      </c>
      <c r="AA305" s="177">
        <f t="shared" si="18"/>
        <v>-1081.93605031783</v>
      </c>
      <c r="AB305" s="177">
        <f t="shared" si="10"/>
        <v>388.84752761275513</v>
      </c>
      <c r="AC305" s="177">
        <f t="shared" si="11"/>
        <v>519.97481081216574</v>
      </c>
      <c r="AD305" s="177">
        <f t="shared" si="12"/>
        <v>781.408865536142</v>
      </c>
      <c r="AE305" s="177">
        <f t="shared" si="13"/>
        <v>557.48967286457901</v>
      </c>
      <c r="AG305" s="244">
        <f t="shared" si="19"/>
        <v>-0.25415458076528774</v>
      </c>
      <c r="AH305" s="244">
        <f t="shared" si="14"/>
        <v>0.12246919551074853</v>
      </c>
      <c r="AI305" s="244">
        <f t="shared" si="15"/>
        <v>0.14590003543152993</v>
      </c>
      <c r="AJ305" s="244">
        <f t="shared" si="16"/>
        <v>0.19133952573844321</v>
      </c>
      <c r="AK305" s="244">
        <f t="shared" si="17"/>
        <v>0.11458496458269737</v>
      </c>
    </row>
    <row r="306" spans="4:37" x14ac:dyDescent="0.3">
      <c r="D306" s="75" t="s">
        <v>629</v>
      </c>
      <c r="E306" s="80">
        <v>2</v>
      </c>
      <c r="F306" s="80" t="s">
        <v>496</v>
      </c>
      <c r="H306" s="64">
        <v>500</v>
      </c>
      <c r="I306" s="95"/>
      <c r="J306" s="95"/>
      <c r="L306" s="64">
        <v>250000</v>
      </c>
      <c r="M306" s="243">
        <f t="shared" si="20"/>
        <v>31304.176642577579</v>
      </c>
      <c r="N306" s="243">
        <f t="shared" si="20"/>
        <v>148841.09927583399</v>
      </c>
      <c r="O306" s="243">
        <f t="shared" si="20"/>
        <v>69854.724081588472</v>
      </c>
      <c r="Q306" s="241"/>
      <c r="T306" s="96">
        <f>SUMIF(Inputs_FY23_FY24!$C$27:$C$33,$E306,Inputs_FY23_FY24!$N$27:$N$33)*T$295+
SUMIF(Inputs_FY23_FY24!$C$46:$C$52,$E306,Inputs_FY23_FY24!$N$46:$N$52)*$L306+
SUMIF(Inputs_FY23_FY24!$C$66:$C$69,$E306,Inputs_FY23_FY24!$N$66:$N$69)*$H306</f>
        <v>18225.8</v>
      </c>
      <c r="U306" s="97">
        <f>SUMIF(Inputs_Prices!$C$20:$C$28,$F306,Inputs_Prices!O$20:O$28)*U$295
+SUMIFS(Inputs_Prices!O$35:O$49,Inputs_Prices!$C$35:$C$49,$F306,Inputs_Prices!$E$35:$E$49,$L$298)*$L306
+SUMIFS(Inputs_Prices!O$35:O$49,Inputs_Prices!$C$35:$C$49,$F306,Inputs_Prices!$E$35:$E$49,$M$298)*$M306
+SUMIFS(Inputs_Prices!O$35:O$49,Inputs_Prices!$C$35:$C$49,$F306,Inputs_Prices!$E$35:$E$49,$N$298)*$N306
+SUMIFS(Inputs_Prices!O$35:O$49,Inputs_Prices!$C$35:$C$49,$F306,Inputs_Prices!$E$35:$E$49,$O$298)*$O306
+SUMIFS(Inputs_Prices!O$56:O$59,Inputs_Prices!$C$56:$C$59,$F306,Inputs_Prices!$E$56:$E$59,$I$298)*$I306
+SUMIFS(Inputs_Prices!O$56:O$59,Inputs_Prices!$C$56:$C$59,$F306,Inputs_Prices!$E$56:$E$59,$J$298)*$J306</f>
        <v>17733.207491429341</v>
      </c>
      <c r="V306" s="177">
        <f>SUMIF(Inputs_Prices!$C$20:$C$28,$F306,Inputs_Prices!P$20:P$28)*V$295
+SUMIFS(Inputs_Prices!P$35:P$49,Inputs_Prices!$C$35:$C$49,$F306,Inputs_Prices!$E$35:$E$49,$L$298)*$L306
+SUMIFS(Inputs_Prices!P$35:P$49,Inputs_Prices!$C$35:$C$49,$F306,Inputs_Prices!$E$35:$E$49,$M$298)*$M306
+SUMIFS(Inputs_Prices!P$35:P$49,Inputs_Prices!$C$35:$C$49,$F306,Inputs_Prices!$E$35:$E$49,$N$298)*$N306
+SUMIFS(Inputs_Prices!P$35:P$49,Inputs_Prices!$C$35:$C$49,$F306,Inputs_Prices!$E$35:$E$49,$O$298)*$O306
+SUMIFS(Inputs_Prices!P$56:P$59,Inputs_Prices!$C$56:$C$59,$F306,Inputs_Prices!$E$56:$E$59,$I$298)*$I306
+SUMIFS(Inputs_Prices!P$56:P$59,Inputs_Prices!$C$56:$C$59,$F306,Inputs_Prices!$E$56:$E$59,$J$298)*$J306</f>
        <v>20440.080610806432</v>
      </c>
      <c r="W306" s="177">
        <f>SUMIF(Inputs_Prices!$C$20:$C$28,$F306,Inputs_Prices!Q$20:Q$28)*W$295
+SUMIFS(Inputs_Prices!Q$35:Q$49,Inputs_Prices!$C$35:$C$49,$F306,Inputs_Prices!$E$35:$E$49,$L$298)*$L306
+SUMIFS(Inputs_Prices!Q$35:Q$49,Inputs_Prices!$C$35:$C$49,$F306,Inputs_Prices!$E$35:$E$49,$M$298)*$M306
+SUMIFS(Inputs_Prices!Q$35:Q$49,Inputs_Prices!$C$35:$C$49,$F306,Inputs_Prices!$E$35:$E$49,$N$298)*$N306
+SUMIFS(Inputs_Prices!Q$35:Q$49,Inputs_Prices!$C$35:$C$49,$F306,Inputs_Prices!$E$35:$E$49,$O$298)*$O306
+SUMIFS(Inputs_Prices!Q$56:Q$59,Inputs_Prices!$C$56:$C$59,$F306,Inputs_Prices!$E$56:$E$59,$I$298)*$I306
+SUMIFS(Inputs_Prices!Q$56:Q$59,Inputs_Prices!$C$56:$C$59,$F306,Inputs_Prices!$E$56:$E$59,$J$298)*$J306</f>
        <v>24799.876003289941</v>
      </c>
      <c r="X306" s="177">
        <f>SUMIF(Inputs_Prices!$C$20:$C$28,$F306,Inputs_Prices!R$20:R$28)*X$295
+SUMIFS(Inputs_Prices!R$35:R$49,Inputs_Prices!$C$35:$C$49,$F306,Inputs_Prices!$E$35:$E$49,$L$298)*$L306
+SUMIFS(Inputs_Prices!R$35:R$49,Inputs_Prices!$C$35:$C$49,$F306,Inputs_Prices!$E$35:$E$49,$M$298)*$M306
+SUMIFS(Inputs_Prices!R$35:R$49,Inputs_Prices!$C$35:$C$49,$F306,Inputs_Prices!$E$35:$E$49,$N$298)*$N306
+SUMIFS(Inputs_Prices!R$35:R$49,Inputs_Prices!$C$35:$C$49,$F306,Inputs_Prices!$E$35:$E$49,$O$298)*$O306
+SUMIFS(Inputs_Prices!R$56:R$59,Inputs_Prices!$C$56:$C$59,$F306,Inputs_Prices!$E$56:$E$59,$I$298)*$I306
+SUMIFS(Inputs_Prices!R$56:R$59,Inputs_Prices!$C$56:$C$59,$F306,Inputs_Prices!$E$56:$E$59,$J$298)*$J306</f>
        <v>29226.926739762672</v>
      </c>
      <c r="Y306" s="177">
        <f>SUMIF(Inputs_Prices!$C$20:$C$28,$F306,Inputs_Prices!S$20:S$28)*Y$295
+SUMIFS(Inputs_Prices!S$35:S$49,Inputs_Prices!$C$35:$C$49,$F306,Inputs_Prices!$E$35:$E$49,$L$298)*$L306
+SUMIFS(Inputs_Prices!S$35:S$49,Inputs_Prices!$C$35:$C$49,$F306,Inputs_Prices!$E$35:$E$49,$M$298)*$M306
+SUMIFS(Inputs_Prices!S$35:S$49,Inputs_Prices!$C$35:$C$49,$F306,Inputs_Prices!$E$35:$E$49,$N$298)*$N306
+SUMIFS(Inputs_Prices!S$35:S$49,Inputs_Prices!$C$35:$C$49,$F306,Inputs_Prices!$E$35:$E$49,$O$298)*$O306
+SUMIFS(Inputs_Prices!S$56:S$59,Inputs_Prices!$C$56:$C$59,$F306,Inputs_Prices!$E$56:$E$59,$I$298)*$I306
+SUMIFS(Inputs_Prices!S$56:S$59,Inputs_Prices!$C$56:$C$59,$F306,Inputs_Prices!$E$56:$E$59,$J$298)*$J306</f>
        <v>32023.908714628255</v>
      </c>
      <c r="AA306" s="177">
        <f t="shared" si="18"/>
        <v>-492.59250857065854</v>
      </c>
      <c r="AB306" s="177">
        <f t="shared" si="10"/>
        <v>2706.8731193770909</v>
      </c>
      <c r="AC306" s="177">
        <f t="shared" si="11"/>
        <v>4359.7953924835092</v>
      </c>
      <c r="AD306" s="177">
        <f t="shared" si="12"/>
        <v>4427.0507364727309</v>
      </c>
      <c r="AE306" s="177">
        <f t="shared" si="13"/>
        <v>2796.9819748655827</v>
      </c>
      <c r="AG306" s="244">
        <f t="shared" si="19"/>
        <v>-2.7027209152446451E-2</v>
      </c>
      <c r="AH306" s="244">
        <f t="shared" si="14"/>
        <v>0.15264430423460354</v>
      </c>
      <c r="AI306" s="244">
        <f t="shared" si="15"/>
        <v>0.21329638935858874</v>
      </c>
      <c r="AJ306" s="244">
        <f t="shared" si="16"/>
        <v>0.17851100287297567</v>
      </c>
      <c r="AK306" s="244">
        <f t="shared" si="17"/>
        <v>9.5698805412214025E-2</v>
      </c>
    </row>
    <row r="307" spans="4:37" x14ac:dyDescent="0.3">
      <c r="D307" s="75" t="s">
        <v>629</v>
      </c>
      <c r="E307" s="80">
        <v>3</v>
      </c>
      <c r="F307" s="80" t="s">
        <v>496</v>
      </c>
      <c r="H307" s="64">
        <v>500</v>
      </c>
      <c r="I307" s="95"/>
      <c r="J307" s="95"/>
      <c r="L307" s="64">
        <v>250000</v>
      </c>
      <c r="M307" s="243">
        <f t="shared" si="20"/>
        <v>31304.176642577579</v>
      </c>
      <c r="N307" s="243">
        <f t="shared" si="20"/>
        <v>148841.09927583399</v>
      </c>
      <c r="O307" s="243">
        <f t="shared" si="20"/>
        <v>69854.724081588472</v>
      </c>
      <c r="T307" s="96">
        <f>SUMIF(Inputs_FY23_FY24!$C$27:$C$33,$E307,Inputs_FY23_FY24!$N$27:$N$33)*T$295+
SUMIF(Inputs_FY23_FY24!$C$46:$C$52,$E307,Inputs_FY23_FY24!$N$46:$N$52)*$L307+
SUMIF(Inputs_FY23_FY24!$C$66:$C$69,$E307,Inputs_FY23_FY24!$N$66:$N$69)*$H307</f>
        <v>14357</v>
      </c>
      <c r="U307" s="97">
        <f>SUMIF(Inputs_Prices!$C$20:$C$28,$F307,Inputs_Prices!O$20:O$28)*U$295
+SUMIFS(Inputs_Prices!O$35:O$49,Inputs_Prices!$C$35:$C$49,$F307,Inputs_Prices!$E$35:$E$49,$L$298)*$L307
+SUMIFS(Inputs_Prices!O$35:O$49,Inputs_Prices!$C$35:$C$49,$F307,Inputs_Prices!$E$35:$E$49,$M$298)*$M307
+SUMIFS(Inputs_Prices!O$35:O$49,Inputs_Prices!$C$35:$C$49,$F307,Inputs_Prices!$E$35:$E$49,$N$298)*$N307
+SUMIFS(Inputs_Prices!O$35:O$49,Inputs_Prices!$C$35:$C$49,$F307,Inputs_Prices!$E$35:$E$49,$O$298)*$O307
+SUMIFS(Inputs_Prices!O$56:O$59,Inputs_Prices!$C$56:$C$59,$F307,Inputs_Prices!$E$56:$E$59,$I$298)*$I307
+SUMIFS(Inputs_Prices!O$56:O$59,Inputs_Prices!$C$56:$C$59,$F307,Inputs_Prices!$E$56:$E$59,$J$298)*$J307</f>
        <v>17733.207491429341</v>
      </c>
      <c r="V307" s="177">
        <f>SUMIF(Inputs_Prices!$C$20:$C$28,$F307,Inputs_Prices!P$20:P$28)*V$295
+SUMIFS(Inputs_Prices!P$35:P$49,Inputs_Prices!$C$35:$C$49,$F307,Inputs_Prices!$E$35:$E$49,$L$298)*$L307
+SUMIFS(Inputs_Prices!P$35:P$49,Inputs_Prices!$C$35:$C$49,$F307,Inputs_Prices!$E$35:$E$49,$M$298)*$M307
+SUMIFS(Inputs_Prices!P$35:P$49,Inputs_Prices!$C$35:$C$49,$F307,Inputs_Prices!$E$35:$E$49,$N$298)*$N307
+SUMIFS(Inputs_Prices!P$35:P$49,Inputs_Prices!$C$35:$C$49,$F307,Inputs_Prices!$E$35:$E$49,$O$298)*$O307
+SUMIFS(Inputs_Prices!P$56:P$59,Inputs_Prices!$C$56:$C$59,$F307,Inputs_Prices!$E$56:$E$59,$I$298)*$I307
+SUMIFS(Inputs_Prices!P$56:P$59,Inputs_Prices!$C$56:$C$59,$F307,Inputs_Prices!$E$56:$E$59,$J$298)*$J307</f>
        <v>20440.080610806432</v>
      </c>
      <c r="W307" s="177">
        <f>SUMIF(Inputs_Prices!$C$20:$C$28,$F307,Inputs_Prices!Q$20:Q$28)*W$295
+SUMIFS(Inputs_Prices!Q$35:Q$49,Inputs_Prices!$C$35:$C$49,$F307,Inputs_Prices!$E$35:$E$49,$L$298)*$L307
+SUMIFS(Inputs_Prices!Q$35:Q$49,Inputs_Prices!$C$35:$C$49,$F307,Inputs_Prices!$E$35:$E$49,$M$298)*$M307
+SUMIFS(Inputs_Prices!Q$35:Q$49,Inputs_Prices!$C$35:$C$49,$F307,Inputs_Prices!$E$35:$E$49,$N$298)*$N307
+SUMIFS(Inputs_Prices!Q$35:Q$49,Inputs_Prices!$C$35:$C$49,$F307,Inputs_Prices!$E$35:$E$49,$O$298)*$O307
+SUMIFS(Inputs_Prices!Q$56:Q$59,Inputs_Prices!$C$56:$C$59,$F307,Inputs_Prices!$E$56:$E$59,$I$298)*$I307
+SUMIFS(Inputs_Prices!Q$56:Q$59,Inputs_Prices!$C$56:$C$59,$F307,Inputs_Prices!$E$56:$E$59,$J$298)*$J307</f>
        <v>24799.876003289941</v>
      </c>
      <c r="X307" s="177">
        <f>SUMIF(Inputs_Prices!$C$20:$C$28,$F307,Inputs_Prices!R$20:R$28)*X$295
+SUMIFS(Inputs_Prices!R$35:R$49,Inputs_Prices!$C$35:$C$49,$F307,Inputs_Prices!$E$35:$E$49,$L$298)*$L307
+SUMIFS(Inputs_Prices!R$35:R$49,Inputs_Prices!$C$35:$C$49,$F307,Inputs_Prices!$E$35:$E$49,$M$298)*$M307
+SUMIFS(Inputs_Prices!R$35:R$49,Inputs_Prices!$C$35:$C$49,$F307,Inputs_Prices!$E$35:$E$49,$N$298)*$N307
+SUMIFS(Inputs_Prices!R$35:R$49,Inputs_Prices!$C$35:$C$49,$F307,Inputs_Prices!$E$35:$E$49,$O$298)*$O307
+SUMIFS(Inputs_Prices!R$56:R$59,Inputs_Prices!$C$56:$C$59,$F307,Inputs_Prices!$E$56:$E$59,$I$298)*$I307
+SUMIFS(Inputs_Prices!R$56:R$59,Inputs_Prices!$C$56:$C$59,$F307,Inputs_Prices!$E$56:$E$59,$J$298)*$J307</f>
        <v>29226.926739762672</v>
      </c>
      <c r="Y307" s="177">
        <f>SUMIF(Inputs_Prices!$C$20:$C$28,$F307,Inputs_Prices!S$20:S$28)*Y$295
+SUMIFS(Inputs_Prices!S$35:S$49,Inputs_Prices!$C$35:$C$49,$F307,Inputs_Prices!$E$35:$E$49,$L$298)*$L307
+SUMIFS(Inputs_Prices!S$35:S$49,Inputs_Prices!$C$35:$C$49,$F307,Inputs_Prices!$E$35:$E$49,$M$298)*$M307
+SUMIFS(Inputs_Prices!S$35:S$49,Inputs_Prices!$C$35:$C$49,$F307,Inputs_Prices!$E$35:$E$49,$N$298)*$N307
+SUMIFS(Inputs_Prices!S$35:S$49,Inputs_Prices!$C$35:$C$49,$F307,Inputs_Prices!$E$35:$E$49,$O$298)*$O307
+SUMIFS(Inputs_Prices!S$56:S$59,Inputs_Prices!$C$56:$C$59,$F307,Inputs_Prices!$E$56:$E$59,$I$298)*$I307
+SUMIFS(Inputs_Prices!S$56:S$59,Inputs_Prices!$C$56:$C$59,$F307,Inputs_Prices!$E$56:$E$59,$J$298)*$J307</f>
        <v>32023.908714628255</v>
      </c>
      <c r="AA307" s="177">
        <f t="shared" si="18"/>
        <v>3376.2074914293407</v>
      </c>
      <c r="AB307" s="177">
        <f t="shared" si="10"/>
        <v>2706.8731193770909</v>
      </c>
      <c r="AC307" s="177">
        <f t="shared" si="11"/>
        <v>4359.7953924835092</v>
      </c>
      <c r="AD307" s="177">
        <f t="shared" si="12"/>
        <v>4427.0507364727309</v>
      </c>
      <c r="AE307" s="177">
        <f t="shared" si="13"/>
        <v>2796.9819748655827</v>
      </c>
      <c r="AG307" s="244">
        <f t="shared" si="19"/>
        <v>0.23516107065747305</v>
      </c>
      <c r="AH307" s="244">
        <f t="shared" si="14"/>
        <v>0.15264430423460354</v>
      </c>
      <c r="AI307" s="244">
        <f t="shared" si="15"/>
        <v>0.21329638935858874</v>
      </c>
      <c r="AJ307" s="244">
        <f t="shared" si="16"/>
        <v>0.17851100287297567</v>
      </c>
      <c r="AK307" s="244">
        <f t="shared" si="17"/>
        <v>9.5698805412214025E-2</v>
      </c>
    </row>
    <row r="308" spans="4:37" x14ac:dyDescent="0.3">
      <c r="D308" s="75" t="s">
        <v>630</v>
      </c>
      <c r="E308" s="80">
        <v>5</v>
      </c>
      <c r="F308" s="80">
        <v>5</v>
      </c>
      <c r="H308" s="64">
        <v>2225</v>
      </c>
      <c r="I308" s="243">
        <f>$H308*SUMIF($H$318:$H$319,$F308,I$318:I$319)</f>
        <v>1163.6094190857978</v>
      </c>
      <c r="J308" s="243">
        <f t="shared" ref="J308:J313" si="21">$H308*SUMIF($H$318:$H$319,$F308,J$318:J$319)</f>
        <v>1061.3905809142022</v>
      </c>
      <c r="L308" s="64">
        <v>800000</v>
      </c>
      <c r="M308" s="95"/>
      <c r="N308" s="95"/>
      <c r="O308" s="95"/>
      <c r="T308" s="96">
        <f>SUMIF(Inputs_FY23_FY24!$C$27:$C$33,$E308,Inputs_FY23_FY24!$N$27:$N$33)*T$295+
SUMIF(Inputs_FY23_FY24!$C$46:$C$52,$E308,Inputs_FY23_FY24!$N$46:$N$52)*$L308+
SUMIF(Inputs_FY23_FY24!$C$66:$C$69,$E308,Inputs_FY23_FY24!$N$66:$N$69)*$H308</f>
        <v>70205</v>
      </c>
      <c r="U308" s="97">
        <f>SUMIF(Inputs_Prices!$C$20:$C$28,$F308,Inputs_Prices!O$20:O$28)*U$295
+SUMIFS(Inputs_Prices!O$35:O$49,Inputs_Prices!$C$35:$C$49,$F308,Inputs_Prices!$E$35:$E$49,$L$298)*$L308
+SUMIFS(Inputs_Prices!O$35:O$49,Inputs_Prices!$C$35:$C$49,$F308,Inputs_Prices!$E$35:$E$49,$M$298)*$M308
+SUMIFS(Inputs_Prices!O$35:O$49,Inputs_Prices!$C$35:$C$49,$F308,Inputs_Prices!$E$35:$E$49,$N$298)*$N308
+SUMIFS(Inputs_Prices!O$35:O$49,Inputs_Prices!$C$35:$C$49,$F308,Inputs_Prices!$E$35:$E$49,$O$298)*$O308
+SUMIFS(Inputs_Prices!O$56:O$59,Inputs_Prices!$C$56:$C$59,$F308,Inputs_Prices!$E$56:$E$59,$I$298)*$I308
+SUMIFS(Inputs_Prices!O$56:O$59,Inputs_Prices!$C$56:$C$59,$F308,Inputs_Prices!$E$56:$E$59,$J$298)*$J308</f>
        <v>79857.008589233083</v>
      </c>
      <c r="V308" s="177">
        <f>SUMIF(Inputs_Prices!$C$20:$C$28,$F308,Inputs_Prices!P$20:P$28)*V$295
+SUMIFS(Inputs_Prices!P$35:P$49,Inputs_Prices!$C$35:$C$49,$F308,Inputs_Prices!$E$35:$E$49,$L$298)*$L308
+SUMIFS(Inputs_Prices!P$35:P$49,Inputs_Prices!$C$35:$C$49,$F308,Inputs_Prices!$E$35:$E$49,$M$298)*$M308
+SUMIFS(Inputs_Prices!P$35:P$49,Inputs_Prices!$C$35:$C$49,$F308,Inputs_Prices!$E$35:$E$49,$N$298)*$N308
+SUMIFS(Inputs_Prices!P$35:P$49,Inputs_Prices!$C$35:$C$49,$F308,Inputs_Prices!$E$35:$E$49,$O$298)*$O308
+SUMIFS(Inputs_Prices!P$56:P$59,Inputs_Prices!$C$56:$C$59,$F308,Inputs_Prices!$E$56:$E$59,$I$298)*$I308
+SUMIFS(Inputs_Prices!P$56:P$59,Inputs_Prices!$C$56:$C$59,$F308,Inputs_Prices!$E$56:$E$59,$J$298)*$J308</f>
        <v>89365.308236788871</v>
      </c>
      <c r="W308" s="177">
        <f>SUMIF(Inputs_Prices!$C$20:$C$28,$F308,Inputs_Prices!Q$20:Q$28)*W$295
+SUMIFS(Inputs_Prices!Q$35:Q$49,Inputs_Prices!$C$35:$C$49,$F308,Inputs_Prices!$E$35:$E$49,$L$298)*$L308
+SUMIFS(Inputs_Prices!Q$35:Q$49,Inputs_Prices!$C$35:$C$49,$F308,Inputs_Prices!$E$35:$E$49,$M$298)*$M308
+SUMIFS(Inputs_Prices!Q$35:Q$49,Inputs_Prices!$C$35:$C$49,$F308,Inputs_Prices!$E$35:$E$49,$N$298)*$N308
+SUMIFS(Inputs_Prices!Q$35:Q$49,Inputs_Prices!$C$35:$C$49,$F308,Inputs_Prices!$E$35:$E$49,$O$298)*$O308
+SUMIFS(Inputs_Prices!Q$56:Q$59,Inputs_Prices!$C$56:$C$59,$F308,Inputs_Prices!$E$56:$E$59,$I$298)*$I308
+SUMIFS(Inputs_Prices!Q$56:Q$59,Inputs_Prices!$C$56:$C$59,$F308,Inputs_Prices!$E$56:$E$59,$J$298)*$J308</f>
        <v>100858.72769764447</v>
      </c>
      <c r="X308" s="177">
        <f>SUMIF(Inputs_Prices!$C$20:$C$28,$F308,Inputs_Prices!R$20:R$28)*X$295
+SUMIFS(Inputs_Prices!R$35:R$49,Inputs_Prices!$C$35:$C$49,$F308,Inputs_Prices!$E$35:$E$49,$L$298)*$L308
+SUMIFS(Inputs_Prices!R$35:R$49,Inputs_Prices!$C$35:$C$49,$F308,Inputs_Prices!$E$35:$E$49,$M$298)*$M308
+SUMIFS(Inputs_Prices!R$35:R$49,Inputs_Prices!$C$35:$C$49,$F308,Inputs_Prices!$E$35:$E$49,$N$298)*$N308
+SUMIFS(Inputs_Prices!R$35:R$49,Inputs_Prices!$C$35:$C$49,$F308,Inputs_Prices!$E$35:$E$49,$O$298)*$O308
+SUMIFS(Inputs_Prices!R$56:R$59,Inputs_Prices!$C$56:$C$59,$F308,Inputs_Prices!$E$56:$E$59,$I$298)*$I308
+SUMIFS(Inputs_Prices!R$56:R$59,Inputs_Prices!$C$56:$C$59,$F308,Inputs_Prices!$E$56:$E$59,$J$298)*$J308</f>
        <v>113629.43126572896</v>
      </c>
      <c r="Y308" s="177">
        <f>SUMIF(Inputs_Prices!$C$20:$C$28,$F308,Inputs_Prices!S$20:S$28)*Y$295
+SUMIFS(Inputs_Prices!S$35:S$49,Inputs_Prices!$C$35:$C$49,$F308,Inputs_Prices!$E$35:$E$49,$L$298)*$L308
+SUMIFS(Inputs_Prices!S$35:S$49,Inputs_Prices!$C$35:$C$49,$F308,Inputs_Prices!$E$35:$E$49,$M$298)*$M308
+SUMIFS(Inputs_Prices!S$35:S$49,Inputs_Prices!$C$35:$C$49,$F308,Inputs_Prices!$E$35:$E$49,$N$298)*$N308
+SUMIFS(Inputs_Prices!S$35:S$49,Inputs_Prices!$C$35:$C$49,$F308,Inputs_Prices!$E$35:$E$49,$O$298)*$O308
+SUMIFS(Inputs_Prices!S$56:S$59,Inputs_Prices!$C$56:$C$59,$F308,Inputs_Prices!$E$56:$E$59,$I$298)*$I308
+SUMIFS(Inputs_Prices!S$56:S$59,Inputs_Prices!$C$56:$C$59,$F308,Inputs_Prices!$E$56:$E$59,$J$298)*$J308</f>
        <v>117790.89811840159</v>
      </c>
      <c r="AA308" s="177">
        <f t="shared" si="18"/>
        <v>9652.0085892330826</v>
      </c>
      <c r="AB308" s="177">
        <f t="shared" si="10"/>
        <v>9508.2996475557884</v>
      </c>
      <c r="AC308" s="177">
        <f t="shared" si="11"/>
        <v>11493.419460855599</v>
      </c>
      <c r="AD308" s="177">
        <f t="shared" si="12"/>
        <v>12770.703568084486</v>
      </c>
      <c r="AE308" s="177">
        <f t="shared" si="13"/>
        <v>4161.4668526726309</v>
      </c>
      <c r="AG308" s="244">
        <f t="shared" si="19"/>
        <v>0.13748320759537189</v>
      </c>
      <c r="AH308" s="244">
        <f t="shared" si="14"/>
        <v>0.11906656429449285</v>
      </c>
      <c r="AI308" s="244">
        <f t="shared" si="15"/>
        <v>0.12861164681938758</v>
      </c>
      <c r="AJ308" s="244">
        <f t="shared" si="16"/>
        <v>0.12661971709943295</v>
      </c>
      <c r="AK308" s="244">
        <f t="shared" si="17"/>
        <v>3.6623142493257765E-2</v>
      </c>
    </row>
    <row r="309" spans="4:37" x14ac:dyDescent="0.3">
      <c r="D309" s="75" t="s">
        <v>630</v>
      </c>
      <c r="E309" s="80">
        <v>5</v>
      </c>
      <c r="F309" s="80">
        <v>5</v>
      </c>
      <c r="H309" s="64">
        <v>4450</v>
      </c>
      <c r="I309" s="243">
        <f t="shared" ref="I309:I313" si="22">$H309*SUMIF($H$318:$H$319,$F309,I$318:I$319)</f>
        <v>2327.2188381715955</v>
      </c>
      <c r="J309" s="243">
        <f t="shared" si="21"/>
        <v>2122.7811618284045</v>
      </c>
      <c r="L309" s="64">
        <v>1600000</v>
      </c>
      <c r="M309" s="95"/>
      <c r="N309" s="95"/>
      <c r="O309" s="95"/>
      <c r="T309" s="96">
        <f>SUMIF(Inputs_FY23_FY24!$C$27:$C$33,$E309,Inputs_FY23_FY24!$N$27:$N$33)*T$295+
SUMIF(Inputs_FY23_FY24!$C$46:$C$52,$E309,Inputs_FY23_FY24!$N$46:$N$52)*$L309+
SUMIF(Inputs_FY23_FY24!$C$66:$C$69,$E309,Inputs_FY23_FY24!$N$66:$N$69)*$H309</f>
        <v>111130</v>
      </c>
      <c r="U309" s="97">
        <f>SUMIF(Inputs_Prices!$C$20:$C$28,$F309,Inputs_Prices!O$20:O$28)*U$295
+SUMIFS(Inputs_Prices!O$35:O$49,Inputs_Prices!$C$35:$C$49,$F309,Inputs_Prices!$E$35:$E$49,$L$298)*$L309
+SUMIFS(Inputs_Prices!O$35:O$49,Inputs_Prices!$C$35:$C$49,$F309,Inputs_Prices!$E$35:$E$49,$M$298)*$M309
+SUMIFS(Inputs_Prices!O$35:O$49,Inputs_Prices!$C$35:$C$49,$F309,Inputs_Prices!$E$35:$E$49,$N$298)*$N309
+SUMIFS(Inputs_Prices!O$35:O$49,Inputs_Prices!$C$35:$C$49,$F309,Inputs_Prices!$E$35:$E$49,$O$298)*$O309
+SUMIFS(Inputs_Prices!O$56:O$59,Inputs_Prices!$C$56:$C$59,$F309,Inputs_Prices!$E$56:$E$59,$I$298)*$I309
+SUMIFS(Inputs_Prices!O$56:O$59,Inputs_Prices!$C$56:$C$59,$F309,Inputs_Prices!$E$56:$E$59,$J$298)*$J309</f>
        <v>109454.04874761976</v>
      </c>
      <c r="V309" s="177">
        <f>SUMIF(Inputs_Prices!$C$20:$C$28,$F309,Inputs_Prices!P$20:P$28)*V$295
+SUMIFS(Inputs_Prices!P$35:P$49,Inputs_Prices!$C$35:$C$49,$F309,Inputs_Prices!$E$35:$E$49,$L$298)*$L309
+SUMIFS(Inputs_Prices!P$35:P$49,Inputs_Prices!$C$35:$C$49,$F309,Inputs_Prices!$E$35:$E$49,$M$298)*$M309
+SUMIFS(Inputs_Prices!P$35:P$49,Inputs_Prices!$C$35:$C$49,$F309,Inputs_Prices!$E$35:$E$49,$N$298)*$N309
+SUMIFS(Inputs_Prices!P$35:P$49,Inputs_Prices!$C$35:$C$49,$F309,Inputs_Prices!$E$35:$E$49,$O$298)*$O309
+SUMIFS(Inputs_Prices!P$56:P$59,Inputs_Prices!$C$56:$C$59,$F309,Inputs_Prices!$E$56:$E$59,$I$298)*$I309
+SUMIFS(Inputs_Prices!P$56:P$59,Inputs_Prices!$C$56:$C$59,$F309,Inputs_Prices!$E$56:$E$59,$J$298)*$J309</f>
        <v>121969.4361887087</v>
      </c>
      <c r="W309" s="177">
        <f>SUMIF(Inputs_Prices!$C$20:$C$28,$F309,Inputs_Prices!Q$20:Q$28)*W$295
+SUMIFS(Inputs_Prices!Q$35:Q$49,Inputs_Prices!$C$35:$C$49,$F309,Inputs_Prices!$E$35:$E$49,$L$298)*$L309
+SUMIFS(Inputs_Prices!Q$35:Q$49,Inputs_Prices!$C$35:$C$49,$F309,Inputs_Prices!$E$35:$E$49,$M$298)*$M309
+SUMIFS(Inputs_Prices!Q$35:Q$49,Inputs_Prices!$C$35:$C$49,$F309,Inputs_Prices!$E$35:$E$49,$N$298)*$N309
+SUMIFS(Inputs_Prices!Q$35:Q$49,Inputs_Prices!$C$35:$C$49,$F309,Inputs_Prices!$E$35:$E$49,$O$298)*$O309
+SUMIFS(Inputs_Prices!Q$56:Q$59,Inputs_Prices!$C$56:$C$59,$F309,Inputs_Prices!$E$56:$E$59,$I$298)*$I309
+SUMIFS(Inputs_Prices!Q$56:Q$59,Inputs_Prices!$C$56:$C$59,$F309,Inputs_Prices!$E$56:$E$59,$J$298)*$J309</f>
        <v>135760.32692333619</v>
      </c>
      <c r="X309" s="177">
        <f>SUMIF(Inputs_Prices!$C$20:$C$28,$F309,Inputs_Prices!R$20:R$28)*X$295
+SUMIFS(Inputs_Prices!R$35:R$49,Inputs_Prices!$C$35:$C$49,$F309,Inputs_Prices!$E$35:$E$49,$L$298)*$L309
+SUMIFS(Inputs_Prices!R$35:R$49,Inputs_Prices!$C$35:$C$49,$F309,Inputs_Prices!$E$35:$E$49,$M$298)*$M309
+SUMIFS(Inputs_Prices!R$35:R$49,Inputs_Prices!$C$35:$C$49,$F309,Inputs_Prices!$E$35:$E$49,$N$298)*$N309
+SUMIFS(Inputs_Prices!R$35:R$49,Inputs_Prices!$C$35:$C$49,$F309,Inputs_Prices!$E$35:$E$49,$O$298)*$O309
+SUMIFS(Inputs_Prices!R$56:R$59,Inputs_Prices!$C$56:$C$59,$F309,Inputs_Prices!$E$56:$E$59,$I$298)*$I309
+SUMIFS(Inputs_Prices!R$56:R$59,Inputs_Prices!$C$56:$C$59,$F309,Inputs_Prices!$E$56:$E$59,$J$298)*$J309</f>
        <v>151007.21083224096</v>
      </c>
      <c r="Y309" s="177">
        <f>SUMIF(Inputs_Prices!$C$20:$C$28,$F309,Inputs_Prices!S$20:S$28)*Y$295
+SUMIFS(Inputs_Prices!S$35:S$49,Inputs_Prices!$C$35:$C$49,$F309,Inputs_Prices!$E$35:$E$49,$L$298)*$L309
+SUMIFS(Inputs_Prices!S$35:S$49,Inputs_Prices!$C$35:$C$49,$F309,Inputs_Prices!$E$35:$E$49,$M$298)*$M309
+SUMIFS(Inputs_Prices!S$35:S$49,Inputs_Prices!$C$35:$C$49,$F309,Inputs_Prices!$E$35:$E$49,$N$298)*$N309
+SUMIFS(Inputs_Prices!S$35:S$49,Inputs_Prices!$C$35:$C$49,$F309,Inputs_Prices!$E$35:$E$49,$O$298)*$O309
+SUMIFS(Inputs_Prices!S$56:S$59,Inputs_Prices!$C$56:$C$59,$F309,Inputs_Prices!$E$56:$E$59,$I$298)*$I309
+SUMIFS(Inputs_Prices!S$56:S$59,Inputs_Prices!$C$56:$C$59,$F309,Inputs_Prices!$E$56:$E$59,$J$298)*$J309</f>
        <v>156854.14404814332</v>
      </c>
      <c r="AA309" s="177">
        <f t="shared" si="18"/>
        <v>-1675.9512523802405</v>
      </c>
      <c r="AB309" s="177">
        <f t="shared" si="10"/>
        <v>12515.38744108894</v>
      </c>
      <c r="AC309" s="177">
        <f t="shared" si="11"/>
        <v>13790.890734627494</v>
      </c>
      <c r="AD309" s="177">
        <f t="shared" si="12"/>
        <v>15246.883908904769</v>
      </c>
      <c r="AE309" s="177">
        <f t="shared" si="13"/>
        <v>5846.9332159023616</v>
      </c>
      <c r="AG309" s="244">
        <f t="shared" si="19"/>
        <v>-1.5080997501846851E-2</v>
      </c>
      <c r="AH309" s="244">
        <f t="shared" si="14"/>
        <v>0.11434375963512365</v>
      </c>
      <c r="AI309" s="244">
        <f t="shared" si="15"/>
        <v>0.11306841423199251</v>
      </c>
      <c r="AJ309" s="244">
        <f t="shared" si="16"/>
        <v>0.11230735999563907</v>
      </c>
      <c r="AK309" s="244">
        <f t="shared" si="17"/>
        <v>3.8719563017410592E-2</v>
      </c>
    </row>
    <row r="310" spans="4:37" x14ac:dyDescent="0.3">
      <c r="D310" s="75" t="s">
        <v>630</v>
      </c>
      <c r="E310" s="80">
        <v>5</v>
      </c>
      <c r="F310" s="80">
        <v>5</v>
      </c>
      <c r="H310" s="64">
        <v>6675</v>
      </c>
      <c r="I310" s="243">
        <f t="shared" si="22"/>
        <v>3490.828257257393</v>
      </c>
      <c r="J310" s="243">
        <f t="shared" si="21"/>
        <v>3184.171742742607</v>
      </c>
      <c r="L310" s="64">
        <v>3200000</v>
      </c>
      <c r="M310" s="95"/>
      <c r="N310" s="95"/>
      <c r="O310" s="95"/>
      <c r="T310" s="96">
        <f>SUMIF(Inputs_FY23_FY24!$C$27:$C$33,$E310,Inputs_FY23_FY24!$N$27:$N$33)*T$295+
SUMIF(Inputs_FY23_FY24!$C$46:$C$52,$E310,Inputs_FY23_FY24!$N$46:$N$52)*$L310+
SUMIF(Inputs_FY23_FY24!$C$66:$C$69,$E310,Inputs_FY23_FY24!$N$66:$N$69)*$H310</f>
        <v>164055</v>
      </c>
      <c r="U310" s="97">
        <f>SUMIF(Inputs_Prices!$C$20:$C$28,$F310,Inputs_Prices!O$20:O$28)*U$295
+SUMIFS(Inputs_Prices!O$35:O$49,Inputs_Prices!$C$35:$C$49,$F310,Inputs_Prices!$E$35:$E$49,$L$298)*$L310
+SUMIFS(Inputs_Prices!O$35:O$49,Inputs_Prices!$C$35:$C$49,$F310,Inputs_Prices!$E$35:$E$49,$M$298)*$M310
+SUMIFS(Inputs_Prices!O$35:O$49,Inputs_Prices!$C$35:$C$49,$F310,Inputs_Prices!$E$35:$E$49,$N$298)*$N310
+SUMIFS(Inputs_Prices!O$35:O$49,Inputs_Prices!$C$35:$C$49,$F310,Inputs_Prices!$E$35:$E$49,$O$298)*$O310
+SUMIFS(Inputs_Prices!O$56:O$59,Inputs_Prices!$C$56:$C$59,$F310,Inputs_Prices!$E$56:$E$59,$I$298)*$I310
+SUMIFS(Inputs_Prices!O$56:O$59,Inputs_Prices!$C$56:$C$59,$F310,Inputs_Prices!$E$56:$E$59,$J$298)*$J310</f>
        <v>142740.57763540366</v>
      </c>
      <c r="V310" s="177">
        <f>SUMIF(Inputs_Prices!$C$20:$C$28,$F310,Inputs_Prices!P$20:P$28)*V$295
+SUMIFS(Inputs_Prices!P$35:P$49,Inputs_Prices!$C$35:$C$49,$F310,Inputs_Prices!$E$35:$E$49,$L$298)*$L310
+SUMIFS(Inputs_Prices!P$35:P$49,Inputs_Prices!$C$35:$C$49,$F310,Inputs_Prices!$E$35:$E$49,$M$298)*$M310
+SUMIFS(Inputs_Prices!P$35:P$49,Inputs_Prices!$C$35:$C$49,$F310,Inputs_Prices!$E$35:$E$49,$N$298)*$N310
+SUMIFS(Inputs_Prices!P$35:P$49,Inputs_Prices!$C$35:$C$49,$F310,Inputs_Prices!$E$35:$E$49,$O$298)*$O310
+SUMIFS(Inputs_Prices!P$56:P$59,Inputs_Prices!$C$56:$C$59,$F310,Inputs_Prices!$E$56:$E$59,$I$298)*$I310
+SUMIFS(Inputs_Prices!P$56:P$59,Inputs_Prices!$C$56:$C$59,$F310,Inputs_Prices!$E$56:$E$59,$J$298)*$J310</f>
        <v>159772.69289669135</v>
      </c>
      <c r="W310" s="177">
        <f>SUMIF(Inputs_Prices!$C$20:$C$28,$F310,Inputs_Prices!Q$20:Q$28)*W$295
+SUMIFS(Inputs_Prices!Q$35:Q$49,Inputs_Prices!$C$35:$C$49,$F310,Inputs_Prices!$E$35:$E$49,$L$298)*$L310
+SUMIFS(Inputs_Prices!Q$35:Q$49,Inputs_Prices!$C$35:$C$49,$F310,Inputs_Prices!$E$35:$E$49,$M$298)*$M310
+SUMIFS(Inputs_Prices!Q$35:Q$49,Inputs_Prices!$C$35:$C$49,$F310,Inputs_Prices!$E$35:$E$49,$N$298)*$N310
+SUMIFS(Inputs_Prices!Q$35:Q$49,Inputs_Prices!$C$35:$C$49,$F310,Inputs_Prices!$E$35:$E$49,$O$298)*$O310
+SUMIFS(Inputs_Prices!Q$56:Q$59,Inputs_Prices!$C$56:$C$59,$F310,Inputs_Prices!$E$56:$E$59,$I$298)*$I310
+SUMIFS(Inputs_Prices!Q$56:Q$59,Inputs_Prices!$C$56:$C$59,$F310,Inputs_Prices!$E$56:$E$59,$J$298)*$J310</f>
        <v>176764.39681549897</v>
      </c>
      <c r="X310" s="177">
        <f>SUMIF(Inputs_Prices!$C$20:$C$28,$F310,Inputs_Prices!R$20:R$28)*X$295
+SUMIFS(Inputs_Prices!R$35:R$49,Inputs_Prices!$C$35:$C$49,$F310,Inputs_Prices!$E$35:$E$49,$L$298)*$L310
+SUMIFS(Inputs_Prices!R$35:R$49,Inputs_Prices!$C$35:$C$49,$F310,Inputs_Prices!$E$35:$E$49,$M$298)*$M310
+SUMIFS(Inputs_Prices!R$35:R$49,Inputs_Prices!$C$35:$C$49,$F310,Inputs_Prices!$E$35:$E$49,$N$298)*$N310
+SUMIFS(Inputs_Prices!R$35:R$49,Inputs_Prices!$C$35:$C$49,$F310,Inputs_Prices!$E$35:$E$49,$O$298)*$O310
+SUMIFS(Inputs_Prices!R$56:R$59,Inputs_Prices!$C$56:$C$59,$F310,Inputs_Prices!$E$56:$E$59,$I$298)*$I310
+SUMIFS(Inputs_Prices!R$56:R$59,Inputs_Prices!$C$56:$C$59,$F310,Inputs_Prices!$E$56:$E$59,$J$298)*$J310</f>
        <v>195511.19063975394</v>
      </c>
      <c r="Y310" s="177">
        <f>SUMIF(Inputs_Prices!$C$20:$C$28,$F310,Inputs_Prices!S$20:S$28)*Y$295
+SUMIFS(Inputs_Prices!S$35:S$49,Inputs_Prices!$C$35:$C$49,$F310,Inputs_Prices!$E$35:$E$49,$L$298)*$L310
+SUMIFS(Inputs_Prices!S$35:S$49,Inputs_Prices!$C$35:$C$49,$F310,Inputs_Prices!$E$35:$E$49,$M$298)*$M310
+SUMIFS(Inputs_Prices!S$35:S$49,Inputs_Prices!$C$35:$C$49,$F310,Inputs_Prices!$E$35:$E$49,$N$298)*$N310
+SUMIFS(Inputs_Prices!S$35:S$49,Inputs_Prices!$C$35:$C$49,$F310,Inputs_Prices!$E$35:$E$49,$O$298)*$O310
+SUMIFS(Inputs_Prices!S$56:S$59,Inputs_Prices!$C$56:$C$59,$F310,Inputs_Prices!$E$56:$E$59,$I$298)*$I310
+SUMIFS(Inputs_Prices!S$56:S$59,Inputs_Prices!$C$56:$C$59,$F310,Inputs_Prices!$E$56:$E$59,$J$298)*$J310</f>
        <v>203349.30733454821</v>
      </c>
      <c r="AA310" s="177">
        <f t="shared" si="18"/>
        <v>-21314.422364596336</v>
      </c>
      <c r="AB310" s="177">
        <f t="shared" si="10"/>
        <v>17032.11526128769</v>
      </c>
      <c r="AC310" s="177">
        <f t="shared" si="11"/>
        <v>16991.703918807616</v>
      </c>
      <c r="AD310" s="177">
        <f t="shared" si="12"/>
        <v>18746.793824254972</v>
      </c>
      <c r="AE310" s="177">
        <f t="shared" si="13"/>
        <v>7838.1166947942693</v>
      </c>
      <c r="AG310" s="244">
        <f t="shared" si="19"/>
        <v>-0.12992241848524175</v>
      </c>
      <c r="AH310" s="244">
        <f t="shared" si="14"/>
        <v>0.119322168534249</v>
      </c>
      <c r="AI310" s="244">
        <f t="shared" si="15"/>
        <v>0.10634923659823654</v>
      </c>
      <c r="AJ310" s="244">
        <f t="shared" si="16"/>
        <v>0.10605525864929846</v>
      </c>
      <c r="AK310" s="244">
        <f t="shared" si="17"/>
        <v>4.0090373697517237E-2</v>
      </c>
    </row>
    <row r="311" spans="4:37" x14ac:dyDescent="0.3">
      <c r="D311" s="75" t="s">
        <v>631</v>
      </c>
      <c r="E311" s="80">
        <v>6</v>
      </c>
      <c r="F311" s="80">
        <v>6</v>
      </c>
      <c r="H311" s="64">
        <v>1500</v>
      </c>
      <c r="I311" s="243">
        <f t="shared" si="22"/>
        <v>764.57134980807905</v>
      </c>
      <c r="J311" s="243">
        <f t="shared" si="21"/>
        <v>735.42865019192095</v>
      </c>
      <c r="L311" s="64">
        <v>250000</v>
      </c>
      <c r="M311" s="95"/>
      <c r="N311" s="95"/>
      <c r="O311" s="95"/>
      <c r="T311" s="96">
        <f>SUMIF(Inputs_FY23_FY24!$C$27:$C$33,$E311,Inputs_FY23_FY24!$N$27:$N$33)*T$295+
SUMIF(Inputs_FY23_FY24!$C$46:$C$52,$E311,Inputs_FY23_FY24!$N$46:$N$52)*$L311+
SUMIF(Inputs_FY23_FY24!$C$66:$C$69,$E311,Inputs_FY23_FY24!$N$66:$N$69)*$H311</f>
        <v>52695</v>
      </c>
      <c r="U311" s="97">
        <f>SUMIF(Inputs_Prices!$C$20:$C$28,$F311,Inputs_Prices!O$20:O$28)*U$295
+SUMIFS(Inputs_Prices!O$35:O$49,Inputs_Prices!$C$35:$C$49,$F311,Inputs_Prices!$E$35:$E$49,$L$298)*$L311
+SUMIFS(Inputs_Prices!O$35:O$49,Inputs_Prices!$C$35:$C$49,$F311,Inputs_Prices!$E$35:$E$49,$M$298)*$M311
+SUMIFS(Inputs_Prices!O$35:O$49,Inputs_Prices!$C$35:$C$49,$F311,Inputs_Prices!$E$35:$E$49,$N$298)*$N311
+SUMIFS(Inputs_Prices!O$35:O$49,Inputs_Prices!$C$35:$C$49,$F311,Inputs_Prices!$E$35:$E$49,$O$298)*$O311
+SUMIFS(Inputs_Prices!O$56:O$59,Inputs_Prices!$C$56:$C$59,$F311,Inputs_Prices!$E$56:$E$59,$I$298)*$I311
+SUMIFS(Inputs_Prices!O$56:O$59,Inputs_Prices!$C$56:$C$59,$F311,Inputs_Prices!$E$56:$E$59,$J$298)*$J311</f>
        <v>56585.614957748548</v>
      </c>
      <c r="V311" s="177">
        <f>SUMIF(Inputs_Prices!$C$20:$C$28,$F311,Inputs_Prices!P$20:P$28)*V$295
+SUMIFS(Inputs_Prices!P$35:P$49,Inputs_Prices!$C$35:$C$49,$F311,Inputs_Prices!$E$35:$E$49,$L$298)*$L311
+SUMIFS(Inputs_Prices!P$35:P$49,Inputs_Prices!$C$35:$C$49,$F311,Inputs_Prices!$E$35:$E$49,$M$298)*$M311
+SUMIFS(Inputs_Prices!P$35:P$49,Inputs_Prices!$C$35:$C$49,$F311,Inputs_Prices!$E$35:$E$49,$N$298)*$N311
+SUMIFS(Inputs_Prices!P$35:P$49,Inputs_Prices!$C$35:$C$49,$F311,Inputs_Prices!$E$35:$E$49,$O$298)*$O311
+SUMIFS(Inputs_Prices!P$56:P$59,Inputs_Prices!$C$56:$C$59,$F311,Inputs_Prices!$E$56:$E$59,$I$298)*$I311
+SUMIFS(Inputs_Prices!P$56:P$59,Inputs_Prices!$C$56:$C$59,$F311,Inputs_Prices!$E$56:$E$59,$J$298)*$J311</f>
        <v>57527.63405612747</v>
      </c>
      <c r="W311" s="177">
        <f>SUMIF(Inputs_Prices!$C$20:$C$28,$F311,Inputs_Prices!Q$20:Q$28)*W$295
+SUMIFS(Inputs_Prices!Q$35:Q$49,Inputs_Prices!$C$35:$C$49,$F311,Inputs_Prices!$E$35:$E$49,$L$298)*$L311
+SUMIFS(Inputs_Prices!Q$35:Q$49,Inputs_Prices!$C$35:$C$49,$F311,Inputs_Prices!$E$35:$E$49,$M$298)*$M311
+SUMIFS(Inputs_Prices!Q$35:Q$49,Inputs_Prices!$C$35:$C$49,$F311,Inputs_Prices!$E$35:$E$49,$N$298)*$N311
+SUMIFS(Inputs_Prices!Q$35:Q$49,Inputs_Prices!$C$35:$C$49,$F311,Inputs_Prices!$E$35:$E$49,$O$298)*$O311
+SUMIFS(Inputs_Prices!Q$56:Q$59,Inputs_Prices!$C$56:$C$59,$F311,Inputs_Prices!$E$56:$E$59,$I$298)*$I311
+SUMIFS(Inputs_Prices!Q$56:Q$59,Inputs_Prices!$C$56:$C$59,$F311,Inputs_Prices!$E$56:$E$59,$J$298)*$J311</f>
        <v>59247.352446203251</v>
      </c>
      <c r="X311" s="177">
        <f>SUMIF(Inputs_Prices!$C$20:$C$28,$F311,Inputs_Prices!R$20:R$28)*X$295
+SUMIFS(Inputs_Prices!R$35:R$49,Inputs_Prices!$C$35:$C$49,$F311,Inputs_Prices!$E$35:$E$49,$L$298)*$L311
+SUMIFS(Inputs_Prices!R$35:R$49,Inputs_Prices!$C$35:$C$49,$F311,Inputs_Prices!$E$35:$E$49,$M$298)*$M311
+SUMIFS(Inputs_Prices!R$35:R$49,Inputs_Prices!$C$35:$C$49,$F311,Inputs_Prices!$E$35:$E$49,$N$298)*$N311
+SUMIFS(Inputs_Prices!R$35:R$49,Inputs_Prices!$C$35:$C$49,$F311,Inputs_Prices!$E$35:$E$49,$O$298)*$O311
+SUMIFS(Inputs_Prices!R$56:R$59,Inputs_Prices!$C$56:$C$59,$F311,Inputs_Prices!$E$56:$E$59,$I$298)*$I311
+SUMIFS(Inputs_Prices!R$56:R$59,Inputs_Prices!$C$56:$C$59,$F311,Inputs_Prices!$E$56:$E$59,$J$298)*$J311</f>
        <v>61072.567753523683</v>
      </c>
      <c r="Y311" s="177">
        <f>SUMIF(Inputs_Prices!$C$20:$C$28,$F311,Inputs_Prices!S$20:S$28)*Y$295
+SUMIFS(Inputs_Prices!S$35:S$49,Inputs_Prices!$C$35:$C$49,$F311,Inputs_Prices!$E$35:$E$49,$L$298)*$L311
+SUMIFS(Inputs_Prices!S$35:S$49,Inputs_Prices!$C$35:$C$49,$F311,Inputs_Prices!$E$35:$E$49,$M$298)*$M311
+SUMIFS(Inputs_Prices!S$35:S$49,Inputs_Prices!$C$35:$C$49,$F311,Inputs_Prices!$E$35:$E$49,$N$298)*$N311
+SUMIFS(Inputs_Prices!S$35:S$49,Inputs_Prices!$C$35:$C$49,$F311,Inputs_Prices!$E$35:$E$49,$O$298)*$O311
+SUMIFS(Inputs_Prices!S$56:S$59,Inputs_Prices!$C$56:$C$59,$F311,Inputs_Prices!$E$56:$E$59,$I$298)*$I311
+SUMIFS(Inputs_Prices!S$56:S$59,Inputs_Prices!$C$56:$C$59,$F311,Inputs_Prices!$E$56:$E$59,$J$298)*$J311</f>
        <v>58800.49264141926</v>
      </c>
      <c r="AA311" s="177">
        <f t="shared" si="18"/>
        <v>3890.6149577485485</v>
      </c>
      <c r="AB311" s="177">
        <f t="shared" si="10"/>
        <v>942.01909837892163</v>
      </c>
      <c r="AC311" s="177">
        <f t="shared" si="11"/>
        <v>1719.7183900757809</v>
      </c>
      <c r="AD311" s="177">
        <f t="shared" si="12"/>
        <v>1825.2153073204317</v>
      </c>
      <c r="AE311" s="177">
        <f t="shared" si="13"/>
        <v>-2272.0751121044232</v>
      </c>
      <c r="AG311" s="244">
        <f t="shared" si="19"/>
        <v>7.3832715774713897E-2</v>
      </c>
      <c r="AH311" s="244">
        <f t="shared" si="14"/>
        <v>1.6647678019975753E-2</v>
      </c>
      <c r="AI311" s="244">
        <f t="shared" si="15"/>
        <v>2.9893779194846058E-2</v>
      </c>
      <c r="AJ311" s="244">
        <f t="shared" si="16"/>
        <v>3.0806698222975146E-2</v>
      </c>
      <c r="AK311" s="244">
        <f t="shared" si="17"/>
        <v>-3.7202875131663871E-2</v>
      </c>
    </row>
    <row r="312" spans="4:37" x14ac:dyDescent="0.3">
      <c r="D312" s="75" t="s">
        <v>632</v>
      </c>
      <c r="E312" s="80">
        <v>7</v>
      </c>
      <c r="F312" s="80">
        <v>6</v>
      </c>
      <c r="H312" s="64">
        <v>6850</v>
      </c>
      <c r="I312" s="243">
        <f t="shared" si="22"/>
        <v>3491.5424974568941</v>
      </c>
      <c r="J312" s="243">
        <f t="shared" si="21"/>
        <v>3358.4575025431059</v>
      </c>
      <c r="L312" s="64">
        <v>1600000</v>
      </c>
      <c r="M312" s="95"/>
      <c r="N312" s="95"/>
      <c r="O312" s="95"/>
      <c r="T312" s="96">
        <f>SUMIF(Inputs_FY23_FY24!$C$27:$C$33,$E312,Inputs_FY23_FY24!$N$27:$N$33)*T$295+
SUMIF(Inputs_FY23_FY24!$C$46:$C$52,$E312,Inputs_FY23_FY24!$N$46:$N$52)*$L312+
SUMIF(Inputs_FY23_FY24!$C$66:$C$69,$E312,Inputs_FY23_FY24!$N$66:$N$69)*$H312</f>
        <v>131710.85499999998</v>
      </c>
      <c r="U312" s="97">
        <f>SUMIF(Inputs_Prices!$C$20:$C$28,$F312,Inputs_Prices!O$20:O$28)*U$295
+SUMIFS(Inputs_Prices!O$35:O$49,Inputs_Prices!$C$35:$C$49,$F312,Inputs_Prices!$E$35:$E$49,$L$298)*$L312
+SUMIFS(Inputs_Prices!O$35:O$49,Inputs_Prices!$C$35:$C$49,$F312,Inputs_Prices!$E$35:$E$49,$M$298)*$M312
+SUMIFS(Inputs_Prices!O$35:O$49,Inputs_Prices!$C$35:$C$49,$F312,Inputs_Prices!$E$35:$E$49,$N$298)*$N312
+SUMIFS(Inputs_Prices!O$35:O$49,Inputs_Prices!$C$35:$C$49,$F312,Inputs_Prices!$E$35:$E$49,$O$298)*$O312
+SUMIFS(Inputs_Prices!O$56:O$59,Inputs_Prices!$C$56:$C$59,$F312,Inputs_Prices!$E$56:$E$59,$I$298)*$I312
+SUMIFS(Inputs_Prices!O$56:O$59,Inputs_Prices!$C$56:$C$59,$F312,Inputs_Prices!$E$56:$E$59,$J$298)*$J312</f>
        <v>129969.82675668408</v>
      </c>
      <c r="V312" s="177">
        <f>SUMIF(Inputs_Prices!$C$20:$C$28,$F312,Inputs_Prices!P$20:P$28)*V$295
+SUMIFS(Inputs_Prices!P$35:P$49,Inputs_Prices!$C$35:$C$49,$F312,Inputs_Prices!$E$35:$E$49,$L$298)*$L312
+SUMIFS(Inputs_Prices!P$35:P$49,Inputs_Prices!$C$35:$C$49,$F312,Inputs_Prices!$E$35:$E$49,$M$298)*$M312
+SUMIFS(Inputs_Prices!P$35:P$49,Inputs_Prices!$C$35:$C$49,$F312,Inputs_Prices!$E$35:$E$49,$N$298)*$N312
+SUMIFS(Inputs_Prices!P$35:P$49,Inputs_Prices!$C$35:$C$49,$F312,Inputs_Prices!$E$35:$E$49,$O$298)*$O312
+SUMIFS(Inputs_Prices!P$56:P$59,Inputs_Prices!$C$56:$C$59,$F312,Inputs_Prices!$E$56:$E$59,$I$298)*$I312
+SUMIFS(Inputs_Prices!P$56:P$59,Inputs_Prices!$C$56:$C$59,$F312,Inputs_Prices!$E$56:$E$59,$J$298)*$J312</f>
        <v>134857.37618284064</v>
      </c>
      <c r="W312" s="177">
        <f>SUMIF(Inputs_Prices!$C$20:$C$28,$F312,Inputs_Prices!Q$20:Q$28)*W$295
+SUMIFS(Inputs_Prices!Q$35:Q$49,Inputs_Prices!$C$35:$C$49,$F312,Inputs_Prices!$E$35:$E$49,$L$298)*$L312
+SUMIFS(Inputs_Prices!Q$35:Q$49,Inputs_Prices!$C$35:$C$49,$F312,Inputs_Prices!$E$35:$E$49,$M$298)*$M312
+SUMIFS(Inputs_Prices!Q$35:Q$49,Inputs_Prices!$C$35:$C$49,$F312,Inputs_Prices!$E$35:$E$49,$N$298)*$N312
+SUMIFS(Inputs_Prices!Q$35:Q$49,Inputs_Prices!$C$35:$C$49,$F312,Inputs_Prices!$E$35:$E$49,$O$298)*$O312
+SUMIFS(Inputs_Prices!Q$56:Q$59,Inputs_Prices!$C$56:$C$59,$F312,Inputs_Prices!$E$56:$E$59,$I$298)*$I312
+SUMIFS(Inputs_Prices!Q$56:Q$59,Inputs_Prices!$C$56:$C$59,$F312,Inputs_Prices!$E$56:$E$59,$J$298)*$J312</f>
        <v>141472.2001746246</v>
      </c>
      <c r="X312" s="177">
        <f>SUMIF(Inputs_Prices!$C$20:$C$28,$F312,Inputs_Prices!R$20:R$28)*X$295
+SUMIFS(Inputs_Prices!R$35:R$49,Inputs_Prices!$C$35:$C$49,$F312,Inputs_Prices!$E$35:$E$49,$L$298)*$L312
+SUMIFS(Inputs_Prices!R$35:R$49,Inputs_Prices!$C$35:$C$49,$F312,Inputs_Prices!$E$35:$E$49,$M$298)*$M312
+SUMIFS(Inputs_Prices!R$35:R$49,Inputs_Prices!$C$35:$C$49,$F312,Inputs_Prices!$E$35:$E$49,$N$298)*$N312
+SUMIFS(Inputs_Prices!R$35:R$49,Inputs_Prices!$C$35:$C$49,$F312,Inputs_Prices!$E$35:$E$49,$O$298)*$O312
+SUMIFS(Inputs_Prices!R$56:R$59,Inputs_Prices!$C$56:$C$59,$F312,Inputs_Prices!$E$56:$E$59,$I$298)*$I312
+SUMIFS(Inputs_Prices!R$56:R$59,Inputs_Prices!$C$56:$C$59,$F312,Inputs_Prices!$E$56:$E$59,$J$298)*$J312</f>
        <v>148672.9845988114</v>
      </c>
      <c r="Y312" s="177">
        <f>SUMIF(Inputs_Prices!$C$20:$C$28,$F312,Inputs_Prices!S$20:S$28)*Y$295
+SUMIFS(Inputs_Prices!S$35:S$49,Inputs_Prices!$C$35:$C$49,$F312,Inputs_Prices!$E$35:$E$49,$L$298)*$L312
+SUMIFS(Inputs_Prices!S$35:S$49,Inputs_Prices!$C$35:$C$49,$F312,Inputs_Prices!$E$35:$E$49,$M$298)*$M312
+SUMIFS(Inputs_Prices!S$35:S$49,Inputs_Prices!$C$35:$C$49,$F312,Inputs_Prices!$E$35:$E$49,$N$298)*$N312
+SUMIFS(Inputs_Prices!S$35:S$49,Inputs_Prices!$C$35:$C$49,$F312,Inputs_Prices!$E$35:$E$49,$O$298)*$O312
+SUMIFS(Inputs_Prices!S$56:S$59,Inputs_Prices!$C$56:$C$59,$F312,Inputs_Prices!$E$56:$E$59,$I$298)*$I312
+SUMIFS(Inputs_Prices!S$56:S$59,Inputs_Prices!$C$56:$C$59,$F312,Inputs_Prices!$E$56:$E$59,$J$298)*$J312</f>
        <v>148115.06741946575</v>
      </c>
      <c r="AA312" s="177">
        <f t="shared" si="18"/>
        <v>-1741.0282433159009</v>
      </c>
      <c r="AB312" s="177">
        <f t="shared" si="10"/>
        <v>4887.5494261565618</v>
      </c>
      <c r="AC312" s="177">
        <f t="shared" si="11"/>
        <v>6614.8239917839528</v>
      </c>
      <c r="AD312" s="177">
        <f t="shared" si="12"/>
        <v>7200.7844241868006</v>
      </c>
      <c r="AE312" s="177">
        <f t="shared" si="13"/>
        <v>-557.91717934564804</v>
      </c>
      <c r="AG312" s="244">
        <f t="shared" si="19"/>
        <v>-1.3218563066164144E-2</v>
      </c>
      <c r="AH312" s="244">
        <f t="shared" si="14"/>
        <v>3.7605262299122096E-2</v>
      </c>
      <c r="AI312" s="244">
        <f t="shared" si="15"/>
        <v>4.9050516768289518E-2</v>
      </c>
      <c r="AJ312" s="244">
        <f t="shared" si="16"/>
        <v>5.0898935729412523E-2</v>
      </c>
      <c r="AK312" s="244">
        <f t="shared" si="17"/>
        <v>-3.7526466617399733E-3</v>
      </c>
    </row>
    <row r="313" spans="4:37" x14ac:dyDescent="0.3">
      <c r="D313" s="75" t="s">
        <v>633</v>
      </c>
      <c r="E313" s="80">
        <v>7</v>
      </c>
      <c r="F313" s="80">
        <v>6</v>
      </c>
      <c r="H313" s="64">
        <v>11500</v>
      </c>
      <c r="I313" s="243">
        <f t="shared" si="22"/>
        <v>5861.7136818619392</v>
      </c>
      <c r="J313" s="243">
        <f t="shared" si="21"/>
        <v>5638.2863181380608</v>
      </c>
      <c r="L313" s="64">
        <v>3500000</v>
      </c>
      <c r="M313" s="95"/>
      <c r="N313" s="95"/>
      <c r="O313" s="95"/>
      <c r="T313" s="96">
        <f>SUMIF(Inputs_FY23_FY24!$C$27:$C$33,$E313,Inputs_FY23_FY24!$N$27:$N$33)*T$295+
SUMIF(Inputs_FY23_FY24!$C$46:$C$52,$E313,Inputs_FY23_FY24!$N$46:$N$52)*$L313+
SUMIF(Inputs_FY23_FY24!$C$66:$C$69,$E313,Inputs_FY23_FY24!$N$66:$N$69)*$H313</f>
        <v>214156.45</v>
      </c>
      <c r="U313" s="97">
        <f>SUMIF(Inputs_Prices!$C$20:$C$28,$F313,Inputs_Prices!O$20:O$28)*U$295
+SUMIFS(Inputs_Prices!O$35:O$49,Inputs_Prices!$C$35:$C$49,$F313,Inputs_Prices!$E$35:$E$49,$L$298)*$L313
+SUMIFS(Inputs_Prices!O$35:O$49,Inputs_Prices!$C$35:$C$49,$F313,Inputs_Prices!$E$35:$E$49,$M$298)*$M313
+SUMIFS(Inputs_Prices!O$35:O$49,Inputs_Prices!$C$35:$C$49,$F313,Inputs_Prices!$E$35:$E$49,$N$298)*$N313
+SUMIFS(Inputs_Prices!O$35:O$49,Inputs_Prices!$C$35:$C$49,$F313,Inputs_Prices!$E$35:$E$49,$O$298)*$O313
+SUMIFS(Inputs_Prices!O$56:O$59,Inputs_Prices!$C$56:$C$59,$F313,Inputs_Prices!$E$56:$E$59,$I$298)*$I313
+SUMIFS(Inputs_Prices!O$56:O$59,Inputs_Prices!$C$56:$C$59,$F313,Inputs_Prices!$E$56:$E$59,$J$298)*$J313</f>
        <v>218052.1806724201</v>
      </c>
      <c r="V313" s="177">
        <f>SUMIF(Inputs_Prices!$C$20:$C$28,$F313,Inputs_Prices!P$20:P$28)*V$295
+SUMIFS(Inputs_Prices!P$35:P$49,Inputs_Prices!$C$35:$C$49,$F313,Inputs_Prices!$E$35:$E$49,$L$298)*$L313
+SUMIFS(Inputs_Prices!P$35:P$49,Inputs_Prices!$C$35:$C$49,$F313,Inputs_Prices!$E$35:$E$49,$M$298)*$M313
+SUMIFS(Inputs_Prices!P$35:P$49,Inputs_Prices!$C$35:$C$49,$F313,Inputs_Prices!$E$35:$E$49,$N$298)*$N313
+SUMIFS(Inputs_Prices!P$35:P$49,Inputs_Prices!$C$35:$C$49,$F313,Inputs_Prices!$E$35:$E$49,$O$298)*$O313
+SUMIFS(Inputs_Prices!P$56:P$59,Inputs_Prices!$C$56:$C$59,$F313,Inputs_Prices!$E$56:$E$59,$I$298)*$I313
+SUMIFS(Inputs_Prices!P$56:P$59,Inputs_Prices!$C$56:$C$59,$F313,Inputs_Prices!$E$56:$E$59,$J$298)*$J313</f>
        <v>226532.03986060794</v>
      </c>
      <c r="W313" s="177">
        <f>SUMIF(Inputs_Prices!$C$20:$C$28,$F313,Inputs_Prices!Q$20:Q$28)*W$295
+SUMIFS(Inputs_Prices!Q$35:Q$49,Inputs_Prices!$C$35:$C$49,$F313,Inputs_Prices!$E$35:$E$49,$L$298)*$L313
+SUMIFS(Inputs_Prices!Q$35:Q$49,Inputs_Prices!$C$35:$C$49,$F313,Inputs_Prices!$E$35:$E$49,$M$298)*$M313
+SUMIFS(Inputs_Prices!Q$35:Q$49,Inputs_Prices!$C$35:$C$49,$F313,Inputs_Prices!$E$35:$E$49,$N$298)*$N313
+SUMIFS(Inputs_Prices!Q$35:Q$49,Inputs_Prices!$C$35:$C$49,$F313,Inputs_Prices!$E$35:$E$49,$O$298)*$O313
+SUMIFS(Inputs_Prices!Q$56:Q$59,Inputs_Prices!$C$56:$C$59,$F313,Inputs_Prices!$E$56:$E$59,$I$298)*$I313
+SUMIFS(Inputs_Prices!Q$56:Q$59,Inputs_Prices!$C$56:$C$59,$F313,Inputs_Prices!$E$56:$E$59,$J$298)*$J313</f>
        <v>237918.41502560728</v>
      </c>
      <c r="X313" s="177">
        <f>SUMIF(Inputs_Prices!$C$20:$C$28,$F313,Inputs_Prices!R$20:R$28)*X$295
+SUMIFS(Inputs_Prices!R$35:R$49,Inputs_Prices!$C$35:$C$49,$F313,Inputs_Prices!$E$35:$E$49,$L$298)*$L313
+SUMIFS(Inputs_Prices!R$35:R$49,Inputs_Prices!$C$35:$C$49,$F313,Inputs_Prices!$E$35:$E$49,$M$298)*$M313
+SUMIFS(Inputs_Prices!R$35:R$49,Inputs_Prices!$C$35:$C$49,$F313,Inputs_Prices!$E$35:$E$49,$N$298)*$N313
+SUMIFS(Inputs_Prices!R$35:R$49,Inputs_Prices!$C$35:$C$49,$F313,Inputs_Prices!$E$35:$E$49,$O$298)*$O313
+SUMIFS(Inputs_Prices!R$56:R$59,Inputs_Prices!$C$56:$C$59,$F313,Inputs_Prices!$E$56:$E$59,$I$298)*$I313
+SUMIFS(Inputs_Prices!R$56:R$59,Inputs_Prices!$C$56:$C$59,$F313,Inputs_Prices!$E$56:$E$59,$J$298)*$J313</f>
        <v>250296.88739489386</v>
      </c>
      <c r="Y313" s="177">
        <f>SUMIF(Inputs_Prices!$C$20:$C$28,$F313,Inputs_Prices!S$20:S$28)*Y$295
+SUMIFS(Inputs_Prices!S$35:S$49,Inputs_Prices!$C$35:$C$49,$F313,Inputs_Prices!$E$35:$E$49,$L$298)*$L313
+SUMIFS(Inputs_Prices!S$35:S$49,Inputs_Prices!$C$35:$C$49,$F313,Inputs_Prices!$E$35:$E$49,$M$298)*$M313
+SUMIFS(Inputs_Prices!S$35:S$49,Inputs_Prices!$C$35:$C$49,$F313,Inputs_Prices!$E$35:$E$49,$N$298)*$N313
+SUMIFS(Inputs_Prices!S$35:S$49,Inputs_Prices!$C$35:$C$49,$F313,Inputs_Prices!$E$35:$E$49,$O$298)*$O313
+SUMIFS(Inputs_Prices!S$56:S$59,Inputs_Prices!$C$56:$C$59,$F313,Inputs_Prices!$E$56:$E$59,$I$298)*$I313
+SUMIFS(Inputs_Prices!S$56:S$59,Inputs_Prices!$C$56:$C$59,$F313,Inputs_Prices!$E$56:$E$59,$J$298)*$J313</f>
        <v>249575.2047070915</v>
      </c>
      <c r="AA313" s="177">
        <f t="shared" si="18"/>
        <v>3895.7306724200898</v>
      </c>
      <c r="AB313" s="177">
        <f t="shared" si="10"/>
        <v>8479.8591881878383</v>
      </c>
      <c r="AC313" s="177">
        <f t="shared" si="11"/>
        <v>11386.375164999336</v>
      </c>
      <c r="AD313" s="177">
        <f t="shared" si="12"/>
        <v>12378.472369286581</v>
      </c>
      <c r="AE313" s="177">
        <f t="shared" si="13"/>
        <v>-721.68268780235667</v>
      </c>
      <c r="AG313" s="244">
        <f t="shared" si="19"/>
        <v>1.8191049918973207E-2</v>
      </c>
      <c r="AH313" s="244">
        <f t="shared" si="14"/>
        <v>3.8889128107033863E-2</v>
      </c>
      <c r="AI313" s="244">
        <f t="shared" si="15"/>
        <v>5.0263861889054275E-2</v>
      </c>
      <c r="AJ313" s="244">
        <f t="shared" si="16"/>
        <v>5.2028223069468076E-2</v>
      </c>
      <c r="AK313" s="244">
        <f t="shared" si="17"/>
        <v>-2.8833066815719391E-3</v>
      </c>
    </row>
    <row r="314" spans="4:37" x14ac:dyDescent="0.3">
      <c r="D314" s="75" t="s">
        <v>634</v>
      </c>
      <c r="E314" s="80">
        <v>7</v>
      </c>
      <c r="F314" s="80">
        <v>7</v>
      </c>
      <c r="H314" s="64">
        <v>30000</v>
      </c>
      <c r="I314" s="95"/>
      <c r="J314" s="95"/>
      <c r="L314" s="64">
        <v>13200000</v>
      </c>
      <c r="M314" s="95"/>
      <c r="N314" s="95"/>
      <c r="O314" s="95"/>
      <c r="T314" s="96">
        <f>SUMIF(Inputs_FY23_FY24!$C$27:$C$33,$E314,Inputs_FY23_FY24!$N$27:$N$33)*T$295+
SUMIF(Inputs_FY23_FY24!$C$46:$C$52,$E314,Inputs_FY23_FY24!$N$46:$N$52)*$L314+
SUMIF(Inputs_FY23_FY24!$C$66:$C$69,$E314,Inputs_FY23_FY24!$N$66:$N$69)*$H314</f>
        <v>582666.6</v>
      </c>
      <c r="U314" s="97">
        <f>SUMIF(Inputs_Prices!$C$20:$C$28,$F314,Inputs_Prices!O$20:O$28)*U$295
+SUMIFS(Inputs_Prices!O$35:O$49,Inputs_Prices!$C$35:$C$49,$F314,Inputs_Prices!$E$35:$E$49,$L$298)*$L314
+SUMIFS(Inputs_Prices!O$35:O$49,Inputs_Prices!$C$35:$C$49,$F314,Inputs_Prices!$E$35:$E$49,$M$298)*$M314
+SUMIFS(Inputs_Prices!O$35:O$49,Inputs_Prices!$C$35:$C$49,$F314,Inputs_Prices!$E$35:$E$49,$N$298)*$N314
+SUMIFS(Inputs_Prices!O$35:O$49,Inputs_Prices!$C$35:$C$49,$F314,Inputs_Prices!$E$35:$E$49,$O$298)*$O314
+SUMIFS(Inputs_Prices!O$56:O$59,Inputs_Prices!$C$56:$C$59,$F314,Inputs_Prices!$E$56:$E$59,$I$298)*$I314
+SUMIFS(Inputs_Prices!O$56:O$59,Inputs_Prices!$C$56:$C$59,$F314,Inputs_Prices!$E$56:$E$59,$J$298)*$J314</f>
        <v>572961.73927722825</v>
      </c>
      <c r="V314" s="177">
        <f>SUMIF(Inputs_Prices!$C$20:$C$28,$F314,Inputs_Prices!P$20:P$28)*V$295
+SUMIFS(Inputs_Prices!P$35:P$49,Inputs_Prices!$C$35:$C$49,$F314,Inputs_Prices!$E$35:$E$49,$L$298)*$L314
+SUMIFS(Inputs_Prices!P$35:P$49,Inputs_Prices!$C$35:$C$49,$F314,Inputs_Prices!$E$35:$E$49,$M$298)*$M314
+SUMIFS(Inputs_Prices!P$35:P$49,Inputs_Prices!$C$35:$C$49,$F314,Inputs_Prices!$E$35:$E$49,$N$298)*$N314
+SUMIFS(Inputs_Prices!P$35:P$49,Inputs_Prices!$C$35:$C$49,$F314,Inputs_Prices!$E$35:$E$49,$O$298)*$O314
+SUMIFS(Inputs_Prices!P$56:P$59,Inputs_Prices!$C$56:$C$59,$F314,Inputs_Prices!$E$56:$E$59,$I$298)*$I314
+SUMIFS(Inputs_Prices!P$56:P$59,Inputs_Prices!$C$56:$C$59,$F314,Inputs_Prices!$E$56:$E$59,$J$298)*$J314</f>
        <v>599438.38271028129</v>
      </c>
      <c r="W314" s="177">
        <f>SUMIF(Inputs_Prices!$C$20:$C$28,$F314,Inputs_Prices!Q$20:Q$28)*W$295
+SUMIFS(Inputs_Prices!Q$35:Q$49,Inputs_Prices!$C$35:$C$49,$F314,Inputs_Prices!$E$35:$E$49,$L$298)*$L314
+SUMIFS(Inputs_Prices!Q$35:Q$49,Inputs_Prices!$C$35:$C$49,$F314,Inputs_Prices!$E$35:$E$49,$M$298)*$M314
+SUMIFS(Inputs_Prices!Q$35:Q$49,Inputs_Prices!$C$35:$C$49,$F314,Inputs_Prices!$E$35:$E$49,$N$298)*$N314
+SUMIFS(Inputs_Prices!Q$35:Q$49,Inputs_Prices!$C$35:$C$49,$F314,Inputs_Prices!$E$35:$E$49,$O$298)*$O314
+SUMIFS(Inputs_Prices!Q$56:Q$59,Inputs_Prices!$C$56:$C$59,$F314,Inputs_Prices!$E$56:$E$59,$I$298)*$I314
+SUMIFS(Inputs_Prices!Q$56:Q$59,Inputs_Prices!$C$56:$C$59,$F314,Inputs_Prices!$E$56:$E$59,$J$298)*$J314</f>
        <v>632371.01133193367</v>
      </c>
      <c r="X314" s="177">
        <f>SUMIF(Inputs_Prices!$C$20:$C$28,$F314,Inputs_Prices!R$20:R$28)*X$295
+SUMIFS(Inputs_Prices!R$35:R$49,Inputs_Prices!$C$35:$C$49,$F314,Inputs_Prices!$E$35:$E$49,$L$298)*$L314
+SUMIFS(Inputs_Prices!R$35:R$49,Inputs_Prices!$C$35:$C$49,$F314,Inputs_Prices!$E$35:$E$49,$M$298)*$M314
+SUMIFS(Inputs_Prices!R$35:R$49,Inputs_Prices!$C$35:$C$49,$F314,Inputs_Prices!$E$35:$E$49,$N$298)*$N314
+SUMIFS(Inputs_Prices!R$35:R$49,Inputs_Prices!$C$35:$C$49,$F314,Inputs_Prices!$E$35:$E$49,$O$298)*$O314
+SUMIFS(Inputs_Prices!R$56:R$59,Inputs_Prices!$C$56:$C$59,$F314,Inputs_Prices!$E$56:$E$59,$I$298)*$I314
+SUMIFS(Inputs_Prices!R$56:R$59,Inputs_Prices!$C$56:$C$59,$F314,Inputs_Prices!$E$56:$E$59,$J$298)*$J314</f>
        <v>665537.11904560123</v>
      </c>
      <c r="Y314" s="177">
        <f>SUMIF(Inputs_Prices!$C$20:$C$28,$F314,Inputs_Prices!S$20:S$28)*Y$295
+SUMIFS(Inputs_Prices!S$35:S$49,Inputs_Prices!$C$35:$C$49,$F314,Inputs_Prices!$E$35:$E$49,$L$298)*$L314
+SUMIFS(Inputs_Prices!S$35:S$49,Inputs_Prices!$C$35:$C$49,$F314,Inputs_Prices!$E$35:$E$49,$M$298)*$M314
+SUMIFS(Inputs_Prices!S$35:S$49,Inputs_Prices!$C$35:$C$49,$F314,Inputs_Prices!$E$35:$E$49,$N$298)*$N314
+SUMIFS(Inputs_Prices!S$35:S$49,Inputs_Prices!$C$35:$C$49,$F314,Inputs_Prices!$E$35:$E$49,$O$298)*$O314
+SUMIFS(Inputs_Prices!S$56:S$59,Inputs_Prices!$C$56:$C$59,$F314,Inputs_Prices!$E$56:$E$59,$I$298)*$I314
+SUMIFS(Inputs_Prices!S$56:S$59,Inputs_Prices!$C$56:$C$59,$F314,Inputs_Prices!$E$56:$E$59,$J$298)*$J314</f>
        <v>652328.7515933211</v>
      </c>
      <c r="AA314" s="177">
        <f t="shared" si="18"/>
        <v>-9704.8607227717293</v>
      </c>
      <c r="AB314" s="177">
        <f t="shared" si="10"/>
        <v>26476.643433053046</v>
      </c>
      <c r="AC314" s="177">
        <f t="shared" si="11"/>
        <v>32932.628621652373</v>
      </c>
      <c r="AD314" s="177">
        <f t="shared" si="12"/>
        <v>33166.107713667559</v>
      </c>
      <c r="AE314" s="177">
        <f t="shared" si="13"/>
        <v>-13208.36745228013</v>
      </c>
      <c r="AG314" s="244">
        <f t="shared" si="19"/>
        <v>-1.6655941361272002E-2</v>
      </c>
      <c r="AH314" s="244">
        <f t="shared" si="14"/>
        <v>4.6210142175378818E-2</v>
      </c>
      <c r="AI314" s="244">
        <f t="shared" si="15"/>
        <v>5.4939138986649226E-2</v>
      </c>
      <c r="AJ314" s="244">
        <f t="shared" si="16"/>
        <v>5.2447229742254201E-2</v>
      </c>
      <c r="AK314" s="244">
        <f t="shared" si="17"/>
        <v>-1.9846176981415099E-2</v>
      </c>
    </row>
    <row r="315" spans="4:37" x14ac:dyDescent="0.3">
      <c r="D315" s="75" t="s">
        <v>634</v>
      </c>
      <c r="E315" s="80">
        <v>7</v>
      </c>
      <c r="F315" s="80">
        <v>7</v>
      </c>
      <c r="H315" s="64">
        <v>53000</v>
      </c>
      <c r="I315" s="95"/>
      <c r="J315" s="95"/>
      <c r="L315" s="64">
        <v>25000000</v>
      </c>
      <c r="M315" s="95"/>
      <c r="N315" s="95"/>
      <c r="O315" s="95"/>
      <c r="T315" s="96">
        <f>SUMIF(Inputs_FY23_FY24!$C$27:$C$33,$E315,Inputs_FY23_FY24!$N$27:$N$33)*T$295+
SUMIF(Inputs_FY23_FY24!$C$46:$C$52,$E315,Inputs_FY23_FY24!$N$46:$N$52)*$L315+
SUMIF(Inputs_FY23_FY24!$C$66:$C$69,$E315,Inputs_FY23_FY24!$N$66:$N$69)*$H315</f>
        <v>1035905.8999999999</v>
      </c>
      <c r="U315" s="97">
        <f>SUMIF(Inputs_Prices!$C$20:$C$28,$F315,Inputs_Prices!O$20:O$28)*U$295
+SUMIFS(Inputs_Prices!O$35:O$49,Inputs_Prices!$C$35:$C$49,$F315,Inputs_Prices!$E$35:$E$49,$L$298)*$L315
+SUMIFS(Inputs_Prices!O$35:O$49,Inputs_Prices!$C$35:$C$49,$F315,Inputs_Prices!$E$35:$E$49,$M$298)*$M315
+SUMIFS(Inputs_Prices!O$35:O$49,Inputs_Prices!$C$35:$C$49,$F315,Inputs_Prices!$E$35:$E$49,$N$298)*$N315
+SUMIFS(Inputs_Prices!O$35:O$49,Inputs_Prices!$C$35:$C$49,$F315,Inputs_Prices!$E$35:$E$49,$O$298)*$O315
+SUMIFS(Inputs_Prices!O$56:O$59,Inputs_Prices!$C$56:$C$59,$F315,Inputs_Prices!$E$56:$E$59,$I$298)*$I315
+SUMIFS(Inputs_Prices!O$56:O$59,Inputs_Prices!$C$56:$C$59,$F315,Inputs_Prices!$E$56:$E$59,$J$298)*$J315</f>
        <v>847695.33484654617</v>
      </c>
      <c r="V315" s="177">
        <f>SUMIF(Inputs_Prices!$C$20:$C$28,$F315,Inputs_Prices!P$20:P$28)*V$295
+SUMIFS(Inputs_Prices!P$35:P$49,Inputs_Prices!$C$35:$C$49,$F315,Inputs_Prices!$E$35:$E$49,$L$298)*$L315
+SUMIFS(Inputs_Prices!P$35:P$49,Inputs_Prices!$C$35:$C$49,$F315,Inputs_Prices!$E$35:$E$49,$M$298)*$M315
+SUMIFS(Inputs_Prices!P$35:P$49,Inputs_Prices!$C$35:$C$49,$F315,Inputs_Prices!$E$35:$E$49,$N$298)*$N315
+SUMIFS(Inputs_Prices!P$35:P$49,Inputs_Prices!$C$35:$C$49,$F315,Inputs_Prices!$E$35:$E$49,$O$298)*$O315
+SUMIFS(Inputs_Prices!P$56:P$59,Inputs_Prices!$C$56:$C$59,$F315,Inputs_Prices!$E$56:$E$59,$I$298)*$I315
+SUMIFS(Inputs_Prices!P$56:P$59,Inputs_Prices!$C$56:$C$59,$F315,Inputs_Prices!$E$56:$E$59,$J$298)*$J315</f>
        <v>871396.16071516788</v>
      </c>
      <c r="W315" s="177">
        <f>SUMIF(Inputs_Prices!$C$20:$C$28,$F315,Inputs_Prices!Q$20:Q$28)*W$295
+SUMIFS(Inputs_Prices!Q$35:Q$49,Inputs_Prices!$C$35:$C$49,$F315,Inputs_Prices!$E$35:$E$49,$L$298)*$L315
+SUMIFS(Inputs_Prices!Q$35:Q$49,Inputs_Prices!$C$35:$C$49,$F315,Inputs_Prices!$E$35:$E$49,$M$298)*$M315
+SUMIFS(Inputs_Prices!Q$35:Q$49,Inputs_Prices!$C$35:$C$49,$F315,Inputs_Prices!$E$35:$E$49,$N$298)*$N315
+SUMIFS(Inputs_Prices!Q$35:Q$49,Inputs_Prices!$C$35:$C$49,$F315,Inputs_Prices!$E$35:$E$49,$O$298)*$O315
+SUMIFS(Inputs_Prices!Q$56:Q$59,Inputs_Prices!$C$56:$C$59,$F315,Inputs_Prices!$E$56:$E$59,$I$298)*$I315
+SUMIFS(Inputs_Prices!Q$56:Q$59,Inputs_Prices!$C$56:$C$59,$F315,Inputs_Prices!$E$56:$E$59,$J$298)*$J315</f>
        <v>908492.67652658862</v>
      </c>
      <c r="X315" s="177">
        <f>SUMIF(Inputs_Prices!$C$20:$C$28,$F315,Inputs_Prices!R$20:R$28)*X$295
+SUMIFS(Inputs_Prices!R$35:R$49,Inputs_Prices!$C$35:$C$49,$F315,Inputs_Prices!$E$35:$E$49,$L$298)*$L315
+SUMIFS(Inputs_Prices!R$35:R$49,Inputs_Prices!$C$35:$C$49,$F315,Inputs_Prices!$E$35:$E$49,$M$298)*$M315
+SUMIFS(Inputs_Prices!R$35:R$49,Inputs_Prices!$C$35:$C$49,$F315,Inputs_Prices!$E$35:$E$49,$N$298)*$N315
+SUMIFS(Inputs_Prices!R$35:R$49,Inputs_Prices!$C$35:$C$49,$F315,Inputs_Prices!$E$35:$E$49,$O$298)*$O315
+SUMIFS(Inputs_Prices!R$56:R$59,Inputs_Prices!$C$56:$C$59,$F315,Inputs_Prices!$E$56:$E$59,$I$298)*$I315
+SUMIFS(Inputs_Prices!R$56:R$59,Inputs_Prices!$C$56:$C$59,$F315,Inputs_Prices!$E$56:$E$59,$J$298)*$J315</f>
        <v>945009.42264153645</v>
      </c>
      <c r="Y315" s="177">
        <f>SUMIF(Inputs_Prices!$C$20:$C$28,$F315,Inputs_Prices!S$20:S$28)*Y$295
+SUMIFS(Inputs_Prices!S$35:S$49,Inputs_Prices!$C$35:$C$49,$F315,Inputs_Prices!$E$35:$E$49,$L$298)*$L315
+SUMIFS(Inputs_Prices!S$35:S$49,Inputs_Prices!$C$35:$C$49,$F315,Inputs_Prices!$E$35:$E$49,$M$298)*$M315
+SUMIFS(Inputs_Prices!S$35:S$49,Inputs_Prices!$C$35:$C$49,$F315,Inputs_Prices!$E$35:$E$49,$N$298)*$N315
+SUMIFS(Inputs_Prices!S$35:S$49,Inputs_Prices!$C$35:$C$49,$F315,Inputs_Prices!$E$35:$E$49,$O$298)*$O315
+SUMIFS(Inputs_Prices!S$56:S$59,Inputs_Prices!$C$56:$C$59,$F315,Inputs_Prices!$E$56:$E$59,$I$298)*$I315
+SUMIFS(Inputs_Prices!S$56:S$59,Inputs_Prices!$C$56:$C$59,$F315,Inputs_Prices!$E$56:$E$59,$J$298)*$J315</f>
        <v>915474.97582642897</v>
      </c>
      <c r="AA315" s="177">
        <f t="shared" si="18"/>
        <v>-188210.56515345373</v>
      </c>
      <c r="AB315" s="177">
        <f t="shared" si="10"/>
        <v>23700.825868621701</v>
      </c>
      <c r="AC315" s="177">
        <f t="shared" si="11"/>
        <v>37096.515811420744</v>
      </c>
      <c r="AD315" s="177">
        <f t="shared" si="12"/>
        <v>36516.746114947833</v>
      </c>
      <c r="AE315" s="177">
        <f t="shared" si="13"/>
        <v>-29534.446815107483</v>
      </c>
      <c r="AG315" s="244">
        <f t="shared" si="19"/>
        <v>-0.18168693232990926</v>
      </c>
      <c r="AH315" s="244">
        <f t="shared" si="14"/>
        <v>2.7959132124883213E-2</v>
      </c>
      <c r="AI315" s="244">
        <f t="shared" si="15"/>
        <v>4.2571355582947577E-2</v>
      </c>
      <c r="AJ315" s="244">
        <f t="shared" si="16"/>
        <v>4.0194871195397143E-2</v>
      </c>
      <c r="AK315" s="244">
        <f t="shared" si="17"/>
        <v>-3.125307124721715E-2</v>
      </c>
    </row>
    <row r="317" spans="4:37" x14ac:dyDescent="0.3">
      <c r="I317" s="292" t="s">
        <v>639</v>
      </c>
      <c r="J317" s="292"/>
      <c r="M317" s="292" t="s">
        <v>637</v>
      </c>
      <c r="N317" s="292"/>
      <c r="O317" s="292"/>
    </row>
    <row r="318" spans="4:37" x14ac:dyDescent="0.3">
      <c r="H318" s="80">
        <v>5</v>
      </c>
      <c r="I318" s="94">
        <v>0.52297052543181921</v>
      </c>
      <c r="J318" s="94">
        <v>0.47702947456818079</v>
      </c>
      <c r="L318" s="80" t="s">
        <v>494</v>
      </c>
      <c r="M318" s="94">
        <v>0.13836471858391283</v>
      </c>
      <c r="N318" s="94">
        <v>0.65347841947716845</v>
      </c>
      <c r="O318" s="94">
        <v>0.20815686193891875</v>
      </c>
    </row>
    <row r="319" spans="4:37" x14ac:dyDescent="0.3">
      <c r="H319" s="80">
        <v>6</v>
      </c>
      <c r="I319" s="94">
        <v>0.509714233205386</v>
      </c>
      <c r="J319" s="94">
        <v>0.490285766794614</v>
      </c>
      <c r="L319" s="80" t="s">
        <v>495</v>
      </c>
      <c r="M319" s="94">
        <v>0.13376700546871495</v>
      </c>
      <c r="N319" s="94">
        <v>0.54086329179659764</v>
      </c>
      <c r="O319" s="94">
        <v>0.3253697027346874</v>
      </c>
    </row>
    <row r="320" spans="4:37" x14ac:dyDescent="0.3">
      <c r="L320" s="80" t="s">
        <v>496</v>
      </c>
      <c r="M320" s="94">
        <v>0.12521670657031031</v>
      </c>
      <c r="N320" s="94">
        <v>0.59536439710333589</v>
      </c>
      <c r="O320" s="94">
        <v>0.27941889632635392</v>
      </c>
    </row>
    <row r="321" spans="3:37" x14ac:dyDescent="0.3">
      <c r="K321" s="80"/>
    </row>
    <row r="324" spans="3:37" s="8" customFormat="1" ht="13.9" x14ac:dyDescent="0.3">
      <c r="C324" s="8" t="s">
        <v>805</v>
      </c>
    </row>
    <row r="325" spans="3:37" ht="13.5" thickBot="1" x14ac:dyDescent="0.35"/>
    <row r="326" spans="3:37" ht="13.5" thickBot="1" x14ac:dyDescent="0.35">
      <c r="S326" s="242" t="s">
        <v>635</v>
      </c>
      <c r="T326" s="64">
        <f>Lookup!N$17</f>
        <v>366</v>
      </c>
      <c r="U326" s="64">
        <f>Lookup!O$17</f>
        <v>365</v>
      </c>
      <c r="AD326" s="242" t="s">
        <v>646</v>
      </c>
      <c r="AE326" s="250">
        <f>(1+Inputs_Other!$O$32)*(1-Inputs_Other!$O$47)-1</f>
        <v>0.11616126557759388</v>
      </c>
    </row>
    <row r="327" spans="3:37" x14ac:dyDescent="0.3">
      <c r="H327" s="284" t="s">
        <v>638</v>
      </c>
      <c r="I327" s="284"/>
      <c r="J327" s="284"/>
      <c r="L327" s="284" t="s">
        <v>636</v>
      </c>
      <c r="M327" s="284"/>
      <c r="N327" s="284"/>
      <c r="O327" s="284"/>
      <c r="W327" s="284" t="s">
        <v>645</v>
      </c>
      <c r="X327" s="284"/>
    </row>
    <row r="328" spans="3:37" ht="39.4" x14ac:dyDescent="0.3">
      <c r="D328" s="70" t="s">
        <v>644</v>
      </c>
      <c r="E328" s="54" t="s">
        <v>626</v>
      </c>
      <c r="F328" s="54" t="s">
        <v>627</v>
      </c>
      <c r="H328" s="61" t="s">
        <v>544</v>
      </c>
      <c r="I328" s="61" t="s">
        <v>278</v>
      </c>
      <c r="J328" s="61" t="s">
        <v>279</v>
      </c>
      <c r="L328" s="61" t="s">
        <v>277</v>
      </c>
      <c r="M328" s="61" t="s">
        <v>274</v>
      </c>
      <c r="N328" s="61" t="s">
        <v>275</v>
      </c>
      <c r="O328" s="61" t="s">
        <v>276</v>
      </c>
      <c r="T328" s="54" t="str">
        <f>Lookup!N$19</f>
        <v>FY24</v>
      </c>
      <c r="U328" s="54" t="str">
        <f>Lookup!O$19</f>
        <v>FY25</v>
      </c>
      <c r="W328" s="54" t="s">
        <v>199</v>
      </c>
      <c r="X328" s="54" t="s">
        <v>198</v>
      </c>
      <c r="Y328" s="61" t="s">
        <v>820</v>
      </c>
      <c r="AA328" s="61" t="s">
        <v>821</v>
      </c>
      <c r="AC328" s="61" t="s">
        <v>822</v>
      </c>
      <c r="AD328" s="61" t="s">
        <v>823</v>
      </c>
      <c r="AE328" s="61" t="str">
        <f>"Revenue Increase + CPI = "&amp;ROUND(AE326*100,1)&amp;"%"</f>
        <v>Revenue Increase + CPI = 11.6%</v>
      </c>
    </row>
    <row r="329" spans="3:37" x14ac:dyDescent="0.3">
      <c r="D329" s="75">
        <v>1</v>
      </c>
      <c r="E329" s="80">
        <v>5</v>
      </c>
      <c r="F329" s="80">
        <v>5</v>
      </c>
      <c r="H329" s="255" t="s">
        <v>825</v>
      </c>
      <c r="I329" s="255" t="s">
        <v>825</v>
      </c>
      <c r="J329" s="255" t="s">
        <v>825</v>
      </c>
      <c r="L329" s="255" t="s">
        <v>825</v>
      </c>
      <c r="M329" s="95"/>
      <c r="N329" s="95"/>
      <c r="O329" s="95"/>
      <c r="T329" s="256" t="s">
        <v>825</v>
      </c>
      <c r="U329" s="257" t="s">
        <v>825</v>
      </c>
      <c r="V329" s="177"/>
      <c r="W329" s="258" t="s">
        <v>825</v>
      </c>
      <c r="X329" s="244">
        <v>-0.22441450661883894</v>
      </c>
      <c r="Y329" s="265">
        <f>RANK($X329,$X$329:$X$486,-1)</f>
        <v>1</v>
      </c>
      <c r="AA329" s="265">
        <f>IF(COUNTIF($Y$329:$Y329,Y329)=1,Y329,Y329+(COUNTIF($Y$329:Y329,Y329)-1))</f>
        <v>1</v>
      </c>
      <c r="AB329" s="177"/>
      <c r="AC329" s="265">
        <f>N(AC328)+1</f>
        <v>1</v>
      </c>
      <c r="AD329" s="266">
        <f>INDEX($X$329:$X$486,MATCH(AC329,$AA$329:$AA$486,0))</f>
        <v>-0.22441450661883894</v>
      </c>
      <c r="AE329" s="244">
        <f t="shared" ref="AE329:AE360" si="23">$AE$326</f>
        <v>0.11616126557759388</v>
      </c>
      <c r="AH329" s="244"/>
      <c r="AI329" s="244"/>
      <c r="AJ329" s="244"/>
      <c r="AK329" s="244"/>
    </row>
    <row r="330" spans="3:37" x14ac:dyDescent="0.3">
      <c r="D330" s="75">
        <v>2</v>
      </c>
      <c r="E330" s="80">
        <v>5</v>
      </c>
      <c r="F330" s="80">
        <v>5</v>
      </c>
      <c r="H330" s="255" t="s">
        <v>825</v>
      </c>
      <c r="I330" s="255" t="s">
        <v>825</v>
      </c>
      <c r="J330" s="255" t="s">
        <v>825</v>
      </c>
      <c r="L330" s="255" t="s">
        <v>825</v>
      </c>
      <c r="M330" s="95"/>
      <c r="N330" s="95"/>
      <c r="O330" s="95"/>
      <c r="T330" s="256" t="s">
        <v>825</v>
      </c>
      <c r="U330" s="257" t="s">
        <v>825</v>
      </c>
      <c r="W330" s="258" t="s">
        <v>825</v>
      </c>
      <c r="X330" s="244">
        <v>-0.16448151981791803</v>
      </c>
      <c r="Y330" s="265">
        <f t="shared" ref="Y330:Y393" si="24">RANK($X330,$X$329:$X$486,-1)</f>
        <v>3</v>
      </c>
      <c r="AA330" s="265">
        <f>IF(COUNTIF($Y$329:$Y330,Y330)=1,Y330,Y330+(COUNTIF($Y$329:Y330,Y330)-1))</f>
        <v>3</v>
      </c>
      <c r="AC330" s="265">
        <f t="shared" ref="AC330:AC393" si="25">N(AC329)+1</f>
        <v>2</v>
      </c>
      <c r="AD330" s="266">
        <f t="shared" ref="AD330:AD393" si="26">INDEX($X$329:$X$486,MATCH(AC330,$AA$329:$AA$486,0))</f>
        <v>-0.19227436363521677</v>
      </c>
      <c r="AE330" s="244">
        <f t="shared" si="23"/>
        <v>0.11616126557759388</v>
      </c>
    </row>
    <row r="331" spans="3:37" x14ac:dyDescent="0.3">
      <c r="D331" s="75">
        <v>3</v>
      </c>
      <c r="E331" s="80">
        <v>5</v>
      </c>
      <c r="F331" s="80">
        <v>5</v>
      </c>
      <c r="H331" s="255" t="s">
        <v>825</v>
      </c>
      <c r="I331" s="255" t="s">
        <v>825</v>
      </c>
      <c r="J331" s="255" t="s">
        <v>825</v>
      </c>
      <c r="L331" s="255" t="s">
        <v>825</v>
      </c>
      <c r="M331" s="95"/>
      <c r="N331" s="95"/>
      <c r="O331" s="95"/>
      <c r="T331" s="256" t="s">
        <v>825</v>
      </c>
      <c r="U331" s="257" t="s">
        <v>825</v>
      </c>
      <c r="W331" s="258" t="s">
        <v>825</v>
      </c>
      <c r="X331" s="244">
        <v>-0.15763606033285743</v>
      </c>
      <c r="Y331" s="265">
        <f t="shared" si="24"/>
        <v>4</v>
      </c>
      <c r="AA331" s="265">
        <f>IF(COUNTIF($Y$329:$Y331,Y331)=1,Y331,Y331+(COUNTIF($Y$329:Y331,Y331)-1))</f>
        <v>4</v>
      </c>
      <c r="AC331" s="265">
        <f t="shared" si="25"/>
        <v>3</v>
      </c>
      <c r="AD331" s="266">
        <f t="shared" si="26"/>
        <v>-0.16448151981791803</v>
      </c>
      <c r="AE331" s="244">
        <f t="shared" si="23"/>
        <v>0.11616126557759388</v>
      </c>
    </row>
    <row r="332" spans="3:37" x14ac:dyDescent="0.3">
      <c r="D332" s="75">
        <v>4</v>
      </c>
      <c r="E332" s="80">
        <v>5</v>
      </c>
      <c r="F332" s="80">
        <v>5</v>
      </c>
      <c r="H332" s="255" t="s">
        <v>825</v>
      </c>
      <c r="I332" s="255" t="s">
        <v>825</v>
      </c>
      <c r="J332" s="255" t="s">
        <v>825</v>
      </c>
      <c r="L332" s="255" t="s">
        <v>825</v>
      </c>
      <c r="M332" s="95"/>
      <c r="N332" s="95"/>
      <c r="O332" s="95"/>
      <c r="T332" s="256" t="s">
        <v>825</v>
      </c>
      <c r="U332" s="257" t="s">
        <v>825</v>
      </c>
      <c r="W332" s="258" t="s">
        <v>825</v>
      </c>
      <c r="X332" s="244">
        <v>-0.19227436363521677</v>
      </c>
      <c r="Y332" s="265">
        <f t="shared" si="24"/>
        <v>2</v>
      </c>
      <c r="AA332" s="265">
        <f>IF(COUNTIF($Y$329:$Y332,Y332)=1,Y332,Y332+(COUNTIF($Y$329:Y332,Y332)-1))</f>
        <v>2</v>
      </c>
      <c r="AC332" s="265">
        <f t="shared" si="25"/>
        <v>4</v>
      </c>
      <c r="AD332" s="266">
        <f t="shared" si="26"/>
        <v>-0.15763606033285743</v>
      </c>
      <c r="AE332" s="244">
        <f t="shared" si="23"/>
        <v>0.11616126557759388</v>
      </c>
    </row>
    <row r="333" spans="3:37" x14ac:dyDescent="0.3">
      <c r="D333" s="75">
        <v>5</v>
      </c>
      <c r="E333" s="80">
        <v>5</v>
      </c>
      <c r="F333" s="80">
        <v>5</v>
      </c>
      <c r="H333" s="255" t="s">
        <v>825</v>
      </c>
      <c r="I333" s="255" t="s">
        <v>825</v>
      </c>
      <c r="J333" s="255" t="s">
        <v>825</v>
      </c>
      <c r="L333" s="255" t="s">
        <v>825</v>
      </c>
      <c r="M333" s="95"/>
      <c r="N333" s="95"/>
      <c r="O333" s="95"/>
      <c r="T333" s="256" t="s">
        <v>825</v>
      </c>
      <c r="U333" s="257" t="s">
        <v>825</v>
      </c>
      <c r="W333" s="258" t="s">
        <v>825</v>
      </c>
      <c r="X333" s="244">
        <v>-0.14863243398706838</v>
      </c>
      <c r="Y333" s="265">
        <f t="shared" si="24"/>
        <v>6</v>
      </c>
      <c r="AA333" s="265">
        <f>IF(COUNTIF($Y$329:$Y333,Y333)=1,Y333,Y333+(COUNTIF($Y$329:Y333,Y333)-1))</f>
        <v>6</v>
      </c>
      <c r="AC333" s="265">
        <f t="shared" si="25"/>
        <v>5</v>
      </c>
      <c r="AD333" s="266">
        <f t="shared" si="26"/>
        <v>-0.15141641701395764</v>
      </c>
      <c r="AE333" s="244">
        <f t="shared" si="23"/>
        <v>0.11616126557759388</v>
      </c>
    </row>
    <row r="334" spans="3:37" x14ac:dyDescent="0.3">
      <c r="D334" s="75">
        <v>6</v>
      </c>
      <c r="E334" s="80">
        <v>5</v>
      </c>
      <c r="F334" s="80">
        <v>5</v>
      </c>
      <c r="H334" s="255" t="s">
        <v>825</v>
      </c>
      <c r="I334" s="255" t="s">
        <v>825</v>
      </c>
      <c r="J334" s="255" t="s">
        <v>825</v>
      </c>
      <c r="L334" s="255" t="s">
        <v>825</v>
      </c>
      <c r="M334" s="95"/>
      <c r="N334" s="95"/>
      <c r="O334" s="95"/>
      <c r="T334" s="256" t="s">
        <v>825</v>
      </c>
      <c r="U334" s="257" t="s">
        <v>825</v>
      </c>
      <c r="W334" s="258" t="s">
        <v>825</v>
      </c>
      <c r="X334" s="244">
        <v>-0.15141641701395764</v>
      </c>
      <c r="Y334" s="265">
        <f t="shared" si="24"/>
        <v>5</v>
      </c>
      <c r="AA334" s="265">
        <f>IF(COUNTIF($Y$329:$Y334,Y334)=1,Y334,Y334+(COUNTIF($Y$329:Y334,Y334)-1))</f>
        <v>5</v>
      </c>
      <c r="AC334" s="265">
        <f t="shared" si="25"/>
        <v>6</v>
      </c>
      <c r="AD334" s="266">
        <f t="shared" si="26"/>
        <v>-0.14863243398706838</v>
      </c>
      <c r="AE334" s="244">
        <f t="shared" si="23"/>
        <v>0.11616126557759388</v>
      </c>
    </row>
    <row r="335" spans="3:37" x14ac:dyDescent="0.3">
      <c r="D335" s="75">
        <v>7</v>
      </c>
      <c r="E335" s="80">
        <v>5</v>
      </c>
      <c r="F335" s="80">
        <v>5</v>
      </c>
      <c r="H335" s="255" t="s">
        <v>825</v>
      </c>
      <c r="I335" s="255" t="s">
        <v>825</v>
      </c>
      <c r="J335" s="255" t="s">
        <v>825</v>
      </c>
      <c r="L335" s="255" t="s">
        <v>825</v>
      </c>
      <c r="M335" s="95"/>
      <c r="N335" s="95"/>
      <c r="O335" s="95"/>
      <c r="T335" s="256" t="s">
        <v>825</v>
      </c>
      <c r="U335" s="257" t="s">
        <v>825</v>
      </c>
      <c r="W335" s="258" t="s">
        <v>825</v>
      </c>
      <c r="X335" s="244">
        <v>-0.14393247785367674</v>
      </c>
      <c r="Y335" s="265">
        <f t="shared" si="24"/>
        <v>7</v>
      </c>
      <c r="AA335" s="265">
        <f>IF(COUNTIF($Y$329:$Y335,Y335)=1,Y335,Y335+(COUNTIF($Y$329:Y335,Y335)-1))</f>
        <v>7</v>
      </c>
      <c r="AC335" s="265">
        <f t="shared" si="25"/>
        <v>7</v>
      </c>
      <c r="AD335" s="266">
        <f t="shared" si="26"/>
        <v>-0.14393247785367674</v>
      </c>
      <c r="AE335" s="244">
        <f t="shared" si="23"/>
        <v>0.11616126557759388</v>
      </c>
    </row>
    <row r="336" spans="3:37" x14ac:dyDescent="0.3">
      <c r="D336" s="75">
        <v>8</v>
      </c>
      <c r="E336" s="80">
        <v>5</v>
      </c>
      <c r="F336" s="80">
        <v>5</v>
      </c>
      <c r="H336" s="255" t="s">
        <v>825</v>
      </c>
      <c r="I336" s="255" t="s">
        <v>825</v>
      </c>
      <c r="J336" s="255" t="s">
        <v>825</v>
      </c>
      <c r="L336" s="255" t="s">
        <v>825</v>
      </c>
      <c r="M336" s="95"/>
      <c r="N336" s="95"/>
      <c r="O336" s="95"/>
      <c r="T336" s="256" t="s">
        <v>825</v>
      </c>
      <c r="U336" s="257" t="s">
        <v>825</v>
      </c>
      <c r="W336" s="258" t="s">
        <v>825</v>
      </c>
      <c r="X336" s="244">
        <v>-0.13138062146069082</v>
      </c>
      <c r="Y336" s="265">
        <f t="shared" si="24"/>
        <v>8</v>
      </c>
      <c r="AA336" s="265">
        <f>IF(COUNTIF($Y$329:$Y336,Y336)=1,Y336,Y336+(COUNTIF($Y$329:Y336,Y336)-1))</f>
        <v>8</v>
      </c>
      <c r="AC336" s="265">
        <f t="shared" si="25"/>
        <v>8</v>
      </c>
      <c r="AD336" s="266">
        <f t="shared" si="26"/>
        <v>-0.13138062146069082</v>
      </c>
      <c r="AE336" s="244">
        <f t="shared" si="23"/>
        <v>0.11616126557759388</v>
      </c>
    </row>
    <row r="337" spans="4:31" x14ac:dyDescent="0.3">
      <c r="D337" s="75">
        <v>9</v>
      </c>
      <c r="E337" s="80">
        <v>5</v>
      </c>
      <c r="F337" s="80">
        <v>5</v>
      </c>
      <c r="H337" s="255" t="s">
        <v>825</v>
      </c>
      <c r="I337" s="255" t="s">
        <v>825</v>
      </c>
      <c r="J337" s="255" t="s">
        <v>825</v>
      </c>
      <c r="L337" s="255" t="s">
        <v>825</v>
      </c>
      <c r="M337" s="95"/>
      <c r="N337" s="95"/>
      <c r="O337" s="95"/>
      <c r="T337" s="256" t="s">
        <v>825</v>
      </c>
      <c r="U337" s="257" t="s">
        <v>825</v>
      </c>
      <c r="W337" s="258" t="s">
        <v>825</v>
      </c>
      <c r="X337" s="244">
        <v>-0.1227313567002094</v>
      </c>
      <c r="Y337" s="265">
        <f t="shared" si="24"/>
        <v>10</v>
      </c>
      <c r="AA337" s="265">
        <f>IF(COUNTIF($Y$329:$Y337,Y337)=1,Y337,Y337+(COUNTIF($Y$329:Y337,Y337)-1))</f>
        <v>10</v>
      </c>
      <c r="AC337" s="265">
        <f t="shared" si="25"/>
        <v>9</v>
      </c>
      <c r="AD337" s="266">
        <f t="shared" si="26"/>
        <v>-0.12509108091478224</v>
      </c>
      <c r="AE337" s="244">
        <f t="shared" si="23"/>
        <v>0.11616126557759388</v>
      </c>
    </row>
    <row r="338" spans="4:31" x14ac:dyDescent="0.3">
      <c r="D338" s="75">
        <v>10</v>
      </c>
      <c r="E338" s="80">
        <v>5</v>
      </c>
      <c r="F338" s="80">
        <v>5</v>
      </c>
      <c r="H338" s="255" t="s">
        <v>825</v>
      </c>
      <c r="I338" s="255" t="s">
        <v>825</v>
      </c>
      <c r="J338" s="255" t="s">
        <v>825</v>
      </c>
      <c r="L338" s="255" t="s">
        <v>825</v>
      </c>
      <c r="M338" s="95"/>
      <c r="N338" s="95"/>
      <c r="O338" s="95"/>
      <c r="T338" s="256" t="s">
        <v>825</v>
      </c>
      <c r="U338" s="257" t="s">
        <v>825</v>
      </c>
      <c r="W338" s="258" t="s">
        <v>825</v>
      </c>
      <c r="X338" s="244">
        <v>-0.11137678706769641</v>
      </c>
      <c r="Y338" s="265">
        <f t="shared" si="24"/>
        <v>15</v>
      </c>
      <c r="AA338" s="265">
        <f>IF(COUNTIF($Y$329:$Y338,Y338)=1,Y338,Y338+(COUNTIF($Y$329:Y338,Y338)-1))</f>
        <v>15</v>
      </c>
      <c r="AC338" s="265">
        <f t="shared" si="25"/>
        <v>10</v>
      </c>
      <c r="AD338" s="266">
        <f t="shared" si="26"/>
        <v>-0.1227313567002094</v>
      </c>
      <c r="AE338" s="244">
        <f t="shared" si="23"/>
        <v>0.11616126557759388</v>
      </c>
    </row>
    <row r="339" spans="4:31" x14ac:dyDescent="0.3">
      <c r="D339" s="75">
        <v>11</v>
      </c>
      <c r="E339" s="80">
        <v>5</v>
      </c>
      <c r="F339" s="80">
        <v>5</v>
      </c>
      <c r="H339" s="255" t="s">
        <v>825</v>
      </c>
      <c r="I339" s="255" t="s">
        <v>825</v>
      </c>
      <c r="J339" s="255" t="s">
        <v>825</v>
      </c>
      <c r="L339" s="255" t="s">
        <v>825</v>
      </c>
      <c r="M339" s="95"/>
      <c r="N339" s="95"/>
      <c r="O339" s="95"/>
      <c r="T339" s="256" t="s">
        <v>825</v>
      </c>
      <c r="U339" s="257" t="s">
        <v>825</v>
      </c>
      <c r="W339" s="258" t="s">
        <v>825</v>
      </c>
      <c r="X339" s="244">
        <v>-9.9634445267190591E-2</v>
      </c>
      <c r="Y339" s="265">
        <f t="shared" si="24"/>
        <v>19</v>
      </c>
      <c r="AA339" s="265">
        <f>IF(COUNTIF($Y$329:$Y339,Y339)=1,Y339,Y339+(COUNTIF($Y$329:Y339,Y339)-1))</f>
        <v>19</v>
      </c>
      <c r="AC339" s="265">
        <f t="shared" si="25"/>
        <v>11</v>
      </c>
      <c r="AD339" s="266">
        <f t="shared" si="26"/>
        <v>-0.1186986839601533</v>
      </c>
      <c r="AE339" s="244">
        <f t="shared" si="23"/>
        <v>0.11616126557759388</v>
      </c>
    </row>
    <row r="340" spans="4:31" x14ac:dyDescent="0.3">
      <c r="D340" s="75">
        <v>12</v>
      </c>
      <c r="E340" s="80">
        <v>5</v>
      </c>
      <c r="F340" s="80">
        <v>5</v>
      </c>
      <c r="H340" s="255" t="s">
        <v>825</v>
      </c>
      <c r="I340" s="255" t="s">
        <v>825</v>
      </c>
      <c r="J340" s="255" t="s">
        <v>825</v>
      </c>
      <c r="L340" s="255" t="s">
        <v>825</v>
      </c>
      <c r="M340" s="95"/>
      <c r="N340" s="95"/>
      <c r="O340" s="95"/>
      <c r="T340" s="256" t="s">
        <v>825</v>
      </c>
      <c r="U340" s="257" t="s">
        <v>825</v>
      </c>
      <c r="W340" s="258" t="s">
        <v>825</v>
      </c>
      <c r="X340" s="244">
        <v>-0.10525341730786156</v>
      </c>
      <c r="Y340" s="265">
        <f t="shared" si="24"/>
        <v>17</v>
      </c>
      <c r="AA340" s="265">
        <f>IF(COUNTIF($Y$329:$Y340,Y340)=1,Y340,Y340+(COUNTIF($Y$329:Y340,Y340)-1))</f>
        <v>17</v>
      </c>
      <c r="AC340" s="265">
        <f t="shared" si="25"/>
        <v>12</v>
      </c>
      <c r="AD340" s="266">
        <f t="shared" si="26"/>
        <v>-0.11772874898046201</v>
      </c>
      <c r="AE340" s="244">
        <f t="shared" si="23"/>
        <v>0.11616126557759388</v>
      </c>
    </row>
    <row r="341" spans="4:31" x14ac:dyDescent="0.3">
      <c r="D341" s="75">
        <v>13</v>
      </c>
      <c r="E341" s="80">
        <v>5</v>
      </c>
      <c r="F341" s="80">
        <v>5</v>
      </c>
      <c r="H341" s="255" t="s">
        <v>825</v>
      </c>
      <c r="I341" s="255" t="s">
        <v>825</v>
      </c>
      <c r="J341" s="255" t="s">
        <v>825</v>
      </c>
      <c r="L341" s="255" t="s">
        <v>825</v>
      </c>
      <c r="M341" s="95"/>
      <c r="N341" s="95"/>
      <c r="O341" s="95"/>
      <c r="T341" s="256" t="s">
        <v>825</v>
      </c>
      <c r="U341" s="257" t="s">
        <v>825</v>
      </c>
      <c r="W341" s="258" t="s">
        <v>825</v>
      </c>
      <c r="X341" s="244">
        <v>-0.1186986839601533</v>
      </c>
      <c r="Y341" s="265">
        <f t="shared" si="24"/>
        <v>11</v>
      </c>
      <c r="AA341" s="265">
        <f>IF(COUNTIF($Y$329:$Y341,Y341)=1,Y341,Y341+(COUNTIF($Y$329:Y341,Y341)-1))</f>
        <v>11</v>
      </c>
      <c r="AC341" s="265">
        <f t="shared" si="25"/>
        <v>13</v>
      </c>
      <c r="AD341" s="266">
        <f t="shared" si="26"/>
        <v>-0.11726894206136552</v>
      </c>
      <c r="AE341" s="244">
        <f t="shared" si="23"/>
        <v>0.11616126557759388</v>
      </c>
    </row>
    <row r="342" spans="4:31" x14ac:dyDescent="0.3">
      <c r="D342" s="75">
        <v>14</v>
      </c>
      <c r="E342" s="80">
        <v>5</v>
      </c>
      <c r="F342" s="80">
        <v>5</v>
      </c>
      <c r="H342" s="255" t="s">
        <v>825</v>
      </c>
      <c r="I342" s="255" t="s">
        <v>825</v>
      </c>
      <c r="J342" s="255" t="s">
        <v>825</v>
      </c>
      <c r="L342" s="255" t="s">
        <v>825</v>
      </c>
      <c r="M342" s="95"/>
      <c r="N342" s="95"/>
      <c r="O342" s="95"/>
      <c r="T342" s="256" t="s">
        <v>825</v>
      </c>
      <c r="U342" s="257" t="s">
        <v>825</v>
      </c>
      <c r="W342" s="258" t="s">
        <v>825</v>
      </c>
      <c r="X342" s="244">
        <v>-8.2106543515569938E-2</v>
      </c>
      <c r="Y342" s="265">
        <f t="shared" si="24"/>
        <v>25</v>
      </c>
      <c r="AA342" s="265">
        <f>IF(COUNTIF($Y$329:$Y342,Y342)=1,Y342,Y342+(COUNTIF($Y$329:Y342,Y342)-1))</f>
        <v>25</v>
      </c>
      <c r="AC342" s="265">
        <f t="shared" si="25"/>
        <v>14</v>
      </c>
      <c r="AD342" s="266">
        <f t="shared" si="26"/>
        <v>-0.11373195685483052</v>
      </c>
      <c r="AE342" s="244">
        <f t="shared" si="23"/>
        <v>0.11616126557759388</v>
      </c>
    </row>
    <row r="343" spans="4:31" x14ac:dyDescent="0.3">
      <c r="D343" s="75">
        <v>15</v>
      </c>
      <c r="E343" s="80">
        <v>5</v>
      </c>
      <c r="F343" s="80">
        <v>5</v>
      </c>
      <c r="H343" s="255" t="s">
        <v>825</v>
      </c>
      <c r="I343" s="255" t="s">
        <v>825</v>
      </c>
      <c r="J343" s="255" t="s">
        <v>825</v>
      </c>
      <c r="L343" s="255" t="s">
        <v>825</v>
      </c>
      <c r="M343" s="95"/>
      <c r="N343" s="95"/>
      <c r="O343" s="95"/>
      <c r="T343" s="256" t="s">
        <v>825</v>
      </c>
      <c r="U343" s="257" t="s">
        <v>825</v>
      </c>
      <c r="W343" s="258" t="s">
        <v>825</v>
      </c>
      <c r="X343" s="244">
        <v>-8.472186294134576E-2</v>
      </c>
      <c r="Y343" s="265">
        <f t="shared" si="24"/>
        <v>24</v>
      </c>
      <c r="AA343" s="265">
        <f>IF(COUNTIF($Y$329:$Y343,Y343)=1,Y343,Y343+(COUNTIF($Y$329:Y343,Y343)-1))</f>
        <v>24</v>
      </c>
      <c r="AC343" s="265">
        <f t="shared" si="25"/>
        <v>15</v>
      </c>
      <c r="AD343" s="266">
        <f t="shared" si="26"/>
        <v>-0.11137678706769641</v>
      </c>
      <c r="AE343" s="244">
        <f t="shared" si="23"/>
        <v>0.11616126557759388</v>
      </c>
    </row>
    <row r="344" spans="4:31" x14ac:dyDescent="0.3">
      <c r="D344" s="75">
        <v>16</v>
      </c>
      <c r="E344" s="80">
        <v>5</v>
      </c>
      <c r="F344" s="80">
        <v>5</v>
      </c>
      <c r="H344" s="255" t="s">
        <v>825</v>
      </c>
      <c r="I344" s="255" t="s">
        <v>825</v>
      </c>
      <c r="J344" s="255" t="s">
        <v>825</v>
      </c>
      <c r="L344" s="255" t="s">
        <v>825</v>
      </c>
      <c r="M344" s="95"/>
      <c r="N344" s="95"/>
      <c r="O344" s="95"/>
      <c r="T344" s="256" t="s">
        <v>825</v>
      </c>
      <c r="U344" s="257" t="s">
        <v>825</v>
      </c>
      <c r="W344" s="258" t="s">
        <v>825</v>
      </c>
      <c r="X344" s="244">
        <v>-0.11373195685483052</v>
      </c>
      <c r="Y344" s="265">
        <f t="shared" si="24"/>
        <v>14</v>
      </c>
      <c r="AA344" s="265">
        <f>IF(COUNTIF($Y$329:$Y344,Y344)=1,Y344,Y344+(COUNTIF($Y$329:Y344,Y344)-1))</f>
        <v>14</v>
      </c>
      <c r="AC344" s="265">
        <f t="shared" si="25"/>
        <v>16</v>
      </c>
      <c r="AD344" s="266">
        <f t="shared" si="26"/>
        <v>-0.10526394111123549</v>
      </c>
      <c r="AE344" s="244">
        <f t="shared" si="23"/>
        <v>0.11616126557759388</v>
      </c>
    </row>
    <row r="345" spans="4:31" x14ac:dyDescent="0.3">
      <c r="D345" s="75">
        <v>17</v>
      </c>
      <c r="E345" s="80">
        <v>5</v>
      </c>
      <c r="F345" s="80">
        <v>5</v>
      </c>
      <c r="H345" s="255" t="s">
        <v>825</v>
      </c>
      <c r="I345" s="255" t="s">
        <v>825</v>
      </c>
      <c r="J345" s="255" t="s">
        <v>825</v>
      </c>
      <c r="L345" s="255" t="s">
        <v>825</v>
      </c>
      <c r="M345" s="95"/>
      <c r="N345" s="95"/>
      <c r="O345" s="95"/>
      <c r="T345" s="256" t="s">
        <v>825</v>
      </c>
      <c r="U345" s="257" t="s">
        <v>825</v>
      </c>
      <c r="W345" s="258" t="s">
        <v>825</v>
      </c>
      <c r="X345" s="244">
        <v>-7.2438933130804087E-2</v>
      </c>
      <c r="Y345" s="265">
        <f t="shared" si="24"/>
        <v>27</v>
      </c>
      <c r="AA345" s="265">
        <f>IF(COUNTIF($Y$329:$Y345,Y345)=1,Y345,Y345+(COUNTIF($Y$329:Y345,Y345)-1))</f>
        <v>27</v>
      </c>
      <c r="AC345" s="265">
        <f t="shared" si="25"/>
        <v>17</v>
      </c>
      <c r="AD345" s="266">
        <f t="shared" si="26"/>
        <v>-0.10525341730786156</v>
      </c>
      <c r="AE345" s="244">
        <f t="shared" si="23"/>
        <v>0.11616126557759388</v>
      </c>
    </row>
    <row r="346" spans="4:31" x14ac:dyDescent="0.3">
      <c r="D346" s="75">
        <v>18</v>
      </c>
      <c r="E346" s="80">
        <v>5</v>
      </c>
      <c r="F346" s="80">
        <v>5</v>
      </c>
      <c r="H346" s="255" t="s">
        <v>825</v>
      </c>
      <c r="I346" s="255" t="s">
        <v>825</v>
      </c>
      <c r="J346" s="255" t="s">
        <v>825</v>
      </c>
      <c r="L346" s="255" t="s">
        <v>825</v>
      </c>
      <c r="M346" s="95"/>
      <c r="N346" s="95"/>
      <c r="O346" s="95"/>
      <c r="T346" s="256" t="s">
        <v>825</v>
      </c>
      <c r="U346" s="257" t="s">
        <v>825</v>
      </c>
      <c r="W346" s="258" t="s">
        <v>825</v>
      </c>
      <c r="X346" s="244">
        <v>-9.5681996499977218E-2</v>
      </c>
      <c r="Y346" s="265">
        <f t="shared" si="24"/>
        <v>20</v>
      </c>
      <c r="AA346" s="265">
        <f>IF(COUNTIF($Y$329:$Y346,Y346)=1,Y346,Y346+(COUNTIF($Y$329:Y346,Y346)-1))</f>
        <v>20</v>
      </c>
      <c r="AC346" s="265">
        <f t="shared" si="25"/>
        <v>18</v>
      </c>
      <c r="AD346" s="266">
        <f t="shared" si="26"/>
        <v>-0.10411181511139733</v>
      </c>
      <c r="AE346" s="244">
        <f t="shared" si="23"/>
        <v>0.11616126557759388</v>
      </c>
    </row>
    <row r="347" spans="4:31" x14ac:dyDescent="0.3">
      <c r="D347" s="75">
        <v>19</v>
      </c>
      <c r="E347" s="80">
        <v>5</v>
      </c>
      <c r="F347" s="80">
        <v>5</v>
      </c>
      <c r="H347" s="255" t="s">
        <v>825</v>
      </c>
      <c r="I347" s="255" t="s">
        <v>825</v>
      </c>
      <c r="J347" s="255" t="s">
        <v>825</v>
      </c>
      <c r="L347" s="255" t="s">
        <v>825</v>
      </c>
      <c r="M347" s="95"/>
      <c r="N347" s="95"/>
      <c r="O347" s="95"/>
      <c r="T347" s="256" t="s">
        <v>825</v>
      </c>
      <c r="U347" s="257" t="s">
        <v>825</v>
      </c>
      <c r="W347" s="258" t="s">
        <v>825</v>
      </c>
      <c r="X347" s="244">
        <v>-8.4809747230217364E-2</v>
      </c>
      <c r="Y347" s="265">
        <f t="shared" si="24"/>
        <v>23</v>
      </c>
      <c r="AA347" s="265">
        <f>IF(COUNTIF($Y$329:$Y347,Y347)=1,Y347,Y347+(COUNTIF($Y$329:Y347,Y347)-1))</f>
        <v>23</v>
      </c>
      <c r="AC347" s="265">
        <f t="shared" si="25"/>
        <v>19</v>
      </c>
      <c r="AD347" s="266">
        <f t="shared" si="26"/>
        <v>-9.9634445267190591E-2</v>
      </c>
      <c r="AE347" s="244">
        <f t="shared" si="23"/>
        <v>0.11616126557759388</v>
      </c>
    </row>
    <row r="348" spans="4:31" x14ac:dyDescent="0.3">
      <c r="D348" s="75">
        <v>20</v>
      </c>
      <c r="E348" s="80">
        <v>5</v>
      </c>
      <c r="F348" s="80">
        <v>5</v>
      </c>
      <c r="H348" s="255" t="s">
        <v>825</v>
      </c>
      <c r="I348" s="255" t="s">
        <v>825</v>
      </c>
      <c r="J348" s="255" t="s">
        <v>825</v>
      </c>
      <c r="L348" s="255" t="s">
        <v>825</v>
      </c>
      <c r="M348" s="95"/>
      <c r="N348" s="95"/>
      <c r="O348" s="95"/>
      <c r="T348" s="256" t="s">
        <v>825</v>
      </c>
      <c r="U348" s="257" t="s">
        <v>825</v>
      </c>
      <c r="W348" s="258" t="s">
        <v>825</v>
      </c>
      <c r="X348" s="244">
        <v>-0.11772874898046201</v>
      </c>
      <c r="Y348" s="265">
        <f t="shared" si="24"/>
        <v>12</v>
      </c>
      <c r="AA348" s="265">
        <f>IF(COUNTIF($Y$329:$Y348,Y348)=1,Y348,Y348+(COUNTIF($Y$329:Y348,Y348)-1))</f>
        <v>12</v>
      </c>
      <c r="AC348" s="265">
        <f t="shared" si="25"/>
        <v>20</v>
      </c>
      <c r="AD348" s="266">
        <f t="shared" si="26"/>
        <v>-9.5681996499977218E-2</v>
      </c>
      <c r="AE348" s="244">
        <f t="shared" si="23"/>
        <v>0.11616126557759388</v>
      </c>
    </row>
    <row r="349" spans="4:31" x14ac:dyDescent="0.3">
      <c r="D349" s="75">
        <v>21</v>
      </c>
      <c r="E349" s="80">
        <v>5</v>
      </c>
      <c r="F349" s="80">
        <v>5</v>
      </c>
      <c r="H349" s="255" t="s">
        <v>825</v>
      </c>
      <c r="I349" s="255" t="s">
        <v>825</v>
      </c>
      <c r="J349" s="255" t="s">
        <v>825</v>
      </c>
      <c r="L349" s="255" t="s">
        <v>825</v>
      </c>
      <c r="M349" s="95"/>
      <c r="N349" s="95"/>
      <c r="O349" s="95"/>
      <c r="T349" s="256" t="s">
        <v>825</v>
      </c>
      <c r="U349" s="257" t="s">
        <v>825</v>
      </c>
      <c r="W349" s="258" t="s">
        <v>825</v>
      </c>
      <c r="X349" s="244">
        <v>-8.1069705683312343E-2</v>
      </c>
      <c r="Y349" s="265">
        <f t="shared" si="24"/>
        <v>26</v>
      </c>
      <c r="AA349" s="265">
        <f>IF(COUNTIF($Y$329:$Y349,Y349)=1,Y349,Y349+(COUNTIF($Y$329:Y349,Y349)-1))</f>
        <v>26</v>
      </c>
      <c r="AC349" s="265">
        <f t="shared" si="25"/>
        <v>21</v>
      </c>
      <c r="AD349" s="266">
        <f t="shared" si="26"/>
        <v>-9.223484181311338E-2</v>
      </c>
      <c r="AE349" s="244">
        <f t="shared" si="23"/>
        <v>0.11616126557759388</v>
      </c>
    </row>
    <row r="350" spans="4:31" x14ac:dyDescent="0.3">
      <c r="D350" s="75">
        <v>22</v>
      </c>
      <c r="E350" s="80">
        <v>5</v>
      </c>
      <c r="F350" s="80">
        <v>5</v>
      </c>
      <c r="H350" s="255" t="s">
        <v>825</v>
      </c>
      <c r="I350" s="255" t="s">
        <v>825</v>
      </c>
      <c r="J350" s="255" t="s">
        <v>825</v>
      </c>
      <c r="L350" s="255" t="s">
        <v>825</v>
      </c>
      <c r="M350" s="95"/>
      <c r="N350" s="95"/>
      <c r="O350" s="95"/>
      <c r="T350" s="256" t="s">
        <v>825</v>
      </c>
      <c r="U350" s="257" t="s">
        <v>825</v>
      </c>
      <c r="W350" s="258" t="s">
        <v>825</v>
      </c>
      <c r="X350" s="244">
        <v>-4.4940755498595331E-2</v>
      </c>
      <c r="Y350" s="265">
        <f t="shared" si="24"/>
        <v>40</v>
      </c>
      <c r="AA350" s="265">
        <f>IF(COUNTIF($Y$329:$Y350,Y350)=1,Y350,Y350+(COUNTIF($Y$329:Y350,Y350)-1))</f>
        <v>40</v>
      </c>
      <c r="AC350" s="265">
        <f t="shared" si="25"/>
        <v>22</v>
      </c>
      <c r="AD350" s="266">
        <f t="shared" si="26"/>
        <v>-8.9660084795690459E-2</v>
      </c>
      <c r="AE350" s="244">
        <f t="shared" si="23"/>
        <v>0.11616126557759388</v>
      </c>
    </row>
    <row r="351" spans="4:31" x14ac:dyDescent="0.3">
      <c r="D351" s="75">
        <v>23</v>
      </c>
      <c r="E351" s="80">
        <v>5</v>
      </c>
      <c r="F351" s="80">
        <v>5</v>
      </c>
      <c r="H351" s="255" t="s">
        <v>825</v>
      </c>
      <c r="I351" s="255" t="s">
        <v>825</v>
      </c>
      <c r="J351" s="255" t="s">
        <v>825</v>
      </c>
      <c r="L351" s="255" t="s">
        <v>825</v>
      </c>
      <c r="M351" s="95"/>
      <c r="N351" s="95"/>
      <c r="O351" s="95"/>
      <c r="T351" s="256" t="s">
        <v>825</v>
      </c>
      <c r="U351" s="257" t="s">
        <v>825</v>
      </c>
      <c r="W351" s="258" t="s">
        <v>825</v>
      </c>
      <c r="X351" s="244">
        <v>-6.3562004929106991E-2</v>
      </c>
      <c r="Y351" s="265">
        <f t="shared" si="24"/>
        <v>32</v>
      </c>
      <c r="AA351" s="265">
        <f>IF(COUNTIF($Y$329:$Y351,Y351)=1,Y351,Y351+(COUNTIF($Y$329:Y351,Y351)-1))</f>
        <v>32</v>
      </c>
      <c r="AC351" s="265">
        <f t="shared" si="25"/>
        <v>23</v>
      </c>
      <c r="AD351" s="266">
        <f t="shared" si="26"/>
        <v>-8.4809747230217364E-2</v>
      </c>
      <c r="AE351" s="244">
        <f t="shared" si="23"/>
        <v>0.11616126557759388</v>
      </c>
    </row>
    <row r="352" spans="4:31" x14ac:dyDescent="0.3">
      <c r="D352" s="75">
        <v>24</v>
      </c>
      <c r="E352" s="80">
        <v>5</v>
      </c>
      <c r="F352" s="80">
        <v>5</v>
      </c>
      <c r="H352" s="255" t="s">
        <v>825</v>
      </c>
      <c r="I352" s="255" t="s">
        <v>825</v>
      </c>
      <c r="J352" s="255" t="s">
        <v>825</v>
      </c>
      <c r="L352" s="255" t="s">
        <v>825</v>
      </c>
      <c r="M352" s="95"/>
      <c r="N352" s="95"/>
      <c r="O352" s="95"/>
      <c r="T352" s="256" t="s">
        <v>825</v>
      </c>
      <c r="U352" s="257" t="s">
        <v>825</v>
      </c>
      <c r="W352" s="258" t="s">
        <v>825</v>
      </c>
      <c r="X352" s="244">
        <v>-0.11726894206136552</v>
      </c>
      <c r="Y352" s="265">
        <f t="shared" si="24"/>
        <v>13</v>
      </c>
      <c r="AA352" s="265">
        <f>IF(COUNTIF($Y$329:$Y352,Y352)=1,Y352,Y352+(COUNTIF($Y$329:Y352,Y352)-1))</f>
        <v>13</v>
      </c>
      <c r="AC352" s="265">
        <f t="shared" si="25"/>
        <v>24</v>
      </c>
      <c r="AD352" s="266">
        <f t="shared" si="26"/>
        <v>-8.472186294134576E-2</v>
      </c>
      <c r="AE352" s="244">
        <f t="shared" si="23"/>
        <v>0.11616126557759388</v>
      </c>
    </row>
    <row r="353" spans="4:31" x14ac:dyDescent="0.3">
      <c r="D353" s="75">
        <v>25</v>
      </c>
      <c r="E353" s="80">
        <v>5</v>
      </c>
      <c r="F353" s="80">
        <v>5</v>
      </c>
      <c r="H353" s="255" t="s">
        <v>825</v>
      </c>
      <c r="I353" s="255" t="s">
        <v>825</v>
      </c>
      <c r="J353" s="255" t="s">
        <v>825</v>
      </c>
      <c r="L353" s="255" t="s">
        <v>825</v>
      </c>
      <c r="M353" s="95"/>
      <c r="N353" s="95"/>
      <c r="O353" s="95"/>
      <c r="T353" s="256" t="s">
        <v>825</v>
      </c>
      <c r="U353" s="257" t="s">
        <v>825</v>
      </c>
      <c r="W353" s="258" t="s">
        <v>825</v>
      </c>
      <c r="X353" s="244">
        <v>-0.10526394111123549</v>
      </c>
      <c r="Y353" s="265">
        <f t="shared" si="24"/>
        <v>16</v>
      </c>
      <c r="AA353" s="265">
        <f>IF(COUNTIF($Y$329:$Y353,Y353)=1,Y353,Y353+(COUNTIF($Y$329:Y353,Y353)-1))</f>
        <v>16</v>
      </c>
      <c r="AC353" s="265">
        <f t="shared" si="25"/>
        <v>25</v>
      </c>
      <c r="AD353" s="266">
        <f t="shared" si="26"/>
        <v>-8.2106543515569938E-2</v>
      </c>
      <c r="AE353" s="244">
        <f t="shared" si="23"/>
        <v>0.11616126557759388</v>
      </c>
    </row>
    <row r="354" spans="4:31" x14ac:dyDescent="0.3">
      <c r="D354" s="75">
        <v>26</v>
      </c>
      <c r="E354" s="80">
        <v>5</v>
      </c>
      <c r="F354" s="80">
        <v>5</v>
      </c>
      <c r="H354" s="255" t="s">
        <v>825</v>
      </c>
      <c r="I354" s="255" t="s">
        <v>825</v>
      </c>
      <c r="J354" s="255" t="s">
        <v>825</v>
      </c>
      <c r="L354" s="255" t="s">
        <v>825</v>
      </c>
      <c r="M354" s="95"/>
      <c r="N354" s="95"/>
      <c r="O354" s="95"/>
      <c r="T354" s="256" t="s">
        <v>825</v>
      </c>
      <c r="U354" s="257" t="s">
        <v>825</v>
      </c>
      <c r="W354" s="258" t="s">
        <v>825</v>
      </c>
      <c r="X354" s="244">
        <v>-7.1769539785662681E-2</v>
      </c>
      <c r="Y354" s="265">
        <f t="shared" si="24"/>
        <v>29</v>
      </c>
      <c r="AA354" s="265">
        <f>IF(COUNTIF($Y$329:$Y354,Y354)=1,Y354,Y354+(COUNTIF($Y$329:Y354,Y354)-1))</f>
        <v>29</v>
      </c>
      <c r="AC354" s="265">
        <f t="shared" si="25"/>
        <v>26</v>
      </c>
      <c r="AD354" s="266">
        <f t="shared" si="26"/>
        <v>-8.1069705683312343E-2</v>
      </c>
      <c r="AE354" s="244">
        <f t="shared" si="23"/>
        <v>0.11616126557759388</v>
      </c>
    </row>
    <row r="355" spans="4:31" x14ac:dyDescent="0.3">
      <c r="D355" s="75">
        <v>27</v>
      </c>
      <c r="E355" s="80">
        <v>5</v>
      </c>
      <c r="F355" s="80">
        <v>5</v>
      </c>
      <c r="H355" s="255" t="s">
        <v>825</v>
      </c>
      <c r="I355" s="255" t="s">
        <v>825</v>
      </c>
      <c r="J355" s="255" t="s">
        <v>825</v>
      </c>
      <c r="L355" s="255" t="s">
        <v>825</v>
      </c>
      <c r="M355" s="95"/>
      <c r="N355" s="95"/>
      <c r="O355" s="95"/>
      <c r="T355" s="256" t="s">
        <v>825</v>
      </c>
      <c r="U355" s="257" t="s">
        <v>825</v>
      </c>
      <c r="W355" s="258" t="s">
        <v>825</v>
      </c>
      <c r="X355" s="244">
        <v>2.7284773773475546E-2</v>
      </c>
      <c r="Y355" s="265">
        <f t="shared" si="24"/>
        <v>77</v>
      </c>
      <c r="AA355" s="265">
        <f>IF(COUNTIF($Y$329:$Y355,Y355)=1,Y355,Y355+(COUNTIF($Y$329:Y355,Y355)-1))</f>
        <v>77</v>
      </c>
      <c r="AC355" s="265">
        <f t="shared" si="25"/>
        <v>27</v>
      </c>
      <c r="AD355" s="266">
        <f t="shared" si="26"/>
        <v>-7.2438933130804087E-2</v>
      </c>
      <c r="AE355" s="244">
        <f t="shared" si="23"/>
        <v>0.11616126557759388</v>
      </c>
    </row>
    <row r="356" spans="4:31" x14ac:dyDescent="0.3">
      <c r="D356" s="75">
        <v>28</v>
      </c>
      <c r="E356" s="80">
        <v>5</v>
      </c>
      <c r="F356" s="80">
        <v>5</v>
      </c>
      <c r="H356" s="255" t="s">
        <v>825</v>
      </c>
      <c r="I356" s="255" t="s">
        <v>825</v>
      </c>
      <c r="J356" s="255" t="s">
        <v>825</v>
      </c>
      <c r="L356" s="255" t="s">
        <v>825</v>
      </c>
      <c r="M356" s="95"/>
      <c r="N356" s="95"/>
      <c r="O356" s="95"/>
      <c r="T356" s="256" t="s">
        <v>825</v>
      </c>
      <c r="U356" s="257" t="s">
        <v>825</v>
      </c>
      <c r="W356" s="258" t="s">
        <v>825</v>
      </c>
      <c r="X356" s="244">
        <v>-7.1920410619782257E-2</v>
      </c>
      <c r="Y356" s="265">
        <f t="shared" si="24"/>
        <v>28</v>
      </c>
      <c r="AA356" s="265">
        <f>IF(COUNTIF($Y$329:$Y356,Y356)=1,Y356,Y356+(COUNTIF($Y$329:Y356,Y356)-1))</f>
        <v>28</v>
      </c>
      <c r="AC356" s="265">
        <f t="shared" si="25"/>
        <v>28</v>
      </c>
      <c r="AD356" s="266">
        <f t="shared" si="26"/>
        <v>-7.1920410619782257E-2</v>
      </c>
      <c r="AE356" s="244">
        <f t="shared" si="23"/>
        <v>0.11616126557759388</v>
      </c>
    </row>
    <row r="357" spans="4:31" x14ac:dyDescent="0.3">
      <c r="D357" s="75">
        <v>29</v>
      </c>
      <c r="E357" s="80">
        <v>5</v>
      </c>
      <c r="F357" s="80">
        <v>5</v>
      </c>
      <c r="H357" s="255" t="s">
        <v>825</v>
      </c>
      <c r="I357" s="255" t="s">
        <v>825</v>
      </c>
      <c r="J357" s="255" t="s">
        <v>825</v>
      </c>
      <c r="L357" s="255" t="s">
        <v>825</v>
      </c>
      <c r="M357" s="95"/>
      <c r="N357" s="95"/>
      <c r="O357" s="95"/>
      <c r="T357" s="256" t="s">
        <v>825</v>
      </c>
      <c r="U357" s="257" t="s">
        <v>825</v>
      </c>
      <c r="W357" s="258" t="s">
        <v>825</v>
      </c>
      <c r="X357" s="244">
        <v>3.7324785856360877E-2</v>
      </c>
      <c r="Y357" s="265">
        <f t="shared" si="24"/>
        <v>88</v>
      </c>
      <c r="AA357" s="265">
        <f>IF(COUNTIF($Y$329:$Y357,Y357)=1,Y357,Y357+(COUNTIF($Y$329:Y357,Y357)-1))</f>
        <v>88</v>
      </c>
      <c r="AC357" s="265">
        <f t="shared" si="25"/>
        <v>29</v>
      </c>
      <c r="AD357" s="266">
        <f t="shared" si="26"/>
        <v>-7.1769539785662681E-2</v>
      </c>
      <c r="AE357" s="244">
        <f t="shared" si="23"/>
        <v>0.11616126557759388</v>
      </c>
    </row>
    <row r="358" spans="4:31" x14ac:dyDescent="0.3">
      <c r="D358" s="75">
        <v>30</v>
      </c>
      <c r="E358" s="80">
        <v>5</v>
      </c>
      <c r="F358" s="80">
        <v>5</v>
      </c>
      <c r="H358" s="255" t="s">
        <v>825</v>
      </c>
      <c r="I358" s="255" t="s">
        <v>825</v>
      </c>
      <c r="J358" s="255" t="s">
        <v>825</v>
      </c>
      <c r="L358" s="255" t="s">
        <v>825</v>
      </c>
      <c r="M358" s="95"/>
      <c r="N358" s="95"/>
      <c r="O358" s="95"/>
      <c r="T358" s="256" t="s">
        <v>825</v>
      </c>
      <c r="U358" s="257" t="s">
        <v>825</v>
      </c>
      <c r="W358" s="258" t="s">
        <v>825</v>
      </c>
      <c r="X358" s="244">
        <v>-4.7087231673442503E-2</v>
      </c>
      <c r="Y358" s="265">
        <f t="shared" si="24"/>
        <v>39</v>
      </c>
      <c r="AA358" s="265">
        <f>IF(COUNTIF($Y$329:$Y358,Y358)=1,Y358,Y358+(COUNTIF($Y$329:Y358,Y358)-1))</f>
        <v>39</v>
      </c>
      <c r="AC358" s="265">
        <f t="shared" si="25"/>
        <v>30</v>
      </c>
      <c r="AD358" s="266">
        <f t="shared" si="26"/>
        <v>-6.9255378736661877E-2</v>
      </c>
      <c r="AE358" s="244">
        <f t="shared" si="23"/>
        <v>0.11616126557759388</v>
      </c>
    </row>
    <row r="359" spans="4:31" x14ac:dyDescent="0.3">
      <c r="D359" s="75">
        <v>31</v>
      </c>
      <c r="E359" s="80">
        <v>5</v>
      </c>
      <c r="F359" s="80">
        <v>5</v>
      </c>
      <c r="H359" s="255" t="s">
        <v>825</v>
      </c>
      <c r="I359" s="255" t="s">
        <v>825</v>
      </c>
      <c r="J359" s="255" t="s">
        <v>825</v>
      </c>
      <c r="L359" s="255" t="s">
        <v>825</v>
      </c>
      <c r="M359" s="95"/>
      <c r="N359" s="95"/>
      <c r="O359" s="95"/>
      <c r="T359" s="256" t="s">
        <v>825</v>
      </c>
      <c r="U359" s="257" t="s">
        <v>825</v>
      </c>
      <c r="W359" s="258" t="s">
        <v>825</v>
      </c>
      <c r="X359" s="244">
        <v>-5.9218657809632105E-2</v>
      </c>
      <c r="Y359" s="265">
        <f t="shared" si="24"/>
        <v>35</v>
      </c>
      <c r="AA359" s="265">
        <f>IF(COUNTIF($Y$329:$Y359,Y359)=1,Y359,Y359+(COUNTIF($Y$329:Y359,Y359)-1))</f>
        <v>35</v>
      </c>
      <c r="AC359" s="265">
        <f t="shared" si="25"/>
        <v>31</v>
      </c>
      <c r="AD359" s="266">
        <f t="shared" si="26"/>
        <v>-6.5329027420038516E-2</v>
      </c>
      <c r="AE359" s="244">
        <f t="shared" si="23"/>
        <v>0.11616126557759388</v>
      </c>
    </row>
    <row r="360" spans="4:31" x14ac:dyDescent="0.3">
      <c r="D360" s="75">
        <v>32</v>
      </c>
      <c r="E360" s="80">
        <v>5</v>
      </c>
      <c r="F360" s="80">
        <v>5</v>
      </c>
      <c r="H360" s="255" t="s">
        <v>825</v>
      </c>
      <c r="I360" s="255" t="s">
        <v>825</v>
      </c>
      <c r="J360" s="255" t="s">
        <v>825</v>
      </c>
      <c r="L360" s="255" t="s">
        <v>825</v>
      </c>
      <c r="M360" s="95"/>
      <c r="N360" s="95"/>
      <c r="O360" s="95"/>
      <c r="T360" s="256" t="s">
        <v>825</v>
      </c>
      <c r="U360" s="257" t="s">
        <v>825</v>
      </c>
      <c r="W360" s="258" t="s">
        <v>825</v>
      </c>
      <c r="X360" s="244">
        <v>-6.3272292005069133E-2</v>
      </c>
      <c r="Y360" s="265">
        <f t="shared" si="24"/>
        <v>33</v>
      </c>
      <c r="AA360" s="265">
        <f>IF(COUNTIF($Y$329:$Y360,Y360)=1,Y360,Y360+(COUNTIF($Y$329:Y360,Y360)-1))</f>
        <v>33</v>
      </c>
      <c r="AC360" s="265">
        <f t="shared" si="25"/>
        <v>32</v>
      </c>
      <c r="AD360" s="266">
        <f t="shared" si="26"/>
        <v>-6.3562004929106991E-2</v>
      </c>
      <c r="AE360" s="244">
        <f t="shared" si="23"/>
        <v>0.11616126557759388</v>
      </c>
    </row>
    <row r="361" spans="4:31" x14ac:dyDescent="0.3">
      <c r="D361" s="75">
        <v>33</v>
      </c>
      <c r="E361" s="80">
        <v>5</v>
      </c>
      <c r="F361" s="80">
        <v>5</v>
      </c>
      <c r="H361" s="255" t="s">
        <v>825</v>
      </c>
      <c r="I361" s="255" t="s">
        <v>825</v>
      </c>
      <c r="J361" s="255" t="s">
        <v>825</v>
      </c>
      <c r="L361" s="255" t="s">
        <v>825</v>
      </c>
      <c r="M361" s="95"/>
      <c r="N361" s="95"/>
      <c r="O361" s="95"/>
      <c r="T361" s="256" t="s">
        <v>825</v>
      </c>
      <c r="U361" s="257" t="s">
        <v>825</v>
      </c>
      <c r="W361" s="258" t="s">
        <v>825</v>
      </c>
      <c r="X361" s="244">
        <v>-3.0294142280736538E-2</v>
      </c>
      <c r="Y361" s="265">
        <f t="shared" si="24"/>
        <v>50</v>
      </c>
      <c r="AA361" s="265">
        <f>IF(COUNTIF($Y$329:$Y361,Y361)=1,Y361,Y361+(COUNTIF($Y$329:Y361,Y361)-1))</f>
        <v>50</v>
      </c>
      <c r="AC361" s="265">
        <f t="shared" si="25"/>
        <v>33</v>
      </c>
      <c r="AD361" s="266">
        <f t="shared" si="26"/>
        <v>-6.3272292005069133E-2</v>
      </c>
      <c r="AE361" s="244">
        <f t="shared" ref="AE361:AE392" si="27">$AE$326</f>
        <v>0.11616126557759388</v>
      </c>
    </row>
    <row r="362" spans="4:31" x14ac:dyDescent="0.3">
      <c r="D362" s="75">
        <v>34</v>
      </c>
      <c r="E362" s="80">
        <v>5</v>
      </c>
      <c r="F362" s="80">
        <v>5</v>
      </c>
      <c r="H362" s="255" t="s">
        <v>825</v>
      </c>
      <c r="I362" s="255" t="s">
        <v>825</v>
      </c>
      <c r="J362" s="255" t="s">
        <v>825</v>
      </c>
      <c r="L362" s="255" t="s">
        <v>825</v>
      </c>
      <c r="M362" s="95"/>
      <c r="N362" s="95"/>
      <c r="O362" s="95"/>
      <c r="T362" s="256" t="s">
        <v>825</v>
      </c>
      <c r="U362" s="257" t="s">
        <v>825</v>
      </c>
      <c r="W362" s="258" t="s">
        <v>825</v>
      </c>
      <c r="X362" s="244">
        <v>-2.247511750638459E-2</v>
      </c>
      <c r="Y362" s="265">
        <f t="shared" si="24"/>
        <v>53</v>
      </c>
      <c r="AA362" s="265">
        <f>IF(COUNTIF($Y$329:$Y362,Y362)=1,Y362,Y362+(COUNTIF($Y$329:Y362,Y362)-1))</f>
        <v>53</v>
      </c>
      <c r="AC362" s="265">
        <f t="shared" si="25"/>
        <v>34</v>
      </c>
      <c r="AD362" s="266">
        <f t="shared" si="26"/>
        <v>-6.2191158789817728E-2</v>
      </c>
      <c r="AE362" s="244">
        <f t="shared" si="27"/>
        <v>0.11616126557759388</v>
      </c>
    </row>
    <row r="363" spans="4:31" x14ac:dyDescent="0.3">
      <c r="D363" s="75">
        <v>35</v>
      </c>
      <c r="E363" s="80">
        <v>5</v>
      </c>
      <c r="F363" s="80">
        <v>5</v>
      </c>
      <c r="H363" s="255" t="s">
        <v>825</v>
      </c>
      <c r="I363" s="255" t="s">
        <v>825</v>
      </c>
      <c r="J363" s="255" t="s">
        <v>825</v>
      </c>
      <c r="L363" s="255" t="s">
        <v>825</v>
      </c>
      <c r="M363" s="95"/>
      <c r="N363" s="95"/>
      <c r="O363" s="95"/>
      <c r="T363" s="256" t="s">
        <v>825</v>
      </c>
      <c r="U363" s="257" t="s">
        <v>825</v>
      </c>
      <c r="W363" s="258" t="s">
        <v>825</v>
      </c>
      <c r="X363" s="244">
        <v>-5.3253876585445718E-2</v>
      </c>
      <c r="Y363" s="265">
        <f t="shared" si="24"/>
        <v>36</v>
      </c>
      <c r="AA363" s="265">
        <f>IF(COUNTIF($Y$329:$Y363,Y363)=1,Y363,Y363+(COUNTIF($Y$329:Y363,Y363)-1))</f>
        <v>36</v>
      </c>
      <c r="AC363" s="265">
        <f t="shared" si="25"/>
        <v>35</v>
      </c>
      <c r="AD363" s="266">
        <f t="shared" si="26"/>
        <v>-5.9218657809632105E-2</v>
      </c>
      <c r="AE363" s="244">
        <f t="shared" si="27"/>
        <v>0.11616126557759388</v>
      </c>
    </row>
    <row r="364" spans="4:31" x14ac:dyDescent="0.3">
      <c r="D364" s="75">
        <v>36</v>
      </c>
      <c r="E364" s="80">
        <v>5</v>
      </c>
      <c r="F364" s="80">
        <v>5</v>
      </c>
      <c r="H364" s="255" t="s">
        <v>825</v>
      </c>
      <c r="I364" s="255" t="s">
        <v>825</v>
      </c>
      <c r="J364" s="255" t="s">
        <v>825</v>
      </c>
      <c r="L364" s="255" t="s">
        <v>825</v>
      </c>
      <c r="M364" s="95"/>
      <c r="N364" s="95"/>
      <c r="O364" s="95"/>
      <c r="T364" s="256" t="s">
        <v>825</v>
      </c>
      <c r="U364" s="257" t="s">
        <v>825</v>
      </c>
      <c r="W364" s="258" t="s">
        <v>825</v>
      </c>
      <c r="X364" s="244">
        <v>-0.10411181511139733</v>
      </c>
      <c r="Y364" s="265">
        <f t="shared" si="24"/>
        <v>18</v>
      </c>
      <c r="AA364" s="265">
        <f>IF(COUNTIF($Y$329:$Y364,Y364)=1,Y364,Y364+(COUNTIF($Y$329:Y364,Y364)-1))</f>
        <v>18</v>
      </c>
      <c r="AC364" s="265">
        <f t="shared" si="25"/>
        <v>36</v>
      </c>
      <c r="AD364" s="266">
        <f t="shared" si="26"/>
        <v>-5.3253876585445718E-2</v>
      </c>
      <c r="AE364" s="244">
        <f t="shared" si="27"/>
        <v>0.11616126557759388</v>
      </c>
    </row>
    <row r="365" spans="4:31" x14ac:dyDescent="0.3">
      <c r="D365" s="75">
        <v>37</v>
      </c>
      <c r="E365" s="80">
        <v>5</v>
      </c>
      <c r="F365" s="80">
        <v>5</v>
      </c>
      <c r="H365" s="255" t="s">
        <v>825</v>
      </c>
      <c r="I365" s="255" t="s">
        <v>825</v>
      </c>
      <c r="J365" s="255" t="s">
        <v>825</v>
      </c>
      <c r="L365" s="255" t="s">
        <v>825</v>
      </c>
      <c r="M365" s="95"/>
      <c r="N365" s="95"/>
      <c r="O365" s="95"/>
      <c r="T365" s="256" t="s">
        <v>825</v>
      </c>
      <c r="U365" s="257" t="s">
        <v>825</v>
      </c>
      <c r="W365" s="258" t="s">
        <v>825</v>
      </c>
      <c r="X365" s="244">
        <v>-1.58900526468954E-2</v>
      </c>
      <c r="Y365" s="265">
        <f t="shared" si="24"/>
        <v>54</v>
      </c>
      <c r="AA365" s="265">
        <f>IF(COUNTIF($Y$329:$Y365,Y365)=1,Y365,Y365+(COUNTIF($Y$329:Y365,Y365)-1))</f>
        <v>54</v>
      </c>
      <c r="AC365" s="265">
        <f t="shared" si="25"/>
        <v>37</v>
      </c>
      <c r="AD365" s="266">
        <f t="shared" si="26"/>
        <v>-4.9607509122129904E-2</v>
      </c>
      <c r="AE365" s="244">
        <f t="shared" si="27"/>
        <v>0.11616126557759388</v>
      </c>
    </row>
    <row r="366" spans="4:31" x14ac:dyDescent="0.3">
      <c r="D366" s="75">
        <v>38</v>
      </c>
      <c r="E366" s="80">
        <v>5</v>
      </c>
      <c r="F366" s="80">
        <v>5</v>
      </c>
      <c r="H366" s="255" t="s">
        <v>825</v>
      </c>
      <c r="I366" s="255" t="s">
        <v>825</v>
      </c>
      <c r="J366" s="255" t="s">
        <v>825</v>
      </c>
      <c r="L366" s="255" t="s">
        <v>825</v>
      </c>
      <c r="M366" s="95"/>
      <c r="N366" s="95"/>
      <c r="O366" s="95"/>
      <c r="T366" s="256" t="s">
        <v>825</v>
      </c>
      <c r="U366" s="257" t="s">
        <v>825</v>
      </c>
      <c r="W366" s="258" t="s">
        <v>825</v>
      </c>
      <c r="X366" s="244">
        <v>-4.2047310142843075E-2</v>
      </c>
      <c r="Y366" s="265">
        <f t="shared" si="24"/>
        <v>43</v>
      </c>
      <c r="AA366" s="265">
        <f>IF(COUNTIF($Y$329:$Y366,Y366)=1,Y366,Y366+(COUNTIF($Y$329:Y366,Y366)-1))</f>
        <v>43</v>
      </c>
      <c r="AC366" s="265">
        <f t="shared" si="25"/>
        <v>38</v>
      </c>
      <c r="AD366" s="266">
        <f t="shared" si="26"/>
        <v>-4.7402103427027685E-2</v>
      </c>
      <c r="AE366" s="244">
        <f t="shared" si="27"/>
        <v>0.11616126557759388</v>
      </c>
    </row>
    <row r="367" spans="4:31" x14ac:dyDescent="0.3">
      <c r="D367" s="75">
        <v>39</v>
      </c>
      <c r="E367" s="80">
        <v>5</v>
      </c>
      <c r="F367" s="80">
        <v>5</v>
      </c>
      <c r="H367" s="255" t="s">
        <v>825</v>
      </c>
      <c r="I367" s="255" t="s">
        <v>825</v>
      </c>
      <c r="J367" s="255" t="s">
        <v>825</v>
      </c>
      <c r="L367" s="255" t="s">
        <v>825</v>
      </c>
      <c r="M367" s="95"/>
      <c r="N367" s="95"/>
      <c r="O367" s="95"/>
      <c r="T367" s="256" t="s">
        <v>825</v>
      </c>
      <c r="U367" s="257" t="s">
        <v>825</v>
      </c>
      <c r="W367" s="258" t="s">
        <v>825</v>
      </c>
      <c r="X367" s="244">
        <v>-0.12509108091478224</v>
      </c>
      <c r="Y367" s="265">
        <f t="shared" si="24"/>
        <v>9</v>
      </c>
      <c r="AA367" s="265">
        <f>IF(COUNTIF($Y$329:$Y367,Y367)=1,Y367,Y367+(COUNTIF($Y$329:Y367,Y367)-1))</f>
        <v>9</v>
      </c>
      <c r="AC367" s="265">
        <f t="shared" si="25"/>
        <v>39</v>
      </c>
      <c r="AD367" s="266">
        <f t="shared" si="26"/>
        <v>-4.7087231673442503E-2</v>
      </c>
      <c r="AE367" s="244">
        <f t="shared" si="27"/>
        <v>0.11616126557759388</v>
      </c>
    </row>
    <row r="368" spans="4:31" x14ac:dyDescent="0.3">
      <c r="D368" s="75">
        <v>40</v>
      </c>
      <c r="E368" s="80">
        <v>5</v>
      </c>
      <c r="F368" s="80">
        <v>5</v>
      </c>
      <c r="H368" s="255" t="s">
        <v>825</v>
      </c>
      <c r="I368" s="255" t="s">
        <v>825</v>
      </c>
      <c r="J368" s="255" t="s">
        <v>825</v>
      </c>
      <c r="L368" s="255" t="s">
        <v>825</v>
      </c>
      <c r="M368" s="95"/>
      <c r="N368" s="95"/>
      <c r="O368" s="95"/>
      <c r="T368" s="256" t="s">
        <v>825</v>
      </c>
      <c r="U368" s="257" t="s">
        <v>825</v>
      </c>
      <c r="W368" s="258" t="s">
        <v>825</v>
      </c>
      <c r="X368" s="244">
        <v>-6.5329027420038516E-2</v>
      </c>
      <c r="Y368" s="265">
        <f t="shared" si="24"/>
        <v>31</v>
      </c>
      <c r="AA368" s="265">
        <f>IF(COUNTIF($Y$329:$Y368,Y368)=1,Y368,Y368+(COUNTIF($Y$329:Y368,Y368)-1))</f>
        <v>31</v>
      </c>
      <c r="AC368" s="265">
        <f t="shared" si="25"/>
        <v>40</v>
      </c>
      <c r="AD368" s="266">
        <f t="shared" si="26"/>
        <v>-4.4940755498595331E-2</v>
      </c>
      <c r="AE368" s="244">
        <f t="shared" si="27"/>
        <v>0.11616126557759388</v>
      </c>
    </row>
    <row r="369" spans="4:31" x14ac:dyDescent="0.3">
      <c r="D369" s="75">
        <v>41</v>
      </c>
      <c r="E369" s="80">
        <v>5</v>
      </c>
      <c r="F369" s="80">
        <v>5</v>
      </c>
      <c r="H369" s="255" t="s">
        <v>825</v>
      </c>
      <c r="I369" s="255" t="s">
        <v>825</v>
      </c>
      <c r="J369" s="255" t="s">
        <v>825</v>
      </c>
      <c r="L369" s="255" t="s">
        <v>825</v>
      </c>
      <c r="M369" s="95"/>
      <c r="N369" s="95"/>
      <c r="O369" s="95"/>
      <c r="T369" s="256" t="s">
        <v>825</v>
      </c>
      <c r="U369" s="257" t="s">
        <v>825</v>
      </c>
      <c r="W369" s="258" t="s">
        <v>825</v>
      </c>
      <c r="X369" s="244">
        <v>-3.330828577416859E-2</v>
      </c>
      <c r="Y369" s="265">
        <f t="shared" si="24"/>
        <v>48</v>
      </c>
      <c r="AA369" s="265">
        <f>IF(COUNTIF($Y$329:$Y369,Y369)=1,Y369,Y369+(COUNTIF($Y$329:Y369,Y369)-1))</f>
        <v>48</v>
      </c>
      <c r="AC369" s="265">
        <f t="shared" si="25"/>
        <v>41</v>
      </c>
      <c r="AD369" s="266">
        <f t="shared" si="26"/>
        <v>-4.4611158526148061E-2</v>
      </c>
      <c r="AE369" s="244">
        <f t="shared" si="27"/>
        <v>0.11616126557759388</v>
      </c>
    </row>
    <row r="370" spans="4:31" x14ac:dyDescent="0.3">
      <c r="D370" s="75">
        <v>42</v>
      </c>
      <c r="E370" s="80">
        <v>5</v>
      </c>
      <c r="F370" s="80">
        <v>5</v>
      </c>
      <c r="H370" s="255" t="s">
        <v>825</v>
      </c>
      <c r="I370" s="255" t="s">
        <v>825</v>
      </c>
      <c r="J370" s="255" t="s">
        <v>825</v>
      </c>
      <c r="L370" s="255" t="s">
        <v>825</v>
      </c>
      <c r="M370" s="95"/>
      <c r="N370" s="95"/>
      <c r="O370" s="95"/>
      <c r="T370" s="256" t="s">
        <v>825</v>
      </c>
      <c r="U370" s="257" t="s">
        <v>825</v>
      </c>
      <c r="W370" s="258" t="s">
        <v>825</v>
      </c>
      <c r="X370" s="244">
        <v>-9.223484181311338E-2</v>
      </c>
      <c r="Y370" s="265">
        <f t="shared" si="24"/>
        <v>21</v>
      </c>
      <c r="AA370" s="265">
        <f>IF(COUNTIF($Y$329:$Y370,Y370)=1,Y370,Y370+(COUNTIF($Y$329:Y370,Y370)-1))</f>
        <v>21</v>
      </c>
      <c r="AC370" s="265">
        <f t="shared" si="25"/>
        <v>42</v>
      </c>
      <c r="AD370" s="266">
        <f t="shared" si="26"/>
        <v>-4.3852939668428063E-2</v>
      </c>
      <c r="AE370" s="244">
        <f t="shared" si="27"/>
        <v>0.11616126557759388</v>
      </c>
    </row>
    <row r="371" spans="4:31" x14ac:dyDescent="0.3">
      <c r="D371" s="75">
        <v>43</v>
      </c>
      <c r="E371" s="80">
        <v>5</v>
      </c>
      <c r="F371" s="80">
        <v>5</v>
      </c>
      <c r="H371" s="255" t="s">
        <v>825</v>
      </c>
      <c r="I371" s="255" t="s">
        <v>825</v>
      </c>
      <c r="J371" s="255" t="s">
        <v>825</v>
      </c>
      <c r="L371" s="255" t="s">
        <v>825</v>
      </c>
      <c r="M371" s="95"/>
      <c r="N371" s="95"/>
      <c r="O371" s="95"/>
      <c r="T371" s="256" t="s">
        <v>825</v>
      </c>
      <c r="U371" s="257" t="s">
        <v>825</v>
      </c>
      <c r="W371" s="258" t="s">
        <v>825</v>
      </c>
      <c r="X371" s="244">
        <v>-4.0736651251998879E-2</v>
      </c>
      <c r="Y371" s="265">
        <f t="shared" si="24"/>
        <v>44</v>
      </c>
      <c r="AA371" s="265">
        <f>IF(COUNTIF($Y$329:$Y371,Y371)=1,Y371,Y371+(COUNTIF($Y$329:Y371,Y371)-1))</f>
        <v>44</v>
      </c>
      <c r="AC371" s="265">
        <f t="shared" si="25"/>
        <v>43</v>
      </c>
      <c r="AD371" s="266">
        <f t="shared" si="26"/>
        <v>-4.2047310142843075E-2</v>
      </c>
      <c r="AE371" s="244">
        <f t="shared" si="27"/>
        <v>0.11616126557759388</v>
      </c>
    </row>
    <row r="372" spans="4:31" x14ac:dyDescent="0.3">
      <c r="D372" s="75">
        <v>44</v>
      </c>
      <c r="E372" s="80">
        <v>5</v>
      </c>
      <c r="F372" s="80">
        <v>5</v>
      </c>
      <c r="H372" s="255" t="s">
        <v>825</v>
      </c>
      <c r="I372" s="255" t="s">
        <v>825</v>
      </c>
      <c r="J372" s="255" t="s">
        <v>825</v>
      </c>
      <c r="L372" s="255" t="s">
        <v>825</v>
      </c>
      <c r="M372" s="95"/>
      <c r="N372" s="95"/>
      <c r="O372" s="95"/>
      <c r="T372" s="256" t="s">
        <v>825</v>
      </c>
      <c r="U372" s="257" t="s">
        <v>825</v>
      </c>
      <c r="W372" s="258" t="s">
        <v>825</v>
      </c>
      <c r="X372" s="244">
        <v>-4.3852939668428063E-2</v>
      </c>
      <c r="Y372" s="265">
        <f t="shared" si="24"/>
        <v>42</v>
      </c>
      <c r="AA372" s="265">
        <f>IF(COUNTIF($Y$329:$Y372,Y372)=1,Y372,Y372+(COUNTIF($Y$329:Y372,Y372)-1))</f>
        <v>42</v>
      </c>
      <c r="AC372" s="265">
        <f t="shared" si="25"/>
        <v>44</v>
      </c>
      <c r="AD372" s="266">
        <f t="shared" si="26"/>
        <v>-4.0736651251998879E-2</v>
      </c>
      <c r="AE372" s="244">
        <f t="shared" si="27"/>
        <v>0.11616126557759388</v>
      </c>
    </row>
    <row r="373" spans="4:31" x14ac:dyDescent="0.3">
      <c r="D373" s="75">
        <v>45</v>
      </c>
      <c r="E373" s="80">
        <v>5</v>
      </c>
      <c r="F373" s="80">
        <v>5</v>
      </c>
      <c r="H373" s="255" t="s">
        <v>825</v>
      </c>
      <c r="I373" s="255" t="s">
        <v>825</v>
      </c>
      <c r="J373" s="255" t="s">
        <v>825</v>
      </c>
      <c r="L373" s="255" t="s">
        <v>825</v>
      </c>
      <c r="M373" s="95"/>
      <c r="N373" s="95"/>
      <c r="O373" s="95"/>
      <c r="T373" s="256" t="s">
        <v>825</v>
      </c>
      <c r="U373" s="257" t="s">
        <v>825</v>
      </c>
      <c r="W373" s="258" t="s">
        <v>825</v>
      </c>
      <c r="X373" s="244">
        <v>-9.0379521189552971E-3</v>
      </c>
      <c r="Y373" s="265">
        <f t="shared" si="24"/>
        <v>59</v>
      </c>
      <c r="AA373" s="265">
        <f>IF(COUNTIF($Y$329:$Y373,Y373)=1,Y373,Y373+(COUNTIF($Y$329:Y373,Y373)-1))</f>
        <v>59</v>
      </c>
      <c r="AC373" s="265">
        <f t="shared" si="25"/>
        <v>45</v>
      </c>
      <c r="AD373" s="266">
        <f t="shared" si="26"/>
        <v>-3.6626915217873646E-2</v>
      </c>
      <c r="AE373" s="244">
        <f t="shared" si="27"/>
        <v>0.11616126557759388</v>
      </c>
    </row>
    <row r="374" spans="4:31" x14ac:dyDescent="0.3">
      <c r="D374" s="75">
        <v>46</v>
      </c>
      <c r="E374" s="80">
        <v>5</v>
      </c>
      <c r="F374" s="80">
        <v>5</v>
      </c>
      <c r="H374" s="255" t="s">
        <v>825</v>
      </c>
      <c r="I374" s="255" t="s">
        <v>825</v>
      </c>
      <c r="J374" s="255" t="s">
        <v>825</v>
      </c>
      <c r="L374" s="255" t="s">
        <v>825</v>
      </c>
      <c r="M374" s="95"/>
      <c r="N374" s="95"/>
      <c r="O374" s="95"/>
      <c r="T374" s="256" t="s">
        <v>825</v>
      </c>
      <c r="U374" s="257" t="s">
        <v>825</v>
      </c>
      <c r="W374" s="258" t="s">
        <v>825</v>
      </c>
      <c r="X374" s="244">
        <v>-1.1713688930624187E-2</v>
      </c>
      <c r="Y374" s="265">
        <f t="shared" si="24"/>
        <v>57</v>
      </c>
      <c r="AA374" s="265">
        <f>IF(COUNTIF($Y$329:$Y374,Y374)=1,Y374,Y374+(COUNTIF($Y$329:Y374,Y374)-1))</f>
        <v>57</v>
      </c>
      <c r="AC374" s="265">
        <f t="shared" si="25"/>
        <v>46</v>
      </c>
      <c r="AD374" s="266">
        <f t="shared" si="26"/>
        <v>-3.4887083670808512E-2</v>
      </c>
      <c r="AE374" s="244">
        <f t="shared" si="27"/>
        <v>0.11616126557759388</v>
      </c>
    </row>
    <row r="375" spans="4:31" x14ac:dyDescent="0.3">
      <c r="D375" s="75">
        <v>47</v>
      </c>
      <c r="E375" s="80">
        <v>5</v>
      </c>
      <c r="F375" s="80">
        <v>5</v>
      </c>
      <c r="H375" s="255" t="s">
        <v>825</v>
      </c>
      <c r="I375" s="255" t="s">
        <v>825</v>
      </c>
      <c r="J375" s="255" t="s">
        <v>825</v>
      </c>
      <c r="L375" s="255" t="s">
        <v>825</v>
      </c>
      <c r="M375" s="95"/>
      <c r="N375" s="95"/>
      <c r="O375" s="95"/>
      <c r="T375" s="256" t="s">
        <v>825</v>
      </c>
      <c r="U375" s="257" t="s">
        <v>825</v>
      </c>
      <c r="W375" s="258" t="s">
        <v>825</v>
      </c>
      <c r="X375" s="244">
        <v>1.4064650052991307E-5</v>
      </c>
      <c r="Y375" s="265">
        <f t="shared" si="24"/>
        <v>64</v>
      </c>
      <c r="AA375" s="265">
        <f>IF(COUNTIF($Y$329:$Y375,Y375)=1,Y375,Y375+(COUNTIF($Y$329:Y375,Y375)-1))</f>
        <v>64</v>
      </c>
      <c r="AC375" s="265">
        <f t="shared" si="25"/>
        <v>47</v>
      </c>
      <c r="AD375" s="266">
        <f t="shared" si="26"/>
        <v>-3.3483607980522828E-2</v>
      </c>
      <c r="AE375" s="244">
        <f t="shared" si="27"/>
        <v>0.11616126557759388</v>
      </c>
    </row>
    <row r="376" spans="4:31" x14ac:dyDescent="0.3">
      <c r="D376" s="75">
        <v>48</v>
      </c>
      <c r="E376" s="80">
        <v>5</v>
      </c>
      <c r="F376" s="80">
        <v>5</v>
      </c>
      <c r="H376" s="255" t="s">
        <v>825</v>
      </c>
      <c r="I376" s="255" t="s">
        <v>825</v>
      </c>
      <c r="J376" s="255" t="s">
        <v>825</v>
      </c>
      <c r="L376" s="255" t="s">
        <v>825</v>
      </c>
      <c r="M376" s="95"/>
      <c r="N376" s="95"/>
      <c r="O376" s="95"/>
      <c r="T376" s="256" t="s">
        <v>825</v>
      </c>
      <c r="U376" s="257" t="s">
        <v>825</v>
      </c>
      <c r="W376" s="258" t="s">
        <v>825</v>
      </c>
      <c r="X376" s="244">
        <v>-4.4611158526148061E-2</v>
      </c>
      <c r="Y376" s="265">
        <f t="shared" si="24"/>
        <v>41</v>
      </c>
      <c r="AA376" s="265">
        <f>IF(COUNTIF($Y$329:$Y376,Y376)=1,Y376,Y376+(COUNTIF($Y$329:Y376,Y376)-1))</f>
        <v>41</v>
      </c>
      <c r="AC376" s="265">
        <f t="shared" si="25"/>
        <v>48</v>
      </c>
      <c r="AD376" s="266">
        <f t="shared" si="26"/>
        <v>-3.330828577416859E-2</v>
      </c>
      <c r="AE376" s="244">
        <f t="shared" si="27"/>
        <v>0.11616126557759388</v>
      </c>
    </row>
    <row r="377" spans="4:31" x14ac:dyDescent="0.3">
      <c r="D377" s="75">
        <v>49</v>
      </c>
      <c r="E377" s="80">
        <v>5</v>
      </c>
      <c r="F377" s="80">
        <v>5</v>
      </c>
      <c r="H377" s="255" t="s">
        <v>825</v>
      </c>
      <c r="I377" s="255" t="s">
        <v>825</v>
      </c>
      <c r="J377" s="255" t="s">
        <v>825</v>
      </c>
      <c r="L377" s="255" t="s">
        <v>825</v>
      </c>
      <c r="M377" s="95"/>
      <c r="N377" s="95"/>
      <c r="O377" s="95"/>
      <c r="T377" s="256" t="s">
        <v>825</v>
      </c>
      <c r="U377" s="257" t="s">
        <v>825</v>
      </c>
      <c r="W377" s="258" t="s">
        <v>825</v>
      </c>
      <c r="X377" s="244">
        <v>-6.2191158789817728E-2</v>
      </c>
      <c r="Y377" s="265">
        <f t="shared" si="24"/>
        <v>34</v>
      </c>
      <c r="AA377" s="265">
        <f>IF(COUNTIF($Y$329:$Y377,Y377)=1,Y377,Y377+(COUNTIF($Y$329:Y377,Y377)-1))</f>
        <v>34</v>
      </c>
      <c r="AC377" s="265">
        <f t="shared" si="25"/>
        <v>49</v>
      </c>
      <c r="AD377" s="266">
        <f t="shared" si="26"/>
        <v>-3.112478119762856E-2</v>
      </c>
      <c r="AE377" s="244">
        <f t="shared" si="27"/>
        <v>0.11616126557759388</v>
      </c>
    </row>
    <row r="378" spans="4:31" x14ac:dyDescent="0.3">
      <c r="D378" s="75">
        <v>50</v>
      </c>
      <c r="E378" s="80">
        <v>5</v>
      </c>
      <c r="F378" s="80">
        <v>5</v>
      </c>
      <c r="H378" s="255" t="s">
        <v>825</v>
      </c>
      <c r="I378" s="255" t="s">
        <v>825</v>
      </c>
      <c r="J378" s="255" t="s">
        <v>825</v>
      </c>
      <c r="L378" s="255" t="s">
        <v>825</v>
      </c>
      <c r="M378" s="95"/>
      <c r="N378" s="95"/>
      <c r="O378" s="95"/>
      <c r="T378" s="256" t="s">
        <v>825</v>
      </c>
      <c r="U378" s="257" t="s">
        <v>825</v>
      </c>
      <c r="W378" s="258" t="s">
        <v>825</v>
      </c>
      <c r="X378" s="244">
        <v>-6.9255378736661877E-2</v>
      </c>
      <c r="Y378" s="265">
        <f t="shared" si="24"/>
        <v>30</v>
      </c>
      <c r="AA378" s="265">
        <f>IF(COUNTIF($Y$329:$Y378,Y378)=1,Y378,Y378+(COUNTIF($Y$329:Y378,Y378)-1))</f>
        <v>30</v>
      </c>
      <c r="AC378" s="265">
        <f t="shared" si="25"/>
        <v>50</v>
      </c>
      <c r="AD378" s="266">
        <f t="shared" si="26"/>
        <v>-3.0294142280736538E-2</v>
      </c>
      <c r="AE378" s="244">
        <f t="shared" si="27"/>
        <v>0.11616126557759388</v>
      </c>
    </row>
    <row r="379" spans="4:31" x14ac:dyDescent="0.3">
      <c r="D379" s="75">
        <v>51</v>
      </c>
      <c r="E379" s="80">
        <v>5</v>
      </c>
      <c r="F379" s="80">
        <v>5</v>
      </c>
      <c r="H379" s="255" t="s">
        <v>825</v>
      </c>
      <c r="I379" s="255" t="s">
        <v>825</v>
      </c>
      <c r="J379" s="255" t="s">
        <v>825</v>
      </c>
      <c r="L379" s="255" t="s">
        <v>825</v>
      </c>
      <c r="M379" s="95"/>
      <c r="N379" s="95"/>
      <c r="O379" s="95"/>
      <c r="T379" s="256" t="s">
        <v>825</v>
      </c>
      <c r="U379" s="257" t="s">
        <v>825</v>
      </c>
      <c r="W379" s="258" t="s">
        <v>825</v>
      </c>
      <c r="X379" s="244">
        <v>-1.2578500886566524E-2</v>
      </c>
      <c r="Y379" s="265">
        <f t="shared" si="24"/>
        <v>56</v>
      </c>
      <c r="AA379" s="265">
        <f>IF(COUNTIF($Y$329:$Y379,Y379)=1,Y379,Y379+(COUNTIF($Y$329:Y379,Y379)-1))</f>
        <v>56</v>
      </c>
      <c r="AC379" s="265">
        <f t="shared" si="25"/>
        <v>51</v>
      </c>
      <c r="AD379" s="266">
        <f t="shared" si="26"/>
        <v>-2.7201591124848802E-2</v>
      </c>
      <c r="AE379" s="244">
        <f t="shared" si="27"/>
        <v>0.11616126557759388</v>
      </c>
    </row>
    <row r="380" spans="4:31" x14ac:dyDescent="0.3">
      <c r="D380" s="75">
        <v>52</v>
      </c>
      <c r="E380" s="80">
        <v>5</v>
      </c>
      <c r="F380" s="80">
        <v>5</v>
      </c>
      <c r="H380" s="255" t="s">
        <v>825</v>
      </c>
      <c r="I380" s="255" t="s">
        <v>825</v>
      </c>
      <c r="J380" s="255" t="s">
        <v>825</v>
      </c>
      <c r="L380" s="255" t="s">
        <v>825</v>
      </c>
      <c r="M380" s="95"/>
      <c r="N380" s="95"/>
      <c r="O380" s="95"/>
      <c r="T380" s="256" t="s">
        <v>825</v>
      </c>
      <c r="U380" s="257" t="s">
        <v>825</v>
      </c>
      <c r="W380" s="258" t="s">
        <v>825</v>
      </c>
      <c r="X380" s="244">
        <v>1.2831885153929167E-3</v>
      </c>
      <c r="Y380" s="265">
        <f t="shared" si="24"/>
        <v>67</v>
      </c>
      <c r="AA380" s="265">
        <f>IF(COUNTIF($Y$329:$Y380,Y380)=1,Y380,Y380+(COUNTIF($Y$329:Y380,Y380)-1))</f>
        <v>67</v>
      </c>
      <c r="AC380" s="265">
        <f t="shared" si="25"/>
        <v>52</v>
      </c>
      <c r="AD380" s="266">
        <f t="shared" si="26"/>
        <v>-2.6896346808407343E-2</v>
      </c>
      <c r="AE380" s="244">
        <f t="shared" si="27"/>
        <v>0.11616126557759388</v>
      </c>
    </row>
    <row r="381" spans="4:31" x14ac:dyDescent="0.3">
      <c r="D381" s="75">
        <v>53</v>
      </c>
      <c r="E381" s="80">
        <v>5</v>
      </c>
      <c r="F381" s="80">
        <v>5</v>
      </c>
      <c r="H381" s="255" t="s">
        <v>825</v>
      </c>
      <c r="I381" s="255" t="s">
        <v>825</v>
      </c>
      <c r="J381" s="255" t="s">
        <v>825</v>
      </c>
      <c r="L381" s="255" t="s">
        <v>825</v>
      </c>
      <c r="M381" s="95"/>
      <c r="N381" s="95"/>
      <c r="O381" s="95"/>
      <c r="T381" s="256" t="s">
        <v>825</v>
      </c>
      <c r="U381" s="257" t="s">
        <v>825</v>
      </c>
      <c r="W381" s="258" t="s">
        <v>825</v>
      </c>
      <c r="X381" s="244">
        <v>-3.6626915217873646E-2</v>
      </c>
      <c r="Y381" s="265">
        <f t="shared" si="24"/>
        <v>45</v>
      </c>
      <c r="AA381" s="265">
        <f>IF(COUNTIF($Y$329:$Y381,Y381)=1,Y381,Y381+(COUNTIF($Y$329:Y381,Y381)-1))</f>
        <v>45</v>
      </c>
      <c r="AC381" s="265">
        <f t="shared" si="25"/>
        <v>53</v>
      </c>
      <c r="AD381" s="266">
        <f t="shared" si="26"/>
        <v>-2.247511750638459E-2</v>
      </c>
      <c r="AE381" s="244">
        <f t="shared" si="27"/>
        <v>0.11616126557759388</v>
      </c>
    </row>
    <row r="382" spans="4:31" x14ac:dyDescent="0.3">
      <c r="D382" s="75">
        <v>54</v>
      </c>
      <c r="E382" s="80">
        <v>5</v>
      </c>
      <c r="F382" s="80">
        <v>5</v>
      </c>
      <c r="H382" s="255" t="s">
        <v>825</v>
      </c>
      <c r="I382" s="255" t="s">
        <v>825</v>
      </c>
      <c r="J382" s="255" t="s">
        <v>825</v>
      </c>
      <c r="L382" s="255" t="s">
        <v>825</v>
      </c>
      <c r="M382" s="95"/>
      <c r="N382" s="95"/>
      <c r="O382" s="95"/>
      <c r="T382" s="256" t="s">
        <v>825</v>
      </c>
      <c r="U382" s="257" t="s">
        <v>825</v>
      </c>
      <c r="W382" s="258" t="s">
        <v>825</v>
      </c>
      <c r="X382" s="244">
        <v>1.1671128013990392E-2</v>
      </c>
      <c r="Y382" s="265">
        <f t="shared" si="24"/>
        <v>70</v>
      </c>
      <c r="AA382" s="265">
        <f>IF(COUNTIF($Y$329:$Y382,Y382)=1,Y382,Y382+(COUNTIF($Y$329:Y382,Y382)-1))</f>
        <v>70</v>
      </c>
      <c r="AC382" s="265">
        <f t="shared" si="25"/>
        <v>54</v>
      </c>
      <c r="AD382" s="266">
        <f t="shared" si="26"/>
        <v>-1.58900526468954E-2</v>
      </c>
      <c r="AE382" s="244">
        <f t="shared" si="27"/>
        <v>0.11616126557759388</v>
      </c>
    </row>
    <row r="383" spans="4:31" x14ac:dyDescent="0.3">
      <c r="D383" s="75">
        <v>55</v>
      </c>
      <c r="E383" s="80">
        <v>5</v>
      </c>
      <c r="F383" s="80">
        <v>5</v>
      </c>
      <c r="H383" s="255" t="s">
        <v>825</v>
      </c>
      <c r="I383" s="255" t="s">
        <v>825</v>
      </c>
      <c r="J383" s="255" t="s">
        <v>825</v>
      </c>
      <c r="L383" s="255" t="s">
        <v>825</v>
      </c>
      <c r="M383" s="95"/>
      <c r="N383" s="95"/>
      <c r="O383" s="95"/>
      <c r="T383" s="256" t="s">
        <v>825</v>
      </c>
      <c r="U383" s="257" t="s">
        <v>825</v>
      </c>
      <c r="W383" s="258" t="s">
        <v>825</v>
      </c>
      <c r="X383" s="244">
        <v>-1.452150894020196E-2</v>
      </c>
      <c r="Y383" s="265">
        <f t="shared" si="24"/>
        <v>55</v>
      </c>
      <c r="AA383" s="265">
        <f>IF(COUNTIF($Y$329:$Y383,Y383)=1,Y383,Y383+(COUNTIF($Y$329:Y383,Y383)-1))</f>
        <v>55</v>
      </c>
      <c r="AC383" s="265">
        <f t="shared" si="25"/>
        <v>55</v>
      </c>
      <c r="AD383" s="266">
        <f t="shared" si="26"/>
        <v>-1.452150894020196E-2</v>
      </c>
      <c r="AE383" s="244">
        <f t="shared" si="27"/>
        <v>0.11616126557759388</v>
      </c>
    </row>
    <row r="384" spans="4:31" x14ac:dyDescent="0.3">
      <c r="D384" s="75">
        <v>56</v>
      </c>
      <c r="E384" s="80">
        <v>5</v>
      </c>
      <c r="F384" s="80">
        <v>5</v>
      </c>
      <c r="H384" s="255" t="s">
        <v>825</v>
      </c>
      <c r="I384" s="255" t="s">
        <v>825</v>
      </c>
      <c r="J384" s="255" t="s">
        <v>825</v>
      </c>
      <c r="L384" s="255" t="s">
        <v>825</v>
      </c>
      <c r="M384" s="95"/>
      <c r="N384" s="95"/>
      <c r="O384" s="95"/>
      <c r="T384" s="256" t="s">
        <v>825</v>
      </c>
      <c r="U384" s="257" t="s">
        <v>825</v>
      </c>
      <c r="W384" s="258" t="s">
        <v>825</v>
      </c>
      <c r="X384" s="244">
        <v>-4.7402103427027685E-2</v>
      </c>
      <c r="Y384" s="265">
        <f t="shared" si="24"/>
        <v>38</v>
      </c>
      <c r="AA384" s="265">
        <f>IF(COUNTIF($Y$329:$Y384,Y384)=1,Y384,Y384+(COUNTIF($Y$329:Y384,Y384)-1))</f>
        <v>38</v>
      </c>
      <c r="AC384" s="265">
        <f t="shared" si="25"/>
        <v>56</v>
      </c>
      <c r="AD384" s="266">
        <f t="shared" si="26"/>
        <v>-1.2578500886566524E-2</v>
      </c>
      <c r="AE384" s="244">
        <f t="shared" si="27"/>
        <v>0.11616126557759388</v>
      </c>
    </row>
    <row r="385" spans="4:31" x14ac:dyDescent="0.3">
      <c r="D385" s="75">
        <v>57</v>
      </c>
      <c r="E385" s="80">
        <v>5</v>
      </c>
      <c r="F385" s="80">
        <v>5</v>
      </c>
      <c r="H385" s="255" t="s">
        <v>825</v>
      </c>
      <c r="I385" s="255" t="s">
        <v>825</v>
      </c>
      <c r="J385" s="255" t="s">
        <v>825</v>
      </c>
      <c r="L385" s="255" t="s">
        <v>825</v>
      </c>
      <c r="M385" s="95"/>
      <c r="N385" s="95"/>
      <c r="O385" s="95"/>
      <c r="T385" s="256" t="s">
        <v>825</v>
      </c>
      <c r="U385" s="257" t="s">
        <v>825</v>
      </c>
      <c r="W385" s="258" t="s">
        <v>825</v>
      </c>
      <c r="X385" s="244">
        <v>4.571996738660971E-2</v>
      </c>
      <c r="Y385" s="265">
        <f t="shared" si="24"/>
        <v>96</v>
      </c>
      <c r="AA385" s="265">
        <f>IF(COUNTIF($Y$329:$Y385,Y385)=1,Y385,Y385+(COUNTIF($Y$329:Y385,Y385)-1))</f>
        <v>96</v>
      </c>
      <c r="AC385" s="265">
        <f t="shared" si="25"/>
        <v>57</v>
      </c>
      <c r="AD385" s="266">
        <f t="shared" si="26"/>
        <v>-1.1713688930624187E-2</v>
      </c>
      <c r="AE385" s="244">
        <f t="shared" si="27"/>
        <v>0.11616126557759388</v>
      </c>
    </row>
    <row r="386" spans="4:31" x14ac:dyDescent="0.3">
      <c r="D386" s="75">
        <v>58</v>
      </c>
      <c r="E386" s="80">
        <v>5</v>
      </c>
      <c r="F386" s="80">
        <v>5</v>
      </c>
      <c r="H386" s="255" t="s">
        <v>825</v>
      </c>
      <c r="I386" s="255" t="s">
        <v>825</v>
      </c>
      <c r="J386" s="255" t="s">
        <v>825</v>
      </c>
      <c r="L386" s="255" t="s">
        <v>825</v>
      </c>
      <c r="M386" s="95"/>
      <c r="N386" s="95"/>
      <c r="O386" s="95"/>
      <c r="T386" s="256" t="s">
        <v>825</v>
      </c>
      <c r="U386" s="257" t="s">
        <v>825</v>
      </c>
      <c r="W386" s="258" t="s">
        <v>825</v>
      </c>
      <c r="X386" s="244">
        <v>1.0686352633096889E-2</v>
      </c>
      <c r="Y386" s="265">
        <f t="shared" si="24"/>
        <v>69</v>
      </c>
      <c r="AA386" s="265">
        <f>IF(COUNTIF($Y$329:$Y386,Y386)=1,Y386,Y386+(COUNTIF($Y$329:Y386,Y386)-1))</f>
        <v>69</v>
      </c>
      <c r="AC386" s="265">
        <f t="shared" si="25"/>
        <v>58</v>
      </c>
      <c r="AD386" s="266">
        <f t="shared" si="26"/>
        <v>-9.3276525627858705E-3</v>
      </c>
      <c r="AE386" s="244">
        <f t="shared" si="27"/>
        <v>0.11616126557759388</v>
      </c>
    </row>
    <row r="387" spans="4:31" x14ac:dyDescent="0.3">
      <c r="D387" s="75">
        <v>59</v>
      </c>
      <c r="E387" s="80">
        <v>5</v>
      </c>
      <c r="F387" s="80">
        <v>5</v>
      </c>
      <c r="H387" s="255" t="s">
        <v>825</v>
      </c>
      <c r="I387" s="255" t="s">
        <v>825</v>
      </c>
      <c r="J387" s="255" t="s">
        <v>825</v>
      </c>
      <c r="L387" s="255" t="s">
        <v>825</v>
      </c>
      <c r="M387" s="95"/>
      <c r="N387" s="95"/>
      <c r="O387" s="95"/>
      <c r="T387" s="256" t="s">
        <v>825</v>
      </c>
      <c r="U387" s="257" t="s">
        <v>825</v>
      </c>
      <c r="W387" s="258" t="s">
        <v>825</v>
      </c>
      <c r="X387" s="244">
        <v>-3.4887083670808512E-2</v>
      </c>
      <c r="Y387" s="265">
        <f t="shared" si="24"/>
        <v>46</v>
      </c>
      <c r="AA387" s="265">
        <f>IF(COUNTIF($Y$329:$Y387,Y387)=1,Y387,Y387+(COUNTIF($Y$329:Y387,Y387)-1))</f>
        <v>46</v>
      </c>
      <c r="AC387" s="265">
        <f t="shared" si="25"/>
        <v>59</v>
      </c>
      <c r="AD387" s="266">
        <f t="shared" si="26"/>
        <v>-9.0379521189552971E-3</v>
      </c>
      <c r="AE387" s="244">
        <f t="shared" si="27"/>
        <v>0.11616126557759388</v>
      </c>
    </row>
    <row r="388" spans="4:31" x14ac:dyDescent="0.3">
      <c r="D388" s="75">
        <v>60</v>
      </c>
      <c r="E388" s="80">
        <v>5</v>
      </c>
      <c r="F388" s="80">
        <v>5</v>
      </c>
      <c r="H388" s="255" t="s">
        <v>825</v>
      </c>
      <c r="I388" s="255" t="s">
        <v>825</v>
      </c>
      <c r="J388" s="255" t="s">
        <v>825</v>
      </c>
      <c r="L388" s="255" t="s">
        <v>825</v>
      </c>
      <c r="M388" s="95"/>
      <c r="N388" s="95"/>
      <c r="O388" s="95"/>
      <c r="T388" s="256" t="s">
        <v>825</v>
      </c>
      <c r="U388" s="257" t="s">
        <v>825</v>
      </c>
      <c r="W388" s="258" t="s">
        <v>825</v>
      </c>
      <c r="X388" s="244">
        <v>4.2375355448881317E-2</v>
      </c>
      <c r="Y388" s="265">
        <f t="shared" si="24"/>
        <v>93</v>
      </c>
      <c r="AA388" s="265">
        <f>IF(COUNTIF($Y$329:$Y388,Y388)=1,Y388,Y388+(COUNTIF($Y$329:Y388,Y388)-1))</f>
        <v>93</v>
      </c>
      <c r="AC388" s="265">
        <f t="shared" si="25"/>
        <v>60</v>
      </c>
      <c r="AD388" s="266">
        <f t="shared" si="26"/>
        <v>-7.936987281057635E-3</v>
      </c>
      <c r="AE388" s="244">
        <f t="shared" si="27"/>
        <v>0.11616126557759388</v>
      </c>
    </row>
    <row r="389" spans="4:31" x14ac:dyDescent="0.3">
      <c r="D389" s="75">
        <v>61</v>
      </c>
      <c r="E389" s="80">
        <v>5</v>
      </c>
      <c r="F389" s="80">
        <v>5</v>
      </c>
      <c r="H389" s="255" t="s">
        <v>825</v>
      </c>
      <c r="I389" s="255" t="s">
        <v>825</v>
      </c>
      <c r="J389" s="255" t="s">
        <v>825</v>
      </c>
      <c r="L389" s="255" t="s">
        <v>825</v>
      </c>
      <c r="M389" s="95"/>
      <c r="N389" s="95"/>
      <c r="O389" s="95"/>
      <c r="T389" s="256" t="s">
        <v>825</v>
      </c>
      <c r="U389" s="257" t="s">
        <v>825</v>
      </c>
      <c r="W389" s="258" t="s">
        <v>825</v>
      </c>
      <c r="X389" s="244">
        <v>1.6943560795133709E-2</v>
      </c>
      <c r="Y389" s="265">
        <f t="shared" si="24"/>
        <v>72</v>
      </c>
      <c r="AA389" s="265">
        <f>IF(COUNTIF($Y$329:$Y389,Y389)=1,Y389,Y389+(COUNTIF($Y$329:Y389,Y389)-1))</f>
        <v>72</v>
      </c>
      <c r="AC389" s="265">
        <f t="shared" si="25"/>
        <v>61</v>
      </c>
      <c r="AD389" s="266">
        <f t="shared" si="26"/>
        <v>-5.2005381955685702E-3</v>
      </c>
      <c r="AE389" s="244">
        <f t="shared" si="27"/>
        <v>0.11616126557759388</v>
      </c>
    </row>
    <row r="390" spans="4:31" x14ac:dyDescent="0.3">
      <c r="D390" s="75">
        <v>62</v>
      </c>
      <c r="E390" s="80">
        <v>5</v>
      </c>
      <c r="F390" s="80">
        <v>5</v>
      </c>
      <c r="H390" s="255" t="s">
        <v>825</v>
      </c>
      <c r="I390" s="255" t="s">
        <v>825</v>
      </c>
      <c r="J390" s="255" t="s">
        <v>825</v>
      </c>
      <c r="L390" s="255" t="s">
        <v>825</v>
      </c>
      <c r="M390" s="95"/>
      <c r="N390" s="95"/>
      <c r="O390" s="95"/>
      <c r="T390" s="256" t="s">
        <v>825</v>
      </c>
      <c r="U390" s="257" t="s">
        <v>825</v>
      </c>
      <c r="W390" s="258" t="s">
        <v>825</v>
      </c>
      <c r="X390" s="244">
        <v>-8.9660084795690459E-2</v>
      </c>
      <c r="Y390" s="265">
        <f t="shared" si="24"/>
        <v>22</v>
      </c>
      <c r="AA390" s="265">
        <f>IF(COUNTIF($Y$329:$Y390,Y390)=1,Y390,Y390+(COUNTIF($Y$329:Y390,Y390)-1))</f>
        <v>22</v>
      </c>
      <c r="AC390" s="265">
        <f t="shared" si="25"/>
        <v>62</v>
      </c>
      <c r="AD390" s="266">
        <f t="shared" si="26"/>
        <v>-4.667514716659645E-3</v>
      </c>
      <c r="AE390" s="244">
        <f t="shared" si="27"/>
        <v>0.11616126557759388</v>
      </c>
    </row>
    <row r="391" spans="4:31" x14ac:dyDescent="0.3">
      <c r="D391" s="75">
        <v>63</v>
      </c>
      <c r="E391" s="80">
        <v>5</v>
      </c>
      <c r="F391" s="80">
        <v>5</v>
      </c>
      <c r="H391" s="255" t="s">
        <v>825</v>
      </c>
      <c r="I391" s="255" t="s">
        <v>825</v>
      </c>
      <c r="J391" s="255" t="s">
        <v>825</v>
      </c>
      <c r="L391" s="255" t="s">
        <v>825</v>
      </c>
      <c r="M391" s="95"/>
      <c r="N391" s="95"/>
      <c r="O391" s="95"/>
      <c r="T391" s="256" t="s">
        <v>825</v>
      </c>
      <c r="U391" s="257" t="s">
        <v>825</v>
      </c>
      <c r="W391" s="258" t="s">
        <v>825</v>
      </c>
      <c r="X391" s="244">
        <v>2.7442865669852108E-2</v>
      </c>
      <c r="Y391" s="265">
        <f t="shared" si="24"/>
        <v>78</v>
      </c>
      <c r="AA391" s="265">
        <f>IF(COUNTIF($Y$329:$Y391,Y391)=1,Y391,Y391+(COUNTIF($Y$329:Y391,Y391)-1))</f>
        <v>78</v>
      </c>
      <c r="AC391" s="265">
        <f t="shared" si="25"/>
        <v>63</v>
      </c>
      <c r="AD391" s="266">
        <f t="shared" si="26"/>
        <v>-3.7970451743065937E-3</v>
      </c>
      <c r="AE391" s="244">
        <f t="shared" si="27"/>
        <v>0.11616126557759388</v>
      </c>
    </row>
    <row r="392" spans="4:31" x14ac:dyDescent="0.3">
      <c r="D392" s="75">
        <v>64</v>
      </c>
      <c r="E392" s="80">
        <v>5</v>
      </c>
      <c r="F392" s="80">
        <v>5</v>
      </c>
      <c r="H392" s="255" t="s">
        <v>825</v>
      </c>
      <c r="I392" s="255" t="s">
        <v>825</v>
      </c>
      <c r="J392" s="255" t="s">
        <v>825</v>
      </c>
      <c r="L392" s="255" t="s">
        <v>825</v>
      </c>
      <c r="M392" s="95"/>
      <c r="N392" s="95"/>
      <c r="O392" s="95"/>
      <c r="T392" s="256" t="s">
        <v>825</v>
      </c>
      <c r="U392" s="257" t="s">
        <v>825</v>
      </c>
      <c r="W392" s="258" t="s">
        <v>825</v>
      </c>
      <c r="X392" s="244">
        <v>3.5038448195152262E-2</v>
      </c>
      <c r="Y392" s="265">
        <f t="shared" si="24"/>
        <v>84</v>
      </c>
      <c r="AA392" s="265">
        <f>IF(COUNTIF($Y$329:$Y392,Y392)=1,Y392,Y392+(COUNTIF($Y$329:Y392,Y392)-1))</f>
        <v>84</v>
      </c>
      <c r="AC392" s="265">
        <f t="shared" si="25"/>
        <v>64</v>
      </c>
      <c r="AD392" s="266">
        <f t="shared" si="26"/>
        <v>1.4064650052991307E-5</v>
      </c>
      <c r="AE392" s="244">
        <f t="shared" si="27"/>
        <v>0.11616126557759388</v>
      </c>
    </row>
    <row r="393" spans="4:31" x14ac:dyDescent="0.3">
      <c r="D393" s="75">
        <v>65</v>
      </c>
      <c r="E393" s="80">
        <v>5</v>
      </c>
      <c r="F393" s="80">
        <v>5</v>
      </c>
      <c r="H393" s="255" t="s">
        <v>825</v>
      </c>
      <c r="I393" s="255" t="s">
        <v>825</v>
      </c>
      <c r="J393" s="255" t="s">
        <v>825</v>
      </c>
      <c r="L393" s="255" t="s">
        <v>825</v>
      </c>
      <c r="M393" s="95"/>
      <c r="N393" s="95"/>
      <c r="O393" s="95"/>
      <c r="T393" s="256" t="s">
        <v>825</v>
      </c>
      <c r="U393" s="257" t="s">
        <v>825</v>
      </c>
      <c r="W393" s="258" t="s">
        <v>825</v>
      </c>
      <c r="X393" s="244">
        <v>-3.112478119762856E-2</v>
      </c>
      <c r="Y393" s="265">
        <f t="shared" si="24"/>
        <v>49</v>
      </c>
      <c r="AA393" s="265">
        <f>IF(COUNTIF($Y$329:$Y393,Y393)=1,Y393,Y393+(COUNTIF($Y$329:Y393,Y393)-1))</f>
        <v>49</v>
      </c>
      <c r="AC393" s="265">
        <f t="shared" si="25"/>
        <v>65</v>
      </c>
      <c r="AD393" s="266">
        <f t="shared" si="26"/>
        <v>2.2049903530659923E-4</v>
      </c>
      <c r="AE393" s="244">
        <f t="shared" ref="AE393:AE424" si="28">$AE$326</f>
        <v>0.11616126557759388</v>
      </c>
    </row>
    <row r="394" spans="4:31" x14ac:dyDescent="0.3">
      <c r="D394" s="75">
        <v>66</v>
      </c>
      <c r="E394" s="80">
        <v>5</v>
      </c>
      <c r="F394" s="80">
        <v>5</v>
      </c>
      <c r="H394" s="255" t="s">
        <v>825</v>
      </c>
      <c r="I394" s="255" t="s">
        <v>825</v>
      </c>
      <c r="J394" s="255" t="s">
        <v>825</v>
      </c>
      <c r="L394" s="255" t="s">
        <v>825</v>
      </c>
      <c r="M394" s="95"/>
      <c r="N394" s="95"/>
      <c r="O394" s="95"/>
      <c r="T394" s="256" t="s">
        <v>825</v>
      </c>
      <c r="U394" s="257" t="s">
        <v>825</v>
      </c>
      <c r="W394" s="258" t="s">
        <v>825</v>
      </c>
      <c r="X394" s="244">
        <v>-3.7970451743065937E-3</v>
      </c>
      <c r="Y394" s="265">
        <f t="shared" ref="Y394:Y457" si="29">RANK($X394,$X$329:$X$486,-1)</f>
        <v>63</v>
      </c>
      <c r="AA394" s="265">
        <f>IF(COUNTIF($Y$329:$Y394,Y394)=1,Y394,Y394+(COUNTIF($Y$329:Y394,Y394)-1))</f>
        <v>63</v>
      </c>
      <c r="AC394" s="265">
        <f t="shared" ref="AC394:AC457" si="30">N(AC393)+1</f>
        <v>66</v>
      </c>
      <c r="AD394" s="266">
        <f t="shared" ref="AD394:AD457" si="31">INDEX($X$329:$X$486,MATCH(AC394,$AA$329:$AA$486,0))</f>
        <v>5.3664732561161212E-4</v>
      </c>
      <c r="AE394" s="244">
        <f t="shared" si="28"/>
        <v>0.11616126557759388</v>
      </c>
    </row>
    <row r="395" spans="4:31" x14ac:dyDescent="0.3">
      <c r="D395" s="75">
        <v>67</v>
      </c>
      <c r="E395" s="80">
        <v>5</v>
      </c>
      <c r="F395" s="80">
        <v>5</v>
      </c>
      <c r="H395" s="255" t="s">
        <v>825</v>
      </c>
      <c r="I395" s="255" t="s">
        <v>825</v>
      </c>
      <c r="J395" s="255" t="s">
        <v>825</v>
      </c>
      <c r="L395" s="255" t="s">
        <v>825</v>
      </c>
      <c r="M395" s="95"/>
      <c r="N395" s="95"/>
      <c r="O395" s="95"/>
      <c r="T395" s="256" t="s">
        <v>825</v>
      </c>
      <c r="U395" s="257" t="s">
        <v>825</v>
      </c>
      <c r="W395" s="258" t="s">
        <v>825</v>
      </c>
      <c r="X395" s="244">
        <v>1.3241937653156323E-2</v>
      </c>
      <c r="Y395" s="265">
        <f t="shared" si="29"/>
        <v>71</v>
      </c>
      <c r="AA395" s="265">
        <f>IF(COUNTIF($Y$329:$Y395,Y395)=1,Y395,Y395+(COUNTIF($Y$329:Y395,Y395)-1))</f>
        <v>71</v>
      </c>
      <c r="AC395" s="265">
        <f t="shared" si="30"/>
        <v>67</v>
      </c>
      <c r="AD395" s="266">
        <f t="shared" si="31"/>
        <v>1.2831885153929167E-3</v>
      </c>
      <c r="AE395" s="244">
        <f t="shared" si="28"/>
        <v>0.11616126557759388</v>
      </c>
    </row>
    <row r="396" spans="4:31" x14ac:dyDescent="0.3">
      <c r="D396" s="75">
        <v>68</v>
      </c>
      <c r="E396" s="80">
        <v>5</v>
      </c>
      <c r="F396" s="80">
        <v>5</v>
      </c>
      <c r="H396" s="255" t="s">
        <v>825</v>
      </c>
      <c r="I396" s="255" t="s">
        <v>825</v>
      </c>
      <c r="J396" s="255" t="s">
        <v>825</v>
      </c>
      <c r="L396" s="255" t="s">
        <v>825</v>
      </c>
      <c r="M396" s="95"/>
      <c r="N396" s="95"/>
      <c r="O396" s="95"/>
      <c r="T396" s="256" t="s">
        <v>825</v>
      </c>
      <c r="U396" s="257" t="s">
        <v>825</v>
      </c>
      <c r="W396" s="258" t="s">
        <v>825</v>
      </c>
      <c r="X396" s="244">
        <v>-2.6896346808407343E-2</v>
      </c>
      <c r="Y396" s="265">
        <f t="shared" si="29"/>
        <v>52</v>
      </c>
      <c r="AA396" s="265">
        <f>IF(COUNTIF($Y$329:$Y396,Y396)=1,Y396,Y396+(COUNTIF($Y$329:Y396,Y396)-1))</f>
        <v>52</v>
      </c>
      <c r="AC396" s="265">
        <f t="shared" si="30"/>
        <v>68</v>
      </c>
      <c r="AD396" s="266">
        <f t="shared" si="31"/>
        <v>4.6635641140920728E-3</v>
      </c>
      <c r="AE396" s="244">
        <f t="shared" si="28"/>
        <v>0.11616126557759388</v>
      </c>
    </row>
    <row r="397" spans="4:31" x14ac:dyDescent="0.3">
      <c r="D397" s="75">
        <v>69</v>
      </c>
      <c r="E397" s="80">
        <v>5</v>
      </c>
      <c r="F397" s="80">
        <v>5</v>
      </c>
      <c r="H397" s="255" t="s">
        <v>825</v>
      </c>
      <c r="I397" s="255" t="s">
        <v>825</v>
      </c>
      <c r="J397" s="255" t="s">
        <v>825</v>
      </c>
      <c r="L397" s="255" t="s">
        <v>825</v>
      </c>
      <c r="M397" s="95"/>
      <c r="N397" s="95"/>
      <c r="O397" s="95"/>
      <c r="T397" s="256" t="s">
        <v>825</v>
      </c>
      <c r="U397" s="257" t="s">
        <v>825</v>
      </c>
      <c r="W397" s="258" t="s">
        <v>825</v>
      </c>
      <c r="X397" s="244">
        <v>-5.2005381955685702E-3</v>
      </c>
      <c r="Y397" s="265">
        <f t="shared" si="29"/>
        <v>61</v>
      </c>
      <c r="AA397" s="265">
        <f>IF(COUNTIF($Y$329:$Y397,Y397)=1,Y397,Y397+(COUNTIF($Y$329:Y397,Y397)-1))</f>
        <v>61</v>
      </c>
      <c r="AC397" s="265">
        <f t="shared" si="30"/>
        <v>69</v>
      </c>
      <c r="AD397" s="266">
        <f t="shared" si="31"/>
        <v>1.0686352633096889E-2</v>
      </c>
      <c r="AE397" s="244">
        <f t="shared" si="28"/>
        <v>0.11616126557759388</v>
      </c>
    </row>
    <row r="398" spans="4:31" x14ac:dyDescent="0.3">
      <c r="D398" s="75">
        <v>70</v>
      </c>
      <c r="E398" s="80">
        <v>5</v>
      </c>
      <c r="F398" s="80">
        <v>5</v>
      </c>
      <c r="H398" s="255" t="s">
        <v>825</v>
      </c>
      <c r="I398" s="255" t="s">
        <v>825</v>
      </c>
      <c r="J398" s="255" t="s">
        <v>825</v>
      </c>
      <c r="L398" s="255" t="s">
        <v>825</v>
      </c>
      <c r="M398" s="95"/>
      <c r="N398" s="95"/>
      <c r="O398" s="95"/>
      <c r="T398" s="256" t="s">
        <v>825</v>
      </c>
      <c r="U398" s="257" t="s">
        <v>825</v>
      </c>
      <c r="W398" s="258" t="s">
        <v>825</v>
      </c>
      <c r="X398" s="244">
        <v>-2.7201591124848802E-2</v>
      </c>
      <c r="Y398" s="265">
        <f t="shared" si="29"/>
        <v>51</v>
      </c>
      <c r="AA398" s="265">
        <f>IF(COUNTIF($Y$329:$Y398,Y398)=1,Y398,Y398+(COUNTIF($Y$329:Y398,Y398)-1))</f>
        <v>51</v>
      </c>
      <c r="AC398" s="265">
        <f t="shared" si="30"/>
        <v>70</v>
      </c>
      <c r="AD398" s="266">
        <f t="shared" si="31"/>
        <v>1.1671128013990392E-2</v>
      </c>
      <c r="AE398" s="244">
        <f t="shared" si="28"/>
        <v>0.11616126557759388</v>
      </c>
    </row>
    <row r="399" spans="4:31" x14ac:dyDescent="0.3">
      <c r="D399" s="75">
        <v>71</v>
      </c>
      <c r="E399" s="80">
        <v>5</v>
      </c>
      <c r="F399" s="80">
        <v>5</v>
      </c>
      <c r="H399" s="255" t="s">
        <v>825</v>
      </c>
      <c r="I399" s="255" t="s">
        <v>825</v>
      </c>
      <c r="J399" s="255" t="s">
        <v>825</v>
      </c>
      <c r="L399" s="255" t="s">
        <v>825</v>
      </c>
      <c r="M399" s="95"/>
      <c r="N399" s="95"/>
      <c r="O399" s="95"/>
      <c r="T399" s="256" t="s">
        <v>825</v>
      </c>
      <c r="U399" s="257" t="s">
        <v>825</v>
      </c>
      <c r="W399" s="258" t="s">
        <v>825</v>
      </c>
      <c r="X399" s="244">
        <v>3.152160231928889E-2</v>
      </c>
      <c r="Y399" s="265">
        <f t="shared" si="29"/>
        <v>81</v>
      </c>
      <c r="AA399" s="265">
        <f>IF(COUNTIF($Y$329:$Y399,Y399)=1,Y399,Y399+(COUNTIF($Y$329:Y399,Y399)-1))</f>
        <v>81</v>
      </c>
      <c r="AC399" s="265">
        <f t="shared" si="30"/>
        <v>71</v>
      </c>
      <c r="AD399" s="266">
        <f t="shared" si="31"/>
        <v>1.3241937653156323E-2</v>
      </c>
      <c r="AE399" s="244">
        <f t="shared" si="28"/>
        <v>0.11616126557759388</v>
      </c>
    </row>
    <row r="400" spans="4:31" x14ac:dyDescent="0.3">
      <c r="D400" s="75">
        <v>72</v>
      </c>
      <c r="E400" s="80">
        <v>5</v>
      </c>
      <c r="F400" s="80">
        <v>5</v>
      </c>
      <c r="H400" s="255" t="s">
        <v>825</v>
      </c>
      <c r="I400" s="255" t="s">
        <v>825</v>
      </c>
      <c r="J400" s="255" t="s">
        <v>825</v>
      </c>
      <c r="L400" s="255" t="s">
        <v>825</v>
      </c>
      <c r="M400" s="95"/>
      <c r="N400" s="95"/>
      <c r="O400" s="95"/>
      <c r="T400" s="256" t="s">
        <v>825</v>
      </c>
      <c r="U400" s="257" t="s">
        <v>825</v>
      </c>
      <c r="W400" s="258" t="s">
        <v>825</v>
      </c>
      <c r="X400" s="244">
        <v>3.4347345732725347E-2</v>
      </c>
      <c r="Y400" s="265">
        <f t="shared" si="29"/>
        <v>83</v>
      </c>
      <c r="AA400" s="265">
        <f>IF(COUNTIF($Y$329:$Y400,Y400)=1,Y400,Y400+(COUNTIF($Y$329:Y400,Y400)-1))</f>
        <v>83</v>
      </c>
      <c r="AC400" s="265">
        <f t="shared" si="30"/>
        <v>72</v>
      </c>
      <c r="AD400" s="266">
        <f t="shared" si="31"/>
        <v>1.6943560795133709E-2</v>
      </c>
      <c r="AE400" s="244">
        <f t="shared" si="28"/>
        <v>0.11616126557759388</v>
      </c>
    </row>
    <row r="401" spans="4:31" x14ac:dyDescent="0.3">
      <c r="D401" s="75">
        <v>73</v>
      </c>
      <c r="E401" s="80">
        <v>5</v>
      </c>
      <c r="F401" s="80">
        <v>5</v>
      </c>
      <c r="H401" s="255" t="s">
        <v>825</v>
      </c>
      <c r="I401" s="255" t="s">
        <v>825</v>
      </c>
      <c r="J401" s="255" t="s">
        <v>825</v>
      </c>
      <c r="L401" s="255" t="s">
        <v>825</v>
      </c>
      <c r="M401" s="95"/>
      <c r="N401" s="95"/>
      <c r="O401" s="95"/>
      <c r="T401" s="256" t="s">
        <v>825</v>
      </c>
      <c r="U401" s="257" t="s">
        <v>825</v>
      </c>
      <c r="W401" s="258" t="s">
        <v>825</v>
      </c>
      <c r="X401" s="244">
        <v>-3.3483607980522828E-2</v>
      </c>
      <c r="Y401" s="265">
        <f t="shared" si="29"/>
        <v>47</v>
      </c>
      <c r="AA401" s="265">
        <f>IF(COUNTIF($Y$329:$Y401,Y401)=1,Y401,Y401+(COUNTIF($Y$329:Y401,Y401)-1))</f>
        <v>47</v>
      </c>
      <c r="AC401" s="265">
        <f t="shared" si="30"/>
        <v>73</v>
      </c>
      <c r="AD401" s="266">
        <f t="shared" si="31"/>
        <v>2.0938396259061194E-2</v>
      </c>
      <c r="AE401" s="244">
        <f t="shared" si="28"/>
        <v>0.11616126557759388</v>
      </c>
    </row>
    <row r="402" spans="4:31" x14ac:dyDescent="0.3">
      <c r="D402" s="75">
        <v>74</v>
      </c>
      <c r="E402" s="80">
        <v>5</v>
      </c>
      <c r="F402" s="80">
        <v>5</v>
      </c>
      <c r="H402" s="255" t="s">
        <v>825</v>
      </c>
      <c r="I402" s="255" t="s">
        <v>825</v>
      </c>
      <c r="J402" s="255" t="s">
        <v>825</v>
      </c>
      <c r="L402" s="255" t="s">
        <v>825</v>
      </c>
      <c r="M402" s="95"/>
      <c r="N402" s="95"/>
      <c r="O402" s="95"/>
      <c r="T402" s="256" t="s">
        <v>825</v>
      </c>
      <c r="U402" s="257" t="s">
        <v>825</v>
      </c>
      <c r="W402" s="258" t="s">
        <v>825</v>
      </c>
      <c r="X402" s="244">
        <v>-4.9607509122129904E-2</v>
      </c>
      <c r="Y402" s="265">
        <f t="shared" si="29"/>
        <v>37</v>
      </c>
      <c r="AA402" s="265">
        <f>IF(COUNTIF($Y$329:$Y402,Y402)=1,Y402,Y402+(COUNTIF($Y$329:Y402,Y402)-1))</f>
        <v>37</v>
      </c>
      <c r="AC402" s="265">
        <f t="shared" si="30"/>
        <v>74</v>
      </c>
      <c r="AD402" s="266">
        <f t="shared" si="31"/>
        <v>2.2206376691830339E-2</v>
      </c>
      <c r="AE402" s="244">
        <f t="shared" si="28"/>
        <v>0.11616126557759388</v>
      </c>
    </row>
    <row r="403" spans="4:31" x14ac:dyDescent="0.3">
      <c r="D403" s="75">
        <v>75</v>
      </c>
      <c r="E403" s="80">
        <v>5</v>
      </c>
      <c r="F403" s="80">
        <v>5</v>
      </c>
      <c r="H403" s="255" t="s">
        <v>825</v>
      </c>
      <c r="I403" s="255" t="s">
        <v>825</v>
      </c>
      <c r="J403" s="255" t="s">
        <v>825</v>
      </c>
      <c r="L403" s="255" t="s">
        <v>825</v>
      </c>
      <c r="M403" s="95"/>
      <c r="N403" s="95"/>
      <c r="O403" s="95"/>
      <c r="T403" s="256" t="s">
        <v>825</v>
      </c>
      <c r="U403" s="257" t="s">
        <v>825</v>
      </c>
      <c r="W403" s="258" t="s">
        <v>825</v>
      </c>
      <c r="X403" s="244">
        <v>-7.936987281057635E-3</v>
      </c>
      <c r="Y403" s="265">
        <f t="shared" si="29"/>
        <v>60</v>
      </c>
      <c r="AA403" s="265">
        <f>IF(COUNTIF($Y$329:$Y403,Y403)=1,Y403,Y403+(COUNTIF($Y$329:Y403,Y403)-1))</f>
        <v>60</v>
      </c>
      <c r="AC403" s="265">
        <f t="shared" si="30"/>
        <v>75</v>
      </c>
      <c r="AD403" s="266">
        <f t="shared" si="31"/>
        <v>2.3308783165211261E-2</v>
      </c>
      <c r="AE403" s="244">
        <f t="shared" si="28"/>
        <v>0.11616126557759388</v>
      </c>
    </row>
    <row r="404" spans="4:31" x14ac:dyDescent="0.3">
      <c r="D404" s="75">
        <v>76</v>
      </c>
      <c r="E404" s="80">
        <v>5</v>
      </c>
      <c r="F404" s="80">
        <v>5</v>
      </c>
      <c r="H404" s="255" t="s">
        <v>825</v>
      </c>
      <c r="I404" s="255" t="s">
        <v>825</v>
      </c>
      <c r="J404" s="255" t="s">
        <v>825</v>
      </c>
      <c r="L404" s="255" t="s">
        <v>825</v>
      </c>
      <c r="M404" s="95"/>
      <c r="N404" s="95"/>
      <c r="O404" s="95"/>
      <c r="T404" s="256" t="s">
        <v>825</v>
      </c>
      <c r="U404" s="257" t="s">
        <v>825</v>
      </c>
      <c r="W404" s="258" t="s">
        <v>825</v>
      </c>
      <c r="X404" s="244">
        <v>3.9062220739340674E-2</v>
      </c>
      <c r="Y404" s="265">
        <f t="shared" si="29"/>
        <v>90</v>
      </c>
      <c r="AA404" s="265">
        <f>IF(COUNTIF($Y$329:$Y404,Y404)=1,Y404,Y404+(COUNTIF($Y$329:Y404,Y404)-1))</f>
        <v>90</v>
      </c>
      <c r="AC404" s="265">
        <f t="shared" si="30"/>
        <v>76</v>
      </c>
      <c r="AD404" s="266">
        <f t="shared" si="31"/>
        <v>2.5157266949742685E-2</v>
      </c>
      <c r="AE404" s="244">
        <f t="shared" si="28"/>
        <v>0.11616126557759388</v>
      </c>
    </row>
    <row r="405" spans="4:31" x14ac:dyDescent="0.3">
      <c r="D405" s="75">
        <v>77</v>
      </c>
      <c r="E405" s="80">
        <v>5</v>
      </c>
      <c r="F405" s="80">
        <v>5</v>
      </c>
      <c r="H405" s="255" t="s">
        <v>825</v>
      </c>
      <c r="I405" s="255" t="s">
        <v>825</v>
      </c>
      <c r="J405" s="255" t="s">
        <v>825</v>
      </c>
      <c r="L405" s="255" t="s">
        <v>825</v>
      </c>
      <c r="M405" s="95"/>
      <c r="N405" s="95"/>
      <c r="O405" s="95"/>
      <c r="T405" s="256" t="s">
        <v>825</v>
      </c>
      <c r="U405" s="257" t="s">
        <v>825</v>
      </c>
      <c r="W405" s="258" t="s">
        <v>825</v>
      </c>
      <c r="X405" s="244">
        <v>2.2206376691830339E-2</v>
      </c>
      <c r="Y405" s="265">
        <f t="shared" si="29"/>
        <v>74</v>
      </c>
      <c r="AA405" s="265">
        <f>IF(COUNTIF($Y$329:$Y405,Y405)=1,Y405,Y405+(COUNTIF($Y$329:Y405,Y405)-1))</f>
        <v>74</v>
      </c>
      <c r="AC405" s="265">
        <f t="shared" si="30"/>
        <v>77</v>
      </c>
      <c r="AD405" s="266">
        <f t="shared" si="31"/>
        <v>2.7284773773475546E-2</v>
      </c>
      <c r="AE405" s="244">
        <f t="shared" si="28"/>
        <v>0.11616126557759388</v>
      </c>
    </row>
    <row r="406" spans="4:31" x14ac:dyDescent="0.3">
      <c r="D406" s="75">
        <v>78</v>
      </c>
      <c r="E406" s="80">
        <v>5</v>
      </c>
      <c r="F406" s="80">
        <v>5</v>
      </c>
      <c r="H406" s="255" t="s">
        <v>825</v>
      </c>
      <c r="I406" s="255" t="s">
        <v>825</v>
      </c>
      <c r="J406" s="255" t="s">
        <v>825</v>
      </c>
      <c r="L406" s="255" t="s">
        <v>825</v>
      </c>
      <c r="M406" s="95"/>
      <c r="N406" s="95"/>
      <c r="O406" s="95"/>
      <c r="T406" s="256" t="s">
        <v>825</v>
      </c>
      <c r="U406" s="257" t="s">
        <v>825</v>
      </c>
      <c r="W406" s="258" t="s">
        <v>825</v>
      </c>
      <c r="X406" s="244">
        <v>-4.667514716659645E-3</v>
      </c>
      <c r="Y406" s="265">
        <f t="shared" si="29"/>
        <v>62</v>
      </c>
      <c r="AA406" s="265">
        <f>IF(COUNTIF($Y$329:$Y406,Y406)=1,Y406,Y406+(COUNTIF($Y$329:Y406,Y406)-1))</f>
        <v>62</v>
      </c>
      <c r="AC406" s="265">
        <f t="shared" si="30"/>
        <v>78</v>
      </c>
      <c r="AD406" s="266">
        <f t="shared" si="31"/>
        <v>2.7442865669852108E-2</v>
      </c>
      <c r="AE406" s="244">
        <f t="shared" si="28"/>
        <v>0.11616126557759388</v>
      </c>
    </row>
    <row r="407" spans="4:31" x14ac:dyDescent="0.3">
      <c r="D407" s="75">
        <v>79</v>
      </c>
      <c r="E407" s="80">
        <v>5</v>
      </c>
      <c r="F407" s="80">
        <v>5</v>
      </c>
      <c r="H407" s="255" t="s">
        <v>825</v>
      </c>
      <c r="I407" s="255" t="s">
        <v>825</v>
      </c>
      <c r="J407" s="255" t="s">
        <v>825</v>
      </c>
      <c r="L407" s="255" t="s">
        <v>825</v>
      </c>
      <c r="M407" s="95"/>
      <c r="N407" s="95"/>
      <c r="O407" s="95"/>
      <c r="T407" s="256" t="s">
        <v>825</v>
      </c>
      <c r="U407" s="257" t="s">
        <v>825</v>
      </c>
      <c r="W407" s="258" t="s">
        <v>825</v>
      </c>
      <c r="X407" s="244">
        <v>8.548248831931432E-2</v>
      </c>
      <c r="Y407" s="265">
        <f t="shared" si="29"/>
        <v>115</v>
      </c>
      <c r="AA407" s="265">
        <f>IF(COUNTIF($Y$329:$Y407,Y407)=1,Y407,Y407+(COUNTIF($Y$329:Y407,Y407)-1))</f>
        <v>115</v>
      </c>
      <c r="AC407" s="265">
        <f t="shared" si="30"/>
        <v>79</v>
      </c>
      <c r="AD407" s="266">
        <f t="shared" si="31"/>
        <v>2.9541595021452784E-2</v>
      </c>
      <c r="AE407" s="244">
        <f t="shared" si="28"/>
        <v>0.11616126557759388</v>
      </c>
    </row>
    <row r="408" spans="4:31" x14ac:dyDescent="0.3">
      <c r="D408" s="75">
        <v>80</v>
      </c>
      <c r="E408" s="80">
        <v>5</v>
      </c>
      <c r="F408" s="80">
        <v>5</v>
      </c>
      <c r="H408" s="255" t="s">
        <v>825</v>
      </c>
      <c r="I408" s="255" t="s">
        <v>825</v>
      </c>
      <c r="J408" s="255" t="s">
        <v>825</v>
      </c>
      <c r="L408" s="255" t="s">
        <v>825</v>
      </c>
      <c r="M408" s="95"/>
      <c r="N408" s="95"/>
      <c r="O408" s="95"/>
      <c r="T408" s="256" t="s">
        <v>825</v>
      </c>
      <c r="U408" s="257" t="s">
        <v>825</v>
      </c>
      <c r="W408" s="258" t="s">
        <v>825</v>
      </c>
      <c r="X408" s="244">
        <v>5.7546674255886471E-2</v>
      </c>
      <c r="Y408" s="265">
        <f t="shared" si="29"/>
        <v>103</v>
      </c>
      <c r="AA408" s="265">
        <f>IF(COUNTIF($Y$329:$Y408,Y408)=1,Y408,Y408+(COUNTIF($Y$329:Y408,Y408)-1))</f>
        <v>103</v>
      </c>
      <c r="AC408" s="265">
        <f t="shared" si="30"/>
        <v>80</v>
      </c>
      <c r="AD408" s="266">
        <f t="shared" si="31"/>
        <v>3.1189258160179024E-2</v>
      </c>
      <c r="AE408" s="244">
        <f t="shared" si="28"/>
        <v>0.11616126557759388</v>
      </c>
    </row>
    <row r="409" spans="4:31" x14ac:dyDescent="0.3">
      <c r="D409" s="75">
        <v>81</v>
      </c>
      <c r="E409" s="80">
        <v>5</v>
      </c>
      <c r="F409" s="80">
        <v>5</v>
      </c>
      <c r="H409" s="255" t="s">
        <v>825</v>
      </c>
      <c r="I409" s="255" t="s">
        <v>825</v>
      </c>
      <c r="J409" s="255" t="s">
        <v>825</v>
      </c>
      <c r="L409" s="255" t="s">
        <v>825</v>
      </c>
      <c r="M409" s="95"/>
      <c r="N409" s="95"/>
      <c r="O409" s="95"/>
      <c r="T409" s="256" t="s">
        <v>825</v>
      </c>
      <c r="U409" s="257" t="s">
        <v>825</v>
      </c>
      <c r="W409" s="258" t="s">
        <v>825</v>
      </c>
      <c r="X409" s="244">
        <v>5.2155756400303642E-2</v>
      </c>
      <c r="Y409" s="265">
        <f t="shared" si="29"/>
        <v>98</v>
      </c>
      <c r="AA409" s="265">
        <f>IF(COUNTIF($Y$329:$Y409,Y409)=1,Y409,Y409+(COUNTIF($Y$329:Y409,Y409)-1))</f>
        <v>98</v>
      </c>
      <c r="AC409" s="265">
        <f t="shared" si="30"/>
        <v>81</v>
      </c>
      <c r="AD409" s="266">
        <f t="shared" si="31"/>
        <v>3.152160231928889E-2</v>
      </c>
      <c r="AE409" s="244">
        <f t="shared" si="28"/>
        <v>0.11616126557759388</v>
      </c>
    </row>
    <row r="410" spans="4:31" x14ac:dyDescent="0.3">
      <c r="D410" s="75">
        <v>82</v>
      </c>
      <c r="E410" s="80">
        <v>5</v>
      </c>
      <c r="F410" s="80">
        <v>5</v>
      </c>
      <c r="H410" s="255" t="s">
        <v>825</v>
      </c>
      <c r="I410" s="255" t="s">
        <v>825</v>
      </c>
      <c r="J410" s="255" t="s">
        <v>825</v>
      </c>
      <c r="L410" s="255" t="s">
        <v>825</v>
      </c>
      <c r="M410" s="95"/>
      <c r="N410" s="95"/>
      <c r="O410" s="95"/>
      <c r="T410" s="256" t="s">
        <v>825</v>
      </c>
      <c r="U410" s="257" t="s">
        <v>825</v>
      </c>
      <c r="W410" s="258" t="s">
        <v>825</v>
      </c>
      <c r="X410" s="244">
        <v>4.322102990744723E-2</v>
      </c>
      <c r="Y410" s="265">
        <f t="shared" si="29"/>
        <v>94</v>
      </c>
      <c r="AA410" s="265">
        <f>IF(COUNTIF($Y$329:$Y410,Y410)=1,Y410,Y410+(COUNTIF($Y$329:Y410,Y410)-1))</f>
        <v>94</v>
      </c>
      <c r="AC410" s="265">
        <f t="shared" si="30"/>
        <v>82</v>
      </c>
      <c r="AD410" s="266">
        <f t="shared" si="31"/>
        <v>3.3529833886779971E-2</v>
      </c>
      <c r="AE410" s="244">
        <f t="shared" si="28"/>
        <v>0.11616126557759388</v>
      </c>
    </row>
    <row r="411" spans="4:31" x14ac:dyDescent="0.3">
      <c r="D411" s="75">
        <v>83</v>
      </c>
      <c r="E411" s="80">
        <v>5</v>
      </c>
      <c r="F411" s="80">
        <v>5</v>
      </c>
      <c r="H411" s="255" t="s">
        <v>825</v>
      </c>
      <c r="I411" s="255" t="s">
        <v>825</v>
      </c>
      <c r="J411" s="255" t="s">
        <v>825</v>
      </c>
      <c r="L411" s="255" t="s">
        <v>825</v>
      </c>
      <c r="M411" s="95"/>
      <c r="N411" s="95"/>
      <c r="O411" s="95"/>
      <c r="T411" s="256" t="s">
        <v>825</v>
      </c>
      <c r="U411" s="257" t="s">
        <v>825</v>
      </c>
      <c r="W411" s="258" t="s">
        <v>825</v>
      </c>
      <c r="X411" s="244">
        <v>7.673033214823817E-2</v>
      </c>
      <c r="Y411" s="265">
        <f t="shared" si="29"/>
        <v>110</v>
      </c>
      <c r="AA411" s="265">
        <f>IF(COUNTIF($Y$329:$Y411,Y411)=1,Y411,Y411+(COUNTIF($Y$329:Y411,Y411)-1))</f>
        <v>110</v>
      </c>
      <c r="AC411" s="265">
        <f t="shared" si="30"/>
        <v>83</v>
      </c>
      <c r="AD411" s="266">
        <f t="shared" si="31"/>
        <v>3.4347345732725347E-2</v>
      </c>
      <c r="AE411" s="244">
        <f t="shared" si="28"/>
        <v>0.11616126557759388</v>
      </c>
    </row>
    <row r="412" spans="4:31" x14ac:dyDescent="0.3">
      <c r="D412" s="75">
        <v>84</v>
      </c>
      <c r="E412" s="80">
        <v>5</v>
      </c>
      <c r="F412" s="80">
        <v>5</v>
      </c>
      <c r="H412" s="255" t="s">
        <v>825</v>
      </c>
      <c r="I412" s="255" t="s">
        <v>825</v>
      </c>
      <c r="J412" s="255" t="s">
        <v>825</v>
      </c>
      <c r="L412" s="255" t="s">
        <v>825</v>
      </c>
      <c r="M412" s="95"/>
      <c r="N412" s="95"/>
      <c r="O412" s="95"/>
      <c r="T412" s="256" t="s">
        <v>825</v>
      </c>
      <c r="U412" s="257" t="s">
        <v>825</v>
      </c>
      <c r="W412" s="258" t="s">
        <v>825</v>
      </c>
      <c r="X412" s="244">
        <v>4.1191999169572523E-2</v>
      </c>
      <c r="Y412" s="265">
        <f t="shared" si="29"/>
        <v>91</v>
      </c>
      <c r="AA412" s="265">
        <f>IF(COUNTIF($Y$329:$Y412,Y412)=1,Y412,Y412+(COUNTIF($Y$329:Y412,Y412)-1))</f>
        <v>91</v>
      </c>
      <c r="AC412" s="265">
        <f t="shared" si="30"/>
        <v>84</v>
      </c>
      <c r="AD412" s="266">
        <f t="shared" si="31"/>
        <v>3.5038448195152262E-2</v>
      </c>
      <c r="AE412" s="244">
        <f t="shared" si="28"/>
        <v>0.11616126557759388</v>
      </c>
    </row>
    <row r="413" spans="4:31" x14ac:dyDescent="0.3">
      <c r="D413" s="75">
        <v>85</v>
      </c>
      <c r="E413" s="80">
        <v>5</v>
      </c>
      <c r="F413" s="80">
        <v>5</v>
      </c>
      <c r="H413" s="255" t="s">
        <v>825</v>
      </c>
      <c r="I413" s="255" t="s">
        <v>825</v>
      </c>
      <c r="J413" s="255" t="s">
        <v>825</v>
      </c>
      <c r="L413" s="255" t="s">
        <v>825</v>
      </c>
      <c r="M413" s="95"/>
      <c r="N413" s="95"/>
      <c r="O413" s="95"/>
      <c r="T413" s="256" t="s">
        <v>825</v>
      </c>
      <c r="U413" s="257" t="s">
        <v>825</v>
      </c>
      <c r="W413" s="258" t="s">
        <v>825</v>
      </c>
      <c r="X413" s="244">
        <v>8.8032782354571432E-2</v>
      </c>
      <c r="Y413" s="265">
        <f t="shared" si="29"/>
        <v>118</v>
      </c>
      <c r="AA413" s="265">
        <f>IF(COUNTIF($Y$329:$Y413,Y413)=1,Y413,Y413+(COUNTIF($Y$329:Y413,Y413)-1))</f>
        <v>118</v>
      </c>
      <c r="AC413" s="265">
        <f t="shared" si="30"/>
        <v>85</v>
      </c>
      <c r="AD413" s="266">
        <f t="shared" si="31"/>
        <v>3.525553081002529E-2</v>
      </c>
      <c r="AE413" s="244">
        <f t="shared" si="28"/>
        <v>0.11616126557759388</v>
      </c>
    </row>
    <row r="414" spans="4:31" x14ac:dyDescent="0.3">
      <c r="D414" s="75">
        <v>86</v>
      </c>
      <c r="E414" s="80">
        <v>5</v>
      </c>
      <c r="F414" s="80">
        <v>5</v>
      </c>
      <c r="H414" s="255" t="s">
        <v>825</v>
      </c>
      <c r="I414" s="255" t="s">
        <v>825</v>
      </c>
      <c r="J414" s="255" t="s">
        <v>825</v>
      </c>
      <c r="L414" s="255" t="s">
        <v>825</v>
      </c>
      <c r="M414" s="95"/>
      <c r="N414" s="95"/>
      <c r="O414" s="95"/>
      <c r="T414" s="256" t="s">
        <v>825</v>
      </c>
      <c r="U414" s="257" t="s">
        <v>825</v>
      </c>
      <c r="W414" s="258" t="s">
        <v>825</v>
      </c>
      <c r="X414" s="244">
        <v>6.7231938202584954E-2</v>
      </c>
      <c r="Y414" s="265">
        <f t="shared" si="29"/>
        <v>106</v>
      </c>
      <c r="AA414" s="265">
        <f>IF(COUNTIF($Y$329:$Y414,Y414)=1,Y414,Y414+(COUNTIF($Y$329:Y414,Y414)-1))</f>
        <v>106</v>
      </c>
      <c r="AC414" s="265">
        <f t="shared" si="30"/>
        <v>86</v>
      </c>
      <c r="AD414" s="266">
        <f t="shared" si="31"/>
        <v>3.5329467761317658E-2</v>
      </c>
      <c r="AE414" s="244">
        <f t="shared" si="28"/>
        <v>0.11616126557759388</v>
      </c>
    </row>
    <row r="415" spans="4:31" x14ac:dyDescent="0.3">
      <c r="D415" s="75">
        <v>87</v>
      </c>
      <c r="E415" s="80">
        <v>5</v>
      </c>
      <c r="F415" s="80">
        <v>5</v>
      </c>
      <c r="H415" s="255" t="s">
        <v>825</v>
      </c>
      <c r="I415" s="255" t="s">
        <v>825</v>
      </c>
      <c r="J415" s="255" t="s">
        <v>825</v>
      </c>
      <c r="L415" s="255" t="s">
        <v>825</v>
      </c>
      <c r="M415" s="95"/>
      <c r="N415" s="95"/>
      <c r="O415" s="95"/>
      <c r="T415" s="256" t="s">
        <v>825</v>
      </c>
      <c r="U415" s="257" t="s">
        <v>825</v>
      </c>
      <c r="W415" s="258" t="s">
        <v>825</v>
      </c>
      <c r="X415" s="244">
        <v>4.6264880164325256E-2</v>
      </c>
      <c r="Y415" s="265">
        <f t="shared" si="29"/>
        <v>97</v>
      </c>
      <c r="AA415" s="265">
        <f>IF(COUNTIF($Y$329:$Y415,Y415)=1,Y415,Y415+(COUNTIF($Y$329:Y415,Y415)-1))</f>
        <v>97</v>
      </c>
      <c r="AC415" s="265">
        <f t="shared" si="30"/>
        <v>87</v>
      </c>
      <c r="AD415" s="266">
        <f t="shared" si="31"/>
        <v>3.5666250616141454E-2</v>
      </c>
      <c r="AE415" s="244">
        <f t="shared" si="28"/>
        <v>0.11616126557759388</v>
      </c>
    </row>
    <row r="416" spans="4:31" x14ac:dyDescent="0.3">
      <c r="D416" s="75">
        <v>88</v>
      </c>
      <c r="E416" s="80">
        <v>5</v>
      </c>
      <c r="F416" s="80">
        <v>5</v>
      </c>
      <c r="H416" s="255" t="s">
        <v>825</v>
      </c>
      <c r="I416" s="255" t="s">
        <v>825</v>
      </c>
      <c r="J416" s="255" t="s">
        <v>825</v>
      </c>
      <c r="L416" s="255" t="s">
        <v>825</v>
      </c>
      <c r="M416" s="95"/>
      <c r="N416" s="95"/>
      <c r="O416" s="95"/>
      <c r="T416" s="256" t="s">
        <v>825</v>
      </c>
      <c r="U416" s="257" t="s">
        <v>825</v>
      </c>
      <c r="W416" s="258" t="s">
        <v>825</v>
      </c>
      <c r="X416" s="244">
        <v>7.0044109534084825E-2</v>
      </c>
      <c r="Y416" s="265">
        <f t="shared" si="29"/>
        <v>107</v>
      </c>
      <c r="AA416" s="265">
        <f>IF(COUNTIF($Y$329:$Y416,Y416)=1,Y416,Y416+(COUNTIF($Y$329:Y416,Y416)-1))</f>
        <v>107</v>
      </c>
      <c r="AC416" s="265">
        <f t="shared" si="30"/>
        <v>88</v>
      </c>
      <c r="AD416" s="266">
        <f t="shared" si="31"/>
        <v>3.7324785856360877E-2</v>
      </c>
      <c r="AE416" s="244">
        <f t="shared" si="28"/>
        <v>0.11616126557759388</v>
      </c>
    </row>
    <row r="417" spans="4:31" x14ac:dyDescent="0.3">
      <c r="D417" s="75">
        <v>89</v>
      </c>
      <c r="E417" s="80">
        <v>5</v>
      </c>
      <c r="F417" s="80">
        <v>5</v>
      </c>
      <c r="H417" s="255" t="s">
        <v>825</v>
      </c>
      <c r="I417" s="255" t="s">
        <v>825</v>
      </c>
      <c r="J417" s="255" t="s">
        <v>825</v>
      </c>
      <c r="L417" s="255" t="s">
        <v>825</v>
      </c>
      <c r="M417" s="95"/>
      <c r="N417" s="95"/>
      <c r="O417" s="95"/>
      <c r="T417" s="256" t="s">
        <v>825</v>
      </c>
      <c r="U417" s="257" t="s">
        <v>825</v>
      </c>
      <c r="W417" s="258" t="s">
        <v>825</v>
      </c>
      <c r="X417" s="244">
        <v>3.7729922581455251E-2</v>
      </c>
      <c r="Y417" s="265">
        <f t="shared" si="29"/>
        <v>89</v>
      </c>
      <c r="AA417" s="265">
        <f>IF(COUNTIF($Y$329:$Y417,Y417)=1,Y417,Y417+(COUNTIF($Y$329:Y417,Y417)-1))</f>
        <v>89</v>
      </c>
      <c r="AC417" s="265">
        <f t="shared" si="30"/>
        <v>89</v>
      </c>
      <c r="AD417" s="266">
        <f t="shared" si="31"/>
        <v>3.7729922581455251E-2</v>
      </c>
      <c r="AE417" s="244">
        <f t="shared" si="28"/>
        <v>0.11616126557759388</v>
      </c>
    </row>
    <row r="418" spans="4:31" x14ac:dyDescent="0.3">
      <c r="D418" s="75">
        <v>90</v>
      </c>
      <c r="E418" s="80">
        <v>5</v>
      </c>
      <c r="F418" s="80">
        <v>5</v>
      </c>
      <c r="H418" s="255" t="s">
        <v>825</v>
      </c>
      <c r="I418" s="255" t="s">
        <v>825</v>
      </c>
      <c r="J418" s="255" t="s">
        <v>825</v>
      </c>
      <c r="L418" s="255" t="s">
        <v>825</v>
      </c>
      <c r="M418" s="95"/>
      <c r="N418" s="95"/>
      <c r="O418" s="95"/>
      <c r="T418" s="256" t="s">
        <v>825</v>
      </c>
      <c r="U418" s="257" t="s">
        <v>825</v>
      </c>
      <c r="W418" s="258" t="s">
        <v>825</v>
      </c>
      <c r="X418" s="244">
        <v>-9.3276525627858705E-3</v>
      </c>
      <c r="Y418" s="265">
        <f t="shared" si="29"/>
        <v>58</v>
      </c>
      <c r="AA418" s="265">
        <f>IF(COUNTIF($Y$329:$Y418,Y418)=1,Y418,Y418+(COUNTIF($Y$329:Y418,Y418)-1))</f>
        <v>58</v>
      </c>
      <c r="AC418" s="265">
        <f t="shared" si="30"/>
        <v>90</v>
      </c>
      <c r="AD418" s="266">
        <f t="shared" si="31"/>
        <v>3.9062220739340674E-2</v>
      </c>
      <c r="AE418" s="244">
        <f t="shared" si="28"/>
        <v>0.11616126557759388</v>
      </c>
    </row>
    <row r="419" spans="4:31" x14ac:dyDescent="0.3">
      <c r="D419" s="75">
        <v>91</v>
      </c>
      <c r="E419" s="80">
        <v>5</v>
      </c>
      <c r="F419" s="80">
        <v>5</v>
      </c>
      <c r="H419" s="255" t="s">
        <v>825</v>
      </c>
      <c r="I419" s="255" t="s">
        <v>825</v>
      </c>
      <c r="J419" s="255" t="s">
        <v>825</v>
      </c>
      <c r="L419" s="255" t="s">
        <v>825</v>
      </c>
      <c r="M419" s="95"/>
      <c r="N419" s="95"/>
      <c r="O419" s="95"/>
      <c r="T419" s="256" t="s">
        <v>825</v>
      </c>
      <c r="U419" s="257" t="s">
        <v>825</v>
      </c>
      <c r="W419" s="258" t="s">
        <v>825</v>
      </c>
      <c r="X419" s="244">
        <v>7.3512801862011257E-2</v>
      </c>
      <c r="Y419" s="265">
        <f t="shared" si="29"/>
        <v>109</v>
      </c>
      <c r="AA419" s="265">
        <f>IF(COUNTIF($Y$329:$Y419,Y419)=1,Y419,Y419+(COUNTIF($Y$329:Y419,Y419)-1))</f>
        <v>109</v>
      </c>
      <c r="AC419" s="265">
        <f t="shared" si="30"/>
        <v>91</v>
      </c>
      <c r="AD419" s="266">
        <f t="shared" si="31"/>
        <v>4.1191999169572523E-2</v>
      </c>
      <c r="AE419" s="244">
        <f t="shared" si="28"/>
        <v>0.11616126557759388</v>
      </c>
    </row>
    <row r="420" spans="4:31" x14ac:dyDescent="0.3">
      <c r="D420" s="75">
        <v>92</v>
      </c>
      <c r="E420" s="80">
        <v>5</v>
      </c>
      <c r="F420" s="80">
        <v>5</v>
      </c>
      <c r="H420" s="255" t="s">
        <v>825</v>
      </c>
      <c r="I420" s="255" t="s">
        <v>825</v>
      </c>
      <c r="J420" s="255" t="s">
        <v>825</v>
      </c>
      <c r="L420" s="255" t="s">
        <v>825</v>
      </c>
      <c r="M420" s="95"/>
      <c r="N420" s="95"/>
      <c r="O420" s="95"/>
      <c r="T420" s="256" t="s">
        <v>825</v>
      </c>
      <c r="U420" s="257" t="s">
        <v>825</v>
      </c>
      <c r="W420" s="258" t="s">
        <v>825</v>
      </c>
      <c r="X420" s="244">
        <v>2.5157266949742685E-2</v>
      </c>
      <c r="Y420" s="265">
        <f t="shared" si="29"/>
        <v>76</v>
      </c>
      <c r="AA420" s="265">
        <f>IF(COUNTIF($Y$329:$Y420,Y420)=1,Y420,Y420+(COUNTIF($Y$329:Y420,Y420)-1))</f>
        <v>76</v>
      </c>
      <c r="AC420" s="265">
        <f t="shared" si="30"/>
        <v>92</v>
      </c>
      <c r="AD420" s="266">
        <f t="shared" si="31"/>
        <v>4.2111219235924702E-2</v>
      </c>
      <c r="AE420" s="244">
        <f t="shared" si="28"/>
        <v>0.11616126557759388</v>
      </c>
    </row>
    <row r="421" spans="4:31" x14ac:dyDescent="0.3">
      <c r="D421" s="75">
        <v>93</v>
      </c>
      <c r="E421" s="80">
        <v>5</v>
      </c>
      <c r="F421" s="80">
        <v>5</v>
      </c>
      <c r="H421" s="255" t="s">
        <v>825</v>
      </c>
      <c r="I421" s="255" t="s">
        <v>825</v>
      </c>
      <c r="J421" s="255" t="s">
        <v>825</v>
      </c>
      <c r="L421" s="255" t="s">
        <v>825</v>
      </c>
      <c r="M421" s="95"/>
      <c r="N421" s="95"/>
      <c r="O421" s="95"/>
      <c r="T421" s="256" t="s">
        <v>825</v>
      </c>
      <c r="U421" s="257" t="s">
        <v>825</v>
      </c>
      <c r="W421" s="258" t="s">
        <v>825</v>
      </c>
      <c r="X421" s="244">
        <v>9.8337760531475804E-2</v>
      </c>
      <c r="Y421" s="265">
        <f t="shared" si="29"/>
        <v>125</v>
      </c>
      <c r="AA421" s="265">
        <f>IF(COUNTIF($Y$329:$Y421,Y421)=1,Y421,Y421+(COUNTIF($Y$329:Y421,Y421)-1))</f>
        <v>125</v>
      </c>
      <c r="AC421" s="265">
        <f t="shared" si="30"/>
        <v>93</v>
      </c>
      <c r="AD421" s="266">
        <f t="shared" si="31"/>
        <v>4.2375355448881317E-2</v>
      </c>
      <c r="AE421" s="244">
        <f t="shared" si="28"/>
        <v>0.11616126557759388</v>
      </c>
    </row>
    <row r="422" spans="4:31" x14ac:dyDescent="0.3">
      <c r="D422" s="75">
        <v>94</v>
      </c>
      <c r="E422" s="80">
        <v>5</v>
      </c>
      <c r="F422" s="80">
        <v>5</v>
      </c>
      <c r="H422" s="255" t="s">
        <v>825</v>
      </c>
      <c r="I422" s="255" t="s">
        <v>825</v>
      </c>
      <c r="J422" s="255" t="s">
        <v>825</v>
      </c>
      <c r="L422" s="255" t="s">
        <v>825</v>
      </c>
      <c r="M422" s="95"/>
      <c r="N422" s="95"/>
      <c r="O422" s="95"/>
      <c r="T422" s="256" t="s">
        <v>825</v>
      </c>
      <c r="U422" s="257" t="s">
        <v>825</v>
      </c>
      <c r="W422" s="258" t="s">
        <v>825</v>
      </c>
      <c r="X422" s="244">
        <v>9.7762962733456193E-2</v>
      </c>
      <c r="Y422" s="265">
        <f t="shared" si="29"/>
        <v>124</v>
      </c>
      <c r="AA422" s="265">
        <f>IF(COUNTIF($Y$329:$Y422,Y422)=1,Y422,Y422+(COUNTIF($Y$329:Y422,Y422)-1))</f>
        <v>124</v>
      </c>
      <c r="AC422" s="265">
        <f t="shared" si="30"/>
        <v>94</v>
      </c>
      <c r="AD422" s="266">
        <f t="shared" si="31"/>
        <v>4.322102990744723E-2</v>
      </c>
      <c r="AE422" s="244">
        <f t="shared" si="28"/>
        <v>0.11616126557759388</v>
      </c>
    </row>
    <row r="423" spans="4:31" x14ac:dyDescent="0.3">
      <c r="D423" s="75">
        <v>95</v>
      </c>
      <c r="E423" s="80">
        <v>5</v>
      </c>
      <c r="F423" s="80">
        <v>5</v>
      </c>
      <c r="H423" s="255" t="s">
        <v>825</v>
      </c>
      <c r="I423" s="255" t="s">
        <v>825</v>
      </c>
      <c r="J423" s="255" t="s">
        <v>825</v>
      </c>
      <c r="L423" s="255" t="s">
        <v>825</v>
      </c>
      <c r="M423" s="95"/>
      <c r="N423" s="95"/>
      <c r="O423" s="95"/>
      <c r="T423" s="256" t="s">
        <v>825</v>
      </c>
      <c r="U423" s="257" t="s">
        <v>825</v>
      </c>
      <c r="W423" s="258" t="s">
        <v>825</v>
      </c>
      <c r="X423" s="244">
        <v>3.5666250616141454E-2</v>
      </c>
      <c r="Y423" s="265">
        <f t="shared" si="29"/>
        <v>87</v>
      </c>
      <c r="AA423" s="265">
        <f>IF(COUNTIF($Y$329:$Y423,Y423)=1,Y423,Y423+(COUNTIF($Y$329:Y423,Y423)-1))</f>
        <v>87</v>
      </c>
      <c r="AC423" s="265">
        <f t="shared" si="30"/>
        <v>95</v>
      </c>
      <c r="AD423" s="266">
        <f t="shared" si="31"/>
        <v>4.5624495307510483E-2</v>
      </c>
      <c r="AE423" s="244">
        <f t="shared" si="28"/>
        <v>0.11616126557759388</v>
      </c>
    </row>
    <row r="424" spans="4:31" x14ac:dyDescent="0.3">
      <c r="D424" s="75">
        <v>96</v>
      </c>
      <c r="E424" s="80">
        <v>5</v>
      </c>
      <c r="F424" s="80">
        <v>5</v>
      </c>
      <c r="H424" s="255" t="s">
        <v>825</v>
      </c>
      <c r="I424" s="255" t="s">
        <v>825</v>
      </c>
      <c r="J424" s="255" t="s">
        <v>825</v>
      </c>
      <c r="L424" s="255" t="s">
        <v>825</v>
      </c>
      <c r="M424" s="95"/>
      <c r="N424" s="95"/>
      <c r="O424" s="95"/>
      <c r="T424" s="256" t="s">
        <v>825</v>
      </c>
      <c r="U424" s="257" t="s">
        <v>825</v>
      </c>
      <c r="W424" s="258" t="s">
        <v>825</v>
      </c>
      <c r="X424" s="244">
        <v>7.8780185667815542E-2</v>
      </c>
      <c r="Y424" s="265">
        <f t="shared" si="29"/>
        <v>113</v>
      </c>
      <c r="AA424" s="265">
        <f>IF(COUNTIF($Y$329:$Y424,Y424)=1,Y424,Y424+(COUNTIF($Y$329:Y424,Y424)-1))</f>
        <v>113</v>
      </c>
      <c r="AC424" s="265">
        <f t="shared" si="30"/>
        <v>96</v>
      </c>
      <c r="AD424" s="266">
        <f t="shared" si="31"/>
        <v>4.571996738660971E-2</v>
      </c>
      <c r="AE424" s="244">
        <f t="shared" si="28"/>
        <v>0.11616126557759388</v>
      </c>
    </row>
    <row r="425" spans="4:31" x14ac:dyDescent="0.3">
      <c r="D425" s="75">
        <v>97</v>
      </c>
      <c r="E425" s="80">
        <v>5</v>
      </c>
      <c r="F425" s="80">
        <v>5</v>
      </c>
      <c r="H425" s="255" t="s">
        <v>825</v>
      </c>
      <c r="I425" s="255" t="s">
        <v>825</v>
      </c>
      <c r="J425" s="255" t="s">
        <v>825</v>
      </c>
      <c r="L425" s="255" t="s">
        <v>825</v>
      </c>
      <c r="M425" s="95"/>
      <c r="N425" s="95"/>
      <c r="O425" s="95"/>
      <c r="T425" s="256" t="s">
        <v>825</v>
      </c>
      <c r="U425" s="257" t="s">
        <v>825</v>
      </c>
      <c r="W425" s="258" t="s">
        <v>825</v>
      </c>
      <c r="X425" s="244">
        <v>9.7475559187301483E-2</v>
      </c>
      <c r="Y425" s="265">
        <f t="shared" si="29"/>
        <v>123</v>
      </c>
      <c r="AA425" s="265">
        <f>IF(COUNTIF($Y$329:$Y425,Y425)=1,Y425,Y425+(COUNTIF($Y$329:Y425,Y425)-1))</f>
        <v>123</v>
      </c>
      <c r="AC425" s="265">
        <f t="shared" si="30"/>
        <v>97</v>
      </c>
      <c r="AD425" s="266">
        <f t="shared" si="31"/>
        <v>4.6264880164325256E-2</v>
      </c>
      <c r="AE425" s="244">
        <f t="shared" ref="AE425:AE456" si="32">$AE$326</f>
        <v>0.11616126557759388</v>
      </c>
    </row>
    <row r="426" spans="4:31" x14ac:dyDescent="0.3">
      <c r="D426" s="75">
        <v>98</v>
      </c>
      <c r="E426" s="80">
        <v>5</v>
      </c>
      <c r="F426" s="80">
        <v>5</v>
      </c>
      <c r="H426" s="255" t="s">
        <v>825</v>
      </c>
      <c r="I426" s="255" t="s">
        <v>825</v>
      </c>
      <c r="J426" s="255" t="s">
        <v>825</v>
      </c>
      <c r="L426" s="255" t="s">
        <v>825</v>
      </c>
      <c r="M426" s="95"/>
      <c r="N426" s="95"/>
      <c r="O426" s="95"/>
      <c r="T426" s="256" t="s">
        <v>825</v>
      </c>
      <c r="U426" s="257" t="s">
        <v>825</v>
      </c>
      <c r="W426" s="258" t="s">
        <v>825</v>
      </c>
      <c r="X426" s="244">
        <v>5.7888949781448949E-2</v>
      </c>
      <c r="Y426" s="265">
        <f t="shared" si="29"/>
        <v>104</v>
      </c>
      <c r="AA426" s="265">
        <f>IF(COUNTIF($Y$329:$Y426,Y426)=1,Y426,Y426+(COUNTIF($Y$329:Y426,Y426)-1))</f>
        <v>104</v>
      </c>
      <c r="AC426" s="265">
        <f t="shared" si="30"/>
        <v>98</v>
      </c>
      <c r="AD426" s="266">
        <f t="shared" si="31"/>
        <v>5.2155756400303642E-2</v>
      </c>
      <c r="AE426" s="244">
        <f t="shared" si="32"/>
        <v>0.11616126557759388</v>
      </c>
    </row>
    <row r="427" spans="4:31" x14ac:dyDescent="0.3">
      <c r="D427" s="75">
        <v>99</v>
      </c>
      <c r="E427" s="80">
        <v>5</v>
      </c>
      <c r="F427" s="80">
        <v>5</v>
      </c>
      <c r="H427" s="255" t="s">
        <v>825</v>
      </c>
      <c r="I427" s="255" t="s">
        <v>825</v>
      </c>
      <c r="J427" s="255" t="s">
        <v>825</v>
      </c>
      <c r="L427" s="255" t="s">
        <v>825</v>
      </c>
      <c r="M427" s="95"/>
      <c r="N427" s="95"/>
      <c r="O427" s="95"/>
      <c r="T427" s="256" t="s">
        <v>825</v>
      </c>
      <c r="U427" s="257" t="s">
        <v>825</v>
      </c>
      <c r="W427" s="258" t="s">
        <v>825</v>
      </c>
      <c r="X427" s="244">
        <v>4.6635641140920728E-3</v>
      </c>
      <c r="Y427" s="265">
        <f t="shared" si="29"/>
        <v>68</v>
      </c>
      <c r="AA427" s="265">
        <f>IF(COUNTIF($Y$329:$Y427,Y427)=1,Y427,Y427+(COUNTIF($Y$329:Y427,Y427)-1))</f>
        <v>68</v>
      </c>
      <c r="AC427" s="265">
        <f t="shared" si="30"/>
        <v>99</v>
      </c>
      <c r="AD427" s="266">
        <f t="shared" si="31"/>
        <v>5.3020024070746422E-2</v>
      </c>
      <c r="AE427" s="244">
        <f t="shared" si="32"/>
        <v>0.11616126557759388</v>
      </c>
    </row>
    <row r="428" spans="4:31" x14ac:dyDescent="0.3">
      <c r="D428" s="75">
        <v>100</v>
      </c>
      <c r="E428" s="80">
        <v>5</v>
      </c>
      <c r="F428" s="80">
        <v>5</v>
      </c>
      <c r="H428" s="255" t="s">
        <v>825</v>
      </c>
      <c r="I428" s="255" t="s">
        <v>825</v>
      </c>
      <c r="J428" s="255" t="s">
        <v>825</v>
      </c>
      <c r="L428" s="255" t="s">
        <v>825</v>
      </c>
      <c r="M428" s="95"/>
      <c r="N428" s="95"/>
      <c r="O428" s="95"/>
      <c r="T428" s="256" t="s">
        <v>825</v>
      </c>
      <c r="U428" s="257" t="s">
        <v>825</v>
      </c>
      <c r="W428" s="258" t="s">
        <v>825</v>
      </c>
      <c r="X428" s="244">
        <v>2.0938396259061194E-2</v>
      </c>
      <c r="Y428" s="265">
        <f t="shared" si="29"/>
        <v>73</v>
      </c>
      <c r="AA428" s="265">
        <f>IF(COUNTIF($Y$329:$Y428,Y428)=1,Y428,Y428+(COUNTIF($Y$329:Y428,Y428)-1))</f>
        <v>73</v>
      </c>
      <c r="AC428" s="265">
        <f t="shared" si="30"/>
        <v>100</v>
      </c>
      <c r="AD428" s="266">
        <f t="shared" si="31"/>
        <v>5.4794954109204534E-2</v>
      </c>
      <c r="AE428" s="244">
        <f t="shared" si="32"/>
        <v>0.11616126557759388</v>
      </c>
    </row>
    <row r="429" spans="4:31" x14ac:dyDescent="0.3">
      <c r="D429" s="75">
        <v>101</v>
      </c>
      <c r="E429" s="80">
        <v>5</v>
      </c>
      <c r="F429" s="80">
        <v>5</v>
      </c>
      <c r="H429" s="255" t="s">
        <v>825</v>
      </c>
      <c r="I429" s="255" t="s">
        <v>825</v>
      </c>
      <c r="J429" s="255" t="s">
        <v>825</v>
      </c>
      <c r="L429" s="255" t="s">
        <v>825</v>
      </c>
      <c r="M429" s="95"/>
      <c r="N429" s="95"/>
      <c r="O429" s="95"/>
      <c r="T429" s="256" t="s">
        <v>825</v>
      </c>
      <c r="U429" s="257" t="s">
        <v>825</v>
      </c>
      <c r="W429" s="258" t="s">
        <v>825</v>
      </c>
      <c r="X429" s="244">
        <v>8.6552544357564445E-2</v>
      </c>
      <c r="Y429" s="265">
        <f t="shared" si="29"/>
        <v>116</v>
      </c>
      <c r="AA429" s="265">
        <f>IF(COUNTIF($Y$329:$Y429,Y429)=1,Y429,Y429+(COUNTIF($Y$329:Y429,Y429)-1))</f>
        <v>116</v>
      </c>
      <c r="AC429" s="265">
        <f t="shared" si="30"/>
        <v>101</v>
      </c>
      <c r="AD429" s="266">
        <f t="shared" si="31"/>
        <v>5.5026092062042835E-2</v>
      </c>
      <c r="AE429" s="244">
        <f t="shared" si="32"/>
        <v>0.11616126557759388</v>
      </c>
    </row>
    <row r="430" spans="4:31" x14ac:dyDescent="0.3">
      <c r="D430" s="75">
        <v>102</v>
      </c>
      <c r="E430" s="80">
        <v>5</v>
      </c>
      <c r="F430" s="80">
        <v>5</v>
      </c>
      <c r="H430" s="255" t="s">
        <v>825</v>
      </c>
      <c r="I430" s="255" t="s">
        <v>825</v>
      </c>
      <c r="J430" s="255" t="s">
        <v>825</v>
      </c>
      <c r="L430" s="255" t="s">
        <v>825</v>
      </c>
      <c r="M430" s="95"/>
      <c r="N430" s="95"/>
      <c r="O430" s="95"/>
      <c r="T430" s="256" t="s">
        <v>825</v>
      </c>
      <c r="U430" s="257" t="s">
        <v>825</v>
      </c>
      <c r="W430" s="258" t="s">
        <v>825</v>
      </c>
      <c r="X430" s="244">
        <v>4.5624495307510483E-2</v>
      </c>
      <c r="Y430" s="265">
        <f t="shared" si="29"/>
        <v>95</v>
      </c>
      <c r="AA430" s="265">
        <f>IF(COUNTIF($Y$329:$Y430,Y430)=1,Y430,Y430+(COUNTIF($Y$329:Y430,Y430)-1))</f>
        <v>95</v>
      </c>
      <c r="AC430" s="265">
        <f t="shared" si="30"/>
        <v>102</v>
      </c>
      <c r="AD430" s="266">
        <f t="shared" si="31"/>
        <v>5.5582825312942293E-2</v>
      </c>
      <c r="AE430" s="244">
        <f t="shared" si="32"/>
        <v>0.11616126557759388</v>
      </c>
    </row>
    <row r="431" spans="4:31" x14ac:dyDescent="0.3">
      <c r="D431" s="75">
        <v>103</v>
      </c>
      <c r="E431" s="80">
        <v>5</v>
      </c>
      <c r="F431" s="80">
        <v>5</v>
      </c>
      <c r="H431" s="255" t="s">
        <v>825</v>
      </c>
      <c r="I431" s="255" t="s">
        <v>825</v>
      </c>
      <c r="J431" s="255" t="s">
        <v>825</v>
      </c>
      <c r="L431" s="255" t="s">
        <v>825</v>
      </c>
      <c r="M431" s="95"/>
      <c r="N431" s="95"/>
      <c r="O431" s="95"/>
      <c r="T431" s="256" t="s">
        <v>825</v>
      </c>
      <c r="U431" s="257" t="s">
        <v>825</v>
      </c>
      <c r="W431" s="258" t="s">
        <v>825</v>
      </c>
      <c r="X431" s="244">
        <v>0.11222585865677707</v>
      </c>
      <c r="Y431" s="265">
        <f t="shared" si="29"/>
        <v>136</v>
      </c>
      <c r="AA431" s="265">
        <f>IF(COUNTIF($Y$329:$Y431,Y431)=1,Y431,Y431+(COUNTIF($Y$329:Y431,Y431)-1))</f>
        <v>136</v>
      </c>
      <c r="AC431" s="265">
        <f t="shared" si="30"/>
        <v>103</v>
      </c>
      <c r="AD431" s="266">
        <f t="shared" si="31"/>
        <v>5.7546674255886471E-2</v>
      </c>
      <c r="AE431" s="244">
        <f t="shared" si="32"/>
        <v>0.11616126557759388</v>
      </c>
    </row>
    <row r="432" spans="4:31" x14ac:dyDescent="0.3">
      <c r="D432" s="75">
        <v>104</v>
      </c>
      <c r="E432" s="80">
        <v>5</v>
      </c>
      <c r="F432" s="80">
        <v>5</v>
      </c>
      <c r="H432" s="255" t="s">
        <v>825</v>
      </c>
      <c r="I432" s="255" t="s">
        <v>825</v>
      </c>
      <c r="J432" s="255" t="s">
        <v>825</v>
      </c>
      <c r="L432" s="255" t="s">
        <v>825</v>
      </c>
      <c r="M432" s="95"/>
      <c r="N432" s="95"/>
      <c r="O432" s="95"/>
      <c r="T432" s="256" t="s">
        <v>825</v>
      </c>
      <c r="U432" s="257" t="s">
        <v>825</v>
      </c>
      <c r="W432" s="258" t="s">
        <v>825</v>
      </c>
      <c r="X432" s="244">
        <v>9.0371799543248421E-2</v>
      </c>
      <c r="Y432" s="265">
        <f t="shared" si="29"/>
        <v>119</v>
      </c>
      <c r="AA432" s="265">
        <f>IF(COUNTIF($Y$329:$Y432,Y432)=1,Y432,Y432+(COUNTIF($Y$329:Y432,Y432)-1))</f>
        <v>119</v>
      </c>
      <c r="AC432" s="265">
        <f t="shared" si="30"/>
        <v>104</v>
      </c>
      <c r="AD432" s="266">
        <f t="shared" si="31"/>
        <v>5.7888949781448949E-2</v>
      </c>
      <c r="AE432" s="244">
        <f t="shared" si="32"/>
        <v>0.11616126557759388</v>
      </c>
    </row>
    <row r="433" spans="4:31" x14ac:dyDescent="0.3">
      <c r="D433" s="75">
        <v>105</v>
      </c>
      <c r="E433" s="80">
        <v>5</v>
      </c>
      <c r="F433" s="80">
        <v>5</v>
      </c>
      <c r="H433" s="255" t="s">
        <v>825</v>
      </c>
      <c r="I433" s="255" t="s">
        <v>825</v>
      </c>
      <c r="J433" s="255" t="s">
        <v>825</v>
      </c>
      <c r="L433" s="255" t="s">
        <v>825</v>
      </c>
      <c r="M433" s="95"/>
      <c r="N433" s="95"/>
      <c r="O433" s="95"/>
      <c r="T433" s="256" t="s">
        <v>825</v>
      </c>
      <c r="U433" s="257" t="s">
        <v>825</v>
      </c>
      <c r="W433" s="258" t="s">
        <v>825</v>
      </c>
      <c r="X433" s="244">
        <v>9.7205561113490144E-2</v>
      </c>
      <c r="Y433" s="265">
        <f t="shared" si="29"/>
        <v>122</v>
      </c>
      <c r="AA433" s="265">
        <f>IF(COUNTIF($Y$329:$Y433,Y433)=1,Y433,Y433+(COUNTIF($Y$329:Y433,Y433)-1))</f>
        <v>122</v>
      </c>
      <c r="AC433" s="265">
        <f t="shared" si="30"/>
        <v>105</v>
      </c>
      <c r="AD433" s="266">
        <f t="shared" si="31"/>
        <v>5.8062030732116174E-2</v>
      </c>
      <c r="AE433" s="244">
        <f t="shared" si="32"/>
        <v>0.11616126557759388</v>
      </c>
    </row>
    <row r="434" spans="4:31" x14ac:dyDescent="0.3">
      <c r="D434" s="75">
        <v>106</v>
      </c>
      <c r="E434" s="80">
        <v>5</v>
      </c>
      <c r="F434" s="80">
        <v>5</v>
      </c>
      <c r="H434" s="255" t="s">
        <v>825</v>
      </c>
      <c r="I434" s="255" t="s">
        <v>825</v>
      </c>
      <c r="J434" s="255" t="s">
        <v>825</v>
      </c>
      <c r="L434" s="255" t="s">
        <v>825</v>
      </c>
      <c r="M434" s="95"/>
      <c r="N434" s="95"/>
      <c r="O434" s="95"/>
      <c r="T434" s="256" t="s">
        <v>825</v>
      </c>
      <c r="U434" s="257" t="s">
        <v>825</v>
      </c>
      <c r="W434" s="258" t="s">
        <v>825</v>
      </c>
      <c r="X434" s="244">
        <v>9.9083528727888129E-2</v>
      </c>
      <c r="Y434" s="265">
        <f t="shared" si="29"/>
        <v>128</v>
      </c>
      <c r="AA434" s="265">
        <f>IF(COUNTIF($Y$329:$Y434,Y434)=1,Y434,Y434+(COUNTIF($Y$329:Y434,Y434)-1))</f>
        <v>128</v>
      </c>
      <c r="AC434" s="265">
        <f t="shared" si="30"/>
        <v>106</v>
      </c>
      <c r="AD434" s="266">
        <f t="shared" si="31"/>
        <v>6.7231938202584954E-2</v>
      </c>
      <c r="AE434" s="244">
        <f t="shared" si="32"/>
        <v>0.11616126557759388</v>
      </c>
    </row>
    <row r="435" spans="4:31" x14ac:dyDescent="0.3">
      <c r="D435" s="75">
        <v>107</v>
      </c>
      <c r="E435" s="80">
        <v>5</v>
      </c>
      <c r="F435" s="80">
        <v>5</v>
      </c>
      <c r="H435" s="255" t="s">
        <v>825</v>
      </c>
      <c r="I435" s="255" t="s">
        <v>825</v>
      </c>
      <c r="J435" s="255" t="s">
        <v>825</v>
      </c>
      <c r="L435" s="255" t="s">
        <v>825</v>
      </c>
      <c r="M435" s="95"/>
      <c r="N435" s="95"/>
      <c r="O435" s="95"/>
      <c r="T435" s="256" t="s">
        <v>825</v>
      </c>
      <c r="U435" s="257" t="s">
        <v>825</v>
      </c>
      <c r="W435" s="258" t="s">
        <v>825</v>
      </c>
      <c r="X435" s="244">
        <v>3.3529833886779971E-2</v>
      </c>
      <c r="Y435" s="265">
        <f t="shared" si="29"/>
        <v>82</v>
      </c>
      <c r="AA435" s="265">
        <f>IF(COUNTIF($Y$329:$Y435,Y435)=1,Y435,Y435+(COUNTIF($Y$329:Y435,Y435)-1))</f>
        <v>82</v>
      </c>
      <c r="AC435" s="265">
        <f t="shared" si="30"/>
        <v>107</v>
      </c>
      <c r="AD435" s="266">
        <f t="shared" si="31"/>
        <v>7.0044109534084825E-2</v>
      </c>
      <c r="AE435" s="244">
        <f t="shared" si="32"/>
        <v>0.11616126557759388</v>
      </c>
    </row>
    <row r="436" spans="4:31" x14ac:dyDescent="0.3">
      <c r="D436" s="75">
        <v>108</v>
      </c>
      <c r="E436" s="80">
        <v>5</v>
      </c>
      <c r="F436" s="80">
        <v>5</v>
      </c>
      <c r="H436" s="255" t="s">
        <v>825</v>
      </c>
      <c r="I436" s="255" t="s">
        <v>825</v>
      </c>
      <c r="J436" s="255" t="s">
        <v>825</v>
      </c>
      <c r="L436" s="255" t="s">
        <v>825</v>
      </c>
      <c r="M436" s="95"/>
      <c r="N436" s="95"/>
      <c r="O436" s="95"/>
      <c r="T436" s="256" t="s">
        <v>825</v>
      </c>
      <c r="U436" s="257" t="s">
        <v>825</v>
      </c>
      <c r="W436" s="258" t="s">
        <v>825</v>
      </c>
      <c r="X436" s="244">
        <v>3.525553081002529E-2</v>
      </c>
      <c r="Y436" s="265">
        <f t="shared" si="29"/>
        <v>85</v>
      </c>
      <c r="AA436" s="265">
        <f>IF(COUNTIF($Y$329:$Y436,Y436)=1,Y436,Y436+(COUNTIF($Y$329:Y436,Y436)-1))</f>
        <v>85</v>
      </c>
      <c r="AC436" s="265">
        <f t="shared" si="30"/>
        <v>108</v>
      </c>
      <c r="AD436" s="266">
        <f t="shared" si="31"/>
        <v>7.2417126943409543E-2</v>
      </c>
      <c r="AE436" s="244">
        <f t="shared" si="32"/>
        <v>0.11616126557759388</v>
      </c>
    </row>
    <row r="437" spans="4:31" x14ac:dyDescent="0.3">
      <c r="D437" s="75">
        <v>109</v>
      </c>
      <c r="E437" s="80">
        <v>5</v>
      </c>
      <c r="F437" s="80">
        <v>5</v>
      </c>
      <c r="H437" s="255" t="s">
        <v>825</v>
      </c>
      <c r="I437" s="255" t="s">
        <v>825</v>
      </c>
      <c r="J437" s="255" t="s">
        <v>825</v>
      </c>
      <c r="L437" s="255" t="s">
        <v>825</v>
      </c>
      <c r="M437" s="95"/>
      <c r="N437" s="95"/>
      <c r="O437" s="95"/>
      <c r="T437" s="256" t="s">
        <v>825</v>
      </c>
      <c r="U437" s="257" t="s">
        <v>825</v>
      </c>
      <c r="W437" s="258" t="s">
        <v>825</v>
      </c>
      <c r="X437" s="244">
        <v>5.5582825312942293E-2</v>
      </c>
      <c r="Y437" s="265">
        <f t="shared" si="29"/>
        <v>102</v>
      </c>
      <c r="AA437" s="265">
        <f>IF(COUNTIF($Y$329:$Y437,Y437)=1,Y437,Y437+(COUNTIF($Y$329:Y437,Y437)-1))</f>
        <v>102</v>
      </c>
      <c r="AC437" s="265">
        <f t="shared" si="30"/>
        <v>109</v>
      </c>
      <c r="AD437" s="266">
        <f t="shared" si="31"/>
        <v>7.3512801862011257E-2</v>
      </c>
      <c r="AE437" s="244">
        <f t="shared" si="32"/>
        <v>0.11616126557759388</v>
      </c>
    </row>
    <row r="438" spans="4:31" x14ac:dyDescent="0.3">
      <c r="D438" s="75">
        <v>110</v>
      </c>
      <c r="E438" s="80">
        <v>5</v>
      </c>
      <c r="F438" s="80">
        <v>5</v>
      </c>
      <c r="H438" s="255" t="s">
        <v>825</v>
      </c>
      <c r="I438" s="255" t="s">
        <v>825</v>
      </c>
      <c r="J438" s="255" t="s">
        <v>825</v>
      </c>
      <c r="L438" s="255" t="s">
        <v>825</v>
      </c>
      <c r="M438" s="95"/>
      <c r="N438" s="95"/>
      <c r="O438" s="95"/>
      <c r="T438" s="256" t="s">
        <v>825</v>
      </c>
      <c r="U438" s="257" t="s">
        <v>825</v>
      </c>
      <c r="W438" s="258" t="s">
        <v>825</v>
      </c>
      <c r="X438" s="244">
        <v>9.8785788514976436E-2</v>
      </c>
      <c r="Y438" s="265">
        <f t="shared" si="29"/>
        <v>127</v>
      </c>
      <c r="AA438" s="265">
        <f>IF(COUNTIF($Y$329:$Y438,Y438)=1,Y438,Y438+(COUNTIF($Y$329:Y438,Y438)-1))</f>
        <v>127</v>
      </c>
      <c r="AC438" s="265">
        <f t="shared" si="30"/>
        <v>110</v>
      </c>
      <c r="AD438" s="266">
        <f t="shared" si="31"/>
        <v>7.673033214823817E-2</v>
      </c>
      <c r="AE438" s="244">
        <f t="shared" si="32"/>
        <v>0.11616126557759388</v>
      </c>
    </row>
    <row r="439" spans="4:31" x14ac:dyDescent="0.3">
      <c r="D439" s="75">
        <v>111</v>
      </c>
      <c r="E439" s="80">
        <v>5</v>
      </c>
      <c r="F439" s="80">
        <v>5</v>
      </c>
      <c r="H439" s="255" t="s">
        <v>825</v>
      </c>
      <c r="I439" s="255" t="s">
        <v>825</v>
      </c>
      <c r="J439" s="255" t="s">
        <v>825</v>
      </c>
      <c r="L439" s="255" t="s">
        <v>825</v>
      </c>
      <c r="M439" s="95"/>
      <c r="N439" s="95"/>
      <c r="O439" s="95"/>
      <c r="T439" s="256" t="s">
        <v>825</v>
      </c>
      <c r="U439" s="257" t="s">
        <v>825</v>
      </c>
      <c r="W439" s="258" t="s">
        <v>825</v>
      </c>
      <c r="X439" s="244">
        <v>3.5329467761317658E-2</v>
      </c>
      <c r="Y439" s="265">
        <f t="shared" si="29"/>
        <v>86</v>
      </c>
      <c r="AA439" s="265">
        <f>IF(COUNTIF($Y$329:$Y439,Y439)=1,Y439,Y439+(COUNTIF($Y$329:Y439,Y439)-1))</f>
        <v>86</v>
      </c>
      <c r="AC439" s="265">
        <f t="shared" si="30"/>
        <v>111</v>
      </c>
      <c r="AD439" s="266">
        <f t="shared" si="31"/>
        <v>7.7587411020339045E-2</v>
      </c>
      <c r="AE439" s="244">
        <f t="shared" si="32"/>
        <v>0.11616126557759388</v>
      </c>
    </row>
    <row r="440" spans="4:31" x14ac:dyDescent="0.3">
      <c r="D440" s="75">
        <v>112</v>
      </c>
      <c r="E440" s="80">
        <v>5</v>
      </c>
      <c r="F440" s="80">
        <v>5</v>
      </c>
      <c r="H440" s="255" t="s">
        <v>825</v>
      </c>
      <c r="I440" s="255" t="s">
        <v>825</v>
      </c>
      <c r="J440" s="255" t="s">
        <v>825</v>
      </c>
      <c r="L440" s="255" t="s">
        <v>825</v>
      </c>
      <c r="M440" s="95"/>
      <c r="N440" s="95"/>
      <c r="O440" s="95"/>
      <c r="T440" s="256" t="s">
        <v>825</v>
      </c>
      <c r="U440" s="257" t="s">
        <v>825</v>
      </c>
      <c r="W440" s="258" t="s">
        <v>825</v>
      </c>
      <c r="X440" s="244">
        <v>0.10686706608017511</v>
      </c>
      <c r="Y440" s="265">
        <f t="shared" si="29"/>
        <v>132</v>
      </c>
      <c r="AA440" s="265">
        <f>IF(COUNTIF($Y$329:$Y440,Y440)=1,Y440,Y440+(COUNTIF($Y$329:Y440,Y440)-1))</f>
        <v>132</v>
      </c>
      <c r="AC440" s="265">
        <f t="shared" si="30"/>
        <v>112</v>
      </c>
      <c r="AD440" s="266">
        <f t="shared" si="31"/>
        <v>7.7790216059860973E-2</v>
      </c>
      <c r="AE440" s="244">
        <f t="shared" si="32"/>
        <v>0.11616126557759388</v>
      </c>
    </row>
    <row r="441" spans="4:31" x14ac:dyDescent="0.3">
      <c r="D441" s="75">
        <v>113</v>
      </c>
      <c r="E441" s="80">
        <v>5</v>
      </c>
      <c r="F441" s="80">
        <v>5</v>
      </c>
      <c r="H441" s="255" t="s">
        <v>825</v>
      </c>
      <c r="I441" s="255" t="s">
        <v>825</v>
      </c>
      <c r="J441" s="255" t="s">
        <v>825</v>
      </c>
      <c r="L441" s="255" t="s">
        <v>825</v>
      </c>
      <c r="M441" s="95"/>
      <c r="N441" s="95"/>
      <c r="O441" s="95"/>
      <c r="T441" s="256" t="s">
        <v>825</v>
      </c>
      <c r="U441" s="257" t="s">
        <v>825</v>
      </c>
      <c r="W441" s="258" t="s">
        <v>825</v>
      </c>
      <c r="X441" s="244">
        <v>7.7587411020339045E-2</v>
      </c>
      <c r="Y441" s="265">
        <f t="shared" si="29"/>
        <v>111</v>
      </c>
      <c r="AA441" s="265">
        <f>IF(COUNTIF($Y$329:$Y441,Y441)=1,Y441,Y441+(COUNTIF($Y$329:Y441,Y441)-1))</f>
        <v>111</v>
      </c>
      <c r="AC441" s="265">
        <f t="shared" si="30"/>
        <v>113</v>
      </c>
      <c r="AD441" s="266">
        <f t="shared" si="31"/>
        <v>7.8780185667815542E-2</v>
      </c>
      <c r="AE441" s="244">
        <f t="shared" si="32"/>
        <v>0.11616126557759388</v>
      </c>
    </row>
    <row r="442" spans="4:31" x14ac:dyDescent="0.3">
      <c r="D442" s="75">
        <v>114</v>
      </c>
      <c r="E442" s="80">
        <v>5</v>
      </c>
      <c r="F442" s="80">
        <v>5</v>
      </c>
      <c r="H442" s="255" t="s">
        <v>825</v>
      </c>
      <c r="I442" s="255" t="s">
        <v>825</v>
      </c>
      <c r="J442" s="255" t="s">
        <v>825</v>
      </c>
      <c r="L442" s="255" t="s">
        <v>825</v>
      </c>
      <c r="M442" s="95"/>
      <c r="N442" s="95"/>
      <c r="O442" s="95"/>
      <c r="T442" s="256" t="s">
        <v>825</v>
      </c>
      <c r="U442" s="257" t="s">
        <v>825</v>
      </c>
      <c r="W442" s="258" t="s">
        <v>825</v>
      </c>
      <c r="X442" s="244">
        <v>0.11629753848340627</v>
      </c>
      <c r="Y442" s="265">
        <f t="shared" si="29"/>
        <v>137</v>
      </c>
      <c r="AA442" s="265">
        <f>IF(COUNTIF($Y$329:$Y442,Y442)=1,Y442,Y442+(COUNTIF($Y$329:Y442,Y442)-1))</f>
        <v>137</v>
      </c>
      <c r="AC442" s="265">
        <f t="shared" si="30"/>
        <v>114</v>
      </c>
      <c r="AD442" s="266">
        <f t="shared" si="31"/>
        <v>8.3584281264386565E-2</v>
      </c>
      <c r="AE442" s="244">
        <f t="shared" si="32"/>
        <v>0.11616126557759388</v>
      </c>
    </row>
    <row r="443" spans="4:31" x14ac:dyDescent="0.3">
      <c r="D443" s="75">
        <v>115</v>
      </c>
      <c r="E443" s="80">
        <v>5</v>
      </c>
      <c r="F443" s="80">
        <v>5</v>
      </c>
      <c r="H443" s="255" t="s">
        <v>825</v>
      </c>
      <c r="I443" s="255" t="s">
        <v>825</v>
      </c>
      <c r="J443" s="255" t="s">
        <v>825</v>
      </c>
      <c r="L443" s="255" t="s">
        <v>825</v>
      </c>
      <c r="M443" s="95"/>
      <c r="N443" s="95"/>
      <c r="O443" s="95"/>
      <c r="T443" s="256" t="s">
        <v>825</v>
      </c>
      <c r="U443" s="257" t="s">
        <v>825</v>
      </c>
      <c r="W443" s="258" t="s">
        <v>825</v>
      </c>
      <c r="X443" s="244">
        <v>5.4794954109204534E-2</v>
      </c>
      <c r="Y443" s="265">
        <f t="shared" si="29"/>
        <v>100</v>
      </c>
      <c r="AA443" s="265">
        <f>IF(COUNTIF($Y$329:$Y443,Y443)=1,Y443,Y443+(COUNTIF($Y$329:Y443,Y443)-1))</f>
        <v>100</v>
      </c>
      <c r="AC443" s="265">
        <f t="shared" si="30"/>
        <v>115</v>
      </c>
      <c r="AD443" s="266">
        <f t="shared" si="31"/>
        <v>8.548248831931432E-2</v>
      </c>
      <c r="AE443" s="244">
        <f t="shared" si="32"/>
        <v>0.11616126557759388</v>
      </c>
    </row>
    <row r="444" spans="4:31" x14ac:dyDescent="0.3">
      <c r="D444" s="75">
        <v>116</v>
      </c>
      <c r="E444" s="80">
        <v>5</v>
      </c>
      <c r="F444" s="80">
        <v>5</v>
      </c>
      <c r="H444" s="255" t="s">
        <v>825</v>
      </c>
      <c r="I444" s="255" t="s">
        <v>825</v>
      </c>
      <c r="J444" s="255" t="s">
        <v>825</v>
      </c>
      <c r="L444" s="255" t="s">
        <v>825</v>
      </c>
      <c r="M444" s="95"/>
      <c r="N444" s="95"/>
      <c r="O444" s="95"/>
      <c r="T444" s="256" t="s">
        <v>825</v>
      </c>
      <c r="U444" s="257" t="s">
        <v>825</v>
      </c>
      <c r="W444" s="258" t="s">
        <v>825</v>
      </c>
      <c r="X444" s="244">
        <v>2.9541595021452784E-2</v>
      </c>
      <c r="Y444" s="265">
        <f t="shared" si="29"/>
        <v>79</v>
      </c>
      <c r="AA444" s="265">
        <f>IF(COUNTIF($Y$329:$Y444,Y444)=1,Y444,Y444+(COUNTIF($Y$329:Y444,Y444)-1))</f>
        <v>79</v>
      </c>
      <c r="AC444" s="265">
        <f t="shared" si="30"/>
        <v>116</v>
      </c>
      <c r="AD444" s="266">
        <f t="shared" si="31"/>
        <v>8.6552544357564445E-2</v>
      </c>
      <c r="AE444" s="244">
        <f t="shared" si="32"/>
        <v>0.11616126557759388</v>
      </c>
    </row>
    <row r="445" spans="4:31" x14ac:dyDescent="0.3">
      <c r="D445" s="75">
        <v>117</v>
      </c>
      <c r="E445" s="80">
        <v>5</v>
      </c>
      <c r="F445" s="80">
        <v>5</v>
      </c>
      <c r="H445" s="255" t="s">
        <v>825</v>
      </c>
      <c r="I445" s="255" t="s">
        <v>825</v>
      </c>
      <c r="J445" s="255" t="s">
        <v>825</v>
      </c>
      <c r="L445" s="255" t="s">
        <v>825</v>
      </c>
      <c r="M445" s="95"/>
      <c r="N445" s="95"/>
      <c r="O445" s="95"/>
      <c r="T445" s="256" t="s">
        <v>825</v>
      </c>
      <c r="U445" s="257" t="s">
        <v>825</v>
      </c>
      <c r="W445" s="258" t="s">
        <v>825</v>
      </c>
      <c r="X445" s="244">
        <v>0.10428636402736267</v>
      </c>
      <c r="Y445" s="265">
        <f t="shared" si="29"/>
        <v>130</v>
      </c>
      <c r="AA445" s="265">
        <f>IF(COUNTIF($Y$329:$Y445,Y445)=1,Y445,Y445+(COUNTIF($Y$329:Y445,Y445)-1))</f>
        <v>130</v>
      </c>
      <c r="AC445" s="265">
        <f t="shared" si="30"/>
        <v>117</v>
      </c>
      <c r="AD445" s="266">
        <f t="shared" si="31"/>
        <v>8.7154654765092307E-2</v>
      </c>
      <c r="AE445" s="244">
        <f t="shared" si="32"/>
        <v>0.11616126557759388</v>
      </c>
    </row>
    <row r="446" spans="4:31" x14ac:dyDescent="0.3">
      <c r="D446" s="75">
        <v>118</v>
      </c>
      <c r="E446" s="80">
        <v>5</v>
      </c>
      <c r="F446" s="80">
        <v>5</v>
      </c>
      <c r="H446" s="255" t="s">
        <v>825</v>
      </c>
      <c r="I446" s="255" t="s">
        <v>825</v>
      </c>
      <c r="J446" s="255" t="s">
        <v>825</v>
      </c>
      <c r="L446" s="255" t="s">
        <v>825</v>
      </c>
      <c r="M446" s="95"/>
      <c r="N446" s="95"/>
      <c r="O446" s="95"/>
      <c r="T446" s="256" t="s">
        <v>825</v>
      </c>
      <c r="U446" s="257" t="s">
        <v>825</v>
      </c>
      <c r="W446" s="258" t="s">
        <v>825</v>
      </c>
      <c r="X446" s="244">
        <v>2.3308783165211261E-2</v>
      </c>
      <c r="Y446" s="265">
        <f t="shared" si="29"/>
        <v>75</v>
      </c>
      <c r="AA446" s="265">
        <f>IF(COUNTIF($Y$329:$Y446,Y446)=1,Y446,Y446+(COUNTIF($Y$329:Y446,Y446)-1))</f>
        <v>75</v>
      </c>
      <c r="AC446" s="265">
        <f t="shared" si="30"/>
        <v>118</v>
      </c>
      <c r="AD446" s="266">
        <f t="shared" si="31"/>
        <v>8.8032782354571432E-2</v>
      </c>
      <c r="AE446" s="244">
        <f t="shared" si="32"/>
        <v>0.11616126557759388</v>
      </c>
    </row>
    <row r="447" spans="4:31" x14ac:dyDescent="0.3">
      <c r="D447" s="75">
        <v>119</v>
      </c>
      <c r="E447" s="80">
        <v>5</v>
      </c>
      <c r="F447" s="80">
        <v>5</v>
      </c>
      <c r="H447" s="255" t="s">
        <v>825</v>
      </c>
      <c r="I447" s="255" t="s">
        <v>825</v>
      </c>
      <c r="J447" s="255" t="s">
        <v>825</v>
      </c>
      <c r="L447" s="255" t="s">
        <v>825</v>
      </c>
      <c r="M447" s="95"/>
      <c r="N447" s="95"/>
      <c r="O447" s="95"/>
      <c r="T447" s="256" t="s">
        <v>825</v>
      </c>
      <c r="U447" s="257" t="s">
        <v>825</v>
      </c>
      <c r="W447" s="258" t="s">
        <v>825</v>
      </c>
      <c r="X447" s="244">
        <v>2.2049903530659923E-4</v>
      </c>
      <c r="Y447" s="265">
        <f t="shared" si="29"/>
        <v>65</v>
      </c>
      <c r="AA447" s="265">
        <f>IF(COUNTIF($Y$329:$Y447,Y447)=1,Y447,Y447+(COUNTIF($Y$329:Y447,Y447)-1))</f>
        <v>65</v>
      </c>
      <c r="AC447" s="265">
        <f t="shared" si="30"/>
        <v>119</v>
      </c>
      <c r="AD447" s="266">
        <f t="shared" si="31"/>
        <v>9.0371799543248421E-2</v>
      </c>
      <c r="AE447" s="244">
        <f t="shared" si="32"/>
        <v>0.11616126557759388</v>
      </c>
    </row>
    <row r="448" spans="4:31" x14ac:dyDescent="0.3">
      <c r="D448" s="75">
        <v>120</v>
      </c>
      <c r="E448" s="80">
        <v>5</v>
      </c>
      <c r="F448" s="80">
        <v>5</v>
      </c>
      <c r="H448" s="255" t="s">
        <v>825</v>
      </c>
      <c r="I448" s="255" t="s">
        <v>825</v>
      </c>
      <c r="J448" s="255" t="s">
        <v>825</v>
      </c>
      <c r="L448" s="255" t="s">
        <v>825</v>
      </c>
      <c r="M448" s="95"/>
      <c r="N448" s="95"/>
      <c r="O448" s="95"/>
      <c r="T448" s="256" t="s">
        <v>825</v>
      </c>
      <c r="U448" s="257" t="s">
        <v>825</v>
      </c>
      <c r="W448" s="258" t="s">
        <v>825</v>
      </c>
      <c r="X448" s="244">
        <v>4.2111219235924702E-2</v>
      </c>
      <c r="Y448" s="265">
        <f t="shared" si="29"/>
        <v>92</v>
      </c>
      <c r="AA448" s="265">
        <f>IF(COUNTIF($Y$329:$Y448,Y448)=1,Y448,Y448+(COUNTIF($Y$329:Y448,Y448)-1))</f>
        <v>92</v>
      </c>
      <c r="AC448" s="265">
        <f t="shared" si="30"/>
        <v>120</v>
      </c>
      <c r="AD448" s="266">
        <f t="shared" si="31"/>
        <v>9.1448337686800649E-2</v>
      </c>
      <c r="AE448" s="244">
        <f t="shared" si="32"/>
        <v>0.11616126557759388</v>
      </c>
    </row>
    <row r="449" spans="4:31" x14ac:dyDescent="0.3">
      <c r="D449" s="75">
        <v>121</v>
      </c>
      <c r="E449" s="80">
        <v>5</v>
      </c>
      <c r="F449" s="80">
        <v>5</v>
      </c>
      <c r="H449" s="255" t="s">
        <v>825</v>
      </c>
      <c r="I449" s="255" t="s">
        <v>825</v>
      </c>
      <c r="J449" s="255" t="s">
        <v>825</v>
      </c>
      <c r="L449" s="255" t="s">
        <v>825</v>
      </c>
      <c r="M449" s="95"/>
      <c r="N449" s="95"/>
      <c r="O449" s="95"/>
      <c r="T449" s="256" t="s">
        <v>825</v>
      </c>
      <c r="U449" s="257" t="s">
        <v>825</v>
      </c>
      <c r="W449" s="258" t="s">
        <v>825</v>
      </c>
      <c r="X449" s="244">
        <v>0.10956414965487932</v>
      </c>
      <c r="Y449" s="265">
        <f t="shared" si="29"/>
        <v>134</v>
      </c>
      <c r="AA449" s="265">
        <f>IF(COUNTIF($Y$329:$Y449,Y449)=1,Y449,Y449+(COUNTIF($Y$329:Y449,Y449)-1))</f>
        <v>134</v>
      </c>
      <c r="AC449" s="265">
        <f t="shared" si="30"/>
        <v>121</v>
      </c>
      <c r="AD449" s="266">
        <f t="shared" si="31"/>
        <v>9.4483785812517415E-2</v>
      </c>
      <c r="AE449" s="244">
        <f t="shared" si="32"/>
        <v>0.11616126557759388</v>
      </c>
    </row>
    <row r="450" spans="4:31" x14ac:dyDescent="0.3">
      <c r="D450" s="75">
        <v>122</v>
      </c>
      <c r="E450" s="80">
        <v>5</v>
      </c>
      <c r="F450" s="80">
        <v>5</v>
      </c>
      <c r="H450" s="255" t="s">
        <v>825</v>
      </c>
      <c r="I450" s="255" t="s">
        <v>825</v>
      </c>
      <c r="J450" s="255" t="s">
        <v>825</v>
      </c>
      <c r="L450" s="255" t="s">
        <v>825</v>
      </c>
      <c r="M450" s="95"/>
      <c r="N450" s="95"/>
      <c r="O450" s="95"/>
      <c r="T450" s="256" t="s">
        <v>825</v>
      </c>
      <c r="U450" s="257" t="s">
        <v>825</v>
      </c>
      <c r="W450" s="258" t="s">
        <v>825</v>
      </c>
      <c r="X450" s="244">
        <v>0.10419928517141396</v>
      </c>
      <c r="Y450" s="265">
        <f t="shared" si="29"/>
        <v>129</v>
      </c>
      <c r="AA450" s="265">
        <f>IF(COUNTIF($Y$329:$Y450,Y450)=1,Y450,Y450+(COUNTIF($Y$329:Y450,Y450)-1))</f>
        <v>129</v>
      </c>
      <c r="AC450" s="265">
        <f t="shared" si="30"/>
        <v>122</v>
      </c>
      <c r="AD450" s="266">
        <f t="shared" si="31"/>
        <v>9.7205561113490144E-2</v>
      </c>
      <c r="AE450" s="244">
        <f t="shared" si="32"/>
        <v>0.11616126557759388</v>
      </c>
    </row>
    <row r="451" spans="4:31" x14ac:dyDescent="0.3">
      <c r="D451" s="75">
        <v>123</v>
      </c>
      <c r="E451" s="80">
        <v>5</v>
      </c>
      <c r="F451" s="80">
        <v>5</v>
      </c>
      <c r="H451" s="255" t="s">
        <v>825</v>
      </c>
      <c r="I451" s="255" t="s">
        <v>825</v>
      </c>
      <c r="J451" s="255" t="s">
        <v>825</v>
      </c>
      <c r="L451" s="255" t="s">
        <v>825</v>
      </c>
      <c r="M451" s="95"/>
      <c r="N451" s="95"/>
      <c r="O451" s="95"/>
      <c r="T451" s="256" t="s">
        <v>825</v>
      </c>
      <c r="U451" s="257" t="s">
        <v>825</v>
      </c>
      <c r="W451" s="258" t="s">
        <v>825</v>
      </c>
      <c r="X451" s="244">
        <v>9.1448337686800649E-2</v>
      </c>
      <c r="Y451" s="265">
        <f t="shared" si="29"/>
        <v>120</v>
      </c>
      <c r="AA451" s="265">
        <f>IF(COUNTIF($Y$329:$Y451,Y451)=1,Y451,Y451+(COUNTIF($Y$329:Y451,Y451)-1))</f>
        <v>120</v>
      </c>
      <c r="AC451" s="265">
        <f t="shared" si="30"/>
        <v>123</v>
      </c>
      <c r="AD451" s="266">
        <f t="shared" si="31"/>
        <v>9.7475559187301483E-2</v>
      </c>
      <c r="AE451" s="244">
        <f t="shared" si="32"/>
        <v>0.11616126557759388</v>
      </c>
    </row>
    <row r="452" spans="4:31" x14ac:dyDescent="0.3">
      <c r="D452" s="75">
        <v>124</v>
      </c>
      <c r="E452" s="80">
        <v>5</v>
      </c>
      <c r="F452" s="80">
        <v>5</v>
      </c>
      <c r="H452" s="255" t="s">
        <v>825</v>
      </c>
      <c r="I452" s="255" t="s">
        <v>825</v>
      </c>
      <c r="J452" s="255" t="s">
        <v>825</v>
      </c>
      <c r="L452" s="255" t="s">
        <v>825</v>
      </c>
      <c r="M452" s="95"/>
      <c r="N452" s="95"/>
      <c r="O452" s="95"/>
      <c r="T452" s="256" t="s">
        <v>825</v>
      </c>
      <c r="U452" s="257" t="s">
        <v>825</v>
      </c>
      <c r="W452" s="258" t="s">
        <v>825</v>
      </c>
      <c r="X452" s="244">
        <v>0.10960112993469406</v>
      </c>
      <c r="Y452" s="265">
        <f t="shared" si="29"/>
        <v>135</v>
      </c>
      <c r="AA452" s="265">
        <f>IF(COUNTIF($Y$329:$Y452,Y452)=1,Y452,Y452+(COUNTIF($Y$329:Y452,Y452)-1))</f>
        <v>135</v>
      </c>
      <c r="AC452" s="265">
        <f t="shared" si="30"/>
        <v>124</v>
      </c>
      <c r="AD452" s="266">
        <f t="shared" si="31"/>
        <v>9.7762962733456193E-2</v>
      </c>
      <c r="AE452" s="244">
        <f t="shared" si="32"/>
        <v>0.11616126557759388</v>
      </c>
    </row>
    <row r="453" spans="4:31" x14ac:dyDescent="0.3">
      <c r="D453" s="75">
        <v>125</v>
      </c>
      <c r="E453" s="80">
        <v>5</v>
      </c>
      <c r="F453" s="80">
        <v>5</v>
      </c>
      <c r="H453" s="255" t="s">
        <v>825</v>
      </c>
      <c r="I453" s="255" t="s">
        <v>825</v>
      </c>
      <c r="J453" s="255" t="s">
        <v>825</v>
      </c>
      <c r="L453" s="255" t="s">
        <v>825</v>
      </c>
      <c r="M453" s="95"/>
      <c r="N453" s="95"/>
      <c r="O453" s="95"/>
      <c r="T453" s="256" t="s">
        <v>825</v>
      </c>
      <c r="U453" s="257" t="s">
        <v>825</v>
      </c>
      <c r="W453" s="258" t="s">
        <v>825</v>
      </c>
      <c r="X453" s="244">
        <v>0.12255590920424046</v>
      </c>
      <c r="Y453" s="265">
        <f t="shared" si="29"/>
        <v>143</v>
      </c>
      <c r="AA453" s="265">
        <f>IF(COUNTIF($Y$329:$Y453,Y453)=1,Y453,Y453+(COUNTIF($Y$329:Y453,Y453)-1))</f>
        <v>143</v>
      </c>
      <c r="AC453" s="265">
        <f t="shared" si="30"/>
        <v>125</v>
      </c>
      <c r="AD453" s="266">
        <f t="shared" si="31"/>
        <v>9.8337760531475804E-2</v>
      </c>
      <c r="AE453" s="244">
        <f t="shared" si="32"/>
        <v>0.11616126557759388</v>
      </c>
    </row>
    <row r="454" spans="4:31" x14ac:dyDescent="0.3">
      <c r="D454" s="75">
        <v>126</v>
      </c>
      <c r="E454" s="80">
        <v>5</v>
      </c>
      <c r="F454" s="80">
        <v>5</v>
      </c>
      <c r="H454" s="255" t="s">
        <v>825</v>
      </c>
      <c r="I454" s="255" t="s">
        <v>825</v>
      </c>
      <c r="J454" s="255" t="s">
        <v>825</v>
      </c>
      <c r="L454" s="255" t="s">
        <v>825</v>
      </c>
      <c r="M454" s="95"/>
      <c r="N454" s="95"/>
      <c r="O454" s="95"/>
      <c r="T454" s="256" t="s">
        <v>825</v>
      </c>
      <c r="U454" s="257" t="s">
        <v>825</v>
      </c>
      <c r="W454" s="258" t="s">
        <v>825</v>
      </c>
      <c r="X454" s="244">
        <v>0.10792535792414985</v>
      </c>
      <c r="Y454" s="265">
        <f t="shared" si="29"/>
        <v>133</v>
      </c>
      <c r="AA454" s="265">
        <f>IF(COUNTIF($Y$329:$Y454,Y454)=1,Y454,Y454+(COUNTIF($Y$329:Y454,Y454)-1))</f>
        <v>133</v>
      </c>
      <c r="AC454" s="265">
        <f t="shared" si="30"/>
        <v>126</v>
      </c>
      <c r="AD454" s="266">
        <f t="shared" si="31"/>
        <v>9.8724947229460569E-2</v>
      </c>
      <c r="AE454" s="244">
        <f t="shared" si="32"/>
        <v>0.11616126557759388</v>
      </c>
    </row>
    <row r="455" spans="4:31" x14ac:dyDescent="0.3">
      <c r="D455" s="75">
        <v>127</v>
      </c>
      <c r="E455" s="80">
        <v>5</v>
      </c>
      <c r="F455" s="80">
        <v>5</v>
      </c>
      <c r="H455" s="255" t="s">
        <v>825</v>
      </c>
      <c r="I455" s="255" t="s">
        <v>825</v>
      </c>
      <c r="J455" s="255" t="s">
        <v>825</v>
      </c>
      <c r="L455" s="255" t="s">
        <v>825</v>
      </c>
      <c r="M455" s="95"/>
      <c r="N455" s="95"/>
      <c r="O455" s="95"/>
      <c r="T455" s="256" t="s">
        <v>825</v>
      </c>
      <c r="U455" s="257" t="s">
        <v>825</v>
      </c>
      <c r="W455" s="258" t="s">
        <v>825</v>
      </c>
      <c r="X455" s="244">
        <v>8.3584281264386565E-2</v>
      </c>
      <c r="Y455" s="265">
        <f t="shared" si="29"/>
        <v>114</v>
      </c>
      <c r="AA455" s="265">
        <f>IF(COUNTIF($Y$329:$Y455,Y455)=1,Y455,Y455+(COUNTIF($Y$329:Y455,Y455)-1))</f>
        <v>114</v>
      </c>
      <c r="AC455" s="265">
        <f t="shared" si="30"/>
        <v>127</v>
      </c>
      <c r="AD455" s="266">
        <f t="shared" si="31"/>
        <v>9.8785788514976436E-2</v>
      </c>
      <c r="AE455" s="244">
        <f t="shared" si="32"/>
        <v>0.11616126557759388</v>
      </c>
    </row>
    <row r="456" spans="4:31" x14ac:dyDescent="0.3">
      <c r="D456" s="75">
        <v>128</v>
      </c>
      <c r="E456" s="80">
        <v>5</v>
      </c>
      <c r="F456" s="80">
        <v>5</v>
      </c>
      <c r="H456" s="255" t="s">
        <v>825</v>
      </c>
      <c r="I456" s="255" t="s">
        <v>825</v>
      </c>
      <c r="J456" s="255" t="s">
        <v>825</v>
      </c>
      <c r="L456" s="255" t="s">
        <v>825</v>
      </c>
      <c r="M456" s="95"/>
      <c r="N456" s="95"/>
      <c r="O456" s="95"/>
      <c r="T456" s="256" t="s">
        <v>825</v>
      </c>
      <c r="U456" s="257" t="s">
        <v>825</v>
      </c>
      <c r="W456" s="258" t="s">
        <v>825</v>
      </c>
      <c r="X456" s="244">
        <v>5.3664732561161212E-4</v>
      </c>
      <c r="Y456" s="265">
        <f t="shared" si="29"/>
        <v>66</v>
      </c>
      <c r="AA456" s="265">
        <f>IF(COUNTIF($Y$329:$Y456,Y456)=1,Y456,Y456+(COUNTIF($Y$329:Y456,Y456)-1))</f>
        <v>66</v>
      </c>
      <c r="AC456" s="265">
        <f t="shared" si="30"/>
        <v>128</v>
      </c>
      <c r="AD456" s="266">
        <f t="shared" si="31"/>
        <v>9.9083528727888129E-2</v>
      </c>
      <c r="AE456" s="244">
        <f t="shared" si="32"/>
        <v>0.11616126557759388</v>
      </c>
    </row>
    <row r="457" spans="4:31" x14ac:dyDescent="0.3">
      <c r="D457" s="75">
        <v>129</v>
      </c>
      <c r="E457" s="80">
        <v>5</v>
      </c>
      <c r="F457" s="80">
        <v>5</v>
      </c>
      <c r="H457" s="255" t="s">
        <v>825</v>
      </c>
      <c r="I457" s="255" t="s">
        <v>825</v>
      </c>
      <c r="J457" s="255" t="s">
        <v>825</v>
      </c>
      <c r="L457" s="255" t="s">
        <v>825</v>
      </c>
      <c r="M457" s="95"/>
      <c r="N457" s="95"/>
      <c r="O457" s="95"/>
      <c r="T457" s="256" t="s">
        <v>825</v>
      </c>
      <c r="U457" s="257" t="s">
        <v>825</v>
      </c>
      <c r="W457" s="258" t="s">
        <v>825</v>
      </c>
      <c r="X457" s="244">
        <v>0.13212133784513935</v>
      </c>
      <c r="Y457" s="265">
        <f t="shared" si="29"/>
        <v>145</v>
      </c>
      <c r="AA457" s="265">
        <f>IF(COUNTIF($Y$329:$Y457,Y457)=1,Y457,Y457+(COUNTIF($Y$329:Y457,Y457)-1))</f>
        <v>145</v>
      </c>
      <c r="AC457" s="265">
        <f t="shared" si="30"/>
        <v>129</v>
      </c>
      <c r="AD457" s="266">
        <f t="shared" si="31"/>
        <v>0.10419928517141396</v>
      </c>
      <c r="AE457" s="244">
        <f t="shared" ref="AE457:AE486" si="33">$AE$326</f>
        <v>0.11616126557759388</v>
      </c>
    </row>
    <row r="458" spans="4:31" x14ac:dyDescent="0.3">
      <c r="D458" s="75">
        <v>130</v>
      </c>
      <c r="E458" s="80">
        <v>5</v>
      </c>
      <c r="F458" s="80">
        <v>5</v>
      </c>
      <c r="H458" s="255" t="s">
        <v>825</v>
      </c>
      <c r="I458" s="255" t="s">
        <v>825</v>
      </c>
      <c r="J458" s="255" t="s">
        <v>825</v>
      </c>
      <c r="L458" s="255" t="s">
        <v>825</v>
      </c>
      <c r="M458" s="95"/>
      <c r="N458" s="95"/>
      <c r="O458" s="95"/>
      <c r="T458" s="256" t="s">
        <v>825</v>
      </c>
      <c r="U458" s="257" t="s">
        <v>825</v>
      </c>
      <c r="W458" s="258" t="s">
        <v>825</v>
      </c>
      <c r="X458" s="244">
        <v>0.13843169137907832</v>
      </c>
      <c r="Y458" s="265">
        <f t="shared" ref="Y458:Y486" si="34">RANK($X458,$X$329:$X$486,-1)</f>
        <v>148</v>
      </c>
      <c r="AA458" s="265">
        <f>IF(COUNTIF($Y$329:$Y458,Y458)=1,Y458,Y458+(COUNTIF($Y$329:Y458,Y458)-1))</f>
        <v>148</v>
      </c>
      <c r="AC458" s="265">
        <f t="shared" ref="AC458:AC486" si="35">N(AC457)+1</f>
        <v>130</v>
      </c>
      <c r="AD458" s="266">
        <f t="shared" ref="AD458:AD486" si="36">INDEX($X$329:$X$486,MATCH(AC458,$AA$329:$AA$486,0))</f>
        <v>0.10428636402736267</v>
      </c>
      <c r="AE458" s="244">
        <f t="shared" si="33"/>
        <v>0.11616126557759388</v>
      </c>
    </row>
    <row r="459" spans="4:31" x14ac:dyDescent="0.3">
      <c r="D459" s="75">
        <v>131</v>
      </c>
      <c r="E459" s="80">
        <v>5</v>
      </c>
      <c r="F459" s="80">
        <v>5</v>
      </c>
      <c r="H459" s="255" t="s">
        <v>825</v>
      </c>
      <c r="I459" s="255" t="s">
        <v>825</v>
      </c>
      <c r="J459" s="255" t="s">
        <v>825</v>
      </c>
      <c r="L459" s="255" t="s">
        <v>825</v>
      </c>
      <c r="M459" s="95"/>
      <c r="N459" s="95"/>
      <c r="O459" s="95"/>
      <c r="T459" s="256" t="s">
        <v>825</v>
      </c>
      <c r="U459" s="257" t="s">
        <v>825</v>
      </c>
      <c r="W459" s="258" t="s">
        <v>825</v>
      </c>
      <c r="X459" s="244">
        <v>9.8724947229460569E-2</v>
      </c>
      <c r="Y459" s="265">
        <f t="shared" si="34"/>
        <v>126</v>
      </c>
      <c r="AA459" s="265">
        <f>IF(COUNTIF($Y$329:$Y459,Y459)=1,Y459,Y459+(COUNTIF($Y$329:Y459,Y459)-1))</f>
        <v>126</v>
      </c>
      <c r="AC459" s="265">
        <f t="shared" si="35"/>
        <v>131</v>
      </c>
      <c r="AD459" s="266">
        <f t="shared" si="36"/>
        <v>0.1047611458736354</v>
      </c>
      <c r="AE459" s="244">
        <f t="shared" si="33"/>
        <v>0.11616126557759388</v>
      </c>
    </row>
    <row r="460" spans="4:31" x14ac:dyDescent="0.3">
      <c r="D460" s="75">
        <v>132</v>
      </c>
      <c r="E460" s="80">
        <v>5</v>
      </c>
      <c r="F460" s="80">
        <v>5</v>
      </c>
      <c r="H460" s="255" t="s">
        <v>825</v>
      </c>
      <c r="I460" s="255" t="s">
        <v>825</v>
      </c>
      <c r="J460" s="255" t="s">
        <v>825</v>
      </c>
      <c r="L460" s="255" t="s">
        <v>825</v>
      </c>
      <c r="M460" s="95"/>
      <c r="N460" s="95"/>
      <c r="O460" s="95"/>
      <c r="T460" s="256" t="s">
        <v>825</v>
      </c>
      <c r="U460" s="257" t="s">
        <v>825</v>
      </c>
      <c r="W460" s="258" t="s">
        <v>825</v>
      </c>
      <c r="X460" s="244">
        <v>0.12152599874119938</v>
      </c>
      <c r="Y460" s="265">
        <f t="shared" si="34"/>
        <v>141</v>
      </c>
      <c r="AA460" s="265">
        <f>IF(COUNTIF($Y$329:$Y460,Y460)=1,Y460,Y460+(COUNTIF($Y$329:Y460,Y460)-1))</f>
        <v>141</v>
      </c>
      <c r="AC460" s="265">
        <f t="shared" si="35"/>
        <v>132</v>
      </c>
      <c r="AD460" s="266">
        <f t="shared" si="36"/>
        <v>0.10686706608017511</v>
      </c>
      <c r="AE460" s="244">
        <f t="shared" si="33"/>
        <v>0.11616126557759388</v>
      </c>
    </row>
    <row r="461" spans="4:31" x14ac:dyDescent="0.3">
      <c r="D461" s="75">
        <v>133</v>
      </c>
      <c r="E461" s="80">
        <v>5</v>
      </c>
      <c r="F461" s="80">
        <v>5</v>
      </c>
      <c r="H461" s="255" t="s">
        <v>825</v>
      </c>
      <c r="I461" s="255" t="s">
        <v>825</v>
      </c>
      <c r="J461" s="255" t="s">
        <v>825</v>
      </c>
      <c r="L461" s="255" t="s">
        <v>825</v>
      </c>
      <c r="M461" s="95"/>
      <c r="N461" s="95"/>
      <c r="O461" s="95"/>
      <c r="T461" s="256" t="s">
        <v>825</v>
      </c>
      <c r="U461" s="257" t="s">
        <v>825</v>
      </c>
      <c r="W461" s="258" t="s">
        <v>825</v>
      </c>
      <c r="X461" s="244">
        <v>0.11641888680371618</v>
      </c>
      <c r="Y461" s="265">
        <f t="shared" si="34"/>
        <v>138</v>
      </c>
      <c r="AA461" s="265">
        <f>IF(COUNTIF($Y$329:$Y461,Y461)=1,Y461,Y461+(COUNTIF($Y$329:Y461,Y461)-1))</f>
        <v>138</v>
      </c>
      <c r="AC461" s="265">
        <f t="shared" si="35"/>
        <v>133</v>
      </c>
      <c r="AD461" s="266">
        <f t="shared" si="36"/>
        <v>0.10792535792414985</v>
      </c>
      <c r="AE461" s="244">
        <f t="shared" si="33"/>
        <v>0.11616126557759388</v>
      </c>
    </row>
    <row r="462" spans="4:31" x14ac:dyDescent="0.3">
      <c r="D462" s="75">
        <v>134</v>
      </c>
      <c r="E462" s="80">
        <v>5</v>
      </c>
      <c r="F462" s="80">
        <v>5</v>
      </c>
      <c r="H462" s="255" t="s">
        <v>825</v>
      </c>
      <c r="I462" s="255" t="s">
        <v>825</v>
      </c>
      <c r="J462" s="255" t="s">
        <v>825</v>
      </c>
      <c r="L462" s="255" t="s">
        <v>825</v>
      </c>
      <c r="M462" s="95"/>
      <c r="N462" s="95"/>
      <c r="O462" s="95"/>
      <c r="T462" s="256" t="s">
        <v>825</v>
      </c>
      <c r="U462" s="257" t="s">
        <v>825</v>
      </c>
      <c r="W462" s="258" t="s">
        <v>825</v>
      </c>
      <c r="X462" s="244">
        <v>0.1481098464494946</v>
      </c>
      <c r="Y462" s="265">
        <f t="shared" si="34"/>
        <v>150</v>
      </c>
      <c r="AA462" s="265">
        <f>IF(COUNTIF($Y$329:$Y462,Y462)=1,Y462,Y462+(COUNTIF($Y$329:Y462,Y462)-1))</f>
        <v>150</v>
      </c>
      <c r="AC462" s="265">
        <f t="shared" si="35"/>
        <v>134</v>
      </c>
      <c r="AD462" s="266">
        <f t="shared" si="36"/>
        <v>0.10956414965487932</v>
      </c>
      <c r="AE462" s="244">
        <f t="shared" si="33"/>
        <v>0.11616126557759388</v>
      </c>
    </row>
    <row r="463" spans="4:31" x14ac:dyDescent="0.3">
      <c r="D463" s="75">
        <v>135</v>
      </c>
      <c r="E463" s="80">
        <v>5</v>
      </c>
      <c r="F463" s="80">
        <v>5</v>
      </c>
      <c r="H463" s="255" t="s">
        <v>825</v>
      </c>
      <c r="I463" s="255" t="s">
        <v>825</v>
      </c>
      <c r="J463" s="255" t="s">
        <v>825</v>
      </c>
      <c r="L463" s="255" t="s">
        <v>825</v>
      </c>
      <c r="M463" s="95"/>
      <c r="N463" s="95"/>
      <c r="O463" s="95"/>
      <c r="T463" s="256" t="s">
        <v>825</v>
      </c>
      <c r="U463" s="257" t="s">
        <v>825</v>
      </c>
      <c r="W463" s="258" t="s">
        <v>825</v>
      </c>
      <c r="X463" s="244">
        <v>0.11920060135667322</v>
      </c>
      <c r="Y463" s="265">
        <f t="shared" si="34"/>
        <v>140</v>
      </c>
      <c r="AA463" s="265">
        <f>IF(COUNTIF($Y$329:$Y463,Y463)=1,Y463,Y463+(COUNTIF($Y$329:Y463,Y463)-1))</f>
        <v>140</v>
      </c>
      <c r="AC463" s="265">
        <f t="shared" si="35"/>
        <v>135</v>
      </c>
      <c r="AD463" s="266">
        <f t="shared" si="36"/>
        <v>0.10960112993469406</v>
      </c>
      <c r="AE463" s="244">
        <f t="shared" si="33"/>
        <v>0.11616126557759388</v>
      </c>
    </row>
    <row r="464" spans="4:31" x14ac:dyDescent="0.3">
      <c r="D464" s="75">
        <v>136</v>
      </c>
      <c r="E464" s="80">
        <v>5</v>
      </c>
      <c r="F464" s="80">
        <v>5</v>
      </c>
      <c r="H464" s="255" t="s">
        <v>825</v>
      </c>
      <c r="I464" s="255" t="s">
        <v>825</v>
      </c>
      <c r="J464" s="255" t="s">
        <v>825</v>
      </c>
      <c r="L464" s="255" t="s">
        <v>825</v>
      </c>
      <c r="M464" s="95"/>
      <c r="N464" s="95"/>
      <c r="O464" s="95"/>
      <c r="T464" s="256" t="s">
        <v>825</v>
      </c>
      <c r="U464" s="257" t="s">
        <v>825</v>
      </c>
      <c r="W464" s="258" t="s">
        <v>825</v>
      </c>
      <c r="X464" s="244">
        <v>0.15285410395298502</v>
      </c>
      <c r="Y464" s="265">
        <f t="shared" si="34"/>
        <v>154</v>
      </c>
      <c r="AA464" s="265">
        <f>IF(COUNTIF($Y$329:$Y464,Y464)=1,Y464,Y464+(COUNTIF($Y$329:Y464,Y464)-1))</f>
        <v>154</v>
      </c>
      <c r="AC464" s="265">
        <f t="shared" si="35"/>
        <v>136</v>
      </c>
      <c r="AD464" s="266">
        <f t="shared" si="36"/>
        <v>0.11222585865677707</v>
      </c>
      <c r="AE464" s="244">
        <f t="shared" si="33"/>
        <v>0.11616126557759388</v>
      </c>
    </row>
    <row r="465" spans="4:31" x14ac:dyDescent="0.3">
      <c r="D465" s="75">
        <v>137</v>
      </c>
      <c r="E465" s="80">
        <v>5</v>
      </c>
      <c r="F465" s="80">
        <v>5</v>
      </c>
      <c r="H465" s="255" t="s">
        <v>825</v>
      </c>
      <c r="I465" s="255" t="s">
        <v>825</v>
      </c>
      <c r="J465" s="255" t="s">
        <v>825</v>
      </c>
      <c r="L465" s="255" t="s">
        <v>825</v>
      </c>
      <c r="M465" s="95"/>
      <c r="N465" s="95"/>
      <c r="O465" s="95"/>
      <c r="T465" s="256" t="s">
        <v>825</v>
      </c>
      <c r="U465" s="257" t="s">
        <v>825</v>
      </c>
      <c r="W465" s="258" t="s">
        <v>825</v>
      </c>
      <c r="X465" s="244">
        <v>3.1189258160179024E-2</v>
      </c>
      <c r="Y465" s="265">
        <f t="shared" si="34"/>
        <v>80</v>
      </c>
      <c r="AA465" s="265">
        <f>IF(COUNTIF($Y$329:$Y465,Y465)=1,Y465,Y465+(COUNTIF($Y$329:Y465,Y465)-1))</f>
        <v>80</v>
      </c>
      <c r="AC465" s="265">
        <f t="shared" si="35"/>
        <v>137</v>
      </c>
      <c r="AD465" s="266">
        <f t="shared" si="36"/>
        <v>0.11629753848340627</v>
      </c>
      <c r="AE465" s="244">
        <f t="shared" si="33"/>
        <v>0.11616126557759388</v>
      </c>
    </row>
    <row r="466" spans="4:31" x14ac:dyDescent="0.3">
      <c r="D466" s="75">
        <v>138</v>
      </c>
      <c r="E466" s="80">
        <v>5</v>
      </c>
      <c r="F466" s="80">
        <v>5</v>
      </c>
      <c r="H466" s="255" t="s">
        <v>825</v>
      </c>
      <c r="I466" s="255" t="s">
        <v>825</v>
      </c>
      <c r="J466" s="255" t="s">
        <v>825</v>
      </c>
      <c r="L466" s="255" t="s">
        <v>825</v>
      </c>
      <c r="M466" s="95"/>
      <c r="N466" s="95"/>
      <c r="O466" s="95"/>
      <c r="T466" s="256" t="s">
        <v>825</v>
      </c>
      <c r="U466" s="257" t="s">
        <v>825</v>
      </c>
      <c r="W466" s="258" t="s">
        <v>825</v>
      </c>
      <c r="X466" s="244">
        <v>5.5026092062042835E-2</v>
      </c>
      <c r="Y466" s="265">
        <f t="shared" si="34"/>
        <v>101</v>
      </c>
      <c r="AA466" s="265">
        <f>IF(COUNTIF($Y$329:$Y466,Y466)=1,Y466,Y466+(COUNTIF($Y$329:Y466,Y466)-1))</f>
        <v>101</v>
      </c>
      <c r="AC466" s="265">
        <f t="shared" si="35"/>
        <v>138</v>
      </c>
      <c r="AD466" s="266">
        <f t="shared" si="36"/>
        <v>0.11641888680371618</v>
      </c>
      <c r="AE466" s="244">
        <f t="shared" si="33"/>
        <v>0.11616126557759388</v>
      </c>
    </row>
    <row r="467" spans="4:31" x14ac:dyDescent="0.3">
      <c r="D467" s="75">
        <v>139</v>
      </c>
      <c r="E467" s="80">
        <v>5</v>
      </c>
      <c r="F467" s="80">
        <v>5</v>
      </c>
      <c r="H467" s="255" t="s">
        <v>825</v>
      </c>
      <c r="I467" s="255" t="s">
        <v>825</v>
      </c>
      <c r="J467" s="255" t="s">
        <v>825</v>
      </c>
      <c r="L467" s="255" t="s">
        <v>825</v>
      </c>
      <c r="M467" s="95"/>
      <c r="N467" s="95"/>
      <c r="O467" s="95"/>
      <c r="T467" s="256" t="s">
        <v>825</v>
      </c>
      <c r="U467" s="257" t="s">
        <v>825</v>
      </c>
      <c r="W467" s="258" t="s">
        <v>825</v>
      </c>
      <c r="X467" s="244">
        <v>7.7790216059860973E-2</v>
      </c>
      <c r="Y467" s="265">
        <f t="shared" si="34"/>
        <v>112</v>
      </c>
      <c r="AA467" s="265">
        <f>IF(COUNTIF($Y$329:$Y467,Y467)=1,Y467,Y467+(COUNTIF($Y$329:Y467,Y467)-1))</f>
        <v>112</v>
      </c>
      <c r="AC467" s="265">
        <f t="shared" si="35"/>
        <v>139</v>
      </c>
      <c r="AD467" s="266">
        <f t="shared" si="36"/>
        <v>0.1183477291261559</v>
      </c>
      <c r="AE467" s="244">
        <f t="shared" si="33"/>
        <v>0.11616126557759388</v>
      </c>
    </row>
    <row r="468" spans="4:31" x14ac:dyDescent="0.3">
      <c r="D468" s="75">
        <v>140</v>
      </c>
      <c r="E468" s="80">
        <v>5</v>
      </c>
      <c r="F468" s="80">
        <v>5</v>
      </c>
      <c r="H468" s="255" t="s">
        <v>825</v>
      </c>
      <c r="I468" s="255" t="s">
        <v>825</v>
      </c>
      <c r="J468" s="255" t="s">
        <v>825</v>
      </c>
      <c r="L468" s="255" t="s">
        <v>825</v>
      </c>
      <c r="M468" s="95"/>
      <c r="N468" s="95"/>
      <c r="O468" s="95"/>
      <c r="T468" s="256" t="s">
        <v>825</v>
      </c>
      <c r="U468" s="257" t="s">
        <v>825</v>
      </c>
      <c r="W468" s="258" t="s">
        <v>825</v>
      </c>
      <c r="X468" s="244">
        <v>0.15578734032871708</v>
      </c>
      <c r="Y468" s="265">
        <f t="shared" si="34"/>
        <v>155</v>
      </c>
      <c r="AA468" s="265">
        <f>IF(COUNTIF($Y$329:$Y468,Y468)=1,Y468,Y468+(COUNTIF($Y$329:Y468,Y468)-1))</f>
        <v>155</v>
      </c>
      <c r="AC468" s="265">
        <f t="shared" si="35"/>
        <v>140</v>
      </c>
      <c r="AD468" s="266">
        <f t="shared" si="36"/>
        <v>0.11920060135667322</v>
      </c>
      <c r="AE468" s="244">
        <f t="shared" si="33"/>
        <v>0.11616126557759388</v>
      </c>
    </row>
    <row r="469" spans="4:31" x14ac:dyDescent="0.3">
      <c r="D469" s="75">
        <v>141</v>
      </c>
      <c r="E469" s="80">
        <v>5</v>
      </c>
      <c r="F469" s="80">
        <v>5</v>
      </c>
      <c r="H469" s="255" t="s">
        <v>825</v>
      </c>
      <c r="I469" s="255" t="s">
        <v>825</v>
      </c>
      <c r="J469" s="255" t="s">
        <v>825</v>
      </c>
      <c r="L469" s="255" t="s">
        <v>825</v>
      </c>
      <c r="M469" s="95"/>
      <c r="N469" s="95"/>
      <c r="O469" s="95"/>
      <c r="T469" s="256" t="s">
        <v>825</v>
      </c>
      <c r="U469" s="257" t="s">
        <v>825</v>
      </c>
      <c r="W469" s="258" t="s">
        <v>825</v>
      </c>
      <c r="X469" s="244">
        <v>0.15817316694797981</v>
      </c>
      <c r="Y469" s="265">
        <f t="shared" si="34"/>
        <v>156</v>
      </c>
      <c r="AA469" s="265">
        <f>IF(COUNTIF($Y$329:$Y469,Y469)=1,Y469,Y469+(COUNTIF($Y$329:Y469,Y469)-1))</f>
        <v>156</v>
      </c>
      <c r="AC469" s="265">
        <f t="shared" si="35"/>
        <v>141</v>
      </c>
      <c r="AD469" s="266">
        <f t="shared" si="36"/>
        <v>0.12152599874119938</v>
      </c>
      <c r="AE469" s="244">
        <f t="shared" si="33"/>
        <v>0.11616126557759388</v>
      </c>
    </row>
    <row r="470" spans="4:31" x14ac:dyDescent="0.3">
      <c r="D470" s="75">
        <v>142</v>
      </c>
      <c r="E470" s="80">
        <v>5</v>
      </c>
      <c r="F470" s="80">
        <v>5</v>
      </c>
      <c r="H470" s="255" t="s">
        <v>825</v>
      </c>
      <c r="I470" s="255" t="s">
        <v>825</v>
      </c>
      <c r="J470" s="255" t="s">
        <v>825</v>
      </c>
      <c r="L470" s="255" t="s">
        <v>825</v>
      </c>
      <c r="M470" s="95"/>
      <c r="N470" s="95"/>
      <c r="O470" s="95"/>
      <c r="T470" s="256" t="s">
        <v>825</v>
      </c>
      <c r="U470" s="257" t="s">
        <v>825</v>
      </c>
      <c r="W470" s="258" t="s">
        <v>825</v>
      </c>
      <c r="X470" s="244">
        <v>0.1638476894120138</v>
      </c>
      <c r="Y470" s="265">
        <f t="shared" si="34"/>
        <v>157</v>
      </c>
      <c r="AA470" s="265">
        <f>IF(COUNTIF($Y$329:$Y470,Y470)=1,Y470,Y470+(COUNTIF($Y$329:Y470,Y470)-1))</f>
        <v>157</v>
      </c>
      <c r="AC470" s="265">
        <f t="shared" si="35"/>
        <v>142</v>
      </c>
      <c r="AD470" s="266">
        <f t="shared" si="36"/>
        <v>0.1223740276355535</v>
      </c>
      <c r="AE470" s="244">
        <f t="shared" si="33"/>
        <v>0.11616126557759388</v>
      </c>
    </row>
    <row r="471" spans="4:31" x14ac:dyDescent="0.3">
      <c r="D471" s="75">
        <v>143</v>
      </c>
      <c r="E471" s="80">
        <v>5</v>
      </c>
      <c r="F471" s="80">
        <v>5</v>
      </c>
      <c r="H471" s="255" t="s">
        <v>825</v>
      </c>
      <c r="I471" s="255" t="s">
        <v>825</v>
      </c>
      <c r="J471" s="255" t="s">
        <v>825</v>
      </c>
      <c r="L471" s="255" t="s">
        <v>825</v>
      </c>
      <c r="M471" s="95"/>
      <c r="N471" s="95"/>
      <c r="O471" s="95"/>
      <c r="T471" s="256" t="s">
        <v>825</v>
      </c>
      <c r="U471" s="257" t="s">
        <v>825</v>
      </c>
      <c r="W471" s="258" t="s">
        <v>825</v>
      </c>
      <c r="X471" s="244">
        <v>5.8062030732116174E-2</v>
      </c>
      <c r="Y471" s="265">
        <f t="shared" si="34"/>
        <v>105</v>
      </c>
      <c r="AA471" s="265">
        <f>IF(COUNTIF($Y$329:$Y471,Y471)=1,Y471,Y471+(COUNTIF($Y$329:Y471,Y471)-1))</f>
        <v>105</v>
      </c>
      <c r="AC471" s="265">
        <f t="shared" si="35"/>
        <v>143</v>
      </c>
      <c r="AD471" s="266">
        <f t="shared" si="36"/>
        <v>0.12255590920424046</v>
      </c>
      <c r="AE471" s="244">
        <f t="shared" si="33"/>
        <v>0.11616126557759388</v>
      </c>
    </row>
    <row r="472" spans="4:31" x14ac:dyDescent="0.3">
      <c r="D472" s="75">
        <v>144</v>
      </c>
      <c r="E472" s="80">
        <v>5</v>
      </c>
      <c r="F472" s="80">
        <v>5</v>
      </c>
      <c r="H472" s="255" t="s">
        <v>825</v>
      </c>
      <c r="I472" s="255" t="s">
        <v>825</v>
      </c>
      <c r="J472" s="255" t="s">
        <v>825</v>
      </c>
      <c r="L472" s="255" t="s">
        <v>825</v>
      </c>
      <c r="M472" s="95"/>
      <c r="N472" s="95"/>
      <c r="O472" s="95"/>
      <c r="T472" s="256" t="s">
        <v>825</v>
      </c>
      <c r="U472" s="257" t="s">
        <v>825</v>
      </c>
      <c r="W472" s="258" t="s">
        <v>825</v>
      </c>
      <c r="X472" s="244">
        <v>0.14267233675040533</v>
      </c>
      <c r="Y472" s="265">
        <f t="shared" si="34"/>
        <v>149</v>
      </c>
      <c r="AA472" s="265">
        <f>IF(COUNTIF($Y$329:$Y472,Y472)=1,Y472,Y472+(COUNTIF($Y$329:Y472,Y472)-1))</f>
        <v>149</v>
      </c>
      <c r="AC472" s="265">
        <f t="shared" si="35"/>
        <v>144</v>
      </c>
      <c r="AD472" s="266">
        <f t="shared" si="36"/>
        <v>0.12779145997458369</v>
      </c>
      <c r="AE472" s="244">
        <f t="shared" si="33"/>
        <v>0.11616126557759388</v>
      </c>
    </row>
    <row r="473" spans="4:31" x14ac:dyDescent="0.3">
      <c r="D473" s="75">
        <v>145</v>
      </c>
      <c r="E473" s="80">
        <v>5</v>
      </c>
      <c r="F473" s="80">
        <v>5</v>
      </c>
      <c r="H473" s="255" t="s">
        <v>825</v>
      </c>
      <c r="I473" s="255" t="s">
        <v>825</v>
      </c>
      <c r="J473" s="255" t="s">
        <v>825</v>
      </c>
      <c r="L473" s="255" t="s">
        <v>825</v>
      </c>
      <c r="M473" s="95"/>
      <c r="N473" s="95"/>
      <c r="O473" s="95"/>
      <c r="T473" s="256" t="s">
        <v>825</v>
      </c>
      <c r="U473" s="257" t="s">
        <v>825</v>
      </c>
      <c r="W473" s="258" t="s">
        <v>825</v>
      </c>
      <c r="X473" s="244">
        <v>0.13723414992268385</v>
      </c>
      <c r="Y473" s="265">
        <f t="shared" si="34"/>
        <v>147</v>
      </c>
      <c r="AA473" s="265">
        <f>IF(COUNTIF($Y$329:$Y473,Y473)=1,Y473,Y473+(COUNTIF($Y$329:Y473,Y473)-1))</f>
        <v>147</v>
      </c>
      <c r="AC473" s="265">
        <f t="shared" si="35"/>
        <v>145</v>
      </c>
      <c r="AD473" s="266">
        <f t="shared" si="36"/>
        <v>0.13212133784513935</v>
      </c>
      <c r="AE473" s="244">
        <f t="shared" si="33"/>
        <v>0.11616126557759388</v>
      </c>
    </row>
    <row r="474" spans="4:31" x14ac:dyDescent="0.3">
      <c r="D474" s="75">
        <v>146</v>
      </c>
      <c r="E474" s="80">
        <v>5</v>
      </c>
      <c r="F474" s="80">
        <v>5</v>
      </c>
      <c r="H474" s="255" t="s">
        <v>825</v>
      </c>
      <c r="I474" s="255" t="s">
        <v>825</v>
      </c>
      <c r="J474" s="255" t="s">
        <v>825</v>
      </c>
      <c r="L474" s="255" t="s">
        <v>825</v>
      </c>
      <c r="M474" s="95"/>
      <c r="N474" s="95"/>
      <c r="O474" s="95"/>
      <c r="T474" s="256" t="s">
        <v>825</v>
      </c>
      <c r="U474" s="257" t="s">
        <v>825</v>
      </c>
      <c r="W474" s="258" t="s">
        <v>825</v>
      </c>
      <c r="X474" s="244">
        <v>0.14905020976594638</v>
      </c>
      <c r="Y474" s="265">
        <f t="shared" si="34"/>
        <v>151</v>
      </c>
      <c r="AA474" s="265">
        <f>IF(COUNTIF($Y$329:$Y474,Y474)=1,Y474,Y474+(COUNTIF($Y$329:Y474,Y474)-1))</f>
        <v>151</v>
      </c>
      <c r="AC474" s="265">
        <f t="shared" si="35"/>
        <v>146</v>
      </c>
      <c r="AD474" s="266">
        <f t="shared" si="36"/>
        <v>0.13600207644099793</v>
      </c>
      <c r="AE474" s="244">
        <f t="shared" si="33"/>
        <v>0.11616126557759388</v>
      </c>
    </row>
    <row r="475" spans="4:31" x14ac:dyDescent="0.3">
      <c r="D475" s="75">
        <v>147</v>
      </c>
      <c r="E475" s="80">
        <v>5</v>
      </c>
      <c r="F475" s="80">
        <v>5</v>
      </c>
      <c r="H475" s="255" t="s">
        <v>825</v>
      </c>
      <c r="I475" s="255" t="s">
        <v>825</v>
      </c>
      <c r="J475" s="255" t="s">
        <v>825</v>
      </c>
      <c r="L475" s="255" t="s">
        <v>825</v>
      </c>
      <c r="M475" s="95"/>
      <c r="N475" s="95"/>
      <c r="O475" s="95"/>
      <c r="T475" s="256" t="s">
        <v>825</v>
      </c>
      <c r="U475" s="257" t="s">
        <v>825</v>
      </c>
      <c r="W475" s="258" t="s">
        <v>825</v>
      </c>
      <c r="X475" s="244">
        <v>0.1183477291261559</v>
      </c>
      <c r="Y475" s="265">
        <f t="shared" si="34"/>
        <v>139</v>
      </c>
      <c r="AA475" s="265">
        <f>IF(COUNTIF($Y$329:$Y475,Y475)=1,Y475,Y475+(COUNTIF($Y$329:Y475,Y475)-1))</f>
        <v>139</v>
      </c>
      <c r="AC475" s="265">
        <f t="shared" si="35"/>
        <v>147</v>
      </c>
      <c r="AD475" s="266">
        <f t="shared" si="36"/>
        <v>0.13723414992268385</v>
      </c>
      <c r="AE475" s="244">
        <f t="shared" si="33"/>
        <v>0.11616126557759388</v>
      </c>
    </row>
    <row r="476" spans="4:31" x14ac:dyDescent="0.3">
      <c r="D476" s="75">
        <v>148</v>
      </c>
      <c r="E476" s="80">
        <v>5</v>
      </c>
      <c r="F476" s="80">
        <v>5</v>
      </c>
      <c r="H476" s="255" t="s">
        <v>825</v>
      </c>
      <c r="I476" s="255" t="s">
        <v>825</v>
      </c>
      <c r="J476" s="255" t="s">
        <v>825</v>
      </c>
      <c r="L476" s="255" t="s">
        <v>825</v>
      </c>
      <c r="M476" s="95"/>
      <c r="N476" s="95"/>
      <c r="O476" s="95"/>
      <c r="T476" s="256" t="s">
        <v>825</v>
      </c>
      <c r="U476" s="257" t="s">
        <v>825</v>
      </c>
      <c r="W476" s="258" t="s">
        <v>825</v>
      </c>
      <c r="X476" s="244">
        <v>0.12779145997458369</v>
      </c>
      <c r="Y476" s="265">
        <f t="shared" si="34"/>
        <v>144</v>
      </c>
      <c r="AA476" s="265">
        <f>IF(COUNTIF($Y$329:$Y476,Y476)=1,Y476,Y476+(COUNTIF($Y$329:Y476,Y476)-1))</f>
        <v>144</v>
      </c>
      <c r="AC476" s="265">
        <f t="shared" si="35"/>
        <v>148</v>
      </c>
      <c r="AD476" s="266">
        <f t="shared" si="36"/>
        <v>0.13843169137907832</v>
      </c>
      <c r="AE476" s="244">
        <f t="shared" si="33"/>
        <v>0.11616126557759388</v>
      </c>
    </row>
    <row r="477" spans="4:31" x14ac:dyDescent="0.3">
      <c r="D477" s="75">
        <v>149</v>
      </c>
      <c r="E477" s="80">
        <v>5</v>
      </c>
      <c r="F477" s="80">
        <v>5</v>
      </c>
      <c r="H477" s="255" t="s">
        <v>825</v>
      </c>
      <c r="I477" s="255" t="s">
        <v>825</v>
      </c>
      <c r="J477" s="255" t="s">
        <v>825</v>
      </c>
      <c r="L477" s="255" t="s">
        <v>825</v>
      </c>
      <c r="M477" s="95"/>
      <c r="N477" s="95"/>
      <c r="O477" s="95"/>
      <c r="T477" s="256" t="s">
        <v>825</v>
      </c>
      <c r="U477" s="257" t="s">
        <v>825</v>
      </c>
      <c r="W477" s="258" t="s">
        <v>825</v>
      </c>
      <c r="X477" s="244">
        <v>0.17234468931752367</v>
      </c>
      <c r="Y477" s="265">
        <f t="shared" si="34"/>
        <v>158</v>
      </c>
      <c r="AA477" s="265">
        <f>IF(COUNTIF($Y$329:$Y477,Y477)=1,Y477,Y477+(COUNTIF($Y$329:Y477,Y477)-1))</f>
        <v>158</v>
      </c>
      <c r="AC477" s="265">
        <f t="shared" si="35"/>
        <v>149</v>
      </c>
      <c r="AD477" s="266">
        <f t="shared" si="36"/>
        <v>0.14267233675040533</v>
      </c>
      <c r="AE477" s="244">
        <f t="shared" si="33"/>
        <v>0.11616126557759388</v>
      </c>
    </row>
    <row r="478" spans="4:31" x14ac:dyDescent="0.3">
      <c r="D478" s="75">
        <v>150</v>
      </c>
      <c r="E478" s="80">
        <v>5</v>
      </c>
      <c r="F478" s="80">
        <v>5</v>
      </c>
      <c r="H478" s="255" t="s">
        <v>825</v>
      </c>
      <c r="I478" s="255" t="s">
        <v>825</v>
      </c>
      <c r="J478" s="255" t="s">
        <v>825</v>
      </c>
      <c r="L478" s="255" t="s">
        <v>825</v>
      </c>
      <c r="M478" s="95"/>
      <c r="N478" s="95"/>
      <c r="O478" s="95"/>
      <c r="T478" s="256" t="s">
        <v>825</v>
      </c>
      <c r="U478" s="257" t="s">
        <v>825</v>
      </c>
      <c r="W478" s="258" t="s">
        <v>825</v>
      </c>
      <c r="X478" s="244">
        <v>0.1047611458736354</v>
      </c>
      <c r="Y478" s="265">
        <f t="shared" si="34"/>
        <v>131</v>
      </c>
      <c r="AA478" s="265">
        <f>IF(COUNTIF($Y$329:$Y478,Y478)=1,Y478,Y478+(COUNTIF($Y$329:Y478,Y478)-1))</f>
        <v>131</v>
      </c>
      <c r="AC478" s="265">
        <f t="shared" si="35"/>
        <v>150</v>
      </c>
      <c r="AD478" s="266">
        <f t="shared" si="36"/>
        <v>0.1481098464494946</v>
      </c>
      <c r="AE478" s="244">
        <f t="shared" si="33"/>
        <v>0.11616126557759388</v>
      </c>
    </row>
    <row r="479" spans="4:31" x14ac:dyDescent="0.3">
      <c r="D479" s="75">
        <v>151</v>
      </c>
      <c r="E479" s="80">
        <v>5</v>
      </c>
      <c r="F479" s="80">
        <v>5</v>
      </c>
      <c r="H479" s="255" t="s">
        <v>825</v>
      </c>
      <c r="I479" s="255" t="s">
        <v>825</v>
      </c>
      <c r="J479" s="255" t="s">
        <v>825</v>
      </c>
      <c r="L479" s="255" t="s">
        <v>825</v>
      </c>
      <c r="M479" s="95"/>
      <c r="N479" s="95"/>
      <c r="O479" s="95"/>
      <c r="T479" s="256" t="s">
        <v>825</v>
      </c>
      <c r="U479" s="257" t="s">
        <v>825</v>
      </c>
      <c r="W479" s="258" t="s">
        <v>825</v>
      </c>
      <c r="X479" s="244">
        <v>5.3020024070746422E-2</v>
      </c>
      <c r="Y479" s="265">
        <f t="shared" si="34"/>
        <v>99</v>
      </c>
      <c r="AA479" s="265">
        <f>IF(COUNTIF($Y$329:$Y479,Y479)=1,Y479,Y479+(COUNTIF($Y$329:Y479,Y479)-1))</f>
        <v>99</v>
      </c>
      <c r="AC479" s="265">
        <f t="shared" si="35"/>
        <v>151</v>
      </c>
      <c r="AD479" s="266">
        <f t="shared" si="36"/>
        <v>0.14905020976594638</v>
      </c>
      <c r="AE479" s="244">
        <f t="shared" si="33"/>
        <v>0.11616126557759388</v>
      </c>
    </row>
    <row r="480" spans="4:31" x14ac:dyDescent="0.3">
      <c r="D480" s="75">
        <v>152</v>
      </c>
      <c r="E480" s="80">
        <v>5</v>
      </c>
      <c r="F480" s="80">
        <v>5</v>
      </c>
      <c r="H480" s="255" t="s">
        <v>825</v>
      </c>
      <c r="I480" s="255" t="s">
        <v>825</v>
      </c>
      <c r="J480" s="255" t="s">
        <v>825</v>
      </c>
      <c r="L480" s="255" t="s">
        <v>825</v>
      </c>
      <c r="M480" s="95"/>
      <c r="N480" s="95"/>
      <c r="O480" s="95"/>
      <c r="T480" s="256" t="s">
        <v>825</v>
      </c>
      <c r="U480" s="257" t="s">
        <v>825</v>
      </c>
      <c r="W480" s="258" t="s">
        <v>825</v>
      </c>
      <c r="X480" s="244">
        <v>9.4483785812517415E-2</v>
      </c>
      <c r="Y480" s="265">
        <f t="shared" si="34"/>
        <v>121</v>
      </c>
      <c r="AA480" s="265">
        <f>IF(COUNTIF($Y$329:$Y480,Y480)=1,Y480,Y480+(COUNTIF($Y$329:Y480,Y480)-1))</f>
        <v>121</v>
      </c>
      <c r="AC480" s="265">
        <f t="shared" si="35"/>
        <v>152</v>
      </c>
      <c r="AD480" s="266">
        <f t="shared" si="36"/>
        <v>0.15042909044187461</v>
      </c>
      <c r="AE480" s="244">
        <f t="shared" si="33"/>
        <v>0.11616126557759388</v>
      </c>
    </row>
    <row r="481" spans="3:37" x14ac:dyDescent="0.3">
      <c r="D481" s="75">
        <v>153</v>
      </c>
      <c r="E481" s="80">
        <v>5</v>
      </c>
      <c r="F481" s="80">
        <v>5</v>
      </c>
      <c r="H481" s="255" t="s">
        <v>825</v>
      </c>
      <c r="I481" s="255" t="s">
        <v>825</v>
      </c>
      <c r="J481" s="255" t="s">
        <v>825</v>
      </c>
      <c r="L481" s="255" t="s">
        <v>825</v>
      </c>
      <c r="M481" s="95"/>
      <c r="N481" s="95"/>
      <c r="O481" s="95"/>
      <c r="T481" s="256" t="s">
        <v>825</v>
      </c>
      <c r="U481" s="257" t="s">
        <v>825</v>
      </c>
      <c r="W481" s="258" t="s">
        <v>825</v>
      </c>
      <c r="X481" s="244">
        <v>0.15042909044187461</v>
      </c>
      <c r="Y481" s="265">
        <f t="shared" si="34"/>
        <v>152</v>
      </c>
      <c r="AA481" s="265">
        <f>IF(COUNTIF($Y$329:$Y481,Y481)=1,Y481,Y481+(COUNTIF($Y$329:Y481,Y481)-1))</f>
        <v>152</v>
      </c>
      <c r="AC481" s="265">
        <f t="shared" si="35"/>
        <v>153</v>
      </c>
      <c r="AD481" s="266">
        <f t="shared" si="36"/>
        <v>0.15244057897123928</v>
      </c>
      <c r="AE481" s="244">
        <f t="shared" si="33"/>
        <v>0.11616126557759388</v>
      </c>
    </row>
    <row r="482" spans="3:37" x14ac:dyDescent="0.3">
      <c r="D482" s="75">
        <v>154</v>
      </c>
      <c r="E482" s="80">
        <v>5</v>
      </c>
      <c r="F482" s="80">
        <v>5</v>
      </c>
      <c r="H482" s="255" t="s">
        <v>825</v>
      </c>
      <c r="I482" s="255" t="s">
        <v>825</v>
      </c>
      <c r="J482" s="255" t="s">
        <v>825</v>
      </c>
      <c r="L482" s="255" t="s">
        <v>825</v>
      </c>
      <c r="M482" s="95"/>
      <c r="N482" s="95"/>
      <c r="O482" s="95"/>
      <c r="T482" s="256" t="s">
        <v>825</v>
      </c>
      <c r="U482" s="257" t="s">
        <v>825</v>
      </c>
      <c r="W482" s="258" t="s">
        <v>825</v>
      </c>
      <c r="X482" s="244">
        <v>0.15244057897123928</v>
      </c>
      <c r="Y482" s="265">
        <f t="shared" si="34"/>
        <v>153</v>
      </c>
      <c r="AA482" s="265">
        <f>IF(COUNTIF($Y$329:$Y482,Y482)=1,Y482,Y482+(COUNTIF($Y$329:Y482,Y482)-1))</f>
        <v>153</v>
      </c>
      <c r="AC482" s="265">
        <f t="shared" si="35"/>
        <v>154</v>
      </c>
      <c r="AD482" s="266">
        <f t="shared" si="36"/>
        <v>0.15285410395298502</v>
      </c>
      <c r="AE482" s="244">
        <f t="shared" si="33"/>
        <v>0.11616126557759388</v>
      </c>
    </row>
    <row r="483" spans="3:37" x14ac:dyDescent="0.3">
      <c r="D483" s="75">
        <v>155</v>
      </c>
      <c r="E483" s="80">
        <v>5</v>
      </c>
      <c r="F483" s="80">
        <v>5</v>
      </c>
      <c r="H483" s="255" t="s">
        <v>825</v>
      </c>
      <c r="I483" s="255" t="s">
        <v>825</v>
      </c>
      <c r="J483" s="255" t="s">
        <v>825</v>
      </c>
      <c r="L483" s="255" t="s">
        <v>825</v>
      </c>
      <c r="M483" s="95"/>
      <c r="N483" s="95"/>
      <c r="O483" s="95"/>
      <c r="T483" s="256" t="s">
        <v>825</v>
      </c>
      <c r="U483" s="257" t="s">
        <v>825</v>
      </c>
      <c r="W483" s="258" t="s">
        <v>825</v>
      </c>
      <c r="X483" s="244">
        <v>0.1223740276355535</v>
      </c>
      <c r="Y483" s="265">
        <f t="shared" si="34"/>
        <v>142</v>
      </c>
      <c r="AA483" s="265">
        <f>IF(COUNTIF($Y$329:$Y483,Y483)=1,Y483,Y483+(COUNTIF($Y$329:Y483,Y483)-1))</f>
        <v>142</v>
      </c>
      <c r="AC483" s="265">
        <f t="shared" si="35"/>
        <v>155</v>
      </c>
      <c r="AD483" s="266">
        <f t="shared" si="36"/>
        <v>0.15578734032871708</v>
      </c>
      <c r="AE483" s="244">
        <f t="shared" si="33"/>
        <v>0.11616126557759388</v>
      </c>
    </row>
    <row r="484" spans="3:37" x14ac:dyDescent="0.3">
      <c r="D484" s="75">
        <v>156</v>
      </c>
      <c r="E484" s="80">
        <v>5</v>
      </c>
      <c r="F484" s="80">
        <v>5</v>
      </c>
      <c r="H484" s="255" t="s">
        <v>825</v>
      </c>
      <c r="I484" s="255" t="s">
        <v>825</v>
      </c>
      <c r="J484" s="255" t="s">
        <v>825</v>
      </c>
      <c r="L484" s="255" t="s">
        <v>825</v>
      </c>
      <c r="M484" s="95"/>
      <c r="N484" s="95"/>
      <c r="O484" s="95"/>
      <c r="T484" s="256" t="s">
        <v>825</v>
      </c>
      <c r="U484" s="257" t="s">
        <v>825</v>
      </c>
      <c r="W484" s="258" t="s">
        <v>825</v>
      </c>
      <c r="X484" s="244">
        <v>8.7154654765092307E-2</v>
      </c>
      <c r="Y484" s="265">
        <f t="shared" si="34"/>
        <v>117</v>
      </c>
      <c r="AA484" s="265">
        <f>IF(COUNTIF($Y$329:$Y484,Y484)=1,Y484,Y484+(COUNTIF($Y$329:Y484,Y484)-1))</f>
        <v>117</v>
      </c>
      <c r="AC484" s="265">
        <f t="shared" si="35"/>
        <v>156</v>
      </c>
      <c r="AD484" s="266">
        <f t="shared" si="36"/>
        <v>0.15817316694797981</v>
      </c>
      <c r="AE484" s="244">
        <f t="shared" si="33"/>
        <v>0.11616126557759388</v>
      </c>
    </row>
    <row r="485" spans="3:37" x14ac:dyDescent="0.3">
      <c r="D485" s="75">
        <v>157</v>
      </c>
      <c r="E485" s="80">
        <v>5</v>
      </c>
      <c r="F485" s="80">
        <v>5</v>
      </c>
      <c r="H485" s="255" t="s">
        <v>825</v>
      </c>
      <c r="I485" s="255" t="s">
        <v>825</v>
      </c>
      <c r="J485" s="255" t="s">
        <v>825</v>
      </c>
      <c r="L485" s="255" t="s">
        <v>825</v>
      </c>
      <c r="M485" s="95"/>
      <c r="N485" s="95"/>
      <c r="O485" s="95"/>
      <c r="T485" s="256" t="s">
        <v>825</v>
      </c>
      <c r="U485" s="257" t="s">
        <v>825</v>
      </c>
      <c r="W485" s="258" t="s">
        <v>825</v>
      </c>
      <c r="X485" s="244">
        <v>7.2417126943409543E-2</v>
      </c>
      <c r="Y485" s="265">
        <f t="shared" si="34"/>
        <v>108</v>
      </c>
      <c r="AA485" s="265">
        <f>IF(COUNTIF($Y$329:$Y485,Y485)=1,Y485,Y485+(COUNTIF($Y$329:Y485,Y485)-1))</f>
        <v>108</v>
      </c>
      <c r="AC485" s="265">
        <f t="shared" si="35"/>
        <v>157</v>
      </c>
      <c r="AD485" s="266">
        <f t="shared" si="36"/>
        <v>0.1638476894120138</v>
      </c>
      <c r="AE485" s="244">
        <f t="shared" si="33"/>
        <v>0.11616126557759388</v>
      </c>
    </row>
    <row r="486" spans="3:37" x14ac:dyDescent="0.3">
      <c r="D486" s="75">
        <v>158</v>
      </c>
      <c r="E486" s="80">
        <v>5</v>
      </c>
      <c r="F486" s="80">
        <v>5</v>
      </c>
      <c r="H486" s="255" t="s">
        <v>825</v>
      </c>
      <c r="I486" s="255" t="s">
        <v>825</v>
      </c>
      <c r="J486" s="255" t="s">
        <v>825</v>
      </c>
      <c r="L486" s="255" t="s">
        <v>825</v>
      </c>
      <c r="M486" s="95"/>
      <c r="N486" s="95"/>
      <c r="O486" s="95"/>
      <c r="T486" s="256" t="s">
        <v>825</v>
      </c>
      <c r="U486" s="257" t="s">
        <v>825</v>
      </c>
      <c r="W486" s="258" t="s">
        <v>825</v>
      </c>
      <c r="X486" s="244">
        <v>0.13600207644099793</v>
      </c>
      <c r="Y486" s="265">
        <f t="shared" si="34"/>
        <v>146</v>
      </c>
      <c r="AA486" s="265">
        <f>IF(COUNTIF($Y$329:$Y486,Y486)=1,Y486,Y486+(COUNTIF($Y$329:Y486,Y486)-1))</f>
        <v>146</v>
      </c>
      <c r="AC486" s="265">
        <f t="shared" si="35"/>
        <v>158</v>
      </c>
      <c r="AD486" s="266">
        <f t="shared" si="36"/>
        <v>0.17234468931752367</v>
      </c>
      <c r="AE486" s="244">
        <f t="shared" si="33"/>
        <v>0.11616126557759388</v>
      </c>
    </row>
    <row r="490" spans="3:37" s="8" customFormat="1" ht="13.9" x14ac:dyDescent="0.3">
      <c r="C490" s="8" t="s">
        <v>806</v>
      </c>
    </row>
    <row r="491" spans="3:37" ht="13.5" thickBot="1" x14ac:dyDescent="0.35"/>
    <row r="492" spans="3:37" ht="13.5" thickBot="1" x14ac:dyDescent="0.35">
      <c r="S492" s="242" t="s">
        <v>635</v>
      </c>
      <c r="T492" s="64">
        <f>Lookup!N$17</f>
        <v>366</v>
      </c>
      <c r="U492" s="64">
        <f>Lookup!O$17</f>
        <v>365</v>
      </c>
      <c r="AD492" s="242" t="s">
        <v>646</v>
      </c>
      <c r="AE492" s="250">
        <f>(1+Inputs_Other!$O$32)*(1-Inputs_Other!$O$47)-1</f>
        <v>0.11616126557759388</v>
      </c>
    </row>
    <row r="493" spans="3:37" x14ac:dyDescent="0.3">
      <c r="H493" s="284" t="s">
        <v>638</v>
      </c>
      <c r="I493" s="284"/>
      <c r="J493" s="284"/>
      <c r="L493" s="284" t="s">
        <v>636</v>
      </c>
      <c r="M493" s="284"/>
      <c r="N493" s="284"/>
      <c r="O493" s="284"/>
      <c r="W493" s="284" t="s">
        <v>645</v>
      </c>
      <c r="X493" s="284"/>
    </row>
    <row r="494" spans="3:37" ht="39.4" x14ac:dyDescent="0.3">
      <c r="D494" s="70" t="s">
        <v>644</v>
      </c>
      <c r="E494" s="54" t="s">
        <v>626</v>
      </c>
      <c r="F494" s="54" t="s">
        <v>627</v>
      </c>
      <c r="H494" s="61" t="s">
        <v>544</v>
      </c>
      <c r="I494" s="61" t="s">
        <v>278</v>
      </c>
      <c r="J494" s="61" t="s">
        <v>279</v>
      </c>
      <c r="L494" s="61" t="s">
        <v>277</v>
      </c>
      <c r="M494" s="61" t="s">
        <v>274</v>
      </c>
      <c r="N494" s="61" t="s">
        <v>275</v>
      </c>
      <c r="O494" s="61" t="s">
        <v>276</v>
      </c>
      <c r="T494" s="54" t="str">
        <f>Lookup!N$19</f>
        <v>FY24</v>
      </c>
      <c r="U494" s="54" t="str">
        <f>Lookup!O$19</f>
        <v>FY25</v>
      </c>
      <c r="W494" s="54" t="s">
        <v>199</v>
      </c>
      <c r="X494" s="54" t="s">
        <v>198</v>
      </c>
      <c r="Y494" s="61" t="s">
        <v>820</v>
      </c>
      <c r="AA494" s="61" t="s">
        <v>821</v>
      </c>
      <c r="AC494" s="61" t="s">
        <v>822</v>
      </c>
      <c r="AD494" s="61" t="s">
        <v>823</v>
      </c>
      <c r="AE494" s="61" t="str">
        <f>"Revenue Increase + CPI = "&amp;ROUND(AE492*100,1)&amp;"%"</f>
        <v>Revenue Increase + CPI = 11.6%</v>
      </c>
    </row>
    <row r="495" spans="3:37" x14ac:dyDescent="0.3">
      <c r="D495" s="75">
        <v>1</v>
      </c>
      <c r="E495" s="80">
        <v>6</v>
      </c>
      <c r="F495" s="80">
        <v>6</v>
      </c>
      <c r="H495" s="255" t="s">
        <v>825</v>
      </c>
      <c r="I495" s="255" t="s">
        <v>825</v>
      </c>
      <c r="J495" s="255" t="s">
        <v>825</v>
      </c>
      <c r="L495" s="255" t="s">
        <v>825</v>
      </c>
      <c r="M495" s="95"/>
      <c r="N495" s="95"/>
      <c r="O495" s="95"/>
      <c r="T495" s="256" t="s">
        <v>825</v>
      </c>
      <c r="U495" s="257" t="s">
        <v>825</v>
      </c>
      <c r="V495" s="177"/>
      <c r="W495" s="258" t="s">
        <v>825</v>
      </c>
      <c r="X495" s="244">
        <v>-0.17280601050106661</v>
      </c>
      <c r="Y495" s="265">
        <f t="shared" ref="Y495:Y536" si="37">RANK($X495,$X$495:$X$543,-1)</f>
        <v>1</v>
      </c>
      <c r="AA495" s="265">
        <f>IF(COUNTIF($Y$495:$Y495,Y495)=1,Y495,Y495+(COUNTIF($Y$495:Y495,Y495)-1))</f>
        <v>1</v>
      </c>
      <c r="AB495" s="177"/>
      <c r="AC495" s="265">
        <f>N(AC494)+1</f>
        <v>1</v>
      </c>
      <c r="AD495" s="266">
        <f t="shared" ref="AD495:AD536" si="38">INDEX($X$495:$X$543,MATCH(AC495,$AA$495:$AA$543,0))</f>
        <v>-0.17280601050106661</v>
      </c>
      <c r="AE495" s="244">
        <f t="shared" ref="AE495:AE543" si="39">$AE$492</f>
        <v>0.11616126557759388</v>
      </c>
      <c r="AG495" s="244"/>
      <c r="AH495" s="244"/>
      <c r="AI495" s="244"/>
      <c r="AJ495" s="244"/>
      <c r="AK495" s="244"/>
    </row>
    <row r="496" spans="3:37" x14ac:dyDescent="0.3">
      <c r="D496" s="75">
        <v>2</v>
      </c>
      <c r="E496" s="80">
        <v>6</v>
      </c>
      <c r="F496" s="80">
        <v>6</v>
      </c>
      <c r="H496" s="255" t="s">
        <v>825</v>
      </c>
      <c r="I496" s="255" t="s">
        <v>825</v>
      </c>
      <c r="J496" s="255" t="s">
        <v>825</v>
      </c>
      <c r="L496" s="255" t="s">
        <v>825</v>
      </c>
      <c r="M496" s="95"/>
      <c r="N496" s="95"/>
      <c r="O496" s="95"/>
      <c r="T496" s="256" t="s">
        <v>825</v>
      </c>
      <c r="U496" s="257" t="s">
        <v>825</v>
      </c>
      <c r="V496" s="177"/>
      <c r="W496" s="258" t="s">
        <v>825</v>
      </c>
      <c r="X496" s="244">
        <v>-0.13179638824765125</v>
      </c>
      <c r="Y496" s="265">
        <f t="shared" si="37"/>
        <v>2</v>
      </c>
      <c r="AA496" s="265">
        <f>IF(COUNTIF($Y$495:$Y496,Y496)=1,Y496,Y496+(COUNTIF($Y$495:Y496,Y496)-1))</f>
        <v>2</v>
      </c>
      <c r="AB496" s="177"/>
      <c r="AC496" s="265">
        <f t="shared" ref="AC496:AC543" si="40">N(AC495)+1</f>
        <v>2</v>
      </c>
      <c r="AD496" s="266">
        <f t="shared" si="38"/>
        <v>-0.13179638824765125</v>
      </c>
      <c r="AE496" s="244">
        <f t="shared" si="39"/>
        <v>0.11616126557759388</v>
      </c>
      <c r="AG496" s="244"/>
      <c r="AH496" s="244"/>
      <c r="AI496" s="244"/>
      <c r="AJ496" s="244"/>
      <c r="AK496" s="244"/>
    </row>
    <row r="497" spans="4:37" x14ac:dyDescent="0.3">
      <c r="D497" s="75">
        <v>3</v>
      </c>
      <c r="E497" s="80">
        <v>6</v>
      </c>
      <c r="F497" s="80">
        <v>6</v>
      </c>
      <c r="H497" s="255" t="s">
        <v>825</v>
      </c>
      <c r="I497" s="255" t="s">
        <v>825</v>
      </c>
      <c r="J497" s="255" t="s">
        <v>825</v>
      </c>
      <c r="L497" s="255" t="s">
        <v>825</v>
      </c>
      <c r="M497" s="95"/>
      <c r="N497" s="95"/>
      <c r="O497" s="95"/>
      <c r="T497" s="256" t="s">
        <v>825</v>
      </c>
      <c r="U497" s="257" t="s">
        <v>825</v>
      </c>
      <c r="V497" s="177"/>
      <c r="W497" s="258" t="s">
        <v>825</v>
      </c>
      <c r="X497" s="244">
        <v>-7.4661490448540299E-2</v>
      </c>
      <c r="Y497" s="265">
        <f t="shared" si="37"/>
        <v>5</v>
      </c>
      <c r="AA497" s="265">
        <f>IF(COUNTIF($Y$495:$Y497,Y497)=1,Y497,Y497+(COUNTIF($Y$495:Y497,Y497)-1))</f>
        <v>5</v>
      </c>
      <c r="AB497" s="177"/>
      <c r="AC497" s="265">
        <f t="shared" si="40"/>
        <v>3</v>
      </c>
      <c r="AD497" s="266">
        <f t="shared" si="38"/>
        <v>-0.10554251039328044</v>
      </c>
      <c r="AE497" s="244">
        <f t="shared" si="39"/>
        <v>0.11616126557759388</v>
      </c>
      <c r="AG497" s="244"/>
      <c r="AH497" s="244"/>
      <c r="AI497" s="244"/>
      <c r="AJ497" s="244"/>
      <c r="AK497" s="244"/>
    </row>
    <row r="498" spans="4:37" x14ac:dyDescent="0.3">
      <c r="D498" s="75">
        <v>4</v>
      </c>
      <c r="E498" s="80">
        <v>6</v>
      </c>
      <c r="F498" s="80">
        <v>6</v>
      </c>
      <c r="H498" s="255" t="s">
        <v>825</v>
      </c>
      <c r="I498" s="255" t="s">
        <v>825</v>
      </c>
      <c r="J498" s="255" t="s">
        <v>825</v>
      </c>
      <c r="L498" s="255" t="s">
        <v>825</v>
      </c>
      <c r="M498" s="95"/>
      <c r="N498" s="95"/>
      <c r="O498" s="95"/>
      <c r="T498" s="256" t="s">
        <v>825</v>
      </c>
      <c r="U498" s="257" t="s">
        <v>825</v>
      </c>
      <c r="V498" s="177"/>
      <c r="W498" s="258" t="s">
        <v>825</v>
      </c>
      <c r="X498" s="244">
        <v>-0.10554251039328044</v>
      </c>
      <c r="Y498" s="265">
        <f t="shared" si="37"/>
        <v>3</v>
      </c>
      <c r="AA498" s="265">
        <f>IF(COUNTIF($Y$495:$Y498,Y498)=1,Y498,Y498+(COUNTIF($Y$495:Y498,Y498)-1))</f>
        <v>3</v>
      </c>
      <c r="AB498" s="177"/>
      <c r="AC498" s="265">
        <f t="shared" si="40"/>
        <v>4</v>
      </c>
      <c r="AD498" s="266">
        <f t="shared" si="38"/>
        <v>-9.0247180077385233E-2</v>
      </c>
      <c r="AE498" s="244">
        <f t="shared" si="39"/>
        <v>0.11616126557759388</v>
      </c>
      <c r="AG498" s="244"/>
      <c r="AH498" s="244"/>
      <c r="AI498" s="244"/>
      <c r="AJ498" s="244"/>
      <c r="AK498" s="244"/>
    </row>
    <row r="499" spans="4:37" x14ac:dyDescent="0.3">
      <c r="D499" s="75">
        <v>5</v>
      </c>
      <c r="E499" s="80">
        <v>6</v>
      </c>
      <c r="F499" s="80">
        <v>6</v>
      </c>
      <c r="H499" s="255" t="s">
        <v>825</v>
      </c>
      <c r="I499" s="255" t="s">
        <v>825</v>
      </c>
      <c r="J499" s="255" t="s">
        <v>825</v>
      </c>
      <c r="L499" s="255" t="s">
        <v>825</v>
      </c>
      <c r="M499" s="95"/>
      <c r="N499" s="95"/>
      <c r="O499" s="95"/>
      <c r="T499" s="256" t="s">
        <v>825</v>
      </c>
      <c r="U499" s="257" t="s">
        <v>825</v>
      </c>
      <c r="V499" s="177"/>
      <c r="W499" s="258" t="s">
        <v>825</v>
      </c>
      <c r="X499" s="244">
        <v>-9.0247180077385233E-2</v>
      </c>
      <c r="Y499" s="265">
        <f t="shared" si="37"/>
        <v>4</v>
      </c>
      <c r="AA499" s="265">
        <f>IF(COUNTIF($Y$495:$Y499,Y499)=1,Y499,Y499+(COUNTIF($Y$495:Y499,Y499)-1))</f>
        <v>4</v>
      </c>
      <c r="AB499" s="177"/>
      <c r="AC499" s="265">
        <f t="shared" si="40"/>
        <v>5</v>
      </c>
      <c r="AD499" s="266">
        <f t="shared" si="38"/>
        <v>-7.4661490448540299E-2</v>
      </c>
      <c r="AE499" s="244">
        <f t="shared" si="39"/>
        <v>0.11616126557759388</v>
      </c>
      <c r="AG499" s="244"/>
      <c r="AH499" s="244"/>
      <c r="AI499" s="244"/>
      <c r="AJ499" s="244"/>
      <c r="AK499" s="244"/>
    </row>
    <row r="500" spans="4:37" x14ac:dyDescent="0.3">
      <c r="D500" s="75">
        <v>6</v>
      </c>
      <c r="E500" s="80">
        <v>6</v>
      </c>
      <c r="F500" s="80">
        <v>6</v>
      </c>
      <c r="H500" s="255" t="s">
        <v>825</v>
      </c>
      <c r="I500" s="255" t="s">
        <v>825</v>
      </c>
      <c r="J500" s="255" t="s">
        <v>825</v>
      </c>
      <c r="L500" s="255" t="s">
        <v>825</v>
      </c>
      <c r="M500" s="95"/>
      <c r="N500" s="95"/>
      <c r="O500" s="95"/>
      <c r="T500" s="256" t="s">
        <v>825</v>
      </c>
      <c r="U500" s="257" t="s">
        <v>825</v>
      </c>
      <c r="V500" s="177"/>
      <c r="W500" s="258" t="s">
        <v>825</v>
      </c>
      <c r="X500" s="244">
        <v>-3.4131253989903576E-2</v>
      </c>
      <c r="Y500" s="265">
        <f t="shared" si="37"/>
        <v>6</v>
      </c>
      <c r="AA500" s="265">
        <f>IF(COUNTIF($Y$495:$Y500,Y500)=1,Y500,Y500+(COUNTIF($Y$495:Y500,Y500)-1))</f>
        <v>6</v>
      </c>
      <c r="AB500" s="177"/>
      <c r="AC500" s="265">
        <f t="shared" si="40"/>
        <v>6</v>
      </c>
      <c r="AD500" s="266">
        <f t="shared" si="38"/>
        <v>-3.4131253989903576E-2</v>
      </c>
      <c r="AE500" s="244">
        <f t="shared" si="39"/>
        <v>0.11616126557759388</v>
      </c>
      <c r="AG500" s="244"/>
      <c r="AH500" s="244"/>
      <c r="AI500" s="244"/>
      <c r="AJ500" s="244"/>
      <c r="AK500" s="244"/>
    </row>
    <row r="501" spans="4:37" x14ac:dyDescent="0.3">
      <c r="D501" s="75">
        <v>7</v>
      </c>
      <c r="E501" s="80">
        <v>6</v>
      </c>
      <c r="F501" s="80">
        <v>6</v>
      </c>
      <c r="H501" s="255" t="s">
        <v>825</v>
      </c>
      <c r="I501" s="255" t="s">
        <v>825</v>
      </c>
      <c r="J501" s="255" t="s">
        <v>825</v>
      </c>
      <c r="L501" s="255" t="s">
        <v>825</v>
      </c>
      <c r="M501" s="95"/>
      <c r="N501" s="95"/>
      <c r="O501" s="95"/>
      <c r="T501" s="256" t="s">
        <v>825</v>
      </c>
      <c r="U501" s="257" t="s">
        <v>825</v>
      </c>
      <c r="V501" s="177"/>
      <c r="W501" s="258" t="s">
        <v>825</v>
      </c>
      <c r="X501" s="244">
        <v>-2.7363385291005474E-2</v>
      </c>
      <c r="Y501" s="265">
        <f t="shared" si="37"/>
        <v>7</v>
      </c>
      <c r="AA501" s="265">
        <f>IF(COUNTIF($Y$495:$Y501,Y501)=1,Y501,Y501+(COUNTIF($Y$495:Y501,Y501)-1))</f>
        <v>7</v>
      </c>
      <c r="AB501" s="177"/>
      <c r="AC501" s="265">
        <f t="shared" si="40"/>
        <v>7</v>
      </c>
      <c r="AD501" s="266">
        <f t="shared" si="38"/>
        <v>-2.7363385291005474E-2</v>
      </c>
      <c r="AE501" s="244">
        <f t="shared" si="39"/>
        <v>0.11616126557759388</v>
      </c>
      <c r="AG501" s="244"/>
      <c r="AH501" s="244"/>
      <c r="AI501" s="244"/>
      <c r="AJ501" s="244"/>
      <c r="AK501" s="244"/>
    </row>
    <row r="502" spans="4:37" x14ac:dyDescent="0.3">
      <c r="D502" s="75">
        <v>8</v>
      </c>
      <c r="E502" s="80">
        <v>6</v>
      </c>
      <c r="F502" s="80">
        <v>6</v>
      </c>
      <c r="H502" s="255" t="s">
        <v>825</v>
      </c>
      <c r="I502" s="255" t="s">
        <v>825</v>
      </c>
      <c r="J502" s="255" t="s">
        <v>825</v>
      </c>
      <c r="L502" s="255" t="s">
        <v>825</v>
      </c>
      <c r="M502" s="95"/>
      <c r="N502" s="95"/>
      <c r="O502" s="95"/>
      <c r="T502" s="256" t="s">
        <v>825</v>
      </c>
      <c r="U502" s="257" t="s">
        <v>825</v>
      </c>
      <c r="V502" s="177"/>
      <c r="W502" s="258" t="s">
        <v>825</v>
      </c>
      <c r="X502" s="244">
        <v>-1.601595927071962E-2</v>
      </c>
      <c r="Y502" s="265">
        <f t="shared" si="37"/>
        <v>8</v>
      </c>
      <c r="AA502" s="265">
        <f>IF(COUNTIF($Y$495:$Y502,Y502)=1,Y502,Y502+(COUNTIF($Y$495:Y502,Y502)-1))</f>
        <v>8</v>
      </c>
      <c r="AB502" s="177"/>
      <c r="AC502" s="265">
        <f t="shared" si="40"/>
        <v>8</v>
      </c>
      <c r="AD502" s="266">
        <f t="shared" si="38"/>
        <v>-1.601595927071962E-2</v>
      </c>
      <c r="AE502" s="244">
        <f t="shared" si="39"/>
        <v>0.11616126557759388</v>
      </c>
      <c r="AG502" s="244"/>
      <c r="AH502" s="244"/>
      <c r="AI502" s="244"/>
      <c r="AJ502" s="244"/>
      <c r="AK502" s="244"/>
    </row>
    <row r="503" spans="4:37" x14ac:dyDescent="0.3">
      <c r="D503" s="75">
        <v>9</v>
      </c>
      <c r="E503" s="80">
        <v>6</v>
      </c>
      <c r="F503" s="80">
        <v>6</v>
      </c>
      <c r="H503" s="255" t="s">
        <v>825</v>
      </c>
      <c r="I503" s="255" t="s">
        <v>825</v>
      </c>
      <c r="J503" s="255" t="s">
        <v>825</v>
      </c>
      <c r="L503" s="255" t="s">
        <v>825</v>
      </c>
      <c r="M503" s="95"/>
      <c r="N503" s="95"/>
      <c r="O503" s="95"/>
      <c r="T503" s="256" t="s">
        <v>825</v>
      </c>
      <c r="U503" s="257" t="s">
        <v>825</v>
      </c>
      <c r="V503" s="177"/>
      <c r="W503" s="258" t="s">
        <v>825</v>
      </c>
      <c r="X503" s="244">
        <v>-5.4536078410963645E-3</v>
      </c>
      <c r="Y503" s="265">
        <f t="shared" si="37"/>
        <v>9</v>
      </c>
      <c r="AA503" s="265">
        <f>IF(COUNTIF($Y$495:$Y503,Y503)=1,Y503,Y503+(COUNTIF($Y$495:Y503,Y503)-1))</f>
        <v>9</v>
      </c>
      <c r="AB503" s="177"/>
      <c r="AC503" s="265">
        <f t="shared" si="40"/>
        <v>9</v>
      </c>
      <c r="AD503" s="266">
        <f t="shared" si="38"/>
        <v>-5.4536078410963645E-3</v>
      </c>
      <c r="AE503" s="244">
        <f t="shared" si="39"/>
        <v>0.11616126557759388</v>
      </c>
      <c r="AG503" s="244"/>
      <c r="AH503" s="244"/>
      <c r="AI503" s="244"/>
      <c r="AJ503" s="244"/>
      <c r="AK503" s="244"/>
    </row>
    <row r="504" spans="4:37" x14ac:dyDescent="0.3">
      <c r="D504" s="75">
        <v>10</v>
      </c>
      <c r="E504" s="80">
        <v>6</v>
      </c>
      <c r="F504" s="80">
        <v>6</v>
      </c>
      <c r="H504" s="255" t="s">
        <v>825</v>
      </c>
      <c r="I504" s="255" t="s">
        <v>825</v>
      </c>
      <c r="J504" s="255" t="s">
        <v>825</v>
      </c>
      <c r="L504" s="255" t="s">
        <v>825</v>
      </c>
      <c r="M504" s="95"/>
      <c r="N504" s="95"/>
      <c r="O504" s="95"/>
      <c r="T504" s="256" t="s">
        <v>825</v>
      </c>
      <c r="U504" s="257" t="s">
        <v>825</v>
      </c>
      <c r="V504" s="177"/>
      <c r="W504" s="258" t="s">
        <v>825</v>
      </c>
      <c r="X504" s="244">
        <v>1.678223011344495E-2</v>
      </c>
      <c r="Y504" s="265">
        <f t="shared" si="37"/>
        <v>10</v>
      </c>
      <c r="AA504" s="265">
        <f>IF(COUNTIF($Y$495:$Y504,Y504)=1,Y504,Y504+(COUNTIF($Y$495:Y504,Y504)-1))</f>
        <v>10</v>
      </c>
      <c r="AB504" s="177"/>
      <c r="AC504" s="265">
        <f t="shared" si="40"/>
        <v>10</v>
      </c>
      <c r="AD504" s="266">
        <f t="shared" si="38"/>
        <v>1.678223011344495E-2</v>
      </c>
      <c r="AE504" s="244">
        <f t="shared" si="39"/>
        <v>0.11616126557759388</v>
      </c>
      <c r="AG504" s="244"/>
      <c r="AH504" s="244"/>
      <c r="AI504" s="244"/>
      <c r="AJ504" s="244"/>
      <c r="AK504" s="244"/>
    </row>
    <row r="505" spans="4:37" x14ac:dyDescent="0.3">
      <c r="D505" s="75">
        <v>11</v>
      </c>
      <c r="E505" s="80">
        <v>6</v>
      </c>
      <c r="F505" s="80">
        <v>6</v>
      </c>
      <c r="H505" s="255" t="s">
        <v>825</v>
      </c>
      <c r="I505" s="255" t="s">
        <v>825</v>
      </c>
      <c r="J505" s="255" t="s">
        <v>825</v>
      </c>
      <c r="L505" s="255" t="s">
        <v>825</v>
      </c>
      <c r="M505" s="95"/>
      <c r="N505" s="95"/>
      <c r="O505" s="95"/>
      <c r="T505" s="256" t="s">
        <v>825</v>
      </c>
      <c r="U505" s="257" t="s">
        <v>825</v>
      </c>
      <c r="V505" s="177"/>
      <c r="W505" s="258" t="s">
        <v>825</v>
      </c>
      <c r="X505" s="244">
        <v>3.0035861016941987E-2</v>
      </c>
      <c r="Y505" s="265">
        <f t="shared" si="37"/>
        <v>13</v>
      </c>
      <c r="AA505" s="265">
        <f>IF(COUNTIF($Y$495:$Y505,Y505)=1,Y505,Y505+(COUNTIF($Y$495:Y505,Y505)-1))</f>
        <v>13</v>
      </c>
      <c r="AB505" s="177"/>
      <c r="AC505" s="265">
        <f t="shared" si="40"/>
        <v>11</v>
      </c>
      <c r="AD505" s="266">
        <f t="shared" si="38"/>
        <v>1.9648015269856194E-2</v>
      </c>
      <c r="AE505" s="244">
        <f t="shared" si="39"/>
        <v>0.11616126557759388</v>
      </c>
      <c r="AG505" s="244"/>
      <c r="AH505" s="244"/>
      <c r="AI505" s="244"/>
      <c r="AJ505" s="244"/>
      <c r="AK505" s="244"/>
    </row>
    <row r="506" spans="4:37" x14ac:dyDescent="0.3">
      <c r="D506" s="75">
        <v>12</v>
      </c>
      <c r="E506" s="80">
        <v>6</v>
      </c>
      <c r="F506" s="80">
        <v>6</v>
      </c>
      <c r="H506" s="255" t="s">
        <v>825</v>
      </c>
      <c r="I506" s="255" t="s">
        <v>825</v>
      </c>
      <c r="J506" s="255" t="s">
        <v>825</v>
      </c>
      <c r="L506" s="255" t="s">
        <v>825</v>
      </c>
      <c r="M506" s="95"/>
      <c r="N506" s="95"/>
      <c r="O506" s="95"/>
      <c r="T506" s="256" t="s">
        <v>825</v>
      </c>
      <c r="U506" s="257" t="s">
        <v>825</v>
      </c>
      <c r="V506" s="177"/>
      <c r="W506" s="258" t="s">
        <v>825</v>
      </c>
      <c r="X506" s="244">
        <v>1.9648015269856194E-2</v>
      </c>
      <c r="Y506" s="265">
        <f t="shared" si="37"/>
        <v>11</v>
      </c>
      <c r="AA506" s="265">
        <f>IF(COUNTIF($Y$495:$Y506,Y506)=1,Y506,Y506+(COUNTIF($Y$495:Y506,Y506)-1))</f>
        <v>11</v>
      </c>
      <c r="AB506" s="177"/>
      <c r="AC506" s="265">
        <f t="shared" si="40"/>
        <v>12</v>
      </c>
      <c r="AD506" s="266">
        <f t="shared" si="38"/>
        <v>2.9379747871155968E-2</v>
      </c>
      <c r="AE506" s="244">
        <f t="shared" si="39"/>
        <v>0.11616126557759388</v>
      </c>
      <c r="AG506" s="244"/>
      <c r="AH506" s="244"/>
      <c r="AI506" s="244"/>
      <c r="AJ506" s="244"/>
      <c r="AK506" s="244"/>
    </row>
    <row r="507" spans="4:37" x14ac:dyDescent="0.3">
      <c r="D507" s="75">
        <v>13</v>
      </c>
      <c r="E507" s="80">
        <v>6</v>
      </c>
      <c r="F507" s="80">
        <v>6</v>
      </c>
      <c r="H507" s="255" t="s">
        <v>825</v>
      </c>
      <c r="I507" s="255" t="s">
        <v>825</v>
      </c>
      <c r="J507" s="255" t="s">
        <v>825</v>
      </c>
      <c r="L507" s="255" t="s">
        <v>825</v>
      </c>
      <c r="M507" s="95"/>
      <c r="N507" s="95"/>
      <c r="O507" s="95"/>
      <c r="T507" s="256" t="s">
        <v>825</v>
      </c>
      <c r="U507" s="257" t="s">
        <v>825</v>
      </c>
      <c r="V507" s="177"/>
      <c r="W507" s="258" t="s">
        <v>825</v>
      </c>
      <c r="X507" s="244">
        <v>2.9379747871155968E-2</v>
      </c>
      <c r="Y507" s="265">
        <f t="shared" si="37"/>
        <v>12</v>
      </c>
      <c r="AA507" s="265">
        <f>IF(COUNTIF($Y$495:$Y507,Y507)=1,Y507,Y507+(COUNTIF($Y$495:Y507,Y507)-1))</f>
        <v>12</v>
      </c>
      <c r="AB507" s="177"/>
      <c r="AC507" s="265">
        <f t="shared" si="40"/>
        <v>13</v>
      </c>
      <c r="AD507" s="266">
        <f t="shared" si="38"/>
        <v>3.0035861016941987E-2</v>
      </c>
      <c r="AE507" s="244">
        <f t="shared" si="39"/>
        <v>0.11616126557759388</v>
      </c>
      <c r="AG507" s="244"/>
      <c r="AH507" s="244"/>
      <c r="AI507" s="244"/>
      <c r="AJ507" s="244"/>
      <c r="AK507" s="244"/>
    </row>
    <row r="508" spans="4:37" x14ac:dyDescent="0.3">
      <c r="D508" s="75">
        <v>14</v>
      </c>
      <c r="E508" s="80">
        <v>6</v>
      </c>
      <c r="F508" s="80">
        <v>6</v>
      </c>
      <c r="H508" s="255" t="s">
        <v>825</v>
      </c>
      <c r="I508" s="255" t="s">
        <v>825</v>
      </c>
      <c r="J508" s="255" t="s">
        <v>825</v>
      </c>
      <c r="L508" s="255" t="s">
        <v>825</v>
      </c>
      <c r="M508" s="95"/>
      <c r="N508" s="95"/>
      <c r="O508" s="95"/>
      <c r="T508" s="256" t="s">
        <v>825</v>
      </c>
      <c r="U508" s="257" t="s">
        <v>825</v>
      </c>
      <c r="V508" s="177"/>
      <c r="W508" s="258" t="s">
        <v>825</v>
      </c>
      <c r="X508" s="244">
        <v>3.5360555661647419E-2</v>
      </c>
      <c r="Y508" s="265">
        <f t="shared" si="37"/>
        <v>14</v>
      </c>
      <c r="AA508" s="265">
        <f>IF(COUNTIF($Y$495:$Y508,Y508)=1,Y508,Y508+(COUNTIF($Y$495:Y508,Y508)-1))</f>
        <v>14</v>
      </c>
      <c r="AB508" s="177"/>
      <c r="AC508" s="265">
        <f t="shared" si="40"/>
        <v>14</v>
      </c>
      <c r="AD508" s="266">
        <f t="shared" si="38"/>
        <v>3.5360555661647419E-2</v>
      </c>
      <c r="AE508" s="244">
        <f t="shared" si="39"/>
        <v>0.11616126557759388</v>
      </c>
      <c r="AG508" s="244"/>
      <c r="AH508" s="244"/>
      <c r="AI508" s="244"/>
      <c r="AJ508" s="244"/>
      <c r="AK508" s="244"/>
    </row>
    <row r="509" spans="4:37" x14ac:dyDescent="0.3">
      <c r="D509" s="75">
        <v>15</v>
      </c>
      <c r="E509" s="80">
        <v>6</v>
      </c>
      <c r="F509" s="80">
        <v>6</v>
      </c>
      <c r="H509" s="255" t="s">
        <v>825</v>
      </c>
      <c r="I509" s="255" t="s">
        <v>825</v>
      </c>
      <c r="J509" s="255" t="s">
        <v>825</v>
      </c>
      <c r="L509" s="255" t="s">
        <v>825</v>
      </c>
      <c r="M509" s="95"/>
      <c r="N509" s="95"/>
      <c r="O509" s="95"/>
      <c r="T509" s="256" t="s">
        <v>825</v>
      </c>
      <c r="U509" s="257" t="s">
        <v>825</v>
      </c>
      <c r="V509" s="177"/>
      <c r="W509" s="258" t="s">
        <v>825</v>
      </c>
      <c r="X509" s="244">
        <v>9.4246444645849581E-2</v>
      </c>
      <c r="Y509" s="265">
        <f t="shared" si="37"/>
        <v>27</v>
      </c>
      <c r="AA509" s="265">
        <f>IF(COUNTIF($Y$495:$Y509,Y509)=1,Y509,Y509+(COUNTIF($Y$495:Y509,Y509)-1))</f>
        <v>27</v>
      </c>
      <c r="AB509" s="177"/>
      <c r="AC509" s="265">
        <f t="shared" si="40"/>
        <v>15</v>
      </c>
      <c r="AD509" s="266">
        <f t="shared" si="38"/>
        <v>4.9771306002441486E-2</v>
      </c>
      <c r="AE509" s="244">
        <f t="shared" si="39"/>
        <v>0.11616126557759388</v>
      </c>
      <c r="AG509" s="244"/>
      <c r="AH509" s="244"/>
      <c r="AI509" s="244"/>
      <c r="AJ509" s="244"/>
      <c r="AK509" s="244"/>
    </row>
    <row r="510" spans="4:37" x14ac:dyDescent="0.3">
      <c r="D510" s="75">
        <v>16</v>
      </c>
      <c r="E510" s="80">
        <v>6</v>
      </c>
      <c r="F510" s="80">
        <v>6</v>
      </c>
      <c r="H510" s="255" t="s">
        <v>825</v>
      </c>
      <c r="I510" s="255" t="s">
        <v>825</v>
      </c>
      <c r="J510" s="255" t="s">
        <v>825</v>
      </c>
      <c r="L510" s="255" t="s">
        <v>825</v>
      </c>
      <c r="M510" s="95"/>
      <c r="N510" s="95"/>
      <c r="O510" s="95"/>
      <c r="T510" s="256" t="s">
        <v>825</v>
      </c>
      <c r="U510" s="257" t="s">
        <v>825</v>
      </c>
      <c r="V510" s="177"/>
      <c r="W510" s="258" t="s">
        <v>825</v>
      </c>
      <c r="X510" s="244">
        <v>5.3114782296595463E-2</v>
      </c>
      <c r="Y510" s="265">
        <f t="shared" si="37"/>
        <v>16</v>
      </c>
      <c r="AA510" s="265">
        <f>IF(COUNTIF($Y$495:$Y510,Y510)=1,Y510,Y510+(COUNTIF($Y$495:Y510,Y510)-1))</f>
        <v>16</v>
      </c>
      <c r="AB510" s="177"/>
      <c r="AC510" s="265">
        <f t="shared" si="40"/>
        <v>16</v>
      </c>
      <c r="AD510" s="266">
        <f t="shared" si="38"/>
        <v>5.3114782296595463E-2</v>
      </c>
      <c r="AE510" s="244">
        <f t="shared" si="39"/>
        <v>0.11616126557759388</v>
      </c>
      <c r="AG510" s="244"/>
      <c r="AH510" s="244"/>
      <c r="AI510" s="244"/>
      <c r="AJ510" s="244"/>
      <c r="AK510" s="244"/>
    </row>
    <row r="511" spans="4:37" x14ac:dyDescent="0.3">
      <c r="D511" s="75">
        <v>17</v>
      </c>
      <c r="E511" s="80">
        <v>6</v>
      </c>
      <c r="F511" s="80">
        <v>6</v>
      </c>
      <c r="H511" s="255" t="s">
        <v>825</v>
      </c>
      <c r="I511" s="255" t="s">
        <v>825</v>
      </c>
      <c r="J511" s="255" t="s">
        <v>825</v>
      </c>
      <c r="L511" s="255" t="s">
        <v>825</v>
      </c>
      <c r="M511" s="95"/>
      <c r="N511" s="95"/>
      <c r="O511" s="95"/>
      <c r="T511" s="256" t="s">
        <v>825</v>
      </c>
      <c r="U511" s="257" t="s">
        <v>825</v>
      </c>
      <c r="V511" s="177"/>
      <c r="W511" s="258" t="s">
        <v>825</v>
      </c>
      <c r="X511" s="244">
        <v>0.10217976210858322</v>
      </c>
      <c r="Y511" s="265">
        <f t="shared" si="37"/>
        <v>29</v>
      </c>
      <c r="AA511" s="265">
        <f>IF(COUNTIF($Y$495:$Y511,Y511)=1,Y511,Y511+(COUNTIF($Y$495:Y511,Y511)-1))</f>
        <v>29</v>
      </c>
      <c r="AB511" s="177"/>
      <c r="AC511" s="265">
        <f t="shared" si="40"/>
        <v>17</v>
      </c>
      <c r="AD511" s="266">
        <f t="shared" si="38"/>
        <v>5.326115912692507E-2</v>
      </c>
      <c r="AE511" s="244">
        <f t="shared" si="39"/>
        <v>0.11616126557759388</v>
      </c>
      <c r="AG511" s="244"/>
      <c r="AH511" s="244"/>
      <c r="AI511" s="244"/>
      <c r="AJ511" s="244"/>
      <c r="AK511" s="244"/>
    </row>
    <row r="512" spans="4:37" x14ac:dyDescent="0.3">
      <c r="D512" s="75">
        <v>18</v>
      </c>
      <c r="E512" s="80">
        <v>6</v>
      </c>
      <c r="F512" s="80">
        <v>6</v>
      </c>
      <c r="H512" s="255" t="s">
        <v>825</v>
      </c>
      <c r="I512" s="255" t="s">
        <v>825</v>
      </c>
      <c r="J512" s="255" t="s">
        <v>825</v>
      </c>
      <c r="L512" s="255" t="s">
        <v>825</v>
      </c>
      <c r="M512" s="95"/>
      <c r="N512" s="95"/>
      <c r="O512" s="95"/>
      <c r="T512" s="256" t="s">
        <v>825</v>
      </c>
      <c r="U512" s="257" t="s">
        <v>825</v>
      </c>
      <c r="V512" s="177"/>
      <c r="W512" s="258" t="s">
        <v>825</v>
      </c>
      <c r="X512" s="244">
        <v>5.326115912692507E-2</v>
      </c>
      <c r="Y512" s="265">
        <f t="shared" si="37"/>
        <v>17</v>
      </c>
      <c r="AA512" s="265">
        <f>IF(COUNTIF($Y$495:$Y512,Y512)=1,Y512,Y512+(COUNTIF($Y$495:Y512,Y512)-1))</f>
        <v>17</v>
      </c>
      <c r="AB512" s="177"/>
      <c r="AC512" s="265">
        <f t="shared" si="40"/>
        <v>18</v>
      </c>
      <c r="AD512" s="266">
        <f t="shared" si="38"/>
        <v>6.0185164065146179E-2</v>
      </c>
      <c r="AE512" s="244">
        <f t="shared" si="39"/>
        <v>0.11616126557759388</v>
      </c>
      <c r="AG512" s="244"/>
      <c r="AH512" s="244"/>
      <c r="AI512" s="244"/>
      <c r="AJ512" s="244"/>
      <c r="AK512" s="244"/>
    </row>
    <row r="513" spans="4:37" x14ac:dyDescent="0.3">
      <c r="D513" s="75">
        <v>19</v>
      </c>
      <c r="E513" s="80">
        <v>6</v>
      </c>
      <c r="F513" s="80">
        <v>6</v>
      </c>
      <c r="H513" s="255" t="s">
        <v>825</v>
      </c>
      <c r="I513" s="255" t="s">
        <v>825</v>
      </c>
      <c r="J513" s="255" t="s">
        <v>825</v>
      </c>
      <c r="L513" s="255" t="s">
        <v>825</v>
      </c>
      <c r="M513" s="95"/>
      <c r="N513" s="95"/>
      <c r="O513" s="95"/>
      <c r="T513" s="256" t="s">
        <v>825</v>
      </c>
      <c r="U513" s="257" t="s">
        <v>825</v>
      </c>
      <c r="V513" s="177"/>
      <c r="W513" s="258" t="s">
        <v>825</v>
      </c>
      <c r="X513" s="244">
        <v>8.6305911043154826E-2</v>
      </c>
      <c r="Y513" s="265">
        <f t="shared" si="37"/>
        <v>25</v>
      </c>
      <c r="AA513" s="265">
        <f>IF(COUNTIF($Y$495:$Y513,Y513)=1,Y513,Y513+(COUNTIF($Y$495:Y513,Y513)-1))</f>
        <v>25</v>
      </c>
      <c r="AB513" s="177"/>
      <c r="AC513" s="265">
        <f t="shared" si="40"/>
        <v>19</v>
      </c>
      <c r="AD513" s="266">
        <f t="shared" si="38"/>
        <v>6.0825839954853474E-2</v>
      </c>
      <c r="AE513" s="244">
        <f t="shared" si="39"/>
        <v>0.11616126557759388</v>
      </c>
      <c r="AG513" s="244"/>
      <c r="AH513" s="244"/>
      <c r="AI513" s="244"/>
      <c r="AJ513" s="244"/>
      <c r="AK513" s="244"/>
    </row>
    <row r="514" spans="4:37" x14ac:dyDescent="0.3">
      <c r="D514" s="75">
        <v>20</v>
      </c>
      <c r="E514" s="80">
        <v>6</v>
      </c>
      <c r="F514" s="80">
        <v>6</v>
      </c>
      <c r="H514" s="255" t="s">
        <v>825</v>
      </c>
      <c r="I514" s="255" t="s">
        <v>825</v>
      </c>
      <c r="J514" s="255" t="s">
        <v>825</v>
      </c>
      <c r="L514" s="255" t="s">
        <v>825</v>
      </c>
      <c r="M514" s="95"/>
      <c r="N514" s="95"/>
      <c r="O514" s="95"/>
      <c r="T514" s="256" t="s">
        <v>825</v>
      </c>
      <c r="U514" s="257" t="s">
        <v>825</v>
      </c>
      <c r="V514" s="177"/>
      <c r="W514" s="258" t="s">
        <v>825</v>
      </c>
      <c r="X514" s="244">
        <v>6.0825839954853474E-2</v>
      </c>
      <c r="Y514" s="265">
        <f t="shared" si="37"/>
        <v>19</v>
      </c>
      <c r="AA514" s="265">
        <f>IF(COUNTIF($Y$495:$Y514,Y514)=1,Y514,Y514+(COUNTIF($Y$495:Y514,Y514)-1))</f>
        <v>19</v>
      </c>
      <c r="AB514" s="177"/>
      <c r="AC514" s="265">
        <f t="shared" si="40"/>
        <v>20</v>
      </c>
      <c r="AD514" s="266">
        <f t="shared" si="38"/>
        <v>6.3514308364772745E-2</v>
      </c>
      <c r="AE514" s="244">
        <f t="shared" si="39"/>
        <v>0.11616126557759388</v>
      </c>
      <c r="AG514" s="244"/>
      <c r="AH514" s="244"/>
      <c r="AI514" s="244"/>
      <c r="AJ514" s="244"/>
      <c r="AK514" s="244"/>
    </row>
    <row r="515" spans="4:37" x14ac:dyDescent="0.3">
      <c r="D515" s="75">
        <v>21</v>
      </c>
      <c r="E515" s="80">
        <v>6</v>
      </c>
      <c r="F515" s="80">
        <v>6</v>
      </c>
      <c r="H515" s="255" t="s">
        <v>825</v>
      </c>
      <c r="I515" s="255" t="s">
        <v>825</v>
      </c>
      <c r="J515" s="255" t="s">
        <v>825</v>
      </c>
      <c r="L515" s="255" t="s">
        <v>825</v>
      </c>
      <c r="M515" s="95"/>
      <c r="N515" s="95"/>
      <c r="O515" s="95"/>
      <c r="T515" s="256" t="s">
        <v>825</v>
      </c>
      <c r="U515" s="257" t="s">
        <v>825</v>
      </c>
      <c r="V515" s="177"/>
      <c r="W515" s="258" t="s">
        <v>825</v>
      </c>
      <c r="X515" s="244">
        <v>6.3514308364772745E-2</v>
      </c>
      <c r="Y515" s="265">
        <f t="shared" si="37"/>
        <v>20</v>
      </c>
      <c r="AA515" s="265">
        <f>IF(COUNTIF($Y$495:$Y515,Y515)=1,Y515,Y515+(COUNTIF($Y$495:Y515,Y515)-1))</f>
        <v>20</v>
      </c>
      <c r="AB515" s="177"/>
      <c r="AC515" s="265">
        <f t="shared" si="40"/>
        <v>21</v>
      </c>
      <c r="AD515" s="266">
        <f t="shared" si="38"/>
        <v>7.0006671483474434E-2</v>
      </c>
      <c r="AE515" s="244">
        <f t="shared" si="39"/>
        <v>0.11616126557759388</v>
      </c>
      <c r="AG515" s="244"/>
      <c r="AH515" s="244"/>
      <c r="AI515" s="244"/>
      <c r="AJ515" s="244"/>
      <c r="AK515" s="244"/>
    </row>
    <row r="516" spans="4:37" x14ac:dyDescent="0.3">
      <c r="D516" s="75">
        <v>22</v>
      </c>
      <c r="E516" s="80">
        <v>6</v>
      </c>
      <c r="F516" s="80">
        <v>6</v>
      </c>
      <c r="H516" s="255" t="s">
        <v>825</v>
      </c>
      <c r="I516" s="255" t="s">
        <v>825</v>
      </c>
      <c r="J516" s="255" t="s">
        <v>825</v>
      </c>
      <c r="L516" s="255" t="s">
        <v>825</v>
      </c>
      <c r="M516" s="95"/>
      <c r="N516" s="95"/>
      <c r="O516" s="95"/>
      <c r="T516" s="256" t="s">
        <v>825</v>
      </c>
      <c r="U516" s="257" t="s">
        <v>825</v>
      </c>
      <c r="V516" s="177"/>
      <c r="W516" s="258" t="s">
        <v>825</v>
      </c>
      <c r="X516" s="244">
        <v>6.0185164065146179E-2</v>
      </c>
      <c r="Y516" s="265">
        <f t="shared" si="37"/>
        <v>18</v>
      </c>
      <c r="AA516" s="265">
        <f>IF(COUNTIF($Y$495:$Y516,Y516)=1,Y516,Y516+(COUNTIF($Y$495:Y516,Y516)-1))</f>
        <v>18</v>
      </c>
      <c r="AB516" s="177"/>
      <c r="AC516" s="265">
        <f t="shared" si="40"/>
        <v>22</v>
      </c>
      <c r="AD516" s="266">
        <f t="shared" si="38"/>
        <v>7.8541890970325698E-2</v>
      </c>
      <c r="AE516" s="244">
        <f t="shared" si="39"/>
        <v>0.11616126557759388</v>
      </c>
      <c r="AG516" s="244"/>
      <c r="AH516" s="244"/>
      <c r="AI516" s="244"/>
      <c r="AJ516" s="244"/>
      <c r="AK516" s="244"/>
    </row>
    <row r="517" spans="4:37" x14ac:dyDescent="0.3">
      <c r="D517" s="75">
        <v>23</v>
      </c>
      <c r="E517" s="80">
        <v>6</v>
      </c>
      <c r="F517" s="80">
        <v>6</v>
      </c>
      <c r="H517" s="255" t="s">
        <v>825</v>
      </c>
      <c r="I517" s="255" t="s">
        <v>825</v>
      </c>
      <c r="J517" s="255" t="s">
        <v>825</v>
      </c>
      <c r="L517" s="255" t="s">
        <v>825</v>
      </c>
      <c r="M517" s="95"/>
      <c r="N517" s="95"/>
      <c r="O517" s="95"/>
      <c r="T517" s="256" t="s">
        <v>825</v>
      </c>
      <c r="U517" s="257" t="s">
        <v>825</v>
      </c>
      <c r="V517" s="177"/>
      <c r="W517" s="258" t="s">
        <v>825</v>
      </c>
      <c r="X517" s="244">
        <v>4.9771306002441486E-2</v>
      </c>
      <c r="Y517" s="265">
        <f t="shared" si="37"/>
        <v>15</v>
      </c>
      <c r="AA517" s="265">
        <f>IF(COUNTIF($Y$495:$Y517,Y517)=1,Y517,Y517+(COUNTIF($Y$495:Y517,Y517)-1))</f>
        <v>15</v>
      </c>
      <c r="AB517" s="177"/>
      <c r="AC517" s="265">
        <f t="shared" si="40"/>
        <v>23</v>
      </c>
      <c r="AD517" s="266">
        <f t="shared" si="38"/>
        <v>8.1049357520792412E-2</v>
      </c>
      <c r="AE517" s="244">
        <f t="shared" si="39"/>
        <v>0.11616126557759388</v>
      </c>
      <c r="AG517" s="244"/>
      <c r="AH517" s="244"/>
      <c r="AI517" s="244"/>
      <c r="AJ517" s="244"/>
      <c r="AK517" s="244"/>
    </row>
    <row r="518" spans="4:37" x14ac:dyDescent="0.3">
      <c r="D518" s="75">
        <v>24</v>
      </c>
      <c r="E518" s="80">
        <v>6</v>
      </c>
      <c r="F518" s="80">
        <v>6</v>
      </c>
      <c r="H518" s="255" t="s">
        <v>825</v>
      </c>
      <c r="I518" s="255" t="s">
        <v>825</v>
      </c>
      <c r="J518" s="255" t="s">
        <v>825</v>
      </c>
      <c r="L518" s="255" t="s">
        <v>825</v>
      </c>
      <c r="M518" s="95"/>
      <c r="N518" s="95"/>
      <c r="O518" s="95"/>
      <c r="T518" s="256" t="s">
        <v>825</v>
      </c>
      <c r="U518" s="257" t="s">
        <v>825</v>
      </c>
      <c r="V518" s="177"/>
      <c r="W518" s="258" t="s">
        <v>825</v>
      </c>
      <c r="X518" s="244">
        <v>8.1049357520792412E-2</v>
      </c>
      <c r="Y518" s="265">
        <f t="shared" si="37"/>
        <v>23</v>
      </c>
      <c r="AA518" s="265">
        <f>IF(COUNTIF($Y$495:$Y518,Y518)=1,Y518,Y518+(COUNTIF($Y$495:Y518,Y518)-1))</f>
        <v>23</v>
      </c>
      <c r="AB518" s="177"/>
      <c r="AC518" s="265">
        <f t="shared" si="40"/>
        <v>24</v>
      </c>
      <c r="AD518" s="266">
        <f t="shared" si="38"/>
        <v>8.2227298766753332E-2</v>
      </c>
      <c r="AE518" s="244">
        <f t="shared" si="39"/>
        <v>0.11616126557759388</v>
      </c>
      <c r="AG518" s="244"/>
      <c r="AH518" s="244"/>
      <c r="AI518" s="244"/>
      <c r="AJ518" s="244"/>
      <c r="AK518" s="244"/>
    </row>
    <row r="519" spans="4:37" x14ac:dyDescent="0.3">
      <c r="D519" s="75">
        <v>25</v>
      </c>
      <c r="E519" s="80">
        <v>6</v>
      </c>
      <c r="F519" s="80">
        <v>6</v>
      </c>
      <c r="H519" s="255" t="s">
        <v>825</v>
      </c>
      <c r="I519" s="255" t="s">
        <v>825</v>
      </c>
      <c r="J519" s="255" t="s">
        <v>825</v>
      </c>
      <c r="L519" s="255" t="s">
        <v>825</v>
      </c>
      <c r="M519" s="95"/>
      <c r="N519" s="95"/>
      <c r="O519" s="95"/>
      <c r="T519" s="256" t="s">
        <v>825</v>
      </c>
      <c r="U519" s="257" t="s">
        <v>825</v>
      </c>
      <c r="V519" s="177"/>
      <c r="W519" s="258" t="s">
        <v>825</v>
      </c>
      <c r="X519" s="244">
        <v>9.8074211639931061E-2</v>
      </c>
      <c r="Y519" s="265">
        <f t="shared" si="37"/>
        <v>28</v>
      </c>
      <c r="AA519" s="265">
        <f>IF(COUNTIF($Y$495:$Y519,Y519)=1,Y519,Y519+(COUNTIF($Y$495:Y519,Y519)-1))</f>
        <v>28</v>
      </c>
      <c r="AB519" s="177"/>
      <c r="AC519" s="265">
        <f t="shared" si="40"/>
        <v>25</v>
      </c>
      <c r="AD519" s="266">
        <f t="shared" si="38"/>
        <v>8.6305911043154826E-2</v>
      </c>
      <c r="AE519" s="244">
        <f t="shared" si="39"/>
        <v>0.11616126557759388</v>
      </c>
      <c r="AG519" s="244"/>
      <c r="AH519" s="244"/>
      <c r="AI519" s="244"/>
      <c r="AJ519" s="244"/>
      <c r="AK519" s="244"/>
    </row>
    <row r="520" spans="4:37" x14ac:dyDescent="0.3">
      <c r="D520" s="75">
        <v>26</v>
      </c>
      <c r="E520" s="80">
        <v>6</v>
      </c>
      <c r="F520" s="80">
        <v>6</v>
      </c>
      <c r="H520" s="255" t="s">
        <v>825</v>
      </c>
      <c r="I520" s="255" t="s">
        <v>825</v>
      </c>
      <c r="J520" s="255" t="s">
        <v>825</v>
      </c>
      <c r="L520" s="255" t="s">
        <v>825</v>
      </c>
      <c r="M520" s="95"/>
      <c r="N520" s="95"/>
      <c r="O520" s="95"/>
      <c r="T520" s="256" t="s">
        <v>825</v>
      </c>
      <c r="U520" s="257" t="s">
        <v>825</v>
      </c>
      <c r="V520" s="177"/>
      <c r="W520" s="258" t="s">
        <v>825</v>
      </c>
      <c r="X520" s="244">
        <v>7.0006671483474434E-2</v>
      </c>
      <c r="Y520" s="265">
        <f t="shared" si="37"/>
        <v>21</v>
      </c>
      <c r="AA520" s="265">
        <f>IF(COUNTIF($Y$495:$Y520,Y520)=1,Y520,Y520+(COUNTIF($Y$495:Y520,Y520)-1))</f>
        <v>21</v>
      </c>
      <c r="AB520" s="177"/>
      <c r="AC520" s="265">
        <f t="shared" si="40"/>
        <v>26</v>
      </c>
      <c r="AD520" s="266">
        <f t="shared" si="38"/>
        <v>9.0664618415056325E-2</v>
      </c>
      <c r="AE520" s="244">
        <f t="shared" si="39"/>
        <v>0.11616126557759388</v>
      </c>
      <c r="AG520" s="244"/>
      <c r="AH520" s="244"/>
      <c r="AI520" s="244"/>
      <c r="AJ520" s="244"/>
      <c r="AK520" s="244"/>
    </row>
    <row r="521" spans="4:37" x14ac:dyDescent="0.3">
      <c r="D521" s="75">
        <v>27</v>
      </c>
      <c r="E521" s="80">
        <v>6</v>
      </c>
      <c r="F521" s="80">
        <v>6</v>
      </c>
      <c r="H521" s="255" t="s">
        <v>825</v>
      </c>
      <c r="I521" s="255" t="s">
        <v>825</v>
      </c>
      <c r="J521" s="255" t="s">
        <v>825</v>
      </c>
      <c r="L521" s="255" t="s">
        <v>825</v>
      </c>
      <c r="M521" s="95"/>
      <c r="N521" s="95"/>
      <c r="O521" s="95"/>
      <c r="T521" s="256" t="s">
        <v>825</v>
      </c>
      <c r="U521" s="257" t="s">
        <v>825</v>
      </c>
      <c r="V521" s="177"/>
      <c r="W521" s="258" t="s">
        <v>825</v>
      </c>
      <c r="X521" s="244">
        <v>7.8541890970325698E-2</v>
      </c>
      <c r="Y521" s="265">
        <f t="shared" si="37"/>
        <v>22</v>
      </c>
      <c r="AA521" s="265">
        <f>IF(COUNTIF($Y$495:$Y521,Y521)=1,Y521,Y521+(COUNTIF($Y$495:Y521,Y521)-1))</f>
        <v>22</v>
      </c>
      <c r="AB521" s="177"/>
      <c r="AC521" s="265">
        <f t="shared" si="40"/>
        <v>27</v>
      </c>
      <c r="AD521" s="266">
        <f t="shared" si="38"/>
        <v>9.4246444645849581E-2</v>
      </c>
      <c r="AE521" s="244">
        <f t="shared" si="39"/>
        <v>0.11616126557759388</v>
      </c>
      <c r="AG521" s="244"/>
      <c r="AH521" s="244"/>
      <c r="AI521" s="244"/>
      <c r="AJ521" s="244"/>
      <c r="AK521" s="244"/>
    </row>
    <row r="522" spans="4:37" x14ac:dyDescent="0.3">
      <c r="D522" s="75">
        <v>28</v>
      </c>
      <c r="E522" s="80">
        <v>6</v>
      </c>
      <c r="F522" s="80">
        <v>6</v>
      </c>
      <c r="H522" s="255" t="s">
        <v>825</v>
      </c>
      <c r="I522" s="255" t="s">
        <v>825</v>
      </c>
      <c r="J522" s="255" t="s">
        <v>825</v>
      </c>
      <c r="L522" s="255" t="s">
        <v>825</v>
      </c>
      <c r="M522" s="95"/>
      <c r="N522" s="95"/>
      <c r="O522" s="95"/>
      <c r="T522" s="256" t="s">
        <v>825</v>
      </c>
      <c r="U522" s="257" t="s">
        <v>825</v>
      </c>
      <c r="V522" s="177"/>
      <c r="W522" s="258" t="s">
        <v>825</v>
      </c>
      <c r="X522" s="244">
        <v>0.13123249751064886</v>
      </c>
      <c r="Y522" s="265">
        <f t="shared" si="37"/>
        <v>31</v>
      </c>
      <c r="AA522" s="265">
        <f>IF(COUNTIF($Y$495:$Y522,Y522)=1,Y522,Y522+(COUNTIF($Y$495:Y522,Y522)-1))</f>
        <v>31</v>
      </c>
      <c r="AB522" s="177"/>
      <c r="AC522" s="265">
        <f t="shared" si="40"/>
        <v>28</v>
      </c>
      <c r="AD522" s="266">
        <f t="shared" si="38"/>
        <v>9.8074211639931061E-2</v>
      </c>
      <c r="AE522" s="244">
        <f t="shared" si="39"/>
        <v>0.11616126557759388</v>
      </c>
      <c r="AG522" s="244"/>
      <c r="AH522" s="244"/>
      <c r="AI522" s="244"/>
      <c r="AJ522" s="244"/>
      <c r="AK522" s="244"/>
    </row>
    <row r="523" spans="4:37" x14ac:dyDescent="0.3">
      <c r="D523" s="75">
        <v>29</v>
      </c>
      <c r="E523" s="80">
        <v>6</v>
      </c>
      <c r="F523" s="80">
        <v>6</v>
      </c>
      <c r="H523" s="255" t="s">
        <v>825</v>
      </c>
      <c r="I523" s="255" t="s">
        <v>825</v>
      </c>
      <c r="J523" s="255" t="s">
        <v>825</v>
      </c>
      <c r="L523" s="255" t="s">
        <v>825</v>
      </c>
      <c r="M523" s="95"/>
      <c r="N523" s="95"/>
      <c r="O523" s="95"/>
      <c r="T523" s="256" t="s">
        <v>825</v>
      </c>
      <c r="U523" s="257" t="s">
        <v>825</v>
      </c>
      <c r="V523" s="177"/>
      <c r="W523" s="258" t="s">
        <v>825</v>
      </c>
      <c r="X523" s="244">
        <v>0.13557722983272869</v>
      </c>
      <c r="Y523" s="265">
        <f t="shared" si="37"/>
        <v>33</v>
      </c>
      <c r="AA523" s="265">
        <f>IF(COUNTIF($Y$495:$Y523,Y523)=1,Y523,Y523+(COUNTIF($Y$495:Y523,Y523)-1))</f>
        <v>33</v>
      </c>
      <c r="AB523" s="177"/>
      <c r="AC523" s="265">
        <f t="shared" si="40"/>
        <v>29</v>
      </c>
      <c r="AD523" s="266">
        <f t="shared" si="38"/>
        <v>0.10217976210858322</v>
      </c>
      <c r="AE523" s="244">
        <f t="shared" si="39"/>
        <v>0.11616126557759388</v>
      </c>
      <c r="AG523" s="244"/>
      <c r="AH523" s="244"/>
      <c r="AI523" s="244"/>
      <c r="AJ523" s="244"/>
      <c r="AK523" s="244"/>
    </row>
    <row r="524" spans="4:37" x14ac:dyDescent="0.3">
      <c r="D524" s="75">
        <v>30</v>
      </c>
      <c r="E524" s="80">
        <v>6</v>
      </c>
      <c r="F524" s="80">
        <v>6</v>
      </c>
      <c r="H524" s="255" t="s">
        <v>825</v>
      </c>
      <c r="I524" s="255" t="s">
        <v>825</v>
      </c>
      <c r="J524" s="255" t="s">
        <v>825</v>
      </c>
      <c r="L524" s="255" t="s">
        <v>825</v>
      </c>
      <c r="M524" s="95"/>
      <c r="N524" s="95"/>
      <c r="O524" s="95"/>
      <c r="T524" s="256" t="s">
        <v>825</v>
      </c>
      <c r="U524" s="257" t="s">
        <v>825</v>
      </c>
      <c r="V524" s="177"/>
      <c r="W524" s="258" t="s">
        <v>825</v>
      </c>
      <c r="X524" s="244">
        <v>9.0664618415056325E-2</v>
      </c>
      <c r="Y524" s="265">
        <f t="shared" si="37"/>
        <v>26</v>
      </c>
      <c r="AA524" s="265">
        <f>IF(COUNTIF($Y$495:$Y524,Y524)=1,Y524,Y524+(COUNTIF($Y$495:Y524,Y524)-1))</f>
        <v>26</v>
      </c>
      <c r="AB524" s="177"/>
      <c r="AC524" s="265">
        <f t="shared" si="40"/>
        <v>30</v>
      </c>
      <c r="AD524" s="266">
        <f t="shared" si="38"/>
        <v>0.11668829175367633</v>
      </c>
      <c r="AE524" s="244">
        <f t="shared" si="39"/>
        <v>0.11616126557759388</v>
      </c>
      <c r="AG524" s="244"/>
      <c r="AH524" s="244"/>
      <c r="AI524" s="244"/>
      <c r="AJ524" s="244"/>
      <c r="AK524" s="244"/>
    </row>
    <row r="525" spans="4:37" x14ac:dyDescent="0.3">
      <c r="D525" s="75">
        <v>31</v>
      </c>
      <c r="E525" s="80">
        <v>6</v>
      </c>
      <c r="F525" s="80">
        <v>6</v>
      </c>
      <c r="H525" s="255" t="s">
        <v>825</v>
      </c>
      <c r="I525" s="255" t="s">
        <v>825</v>
      </c>
      <c r="J525" s="255" t="s">
        <v>825</v>
      </c>
      <c r="L525" s="255" t="s">
        <v>825</v>
      </c>
      <c r="M525" s="95"/>
      <c r="N525" s="95"/>
      <c r="O525" s="95"/>
      <c r="T525" s="256" t="s">
        <v>825</v>
      </c>
      <c r="U525" s="257" t="s">
        <v>825</v>
      </c>
      <c r="V525" s="177"/>
      <c r="W525" s="258" t="s">
        <v>825</v>
      </c>
      <c r="X525" s="244">
        <v>0.11668829175367633</v>
      </c>
      <c r="Y525" s="265">
        <f t="shared" si="37"/>
        <v>30</v>
      </c>
      <c r="AA525" s="265">
        <f>IF(COUNTIF($Y$495:$Y525,Y525)=1,Y525,Y525+(COUNTIF($Y$495:Y525,Y525)-1))</f>
        <v>30</v>
      </c>
      <c r="AB525" s="177"/>
      <c r="AC525" s="265">
        <f t="shared" si="40"/>
        <v>31</v>
      </c>
      <c r="AD525" s="266">
        <f t="shared" si="38"/>
        <v>0.13123249751064886</v>
      </c>
      <c r="AE525" s="244">
        <f t="shared" si="39"/>
        <v>0.11616126557759388</v>
      </c>
      <c r="AG525" s="244"/>
      <c r="AH525" s="244"/>
      <c r="AI525" s="244"/>
      <c r="AJ525" s="244"/>
      <c r="AK525" s="244"/>
    </row>
    <row r="526" spans="4:37" x14ac:dyDescent="0.3">
      <c r="D526" s="75">
        <v>32</v>
      </c>
      <c r="E526" s="80">
        <v>6</v>
      </c>
      <c r="F526" s="80">
        <v>6</v>
      </c>
      <c r="H526" s="255" t="s">
        <v>825</v>
      </c>
      <c r="I526" s="255" t="s">
        <v>825</v>
      </c>
      <c r="J526" s="255" t="s">
        <v>825</v>
      </c>
      <c r="L526" s="255" t="s">
        <v>825</v>
      </c>
      <c r="M526" s="95"/>
      <c r="N526" s="95"/>
      <c r="O526" s="95"/>
      <c r="T526" s="256" t="s">
        <v>825</v>
      </c>
      <c r="U526" s="257" t="s">
        <v>825</v>
      </c>
      <c r="V526" s="177"/>
      <c r="W526" s="258" t="s">
        <v>825</v>
      </c>
      <c r="X526" s="244">
        <v>0.16276845131569817</v>
      </c>
      <c r="Y526" s="265">
        <f t="shared" si="37"/>
        <v>38</v>
      </c>
      <c r="AA526" s="265">
        <f>IF(COUNTIF($Y$495:$Y526,Y526)=1,Y526,Y526+(COUNTIF($Y$495:Y526,Y526)-1))</f>
        <v>38</v>
      </c>
      <c r="AB526" s="177"/>
      <c r="AC526" s="265">
        <f t="shared" si="40"/>
        <v>32</v>
      </c>
      <c r="AD526" s="266">
        <f t="shared" si="38"/>
        <v>0.1319577321921396</v>
      </c>
      <c r="AE526" s="244">
        <f t="shared" si="39"/>
        <v>0.11616126557759388</v>
      </c>
      <c r="AG526" s="244"/>
      <c r="AH526" s="244"/>
      <c r="AI526" s="244"/>
      <c r="AJ526" s="244"/>
      <c r="AK526" s="244"/>
    </row>
    <row r="527" spans="4:37" x14ac:dyDescent="0.3">
      <c r="D527" s="75">
        <v>33</v>
      </c>
      <c r="E527" s="80">
        <v>6</v>
      </c>
      <c r="F527" s="80">
        <v>6</v>
      </c>
      <c r="H527" s="255" t="s">
        <v>825</v>
      </c>
      <c r="I527" s="255" t="s">
        <v>825</v>
      </c>
      <c r="J527" s="255" t="s">
        <v>825</v>
      </c>
      <c r="L527" s="255" t="s">
        <v>825</v>
      </c>
      <c r="M527" s="95"/>
      <c r="N527" s="95"/>
      <c r="O527" s="95"/>
      <c r="T527" s="256" t="s">
        <v>825</v>
      </c>
      <c r="U527" s="257" t="s">
        <v>825</v>
      </c>
      <c r="V527" s="177"/>
      <c r="W527" s="258" t="s">
        <v>825</v>
      </c>
      <c r="X527" s="244">
        <v>0.1462584649204666</v>
      </c>
      <c r="Y527" s="265">
        <f t="shared" si="37"/>
        <v>34</v>
      </c>
      <c r="AA527" s="265">
        <f>IF(COUNTIF($Y$495:$Y527,Y527)=1,Y527,Y527+(COUNTIF($Y$495:Y527,Y527)-1))</f>
        <v>34</v>
      </c>
      <c r="AB527" s="177"/>
      <c r="AC527" s="265">
        <f t="shared" si="40"/>
        <v>33</v>
      </c>
      <c r="AD527" s="266">
        <f t="shared" si="38"/>
        <v>0.13557722983272869</v>
      </c>
      <c r="AE527" s="244">
        <f t="shared" si="39"/>
        <v>0.11616126557759388</v>
      </c>
      <c r="AG527" s="244"/>
      <c r="AH527" s="244"/>
      <c r="AI527" s="244"/>
      <c r="AJ527" s="244"/>
      <c r="AK527" s="244"/>
    </row>
    <row r="528" spans="4:37" x14ac:dyDescent="0.3">
      <c r="D528" s="75">
        <v>34</v>
      </c>
      <c r="E528" s="80">
        <v>6</v>
      </c>
      <c r="F528" s="80">
        <v>6</v>
      </c>
      <c r="H528" s="255" t="s">
        <v>825</v>
      </c>
      <c r="I528" s="255" t="s">
        <v>825</v>
      </c>
      <c r="J528" s="255" t="s">
        <v>825</v>
      </c>
      <c r="L528" s="255" t="s">
        <v>825</v>
      </c>
      <c r="M528" s="95"/>
      <c r="N528" s="95"/>
      <c r="O528" s="95"/>
      <c r="T528" s="256" t="s">
        <v>825</v>
      </c>
      <c r="U528" s="257" t="s">
        <v>825</v>
      </c>
      <c r="V528" s="177"/>
      <c r="W528" s="258" t="s">
        <v>825</v>
      </c>
      <c r="X528" s="244">
        <v>0.1319577321921396</v>
      </c>
      <c r="Y528" s="265">
        <f t="shared" si="37"/>
        <v>32</v>
      </c>
      <c r="AA528" s="265">
        <f>IF(COUNTIF($Y$495:$Y528,Y528)=1,Y528,Y528+(COUNTIF($Y$495:Y528,Y528)-1))</f>
        <v>32</v>
      </c>
      <c r="AB528" s="177"/>
      <c r="AC528" s="265">
        <f t="shared" si="40"/>
        <v>34</v>
      </c>
      <c r="AD528" s="266">
        <f t="shared" si="38"/>
        <v>0.1462584649204666</v>
      </c>
      <c r="AE528" s="244">
        <f t="shared" si="39"/>
        <v>0.11616126557759388</v>
      </c>
      <c r="AG528" s="244"/>
      <c r="AH528" s="244"/>
      <c r="AI528" s="244"/>
      <c r="AJ528" s="244"/>
      <c r="AK528" s="244"/>
    </row>
    <row r="529" spans="4:37" x14ac:dyDescent="0.3">
      <c r="D529" s="75">
        <v>35</v>
      </c>
      <c r="E529" s="80">
        <v>6</v>
      </c>
      <c r="F529" s="80">
        <v>6</v>
      </c>
      <c r="H529" s="255" t="s">
        <v>825</v>
      </c>
      <c r="I529" s="255" t="s">
        <v>825</v>
      </c>
      <c r="J529" s="255" t="s">
        <v>825</v>
      </c>
      <c r="L529" s="255" t="s">
        <v>825</v>
      </c>
      <c r="M529" s="95"/>
      <c r="N529" s="95"/>
      <c r="O529" s="95"/>
      <c r="T529" s="256" t="s">
        <v>825</v>
      </c>
      <c r="U529" s="257" t="s">
        <v>825</v>
      </c>
      <c r="V529" s="177"/>
      <c r="W529" s="258" t="s">
        <v>825</v>
      </c>
      <c r="X529" s="244">
        <v>0.17104299860484973</v>
      </c>
      <c r="Y529" s="265">
        <f t="shared" si="37"/>
        <v>39</v>
      </c>
      <c r="AA529" s="265">
        <f>IF(COUNTIF($Y$495:$Y529,Y529)=1,Y529,Y529+(COUNTIF($Y$495:Y529,Y529)-1))</f>
        <v>39</v>
      </c>
      <c r="AB529" s="177"/>
      <c r="AC529" s="265">
        <f t="shared" si="40"/>
        <v>35</v>
      </c>
      <c r="AD529" s="266">
        <f t="shared" si="38"/>
        <v>0.15071772477716794</v>
      </c>
      <c r="AE529" s="244">
        <f t="shared" si="39"/>
        <v>0.11616126557759388</v>
      </c>
      <c r="AG529" s="244"/>
      <c r="AH529" s="244"/>
      <c r="AI529" s="244"/>
      <c r="AJ529" s="244"/>
      <c r="AK529" s="244"/>
    </row>
    <row r="530" spans="4:37" x14ac:dyDescent="0.3">
      <c r="D530" s="75">
        <v>36</v>
      </c>
      <c r="E530" s="80">
        <v>6</v>
      </c>
      <c r="F530" s="80">
        <v>6</v>
      </c>
      <c r="H530" s="255" t="s">
        <v>825</v>
      </c>
      <c r="I530" s="255" t="s">
        <v>825</v>
      </c>
      <c r="J530" s="255" t="s">
        <v>825</v>
      </c>
      <c r="L530" s="255" t="s">
        <v>825</v>
      </c>
      <c r="M530" s="95"/>
      <c r="N530" s="95"/>
      <c r="O530" s="95"/>
      <c r="T530" s="256" t="s">
        <v>825</v>
      </c>
      <c r="U530" s="257" t="s">
        <v>825</v>
      </c>
      <c r="V530" s="177"/>
      <c r="W530" s="258" t="s">
        <v>825</v>
      </c>
      <c r="X530" s="244">
        <v>8.2227298766753332E-2</v>
      </c>
      <c r="Y530" s="265">
        <f t="shared" si="37"/>
        <v>24</v>
      </c>
      <c r="AA530" s="265">
        <f>IF(COUNTIF($Y$495:$Y530,Y530)=1,Y530,Y530+(COUNTIF($Y$495:Y530,Y530)-1))</f>
        <v>24</v>
      </c>
      <c r="AB530" s="177"/>
      <c r="AC530" s="265">
        <f t="shared" si="40"/>
        <v>36</v>
      </c>
      <c r="AD530" s="266">
        <f t="shared" si="38"/>
        <v>0.15401217339063772</v>
      </c>
      <c r="AE530" s="244">
        <f t="shared" si="39"/>
        <v>0.11616126557759388</v>
      </c>
      <c r="AG530" s="244"/>
      <c r="AH530" s="244"/>
      <c r="AI530" s="244"/>
      <c r="AJ530" s="244"/>
      <c r="AK530" s="244"/>
    </row>
    <row r="531" spans="4:37" x14ac:dyDescent="0.3">
      <c r="D531" s="75">
        <v>37</v>
      </c>
      <c r="E531" s="80">
        <v>6</v>
      </c>
      <c r="F531" s="80">
        <v>6</v>
      </c>
      <c r="H531" s="255" t="s">
        <v>825</v>
      </c>
      <c r="I531" s="255" t="s">
        <v>825</v>
      </c>
      <c r="J531" s="255" t="s">
        <v>825</v>
      </c>
      <c r="L531" s="255" t="s">
        <v>825</v>
      </c>
      <c r="M531" s="95"/>
      <c r="N531" s="95"/>
      <c r="O531" s="95"/>
      <c r="T531" s="256" t="s">
        <v>825</v>
      </c>
      <c r="U531" s="257" t="s">
        <v>825</v>
      </c>
      <c r="V531" s="177"/>
      <c r="W531" s="258" t="s">
        <v>825</v>
      </c>
      <c r="X531" s="244">
        <v>0.19129431490742066</v>
      </c>
      <c r="Y531" s="265">
        <f t="shared" si="37"/>
        <v>42</v>
      </c>
      <c r="AA531" s="265">
        <f>IF(COUNTIF($Y$495:$Y531,Y531)=1,Y531,Y531+(COUNTIF($Y$495:Y531,Y531)-1))</f>
        <v>42</v>
      </c>
      <c r="AB531" s="177"/>
      <c r="AC531" s="265">
        <f t="shared" si="40"/>
        <v>37</v>
      </c>
      <c r="AD531" s="266">
        <f t="shared" si="38"/>
        <v>0.1593899967494983</v>
      </c>
      <c r="AE531" s="244">
        <f t="shared" si="39"/>
        <v>0.11616126557759388</v>
      </c>
      <c r="AG531" s="244"/>
      <c r="AH531" s="244"/>
      <c r="AI531" s="244"/>
      <c r="AJ531" s="244"/>
      <c r="AK531" s="244"/>
    </row>
    <row r="532" spans="4:37" x14ac:dyDescent="0.3">
      <c r="D532" s="75">
        <v>38</v>
      </c>
      <c r="E532" s="80">
        <v>6</v>
      </c>
      <c r="F532" s="80">
        <v>6</v>
      </c>
      <c r="H532" s="255" t="s">
        <v>825</v>
      </c>
      <c r="I532" s="255" t="s">
        <v>825</v>
      </c>
      <c r="J532" s="255" t="s">
        <v>825</v>
      </c>
      <c r="L532" s="255" t="s">
        <v>825</v>
      </c>
      <c r="M532" s="95"/>
      <c r="N532" s="95"/>
      <c r="O532" s="95"/>
      <c r="T532" s="256" t="s">
        <v>825</v>
      </c>
      <c r="U532" s="257" t="s">
        <v>825</v>
      </c>
      <c r="V532" s="177"/>
      <c r="W532" s="258" t="s">
        <v>825</v>
      </c>
      <c r="X532" s="244">
        <v>0.15401217339063772</v>
      </c>
      <c r="Y532" s="265">
        <f t="shared" si="37"/>
        <v>36</v>
      </c>
      <c r="AA532" s="265">
        <f>IF(COUNTIF($Y$495:$Y532,Y532)=1,Y532,Y532+(COUNTIF($Y$495:Y532,Y532)-1))</f>
        <v>36</v>
      </c>
      <c r="AB532" s="177"/>
      <c r="AC532" s="265">
        <f t="shared" si="40"/>
        <v>38</v>
      </c>
      <c r="AD532" s="266">
        <f t="shared" si="38"/>
        <v>0.16276845131569817</v>
      </c>
      <c r="AE532" s="244">
        <f t="shared" si="39"/>
        <v>0.11616126557759388</v>
      </c>
      <c r="AG532" s="244"/>
      <c r="AH532" s="244"/>
      <c r="AI532" s="244"/>
      <c r="AJ532" s="244"/>
      <c r="AK532" s="244"/>
    </row>
    <row r="533" spans="4:37" x14ac:dyDescent="0.3">
      <c r="D533" s="75">
        <v>39</v>
      </c>
      <c r="E533" s="80">
        <v>6</v>
      </c>
      <c r="F533" s="80">
        <v>6</v>
      </c>
      <c r="H533" s="255" t="s">
        <v>825</v>
      </c>
      <c r="I533" s="255" t="s">
        <v>825</v>
      </c>
      <c r="J533" s="255" t="s">
        <v>825</v>
      </c>
      <c r="L533" s="255" t="s">
        <v>825</v>
      </c>
      <c r="M533" s="95"/>
      <c r="N533" s="95"/>
      <c r="O533" s="95"/>
      <c r="T533" s="256" t="s">
        <v>825</v>
      </c>
      <c r="U533" s="257" t="s">
        <v>825</v>
      </c>
      <c r="V533" s="177"/>
      <c r="W533" s="258" t="s">
        <v>825</v>
      </c>
      <c r="X533" s="244">
        <v>0.17886473555129598</v>
      </c>
      <c r="Y533" s="265">
        <f t="shared" si="37"/>
        <v>41</v>
      </c>
      <c r="AA533" s="265">
        <f>IF(COUNTIF($Y$495:$Y533,Y533)=1,Y533,Y533+(COUNTIF($Y$495:Y533,Y533)-1))</f>
        <v>41</v>
      </c>
      <c r="AB533" s="177"/>
      <c r="AC533" s="265">
        <f t="shared" si="40"/>
        <v>39</v>
      </c>
      <c r="AD533" s="266">
        <f t="shared" si="38"/>
        <v>0.17104299860484973</v>
      </c>
      <c r="AE533" s="244">
        <f t="shared" si="39"/>
        <v>0.11616126557759388</v>
      </c>
      <c r="AG533" s="244"/>
      <c r="AH533" s="244"/>
      <c r="AI533" s="244"/>
      <c r="AJ533" s="244"/>
      <c r="AK533" s="244"/>
    </row>
    <row r="534" spans="4:37" x14ac:dyDescent="0.3">
      <c r="D534" s="75">
        <v>40</v>
      </c>
      <c r="E534" s="80">
        <v>6</v>
      </c>
      <c r="F534" s="80">
        <v>6</v>
      </c>
      <c r="H534" s="255" t="s">
        <v>825</v>
      </c>
      <c r="I534" s="255" t="s">
        <v>825</v>
      </c>
      <c r="J534" s="255" t="s">
        <v>825</v>
      </c>
      <c r="L534" s="255" t="s">
        <v>825</v>
      </c>
      <c r="M534" s="95"/>
      <c r="N534" s="95"/>
      <c r="O534" s="95"/>
      <c r="T534" s="256" t="s">
        <v>825</v>
      </c>
      <c r="U534" s="257" t="s">
        <v>825</v>
      </c>
      <c r="V534" s="177"/>
      <c r="W534" s="258" t="s">
        <v>825</v>
      </c>
      <c r="X534" s="244">
        <v>0.20153812866405096</v>
      </c>
      <c r="Y534" s="265">
        <f t="shared" si="37"/>
        <v>44</v>
      </c>
      <c r="AA534" s="265">
        <f>IF(COUNTIF($Y$495:$Y534,Y534)=1,Y534,Y534+(COUNTIF($Y$495:Y534,Y534)-1))</f>
        <v>44</v>
      </c>
      <c r="AB534" s="177"/>
      <c r="AC534" s="265">
        <f t="shared" si="40"/>
        <v>40</v>
      </c>
      <c r="AD534" s="266">
        <f t="shared" si="38"/>
        <v>0.17566236680211295</v>
      </c>
      <c r="AE534" s="244">
        <f t="shared" si="39"/>
        <v>0.11616126557759388</v>
      </c>
      <c r="AG534" s="244"/>
      <c r="AH534" s="244"/>
      <c r="AI534" s="244"/>
      <c r="AJ534" s="244"/>
      <c r="AK534" s="244"/>
    </row>
    <row r="535" spans="4:37" x14ac:dyDescent="0.3">
      <c r="D535" s="75">
        <v>41</v>
      </c>
      <c r="E535" s="80">
        <v>6</v>
      </c>
      <c r="F535" s="80">
        <v>6</v>
      </c>
      <c r="H535" s="255" t="s">
        <v>825</v>
      </c>
      <c r="I535" s="255" t="s">
        <v>825</v>
      </c>
      <c r="J535" s="255" t="s">
        <v>825</v>
      </c>
      <c r="L535" s="255" t="s">
        <v>825</v>
      </c>
      <c r="M535" s="95"/>
      <c r="N535" s="95"/>
      <c r="O535" s="95"/>
      <c r="T535" s="256" t="s">
        <v>825</v>
      </c>
      <c r="U535" s="257" t="s">
        <v>825</v>
      </c>
      <c r="V535" s="177"/>
      <c r="W535" s="258" t="s">
        <v>825</v>
      </c>
      <c r="X535" s="244">
        <v>0.2002224677091223</v>
      </c>
      <c r="Y535" s="265">
        <f t="shared" si="37"/>
        <v>43</v>
      </c>
      <c r="AA535" s="265">
        <f>IF(COUNTIF($Y$495:$Y535,Y535)=1,Y535,Y535+(COUNTIF($Y$495:Y535,Y535)-1))</f>
        <v>43</v>
      </c>
      <c r="AB535" s="177"/>
      <c r="AC535" s="265">
        <f t="shared" si="40"/>
        <v>41</v>
      </c>
      <c r="AD535" s="266">
        <f t="shared" si="38"/>
        <v>0.17886473555129598</v>
      </c>
      <c r="AE535" s="244">
        <f t="shared" si="39"/>
        <v>0.11616126557759388</v>
      </c>
      <c r="AG535" s="244"/>
      <c r="AH535" s="244"/>
      <c r="AI535" s="244"/>
      <c r="AJ535" s="244"/>
      <c r="AK535" s="244"/>
    </row>
    <row r="536" spans="4:37" x14ac:dyDescent="0.3">
      <c r="D536" s="75">
        <v>42</v>
      </c>
      <c r="E536" s="80">
        <v>6</v>
      </c>
      <c r="F536" s="80">
        <v>6</v>
      </c>
      <c r="H536" s="255" t="s">
        <v>825</v>
      </c>
      <c r="I536" s="255" t="s">
        <v>825</v>
      </c>
      <c r="J536" s="255" t="s">
        <v>825</v>
      </c>
      <c r="L536" s="255" t="s">
        <v>825</v>
      </c>
      <c r="M536" s="95"/>
      <c r="N536" s="95"/>
      <c r="O536" s="95"/>
      <c r="T536" s="256" t="s">
        <v>825</v>
      </c>
      <c r="U536" s="257" t="s">
        <v>825</v>
      </c>
      <c r="V536" s="177"/>
      <c r="W536" s="258" t="s">
        <v>825</v>
      </c>
      <c r="X536" s="244">
        <v>0.20499721568304399</v>
      </c>
      <c r="Y536" s="265">
        <f t="shared" si="37"/>
        <v>45</v>
      </c>
      <c r="AA536" s="265">
        <f>IF(COUNTIF($Y$495:$Y536,Y536)=1,Y536,Y536+(COUNTIF($Y$495:Y536,Y536)-1))</f>
        <v>45</v>
      </c>
      <c r="AB536" s="177"/>
      <c r="AC536" s="265">
        <f t="shared" si="40"/>
        <v>42</v>
      </c>
      <c r="AD536" s="266">
        <f t="shared" si="38"/>
        <v>0.19129431490742066</v>
      </c>
      <c r="AE536" s="244">
        <f t="shared" si="39"/>
        <v>0.11616126557759388</v>
      </c>
      <c r="AG536" s="244"/>
      <c r="AH536" s="244"/>
      <c r="AI536" s="244"/>
      <c r="AJ536" s="244"/>
      <c r="AK536" s="244"/>
    </row>
    <row r="537" spans="4:37" x14ac:dyDescent="0.3">
      <c r="D537" s="75">
        <v>43</v>
      </c>
      <c r="E537" s="80">
        <v>6</v>
      </c>
      <c r="F537" s="80">
        <v>6</v>
      </c>
      <c r="H537" s="255" t="s">
        <v>825</v>
      </c>
      <c r="I537" s="255" t="s">
        <v>825</v>
      </c>
      <c r="J537" s="255" t="s">
        <v>825</v>
      </c>
      <c r="L537" s="255" t="s">
        <v>825</v>
      </c>
      <c r="M537" s="95"/>
      <c r="N537" s="95"/>
      <c r="O537" s="95"/>
      <c r="T537" s="256" t="s">
        <v>825</v>
      </c>
      <c r="U537" s="257" t="s">
        <v>825</v>
      </c>
      <c r="V537" s="177"/>
      <c r="W537" s="258" t="s">
        <v>825</v>
      </c>
      <c r="X537" s="244">
        <v>0.17566236680211295</v>
      </c>
      <c r="Y537" s="265">
        <f t="shared" ref="Y537:Y543" si="41">RANK($X537,$X$495:$X$543,-1)</f>
        <v>40</v>
      </c>
      <c r="AA537" s="265">
        <f>IF(COUNTIF($Y$495:$Y537,Y537)=1,Y537,Y537+(COUNTIF($Y$495:Y537,Y537)-1))</f>
        <v>40</v>
      </c>
      <c r="AB537" s="177"/>
      <c r="AC537" s="265">
        <f t="shared" si="40"/>
        <v>43</v>
      </c>
      <c r="AD537" s="266">
        <f t="shared" ref="AD537:AD543" si="42">INDEX($X$495:$X$543,MATCH(AC537,$AA$495:$AA$543,0))</f>
        <v>0.2002224677091223</v>
      </c>
      <c r="AE537" s="244">
        <f t="shared" si="39"/>
        <v>0.11616126557759388</v>
      </c>
      <c r="AG537" s="244"/>
      <c r="AH537" s="244"/>
      <c r="AI537" s="244"/>
      <c r="AJ537" s="244"/>
      <c r="AK537" s="244"/>
    </row>
    <row r="538" spans="4:37" x14ac:dyDescent="0.3">
      <c r="D538" s="75">
        <v>44</v>
      </c>
      <c r="E538" s="80">
        <v>6</v>
      </c>
      <c r="F538" s="80">
        <v>6</v>
      </c>
      <c r="H538" s="255" t="s">
        <v>825</v>
      </c>
      <c r="I538" s="255" t="s">
        <v>825</v>
      </c>
      <c r="J538" s="255" t="s">
        <v>825</v>
      </c>
      <c r="L538" s="255" t="s">
        <v>825</v>
      </c>
      <c r="M538" s="95"/>
      <c r="N538" s="95"/>
      <c r="O538" s="95"/>
      <c r="T538" s="256" t="s">
        <v>825</v>
      </c>
      <c r="U538" s="257" t="s">
        <v>825</v>
      </c>
      <c r="V538" s="177"/>
      <c r="W538" s="258" t="s">
        <v>825</v>
      </c>
      <c r="X538" s="244">
        <v>0.22367933164742496</v>
      </c>
      <c r="Y538" s="265">
        <f t="shared" si="41"/>
        <v>46</v>
      </c>
      <c r="AA538" s="265">
        <f>IF(COUNTIF($Y$495:$Y538,Y538)=1,Y538,Y538+(COUNTIF($Y$495:Y538,Y538)-1))</f>
        <v>46</v>
      </c>
      <c r="AB538" s="177"/>
      <c r="AC538" s="265">
        <f t="shared" si="40"/>
        <v>44</v>
      </c>
      <c r="AD538" s="266">
        <f t="shared" si="42"/>
        <v>0.20153812866405096</v>
      </c>
      <c r="AE538" s="244">
        <f t="shared" si="39"/>
        <v>0.11616126557759388</v>
      </c>
      <c r="AG538" s="244"/>
      <c r="AH538" s="244"/>
      <c r="AI538" s="244"/>
      <c r="AJ538" s="244"/>
      <c r="AK538" s="244"/>
    </row>
    <row r="539" spans="4:37" x14ac:dyDescent="0.3">
      <c r="D539" s="75">
        <v>45</v>
      </c>
      <c r="E539" s="80">
        <v>6</v>
      </c>
      <c r="F539" s="80">
        <v>6</v>
      </c>
      <c r="H539" s="255" t="s">
        <v>825</v>
      </c>
      <c r="I539" s="255" t="s">
        <v>825</v>
      </c>
      <c r="J539" s="255" t="s">
        <v>825</v>
      </c>
      <c r="L539" s="255" t="s">
        <v>825</v>
      </c>
      <c r="M539" s="95"/>
      <c r="N539" s="95"/>
      <c r="O539" s="95"/>
      <c r="T539" s="256" t="s">
        <v>825</v>
      </c>
      <c r="U539" s="257" t="s">
        <v>825</v>
      </c>
      <c r="V539" s="177"/>
      <c r="W539" s="258" t="s">
        <v>825</v>
      </c>
      <c r="X539" s="244">
        <v>0.22367933164742496</v>
      </c>
      <c r="Y539" s="265">
        <f t="shared" si="41"/>
        <v>46</v>
      </c>
      <c r="AA539" s="265">
        <f>IF(COUNTIF($Y$495:$Y539,Y539)=1,Y539,Y539+(COUNTIF($Y$495:Y539,Y539)-1))</f>
        <v>47</v>
      </c>
      <c r="AB539" s="177"/>
      <c r="AC539" s="265">
        <f t="shared" si="40"/>
        <v>45</v>
      </c>
      <c r="AD539" s="266">
        <f t="shared" si="42"/>
        <v>0.20499721568304399</v>
      </c>
      <c r="AE539" s="244">
        <f t="shared" si="39"/>
        <v>0.11616126557759388</v>
      </c>
      <c r="AG539" s="244"/>
      <c r="AH539" s="244"/>
      <c r="AI539" s="244"/>
      <c r="AJ539" s="244"/>
      <c r="AK539" s="244"/>
    </row>
    <row r="540" spans="4:37" x14ac:dyDescent="0.3">
      <c r="D540" s="75">
        <v>46</v>
      </c>
      <c r="E540" s="80">
        <v>6</v>
      </c>
      <c r="F540" s="80">
        <v>6</v>
      </c>
      <c r="H540" s="255" t="s">
        <v>825</v>
      </c>
      <c r="I540" s="255" t="s">
        <v>825</v>
      </c>
      <c r="J540" s="255" t="s">
        <v>825</v>
      </c>
      <c r="L540" s="255" t="s">
        <v>825</v>
      </c>
      <c r="M540" s="95"/>
      <c r="N540" s="95"/>
      <c r="O540" s="95"/>
      <c r="T540" s="256" t="s">
        <v>825</v>
      </c>
      <c r="U540" s="257" t="s">
        <v>825</v>
      </c>
      <c r="V540" s="177"/>
      <c r="W540" s="258" t="s">
        <v>825</v>
      </c>
      <c r="X540" s="244">
        <v>0.22367933164742496</v>
      </c>
      <c r="Y540" s="265">
        <f t="shared" si="41"/>
        <v>46</v>
      </c>
      <c r="AA540" s="265">
        <f>IF(COUNTIF($Y$495:$Y540,Y540)=1,Y540,Y540+(COUNTIF($Y$495:Y540,Y540)-1))</f>
        <v>48</v>
      </c>
      <c r="AB540" s="177"/>
      <c r="AC540" s="265">
        <f t="shared" si="40"/>
        <v>46</v>
      </c>
      <c r="AD540" s="266">
        <f t="shared" si="42"/>
        <v>0.22367933164742496</v>
      </c>
      <c r="AE540" s="244">
        <f t="shared" si="39"/>
        <v>0.11616126557759388</v>
      </c>
      <c r="AG540" s="244"/>
      <c r="AH540" s="244"/>
      <c r="AI540" s="244"/>
      <c r="AJ540" s="244"/>
      <c r="AK540" s="244"/>
    </row>
    <row r="541" spans="4:37" x14ac:dyDescent="0.3">
      <c r="D541" s="75">
        <v>47</v>
      </c>
      <c r="E541" s="80">
        <v>6</v>
      </c>
      <c r="F541" s="80">
        <v>6</v>
      </c>
      <c r="H541" s="255" t="s">
        <v>825</v>
      </c>
      <c r="I541" s="255" t="s">
        <v>825</v>
      </c>
      <c r="J541" s="255" t="s">
        <v>825</v>
      </c>
      <c r="L541" s="255" t="s">
        <v>825</v>
      </c>
      <c r="M541" s="95"/>
      <c r="N541" s="95"/>
      <c r="O541" s="95"/>
      <c r="T541" s="256" t="s">
        <v>825</v>
      </c>
      <c r="U541" s="257" t="s">
        <v>825</v>
      </c>
      <c r="V541" s="177"/>
      <c r="W541" s="258" t="s">
        <v>825</v>
      </c>
      <c r="X541" s="244">
        <v>0.22367933164742496</v>
      </c>
      <c r="Y541" s="265">
        <f t="shared" si="41"/>
        <v>46</v>
      </c>
      <c r="AA541" s="265">
        <f>IF(COUNTIF($Y$495:$Y541,Y541)=1,Y541,Y541+(COUNTIF($Y$495:Y541,Y541)-1))</f>
        <v>49</v>
      </c>
      <c r="AB541" s="177"/>
      <c r="AC541" s="265">
        <f t="shared" si="40"/>
        <v>47</v>
      </c>
      <c r="AD541" s="266">
        <f t="shared" si="42"/>
        <v>0.22367933164742496</v>
      </c>
      <c r="AE541" s="244">
        <f t="shared" si="39"/>
        <v>0.11616126557759388</v>
      </c>
      <c r="AG541" s="244"/>
      <c r="AH541" s="244"/>
      <c r="AI541" s="244"/>
      <c r="AJ541" s="244"/>
      <c r="AK541" s="244"/>
    </row>
    <row r="542" spans="4:37" x14ac:dyDescent="0.3">
      <c r="D542" s="75">
        <v>48</v>
      </c>
      <c r="E542" s="80">
        <v>6</v>
      </c>
      <c r="F542" s="80">
        <v>6</v>
      </c>
      <c r="H542" s="255" t="s">
        <v>825</v>
      </c>
      <c r="I542" s="255" t="s">
        <v>825</v>
      </c>
      <c r="J542" s="255" t="s">
        <v>825</v>
      </c>
      <c r="L542" s="255" t="s">
        <v>825</v>
      </c>
      <c r="M542" s="95"/>
      <c r="N542" s="95"/>
      <c r="O542" s="95"/>
      <c r="T542" s="256" t="s">
        <v>825</v>
      </c>
      <c r="U542" s="257" t="s">
        <v>825</v>
      </c>
      <c r="V542" s="177"/>
      <c r="W542" s="258" t="s">
        <v>825</v>
      </c>
      <c r="X542" s="244">
        <v>0.15071772477716794</v>
      </c>
      <c r="Y542" s="265">
        <f t="shared" si="41"/>
        <v>35</v>
      </c>
      <c r="AA542" s="265">
        <f>IF(COUNTIF($Y$495:$Y542,Y542)=1,Y542,Y542+(COUNTIF($Y$495:Y542,Y542)-1))</f>
        <v>35</v>
      </c>
      <c r="AB542" s="177"/>
      <c r="AC542" s="265">
        <f t="shared" si="40"/>
        <v>48</v>
      </c>
      <c r="AD542" s="266">
        <f t="shared" si="42"/>
        <v>0.22367933164742496</v>
      </c>
      <c r="AE542" s="244">
        <f t="shared" si="39"/>
        <v>0.11616126557759388</v>
      </c>
      <c r="AG542" s="244"/>
      <c r="AH542" s="244"/>
      <c r="AI542" s="244"/>
      <c r="AJ542" s="244"/>
      <c r="AK542" s="244"/>
    </row>
    <row r="543" spans="4:37" x14ac:dyDescent="0.3">
      <c r="D543" s="75">
        <v>49</v>
      </c>
      <c r="E543" s="80">
        <v>6</v>
      </c>
      <c r="F543" s="80">
        <v>6</v>
      </c>
      <c r="H543" s="255" t="s">
        <v>825</v>
      </c>
      <c r="I543" s="255" t="s">
        <v>825</v>
      </c>
      <c r="J543" s="255" t="s">
        <v>825</v>
      </c>
      <c r="L543" s="255" t="s">
        <v>825</v>
      </c>
      <c r="M543" s="95"/>
      <c r="N543" s="95"/>
      <c r="O543" s="95"/>
      <c r="T543" s="256" t="s">
        <v>825</v>
      </c>
      <c r="U543" s="257" t="s">
        <v>825</v>
      </c>
      <c r="V543" s="177"/>
      <c r="W543" s="258" t="s">
        <v>825</v>
      </c>
      <c r="X543" s="244">
        <v>0.1593899967494983</v>
      </c>
      <c r="Y543" s="265">
        <f t="shared" si="41"/>
        <v>37</v>
      </c>
      <c r="AA543" s="265">
        <f>IF(COUNTIF($Y$495:$Y543,Y543)=1,Y543,Y543+(COUNTIF($Y$495:Y543,Y543)-1))</f>
        <v>37</v>
      </c>
      <c r="AB543" s="177"/>
      <c r="AC543" s="265">
        <f t="shared" si="40"/>
        <v>49</v>
      </c>
      <c r="AD543" s="266">
        <f t="shared" si="42"/>
        <v>0.22367933164742496</v>
      </c>
      <c r="AE543" s="244">
        <f t="shared" si="39"/>
        <v>0.11616126557759388</v>
      </c>
      <c r="AG543" s="244"/>
      <c r="AH543" s="244"/>
      <c r="AI543" s="244"/>
      <c r="AJ543" s="244"/>
      <c r="AK543" s="244"/>
    </row>
    <row r="546" spans="3:37" s="8" customFormat="1" ht="13.9" x14ac:dyDescent="0.3">
      <c r="C546" s="8" t="s">
        <v>807</v>
      </c>
    </row>
    <row r="547" spans="3:37" ht="13.5" thickBot="1" x14ac:dyDescent="0.35"/>
    <row r="548" spans="3:37" ht="13.5" thickBot="1" x14ac:dyDescent="0.35">
      <c r="S548" s="242" t="s">
        <v>635</v>
      </c>
      <c r="T548" s="64">
        <f>Lookup!N$17</f>
        <v>366</v>
      </c>
      <c r="U548" s="64">
        <f>Lookup!O$17</f>
        <v>365</v>
      </c>
      <c r="AD548" s="242" t="s">
        <v>646</v>
      </c>
      <c r="AE548" s="250">
        <f>(1+Inputs_Other!$O$32)*(1-Inputs_Other!$O$47)-1</f>
        <v>0.11616126557759388</v>
      </c>
    </row>
    <row r="549" spans="3:37" x14ac:dyDescent="0.3">
      <c r="H549" s="284" t="s">
        <v>638</v>
      </c>
      <c r="I549" s="284"/>
      <c r="J549" s="284"/>
      <c r="L549" s="284" t="s">
        <v>636</v>
      </c>
      <c r="M549" s="284"/>
      <c r="N549" s="284"/>
      <c r="O549" s="284"/>
      <c r="W549" s="284" t="s">
        <v>645</v>
      </c>
      <c r="X549" s="284"/>
    </row>
    <row r="550" spans="3:37" ht="39.4" x14ac:dyDescent="0.3">
      <c r="D550" s="70" t="s">
        <v>644</v>
      </c>
      <c r="E550" s="54" t="s">
        <v>626</v>
      </c>
      <c r="F550" s="54" t="s">
        <v>627</v>
      </c>
      <c r="H550" s="61" t="s">
        <v>544</v>
      </c>
      <c r="I550" s="61" t="s">
        <v>278</v>
      </c>
      <c r="J550" s="61" t="s">
        <v>279</v>
      </c>
      <c r="L550" s="61" t="s">
        <v>277</v>
      </c>
      <c r="M550" s="61" t="s">
        <v>274</v>
      </c>
      <c r="N550" s="61" t="s">
        <v>275</v>
      </c>
      <c r="O550" s="61" t="s">
        <v>276</v>
      </c>
      <c r="T550" s="54" t="str">
        <f>Lookup!N$19</f>
        <v>FY24</v>
      </c>
      <c r="U550" s="54" t="str">
        <f>Lookup!O$19</f>
        <v>FY25</v>
      </c>
      <c r="W550" s="54" t="s">
        <v>199</v>
      </c>
      <c r="X550" s="54" t="s">
        <v>198</v>
      </c>
      <c r="Y550" s="61" t="s">
        <v>820</v>
      </c>
      <c r="AA550" s="61" t="s">
        <v>821</v>
      </c>
      <c r="AC550" s="61" t="s">
        <v>822</v>
      </c>
      <c r="AD550" s="61" t="s">
        <v>823</v>
      </c>
      <c r="AE550" s="61" t="str">
        <f>"Revenue Increase + CPI = "&amp;ROUND(AE548*100,1)&amp;"%"</f>
        <v>Revenue Increase + CPI = 11.6%</v>
      </c>
    </row>
    <row r="551" spans="3:37" x14ac:dyDescent="0.3">
      <c r="D551" s="75">
        <v>1</v>
      </c>
      <c r="E551" s="80">
        <v>7</v>
      </c>
      <c r="F551" s="80">
        <v>7</v>
      </c>
      <c r="H551" s="255" t="s">
        <v>825</v>
      </c>
      <c r="I551" s="95"/>
      <c r="J551" s="95"/>
      <c r="L551" s="255" t="s">
        <v>825</v>
      </c>
      <c r="M551" s="95"/>
      <c r="N551" s="95"/>
      <c r="O551" s="95"/>
      <c r="T551" s="256" t="s">
        <v>825</v>
      </c>
      <c r="U551" s="257" t="s">
        <v>825</v>
      </c>
      <c r="V551" s="177"/>
      <c r="W551" s="258" t="s">
        <v>825</v>
      </c>
      <c r="X551" s="244">
        <v>-0.23699215777922741</v>
      </c>
      <c r="Y551" s="265">
        <f>RANK($X551,$X$551:$X$563,-1)</f>
        <v>1</v>
      </c>
      <c r="AA551" s="265">
        <f>IF(COUNTIF($Y$551:$Y551,Y551)=1,Y551,Y551+(COUNTIF($Y$551:Y551,Y551)-1))</f>
        <v>1</v>
      </c>
      <c r="AB551" s="177"/>
      <c r="AC551" s="265">
        <f>N(AC550)+1</f>
        <v>1</v>
      </c>
      <c r="AD551" s="266">
        <f>INDEX($X$551:$X$563,MATCH(AC551,$AA$551:$AA$563,0))</f>
        <v>-0.23699215777922741</v>
      </c>
      <c r="AE551" s="244">
        <f t="shared" ref="AE551:AE563" si="43">$AE$492</f>
        <v>0.11616126557759388</v>
      </c>
      <c r="AG551" s="244"/>
      <c r="AH551" s="244"/>
      <c r="AI551" s="244"/>
      <c r="AJ551" s="244"/>
      <c r="AK551" s="244"/>
    </row>
    <row r="552" spans="3:37" x14ac:dyDescent="0.3">
      <c r="D552" s="75">
        <v>2</v>
      </c>
      <c r="E552" s="80">
        <v>7</v>
      </c>
      <c r="F552" s="80">
        <v>7</v>
      </c>
      <c r="H552" s="255" t="s">
        <v>825</v>
      </c>
      <c r="I552" s="95"/>
      <c r="J552" s="95"/>
      <c r="L552" s="255" t="s">
        <v>825</v>
      </c>
      <c r="M552" s="95"/>
      <c r="N552" s="95"/>
      <c r="O552" s="95"/>
      <c r="T552" s="256" t="s">
        <v>825</v>
      </c>
      <c r="U552" s="257" t="s">
        <v>825</v>
      </c>
      <c r="V552" s="177"/>
      <c r="W552" s="258" t="s">
        <v>825</v>
      </c>
      <c r="X552" s="244">
        <v>-0.19718600326143251</v>
      </c>
      <c r="Y552" s="265">
        <f t="shared" ref="Y552:Y563" si="44">RANK($X552,$X$551:$X$563,-1)</f>
        <v>2</v>
      </c>
      <c r="AA552" s="265">
        <f>IF(COUNTIF($Y$551:$Y552,Y552)=1,Y552,Y552+(COUNTIF($Y$551:Y552,Y552)-1))</f>
        <v>2</v>
      </c>
      <c r="AB552" s="177"/>
      <c r="AC552" s="265">
        <f t="shared" ref="AC552:AC563" si="45">N(AC551)+1</f>
        <v>2</v>
      </c>
      <c r="AD552" s="266">
        <f t="shared" ref="AD552:AD563" si="46">INDEX($X$551:$X$563,MATCH(AC552,$AA$551:$AA$563,0))</f>
        <v>-0.19718600326143251</v>
      </c>
      <c r="AE552" s="244">
        <f t="shared" si="43"/>
        <v>0.11616126557759388</v>
      </c>
      <c r="AG552" s="244"/>
      <c r="AH552" s="244"/>
      <c r="AI552" s="244"/>
      <c r="AJ552" s="244"/>
      <c r="AK552" s="244"/>
    </row>
    <row r="553" spans="3:37" x14ac:dyDescent="0.3">
      <c r="D553" s="75">
        <v>3</v>
      </c>
      <c r="E553" s="80">
        <v>7</v>
      </c>
      <c r="F553" s="80">
        <v>7</v>
      </c>
      <c r="H553" s="255" t="s">
        <v>825</v>
      </c>
      <c r="I553" s="95"/>
      <c r="J553" s="95"/>
      <c r="L553" s="255" t="s">
        <v>825</v>
      </c>
      <c r="M553" s="95"/>
      <c r="N553" s="95"/>
      <c r="O553" s="95"/>
      <c r="T553" s="256" t="s">
        <v>825</v>
      </c>
      <c r="U553" s="257" t="s">
        <v>825</v>
      </c>
      <c r="V553" s="177"/>
      <c r="W553" s="258" t="s">
        <v>825</v>
      </c>
      <c r="X553" s="244">
        <v>-0.1913849067413913</v>
      </c>
      <c r="Y553" s="265">
        <f t="shared" si="44"/>
        <v>3</v>
      </c>
      <c r="AA553" s="265">
        <f>IF(COUNTIF($Y$551:$Y553,Y553)=1,Y553,Y553+(COUNTIF($Y$551:Y553,Y553)-1))</f>
        <v>3</v>
      </c>
      <c r="AB553" s="177"/>
      <c r="AC553" s="265">
        <f t="shared" si="45"/>
        <v>3</v>
      </c>
      <c r="AD553" s="266">
        <f t="shared" si="46"/>
        <v>-0.1913849067413913</v>
      </c>
      <c r="AE553" s="244">
        <f t="shared" si="43"/>
        <v>0.11616126557759388</v>
      </c>
      <c r="AG553" s="244"/>
      <c r="AH553" s="244"/>
      <c r="AI553" s="244"/>
      <c r="AJ553" s="244"/>
      <c r="AK553" s="244"/>
    </row>
    <row r="554" spans="3:37" x14ac:dyDescent="0.3">
      <c r="D554" s="75">
        <v>4</v>
      </c>
      <c r="E554" s="80">
        <v>7</v>
      </c>
      <c r="F554" s="80">
        <v>7</v>
      </c>
      <c r="H554" s="255" t="s">
        <v>825</v>
      </c>
      <c r="I554" s="95"/>
      <c r="J554" s="95"/>
      <c r="L554" s="255" t="s">
        <v>825</v>
      </c>
      <c r="M554" s="95"/>
      <c r="N554" s="95"/>
      <c r="O554" s="95"/>
      <c r="T554" s="256" t="s">
        <v>825</v>
      </c>
      <c r="U554" s="257" t="s">
        <v>825</v>
      </c>
      <c r="V554" s="177"/>
      <c r="W554" s="258" t="s">
        <v>825</v>
      </c>
      <c r="X554" s="244">
        <v>-0.10363053284994754</v>
      </c>
      <c r="Y554" s="265">
        <f t="shared" si="44"/>
        <v>4</v>
      </c>
      <c r="AA554" s="265">
        <f>IF(COUNTIF($Y$551:$Y554,Y554)=1,Y554,Y554+(COUNTIF($Y$551:Y554,Y554)-1))</f>
        <v>4</v>
      </c>
      <c r="AB554" s="177"/>
      <c r="AC554" s="265">
        <f t="shared" si="45"/>
        <v>4</v>
      </c>
      <c r="AD554" s="266">
        <f t="shared" si="46"/>
        <v>-0.10363053284994754</v>
      </c>
      <c r="AE554" s="244">
        <f t="shared" si="43"/>
        <v>0.11616126557759388</v>
      </c>
      <c r="AG554" s="244"/>
      <c r="AH554" s="244"/>
      <c r="AI554" s="244"/>
      <c r="AJ554" s="244"/>
      <c r="AK554" s="244"/>
    </row>
    <row r="555" spans="3:37" x14ac:dyDescent="0.3">
      <c r="D555" s="75">
        <v>5</v>
      </c>
      <c r="E555" s="80">
        <v>7</v>
      </c>
      <c r="F555" s="80">
        <v>7</v>
      </c>
      <c r="H555" s="255" t="s">
        <v>825</v>
      </c>
      <c r="I555" s="95"/>
      <c r="J555" s="95"/>
      <c r="L555" s="255" t="s">
        <v>825</v>
      </c>
      <c r="M555" s="95"/>
      <c r="N555" s="95"/>
      <c r="O555" s="95"/>
      <c r="T555" s="256" t="s">
        <v>825</v>
      </c>
      <c r="U555" s="257" t="s">
        <v>825</v>
      </c>
      <c r="V555" s="177"/>
      <c r="W555" s="258" t="s">
        <v>825</v>
      </c>
      <c r="X555" s="244">
        <v>-9.5067337146032757E-2</v>
      </c>
      <c r="Y555" s="265">
        <f t="shared" si="44"/>
        <v>5</v>
      </c>
      <c r="AA555" s="265">
        <f>IF(COUNTIF($Y$551:$Y555,Y555)=1,Y555,Y555+(COUNTIF($Y$551:Y555,Y555)-1))</f>
        <v>5</v>
      </c>
      <c r="AB555" s="177"/>
      <c r="AC555" s="265">
        <f t="shared" si="45"/>
        <v>5</v>
      </c>
      <c r="AD555" s="266">
        <f t="shared" si="46"/>
        <v>-9.5067337146032757E-2</v>
      </c>
      <c r="AE555" s="244">
        <f t="shared" si="43"/>
        <v>0.11616126557759388</v>
      </c>
      <c r="AG555" s="244"/>
      <c r="AH555" s="244"/>
      <c r="AI555" s="244"/>
      <c r="AJ555" s="244"/>
      <c r="AK555" s="244"/>
    </row>
    <row r="556" spans="3:37" x14ac:dyDescent="0.3">
      <c r="D556" s="75">
        <v>6</v>
      </c>
      <c r="E556" s="80">
        <v>7</v>
      </c>
      <c r="F556" s="80">
        <v>7</v>
      </c>
      <c r="H556" s="255" t="s">
        <v>825</v>
      </c>
      <c r="I556" s="95"/>
      <c r="J556" s="95"/>
      <c r="L556" s="255" t="s">
        <v>825</v>
      </c>
      <c r="M556" s="95"/>
      <c r="N556" s="95"/>
      <c r="O556" s="95"/>
      <c r="T556" s="256" t="s">
        <v>825</v>
      </c>
      <c r="U556" s="257" t="s">
        <v>825</v>
      </c>
      <c r="V556" s="177"/>
      <c r="W556" s="258" t="s">
        <v>825</v>
      </c>
      <c r="X556" s="244">
        <v>-7.2256183232926555E-2</v>
      </c>
      <c r="Y556" s="265">
        <f t="shared" si="44"/>
        <v>6</v>
      </c>
      <c r="AA556" s="265">
        <f>IF(COUNTIF($Y$551:$Y556,Y556)=1,Y556,Y556+(COUNTIF($Y$551:Y556,Y556)-1))</f>
        <v>6</v>
      </c>
      <c r="AB556" s="177"/>
      <c r="AC556" s="265">
        <f t="shared" si="45"/>
        <v>6</v>
      </c>
      <c r="AD556" s="266">
        <f t="shared" si="46"/>
        <v>-7.2256183232926555E-2</v>
      </c>
      <c r="AE556" s="244">
        <f t="shared" si="43"/>
        <v>0.11616126557759388</v>
      </c>
      <c r="AG556" s="244"/>
      <c r="AH556" s="244"/>
      <c r="AI556" s="244"/>
      <c r="AJ556" s="244"/>
      <c r="AK556" s="244"/>
    </row>
    <row r="557" spans="3:37" x14ac:dyDescent="0.3">
      <c r="D557" s="75">
        <v>7</v>
      </c>
      <c r="E557" s="80">
        <v>7</v>
      </c>
      <c r="F557" s="80">
        <v>7</v>
      </c>
      <c r="H557" s="255" t="s">
        <v>825</v>
      </c>
      <c r="I557" s="95"/>
      <c r="J557" s="95"/>
      <c r="L557" s="255" t="s">
        <v>825</v>
      </c>
      <c r="M557" s="95"/>
      <c r="N557" s="95"/>
      <c r="O557" s="95"/>
      <c r="T557" s="256" t="s">
        <v>825</v>
      </c>
      <c r="U557" s="257" t="s">
        <v>825</v>
      </c>
      <c r="V557" s="177"/>
      <c r="W557" s="258" t="s">
        <v>825</v>
      </c>
      <c r="X557" s="244">
        <v>-6.4041484173759586E-2</v>
      </c>
      <c r="Y557" s="265">
        <f t="shared" si="44"/>
        <v>7</v>
      </c>
      <c r="AA557" s="265">
        <f>IF(COUNTIF($Y$551:$Y557,Y557)=1,Y557,Y557+(COUNTIF($Y$551:Y557,Y557)-1))</f>
        <v>7</v>
      </c>
      <c r="AB557" s="177"/>
      <c r="AC557" s="265">
        <f t="shared" si="45"/>
        <v>7</v>
      </c>
      <c r="AD557" s="266">
        <f t="shared" si="46"/>
        <v>-6.4041484173759586E-2</v>
      </c>
      <c r="AE557" s="244">
        <f t="shared" si="43"/>
        <v>0.11616126557759388</v>
      </c>
      <c r="AG557" s="244"/>
      <c r="AH557" s="244"/>
      <c r="AI557" s="244"/>
      <c r="AJ557" s="244"/>
      <c r="AK557" s="244"/>
    </row>
    <row r="558" spans="3:37" x14ac:dyDescent="0.3">
      <c r="D558" s="75">
        <v>8</v>
      </c>
      <c r="E558" s="80">
        <v>7</v>
      </c>
      <c r="F558" s="80">
        <v>7</v>
      </c>
      <c r="H558" s="255" t="s">
        <v>825</v>
      </c>
      <c r="I558" s="95"/>
      <c r="J558" s="95"/>
      <c r="L558" s="255" t="s">
        <v>825</v>
      </c>
      <c r="M558" s="95"/>
      <c r="N558" s="95"/>
      <c r="O558" s="95"/>
      <c r="T558" s="256" t="s">
        <v>825</v>
      </c>
      <c r="U558" s="257" t="s">
        <v>825</v>
      </c>
      <c r="V558" s="177"/>
      <c r="W558" s="258" t="s">
        <v>825</v>
      </c>
      <c r="X558" s="244">
        <v>-5.3049629031404734E-2</v>
      </c>
      <c r="Y558" s="265">
        <f t="shared" si="44"/>
        <v>8</v>
      </c>
      <c r="AA558" s="265">
        <f>IF(COUNTIF($Y$551:$Y558,Y558)=1,Y558,Y558+(COUNTIF($Y$551:Y558,Y558)-1))</f>
        <v>8</v>
      </c>
      <c r="AB558" s="177"/>
      <c r="AC558" s="265">
        <f t="shared" si="45"/>
        <v>8</v>
      </c>
      <c r="AD558" s="266">
        <f t="shared" si="46"/>
        <v>-5.3049629031404734E-2</v>
      </c>
      <c r="AE558" s="244">
        <f t="shared" si="43"/>
        <v>0.11616126557759388</v>
      </c>
      <c r="AG558" s="244"/>
      <c r="AH558" s="244"/>
      <c r="AI558" s="244"/>
      <c r="AJ558" s="244"/>
      <c r="AK558" s="244"/>
    </row>
    <row r="559" spans="3:37" x14ac:dyDescent="0.3">
      <c r="D559" s="75">
        <v>9</v>
      </c>
      <c r="E559" s="80">
        <v>7</v>
      </c>
      <c r="F559" s="80">
        <v>7</v>
      </c>
      <c r="H559" s="255" t="s">
        <v>825</v>
      </c>
      <c r="I559" s="95"/>
      <c r="J559" s="95"/>
      <c r="L559" s="255" t="s">
        <v>825</v>
      </c>
      <c r="M559" s="95"/>
      <c r="N559" s="95"/>
      <c r="O559" s="95"/>
      <c r="T559" s="256" t="s">
        <v>825</v>
      </c>
      <c r="U559" s="257" t="s">
        <v>825</v>
      </c>
      <c r="V559" s="177"/>
      <c r="W559" s="258" t="s">
        <v>825</v>
      </c>
      <c r="X559" s="244">
        <v>-3.9903728512467818E-2</v>
      </c>
      <c r="Y559" s="265">
        <f t="shared" si="44"/>
        <v>9</v>
      </c>
      <c r="AA559" s="265">
        <f>IF(COUNTIF($Y$551:$Y559,Y559)=1,Y559,Y559+(COUNTIF($Y$551:Y559,Y559)-1))</f>
        <v>9</v>
      </c>
      <c r="AB559" s="177"/>
      <c r="AC559" s="265">
        <f t="shared" si="45"/>
        <v>9</v>
      </c>
      <c r="AD559" s="266">
        <f t="shared" si="46"/>
        <v>-3.9903728512467818E-2</v>
      </c>
      <c r="AE559" s="244">
        <f t="shared" si="43"/>
        <v>0.11616126557759388</v>
      </c>
      <c r="AG559" s="244"/>
      <c r="AH559" s="244"/>
      <c r="AI559" s="244"/>
      <c r="AJ559" s="244"/>
      <c r="AK559" s="244"/>
    </row>
    <row r="560" spans="3:37" x14ac:dyDescent="0.3">
      <c r="D560" s="75">
        <v>10</v>
      </c>
      <c r="E560" s="80">
        <v>7</v>
      </c>
      <c r="F560" s="80">
        <v>7</v>
      </c>
      <c r="H560" s="255" t="s">
        <v>825</v>
      </c>
      <c r="I560" s="95"/>
      <c r="J560" s="95"/>
      <c r="L560" s="255" t="s">
        <v>825</v>
      </c>
      <c r="M560" s="95"/>
      <c r="N560" s="95"/>
      <c r="O560" s="95"/>
      <c r="T560" s="256" t="s">
        <v>825</v>
      </c>
      <c r="U560" s="257" t="s">
        <v>825</v>
      </c>
      <c r="V560" s="177"/>
      <c r="W560" s="258" t="s">
        <v>825</v>
      </c>
      <c r="X560" s="244">
        <v>1.7542731472315342E-2</v>
      </c>
      <c r="Y560" s="265">
        <f t="shared" si="44"/>
        <v>10</v>
      </c>
      <c r="AA560" s="265">
        <f>IF(COUNTIF($Y$551:$Y560,Y560)=1,Y560,Y560+(COUNTIF($Y$551:Y560,Y560)-1))</f>
        <v>10</v>
      </c>
      <c r="AB560" s="177"/>
      <c r="AC560" s="265">
        <f t="shared" si="45"/>
        <v>10</v>
      </c>
      <c r="AD560" s="266">
        <f t="shared" si="46"/>
        <v>1.7542731472315342E-2</v>
      </c>
      <c r="AE560" s="244">
        <f t="shared" si="43"/>
        <v>0.11616126557759388</v>
      </c>
      <c r="AG560" s="244"/>
      <c r="AH560" s="244"/>
      <c r="AI560" s="244"/>
      <c r="AJ560" s="244"/>
      <c r="AK560" s="244"/>
    </row>
    <row r="561" spans="2:37" x14ac:dyDescent="0.3">
      <c r="D561" s="75">
        <v>11</v>
      </c>
      <c r="E561" s="80">
        <v>7</v>
      </c>
      <c r="F561" s="80">
        <v>7</v>
      </c>
      <c r="H561" s="255" t="s">
        <v>825</v>
      </c>
      <c r="I561" s="95"/>
      <c r="J561" s="95"/>
      <c r="L561" s="255" t="s">
        <v>825</v>
      </c>
      <c r="M561" s="95"/>
      <c r="N561" s="95"/>
      <c r="O561" s="95"/>
      <c r="T561" s="256" t="s">
        <v>825</v>
      </c>
      <c r="U561" s="257" t="s">
        <v>825</v>
      </c>
      <c r="V561" s="177"/>
      <c r="W561" s="258" t="s">
        <v>825</v>
      </c>
      <c r="X561" s="244">
        <v>4.8677934630558022E-2</v>
      </c>
      <c r="Y561" s="265">
        <f t="shared" si="44"/>
        <v>11</v>
      </c>
      <c r="AA561" s="265">
        <f>IF(COUNTIF($Y$551:$Y561,Y561)=1,Y561,Y561+(COUNTIF($Y$551:Y561,Y561)-1))</f>
        <v>11</v>
      </c>
      <c r="AB561" s="177"/>
      <c r="AC561" s="265">
        <f t="shared" si="45"/>
        <v>11</v>
      </c>
      <c r="AD561" s="266">
        <f t="shared" si="46"/>
        <v>4.8677934630558022E-2</v>
      </c>
      <c r="AE561" s="244">
        <f t="shared" si="43"/>
        <v>0.11616126557759388</v>
      </c>
      <c r="AG561" s="244"/>
      <c r="AH561" s="244"/>
      <c r="AI561" s="244"/>
      <c r="AJ561" s="244"/>
      <c r="AK561" s="244"/>
    </row>
    <row r="562" spans="2:37" x14ac:dyDescent="0.3">
      <c r="D562" s="75">
        <v>12</v>
      </c>
      <c r="E562" s="80">
        <v>7</v>
      </c>
      <c r="F562" s="80">
        <v>7</v>
      </c>
      <c r="H562" s="255" t="s">
        <v>825</v>
      </c>
      <c r="I562" s="95"/>
      <c r="J562" s="95"/>
      <c r="L562" s="255" t="s">
        <v>825</v>
      </c>
      <c r="M562" s="95"/>
      <c r="N562" s="95"/>
      <c r="O562" s="95"/>
      <c r="T562" s="256" t="s">
        <v>825</v>
      </c>
      <c r="U562" s="257" t="s">
        <v>825</v>
      </c>
      <c r="V562" s="177"/>
      <c r="W562" s="258" t="s">
        <v>825</v>
      </c>
      <c r="X562" s="244">
        <v>5.4342770110578371E-2</v>
      </c>
      <c r="Y562" s="265">
        <f t="shared" si="44"/>
        <v>12</v>
      </c>
      <c r="AA562" s="265">
        <f>IF(COUNTIF($Y$551:$Y562,Y562)=1,Y562,Y562+(COUNTIF($Y$551:Y562,Y562)-1))</f>
        <v>12</v>
      </c>
      <c r="AB562" s="177"/>
      <c r="AC562" s="265">
        <f t="shared" si="45"/>
        <v>12</v>
      </c>
      <c r="AD562" s="266">
        <f t="shared" si="46"/>
        <v>5.4342770110578371E-2</v>
      </c>
      <c r="AE562" s="244">
        <f t="shared" si="43"/>
        <v>0.11616126557759388</v>
      </c>
      <c r="AG562" s="244"/>
      <c r="AH562" s="244"/>
      <c r="AI562" s="244"/>
      <c r="AJ562" s="244"/>
      <c r="AK562" s="244"/>
    </row>
    <row r="563" spans="2:37" x14ac:dyDescent="0.3">
      <c r="D563" s="75">
        <v>13</v>
      </c>
      <c r="E563" s="80">
        <v>7</v>
      </c>
      <c r="F563" s="80">
        <v>7</v>
      </c>
      <c r="H563" s="255" t="s">
        <v>825</v>
      </c>
      <c r="I563" s="95"/>
      <c r="J563" s="95"/>
      <c r="L563" s="255" t="s">
        <v>825</v>
      </c>
      <c r="M563" s="95"/>
      <c r="N563" s="95"/>
      <c r="O563" s="95"/>
      <c r="T563" s="256" t="s">
        <v>825</v>
      </c>
      <c r="U563" s="257" t="s">
        <v>825</v>
      </c>
      <c r="V563" s="177"/>
      <c r="W563" s="258" t="s">
        <v>825</v>
      </c>
      <c r="X563" s="244">
        <v>0.10520863836039179</v>
      </c>
      <c r="Y563" s="265">
        <f t="shared" si="44"/>
        <v>13</v>
      </c>
      <c r="AA563" s="265">
        <f>IF(COUNTIF($Y$551:$Y563,Y563)=1,Y563,Y563+(COUNTIF($Y$551:Y563,Y563)-1))</f>
        <v>13</v>
      </c>
      <c r="AB563" s="177"/>
      <c r="AC563" s="265">
        <f t="shared" si="45"/>
        <v>13</v>
      </c>
      <c r="AD563" s="266">
        <f t="shared" si="46"/>
        <v>0.10520863836039179</v>
      </c>
      <c r="AE563" s="244">
        <f t="shared" si="43"/>
        <v>0.11616126557759388</v>
      </c>
      <c r="AG563" s="244"/>
      <c r="AH563" s="244"/>
      <c r="AI563" s="244"/>
      <c r="AJ563" s="244"/>
      <c r="AK563" s="244"/>
    </row>
    <row r="565" spans="2:37" x14ac:dyDescent="0.3">
      <c r="B565" s="132" t="s">
        <v>192</v>
      </c>
    </row>
    <row r="566" spans="2:37" s="8" customFormat="1" ht="13.9" x14ac:dyDescent="0.3">
      <c r="C566" s="8" t="s">
        <v>808</v>
      </c>
    </row>
    <row r="567" spans="2:37" ht="13.5" thickBot="1" x14ac:dyDescent="0.35"/>
    <row r="568" spans="2:37" ht="13.5" thickBot="1" x14ac:dyDescent="0.35">
      <c r="S568" s="242" t="s">
        <v>635</v>
      </c>
      <c r="T568" s="64">
        <f>Lookup!N$17</f>
        <v>366</v>
      </c>
      <c r="U568" s="64">
        <f>Lookup!O$17</f>
        <v>365</v>
      </c>
      <c r="AD568" s="242" t="s">
        <v>646</v>
      </c>
      <c r="AE568" s="250">
        <f>(1+Inputs_Other!$O$32)*(1-Inputs_Other!$O$47)-1</f>
        <v>0.11616126557759388</v>
      </c>
    </row>
    <row r="569" spans="2:37" x14ac:dyDescent="0.3">
      <c r="H569" s="284" t="s">
        <v>638</v>
      </c>
      <c r="I569" s="284"/>
      <c r="J569" s="284"/>
      <c r="L569" s="284" t="s">
        <v>636</v>
      </c>
      <c r="M569" s="284"/>
      <c r="N569" s="284"/>
      <c r="O569" s="284"/>
      <c r="W569" s="284" t="s">
        <v>645</v>
      </c>
      <c r="X569" s="284"/>
    </row>
    <row r="570" spans="2:37" ht="39.4" x14ac:dyDescent="0.3">
      <c r="D570" s="70" t="s">
        <v>644</v>
      </c>
      <c r="E570" s="54" t="s">
        <v>626</v>
      </c>
      <c r="F570" s="54" t="s">
        <v>627</v>
      </c>
      <c r="H570" s="61" t="s">
        <v>544</v>
      </c>
      <c r="I570" s="61" t="s">
        <v>278</v>
      </c>
      <c r="J570" s="61" t="s">
        <v>279</v>
      </c>
      <c r="L570" s="61" t="s">
        <v>277</v>
      </c>
      <c r="M570" s="61" t="s">
        <v>274</v>
      </c>
      <c r="N570" s="61" t="s">
        <v>275</v>
      </c>
      <c r="O570" s="61" t="s">
        <v>276</v>
      </c>
      <c r="T570" s="54" t="str">
        <f>Lookup!N$19</f>
        <v>FY24</v>
      </c>
      <c r="U570" s="54" t="str">
        <f>Lookup!O$19</f>
        <v>FY25</v>
      </c>
      <c r="W570" s="54" t="s">
        <v>199</v>
      </c>
      <c r="X570" s="54" t="s">
        <v>198</v>
      </c>
      <c r="Y570" s="61" t="s">
        <v>820</v>
      </c>
      <c r="AA570" s="61" t="s">
        <v>821</v>
      </c>
      <c r="AC570" s="61" t="s">
        <v>822</v>
      </c>
      <c r="AD570" s="61" t="s">
        <v>823</v>
      </c>
      <c r="AE570" s="61" t="str">
        <f>"Revenue Increase + CPI = "&amp;ROUND(AE568*100,1)&amp;"%"</f>
        <v>Revenue Increase + CPI = 11.6%</v>
      </c>
    </row>
    <row r="571" spans="2:37" x14ac:dyDescent="0.3">
      <c r="D571" s="75">
        <f t="shared" ref="D571:F590" si="47">D329</f>
        <v>1</v>
      </c>
      <c r="E571" s="80">
        <f t="shared" si="47"/>
        <v>5</v>
      </c>
      <c r="F571" s="80">
        <f t="shared" si="47"/>
        <v>5</v>
      </c>
      <c r="H571" s="255" t="s">
        <v>825</v>
      </c>
      <c r="I571" s="255" t="s">
        <v>825</v>
      </c>
      <c r="J571" s="255" t="s">
        <v>825</v>
      </c>
      <c r="L571" s="255" t="s">
        <v>825</v>
      </c>
      <c r="M571" s="95"/>
      <c r="N571" s="95"/>
      <c r="O571" s="95"/>
      <c r="T571" s="256" t="s">
        <v>825</v>
      </c>
      <c r="U571" s="257" t="s">
        <v>825</v>
      </c>
      <c r="V571" s="177"/>
      <c r="W571" s="258" t="s">
        <v>825</v>
      </c>
      <c r="X571" s="244">
        <v>-0.22441450661883894</v>
      </c>
      <c r="Y571" s="265">
        <f t="shared" ref="Y571:Y602" si="48">RANK($X571,$X$571:$X$790,-1)</f>
        <v>2</v>
      </c>
      <c r="AA571" s="265">
        <f>IF(COUNTIF($Y$571:$Y571,Y571)=1,Y571,Y571+(COUNTIF($Y$571:Y571,Y571)-1))</f>
        <v>2</v>
      </c>
      <c r="AB571" s="177"/>
      <c r="AC571" s="265">
        <f>N(AC570)+1</f>
        <v>1</v>
      </c>
      <c r="AD571" s="266">
        <f>INDEX($X$571:$X$790,MATCH(AC571,$AA$571:$AA$790,0))</f>
        <v>-0.23699215777922741</v>
      </c>
      <c r="AE571" s="244">
        <f t="shared" ref="AE571:AE634" si="49">$AE$568</f>
        <v>0.11616126557759388</v>
      </c>
      <c r="AG571" s="244"/>
      <c r="AH571" s="244"/>
      <c r="AI571" s="244"/>
      <c r="AJ571" s="244"/>
      <c r="AK571" s="244"/>
    </row>
    <row r="572" spans="2:37" x14ac:dyDescent="0.3">
      <c r="D572" s="75">
        <f t="shared" si="47"/>
        <v>2</v>
      </c>
      <c r="E572" s="80">
        <f t="shared" si="47"/>
        <v>5</v>
      </c>
      <c r="F572" s="80">
        <f t="shared" si="47"/>
        <v>5</v>
      </c>
      <c r="H572" s="255" t="s">
        <v>825</v>
      </c>
      <c r="I572" s="255" t="s">
        <v>825</v>
      </c>
      <c r="J572" s="255" t="s">
        <v>825</v>
      </c>
      <c r="L572" s="255" t="s">
        <v>825</v>
      </c>
      <c r="M572" s="95"/>
      <c r="N572" s="95"/>
      <c r="O572" s="95"/>
      <c r="T572" s="256" t="s">
        <v>825</v>
      </c>
      <c r="U572" s="257" t="s">
        <v>825</v>
      </c>
      <c r="V572" s="177"/>
      <c r="W572" s="258" t="s">
        <v>825</v>
      </c>
      <c r="X572" s="244">
        <v>-0.16448151981791803</v>
      </c>
      <c r="Y572" s="265">
        <f t="shared" si="48"/>
        <v>7</v>
      </c>
      <c r="AA572" s="265">
        <f>IF(COUNTIF($Y$571:$Y572,Y572)=1,Y572,Y572+(COUNTIF($Y$571:Y572,Y572)-1))</f>
        <v>7</v>
      </c>
      <c r="AB572" s="177"/>
      <c r="AC572" s="265">
        <f t="shared" ref="AC572:AC635" si="50">N(AC571)+1</f>
        <v>2</v>
      </c>
      <c r="AD572" s="266">
        <f t="shared" ref="AD572:AD635" si="51">INDEX($X$571:$X$790,MATCH(AC572,$AA$571:$AA$790,0))</f>
        <v>-0.22441450661883894</v>
      </c>
      <c r="AE572" s="244">
        <f t="shared" si="49"/>
        <v>0.11616126557759388</v>
      </c>
      <c r="AG572" s="244"/>
      <c r="AH572" s="244"/>
      <c r="AI572" s="244"/>
      <c r="AJ572" s="244"/>
      <c r="AK572" s="244"/>
    </row>
    <row r="573" spans="2:37" x14ac:dyDescent="0.3">
      <c r="D573" s="75">
        <f t="shared" si="47"/>
        <v>3</v>
      </c>
      <c r="E573" s="80">
        <f t="shared" si="47"/>
        <v>5</v>
      </c>
      <c r="F573" s="80">
        <f t="shared" si="47"/>
        <v>5</v>
      </c>
      <c r="H573" s="255" t="s">
        <v>825</v>
      </c>
      <c r="I573" s="255" t="s">
        <v>825</v>
      </c>
      <c r="J573" s="255" t="s">
        <v>825</v>
      </c>
      <c r="L573" s="255" t="s">
        <v>825</v>
      </c>
      <c r="M573" s="95"/>
      <c r="N573" s="95"/>
      <c r="O573" s="95"/>
      <c r="T573" s="256" t="s">
        <v>825</v>
      </c>
      <c r="U573" s="257" t="s">
        <v>825</v>
      </c>
      <c r="V573" s="177"/>
      <c r="W573" s="258" t="s">
        <v>825</v>
      </c>
      <c r="X573" s="244">
        <v>-0.15763606033285743</v>
      </c>
      <c r="Y573" s="265">
        <f t="shared" si="48"/>
        <v>8</v>
      </c>
      <c r="AA573" s="265">
        <f>IF(COUNTIF($Y$571:$Y573,Y573)=1,Y573,Y573+(COUNTIF($Y$571:Y573,Y573)-1))</f>
        <v>8</v>
      </c>
      <c r="AB573" s="177"/>
      <c r="AC573" s="265">
        <f t="shared" si="50"/>
        <v>3</v>
      </c>
      <c r="AD573" s="266">
        <f t="shared" si="51"/>
        <v>-0.19718600326143251</v>
      </c>
      <c r="AE573" s="244">
        <f t="shared" si="49"/>
        <v>0.11616126557759388</v>
      </c>
      <c r="AG573" s="244"/>
      <c r="AH573" s="244"/>
      <c r="AI573" s="244"/>
      <c r="AJ573" s="244"/>
      <c r="AK573" s="244"/>
    </row>
    <row r="574" spans="2:37" x14ac:dyDescent="0.3">
      <c r="D574" s="75">
        <f t="shared" si="47"/>
        <v>4</v>
      </c>
      <c r="E574" s="80">
        <f t="shared" si="47"/>
        <v>5</v>
      </c>
      <c r="F574" s="80">
        <f t="shared" si="47"/>
        <v>5</v>
      </c>
      <c r="H574" s="255" t="s">
        <v>825</v>
      </c>
      <c r="I574" s="255" t="s">
        <v>825</v>
      </c>
      <c r="J574" s="255" t="s">
        <v>825</v>
      </c>
      <c r="L574" s="255" t="s">
        <v>825</v>
      </c>
      <c r="M574" s="95"/>
      <c r="N574" s="95"/>
      <c r="O574" s="95"/>
      <c r="T574" s="256" t="s">
        <v>825</v>
      </c>
      <c r="U574" s="257" t="s">
        <v>825</v>
      </c>
      <c r="V574" s="177"/>
      <c r="W574" s="258" t="s">
        <v>825</v>
      </c>
      <c r="X574" s="244">
        <v>-0.19227436363521677</v>
      </c>
      <c r="Y574" s="265">
        <f t="shared" si="48"/>
        <v>4</v>
      </c>
      <c r="AA574" s="265">
        <f>IF(COUNTIF($Y$571:$Y574,Y574)=1,Y574,Y574+(COUNTIF($Y$571:Y574,Y574)-1))</f>
        <v>4</v>
      </c>
      <c r="AB574" s="177"/>
      <c r="AC574" s="265">
        <f t="shared" si="50"/>
        <v>4</v>
      </c>
      <c r="AD574" s="266">
        <f t="shared" si="51"/>
        <v>-0.19227436363521677</v>
      </c>
      <c r="AE574" s="244">
        <f t="shared" si="49"/>
        <v>0.11616126557759388</v>
      </c>
      <c r="AG574" s="244"/>
      <c r="AH574" s="244"/>
      <c r="AI574" s="244"/>
      <c r="AJ574" s="244"/>
      <c r="AK574" s="244"/>
    </row>
    <row r="575" spans="2:37" x14ac:dyDescent="0.3">
      <c r="D575" s="75">
        <f t="shared" si="47"/>
        <v>5</v>
      </c>
      <c r="E575" s="80">
        <f t="shared" si="47"/>
        <v>5</v>
      </c>
      <c r="F575" s="80">
        <f t="shared" si="47"/>
        <v>5</v>
      </c>
      <c r="H575" s="255" t="s">
        <v>825</v>
      </c>
      <c r="I575" s="255" t="s">
        <v>825</v>
      </c>
      <c r="J575" s="255" t="s">
        <v>825</v>
      </c>
      <c r="L575" s="255" t="s">
        <v>825</v>
      </c>
      <c r="M575" s="95"/>
      <c r="N575" s="95"/>
      <c r="O575" s="95"/>
      <c r="T575" s="256" t="s">
        <v>825</v>
      </c>
      <c r="U575" s="257" t="s">
        <v>825</v>
      </c>
      <c r="V575" s="177"/>
      <c r="W575" s="258" t="s">
        <v>825</v>
      </c>
      <c r="X575" s="244">
        <v>-0.14863243398706838</v>
      </c>
      <c r="Y575" s="265">
        <f t="shared" si="48"/>
        <v>10</v>
      </c>
      <c r="AA575" s="265">
        <f>IF(COUNTIF($Y$571:$Y575,Y575)=1,Y575,Y575+(COUNTIF($Y$571:Y575,Y575)-1))</f>
        <v>10</v>
      </c>
      <c r="AB575" s="177"/>
      <c r="AC575" s="265">
        <f t="shared" si="50"/>
        <v>5</v>
      </c>
      <c r="AD575" s="266">
        <f t="shared" si="51"/>
        <v>-0.1913849067413913</v>
      </c>
      <c r="AE575" s="244">
        <f t="shared" si="49"/>
        <v>0.11616126557759388</v>
      </c>
      <c r="AG575" s="244"/>
      <c r="AH575" s="244"/>
      <c r="AI575" s="244"/>
      <c r="AJ575" s="244"/>
      <c r="AK575" s="244"/>
    </row>
    <row r="576" spans="2:37" x14ac:dyDescent="0.3">
      <c r="D576" s="75">
        <f t="shared" si="47"/>
        <v>6</v>
      </c>
      <c r="E576" s="80">
        <f t="shared" si="47"/>
        <v>5</v>
      </c>
      <c r="F576" s="80">
        <f t="shared" si="47"/>
        <v>5</v>
      </c>
      <c r="H576" s="255" t="s">
        <v>825</v>
      </c>
      <c r="I576" s="255" t="s">
        <v>825</v>
      </c>
      <c r="J576" s="255" t="s">
        <v>825</v>
      </c>
      <c r="L576" s="255" t="s">
        <v>825</v>
      </c>
      <c r="M576" s="95"/>
      <c r="N576" s="95"/>
      <c r="O576" s="95"/>
      <c r="T576" s="256" t="s">
        <v>825</v>
      </c>
      <c r="U576" s="257" t="s">
        <v>825</v>
      </c>
      <c r="V576" s="177"/>
      <c r="W576" s="258" t="s">
        <v>825</v>
      </c>
      <c r="X576" s="244">
        <v>-0.15141641701395764</v>
      </c>
      <c r="Y576" s="265">
        <f t="shared" si="48"/>
        <v>9</v>
      </c>
      <c r="AA576" s="265">
        <f>IF(COUNTIF($Y$571:$Y576,Y576)=1,Y576,Y576+(COUNTIF($Y$571:Y576,Y576)-1))</f>
        <v>9</v>
      </c>
      <c r="AB576" s="177"/>
      <c r="AC576" s="265">
        <f t="shared" si="50"/>
        <v>6</v>
      </c>
      <c r="AD576" s="266">
        <f t="shared" si="51"/>
        <v>-0.17280601050106661</v>
      </c>
      <c r="AE576" s="244">
        <f t="shared" si="49"/>
        <v>0.11616126557759388</v>
      </c>
      <c r="AG576" s="244"/>
      <c r="AH576" s="244"/>
      <c r="AI576" s="244"/>
      <c r="AJ576" s="244"/>
      <c r="AK576" s="244"/>
    </row>
    <row r="577" spans="4:37" x14ac:dyDescent="0.3">
      <c r="D577" s="75">
        <f t="shared" si="47"/>
        <v>7</v>
      </c>
      <c r="E577" s="80">
        <f t="shared" si="47"/>
        <v>5</v>
      </c>
      <c r="F577" s="80">
        <f t="shared" si="47"/>
        <v>5</v>
      </c>
      <c r="H577" s="255" t="s">
        <v>825</v>
      </c>
      <c r="I577" s="255" t="s">
        <v>825</v>
      </c>
      <c r="J577" s="255" t="s">
        <v>825</v>
      </c>
      <c r="L577" s="255" t="s">
        <v>825</v>
      </c>
      <c r="M577" s="95"/>
      <c r="N577" s="95"/>
      <c r="O577" s="95"/>
      <c r="T577" s="256" t="s">
        <v>825</v>
      </c>
      <c r="U577" s="257" t="s">
        <v>825</v>
      </c>
      <c r="V577" s="177"/>
      <c r="W577" s="258" t="s">
        <v>825</v>
      </c>
      <c r="X577" s="244">
        <v>-0.14393247785367674</v>
      </c>
      <c r="Y577" s="265">
        <f t="shared" si="48"/>
        <v>11</v>
      </c>
      <c r="AA577" s="265">
        <f>IF(COUNTIF($Y$571:$Y577,Y577)=1,Y577,Y577+(COUNTIF($Y$571:Y577,Y577)-1))</f>
        <v>11</v>
      </c>
      <c r="AB577" s="177"/>
      <c r="AC577" s="265">
        <f t="shared" si="50"/>
        <v>7</v>
      </c>
      <c r="AD577" s="266">
        <f t="shared" si="51"/>
        <v>-0.16448151981791803</v>
      </c>
      <c r="AE577" s="244">
        <f t="shared" si="49"/>
        <v>0.11616126557759388</v>
      </c>
      <c r="AG577" s="244"/>
      <c r="AH577" s="244"/>
      <c r="AI577" s="244"/>
      <c r="AJ577" s="244"/>
      <c r="AK577" s="244"/>
    </row>
    <row r="578" spans="4:37" x14ac:dyDescent="0.3">
      <c r="D578" s="75">
        <f t="shared" si="47"/>
        <v>8</v>
      </c>
      <c r="E578" s="80">
        <f t="shared" si="47"/>
        <v>5</v>
      </c>
      <c r="F578" s="80">
        <f t="shared" si="47"/>
        <v>5</v>
      </c>
      <c r="H578" s="255" t="s">
        <v>825</v>
      </c>
      <c r="I578" s="255" t="s">
        <v>825</v>
      </c>
      <c r="J578" s="255" t="s">
        <v>825</v>
      </c>
      <c r="L578" s="255" t="s">
        <v>825</v>
      </c>
      <c r="M578" s="95"/>
      <c r="N578" s="95"/>
      <c r="O578" s="95"/>
      <c r="T578" s="256" t="s">
        <v>825</v>
      </c>
      <c r="U578" s="257" t="s">
        <v>825</v>
      </c>
      <c r="V578" s="177"/>
      <c r="W578" s="258" t="s">
        <v>825</v>
      </c>
      <c r="X578" s="244">
        <v>-0.13138062146069082</v>
      </c>
      <c r="Y578" s="265">
        <f t="shared" si="48"/>
        <v>13</v>
      </c>
      <c r="AA578" s="265">
        <f>IF(COUNTIF($Y$571:$Y578,Y578)=1,Y578,Y578+(COUNTIF($Y$571:Y578,Y578)-1))</f>
        <v>13</v>
      </c>
      <c r="AB578" s="177"/>
      <c r="AC578" s="265">
        <f t="shared" si="50"/>
        <v>8</v>
      </c>
      <c r="AD578" s="266">
        <f t="shared" si="51"/>
        <v>-0.15763606033285743</v>
      </c>
      <c r="AE578" s="244">
        <f t="shared" si="49"/>
        <v>0.11616126557759388</v>
      </c>
      <c r="AG578" s="244"/>
      <c r="AH578" s="244"/>
      <c r="AI578" s="244"/>
      <c r="AJ578" s="244"/>
      <c r="AK578" s="244"/>
    </row>
    <row r="579" spans="4:37" x14ac:dyDescent="0.3">
      <c r="D579" s="75">
        <f t="shared" si="47"/>
        <v>9</v>
      </c>
      <c r="E579" s="80">
        <f t="shared" si="47"/>
        <v>5</v>
      </c>
      <c r="F579" s="80">
        <f t="shared" si="47"/>
        <v>5</v>
      </c>
      <c r="H579" s="255" t="s">
        <v>825</v>
      </c>
      <c r="I579" s="255" t="s">
        <v>825</v>
      </c>
      <c r="J579" s="255" t="s">
        <v>825</v>
      </c>
      <c r="L579" s="255" t="s">
        <v>825</v>
      </c>
      <c r="M579" s="95"/>
      <c r="N579" s="95"/>
      <c r="O579" s="95"/>
      <c r="T579" s="256" t="s">
        <v>825</v>
      </c>
      <c r="U579" s="257" t="s">
        <v>825</v>
      </c>
      <c r="V579" s="177"/>
      <c r="W579" s="258" t="s">
        <v>825</v>
      </c>
      <c r="X579" s="244">
        <v>-0.1227313567002094</v>
      </c>
      <c r="Y579" s="265">
        <f t="shared" si="48"/>
        <v>15</v>
      </c>
      <c r="AA579" s="265">
        <f>IF(COUNTIF($Y$571:$Y579,Y579)=1,Y579,Y579+(COUNTIF($Y$571:Y579,Y579)-1))</f>
        <v>15</v>
      </c>
      <c r="AB579" s="177"/>
      <c r="AC579" s="265">
        <f t="shared" si="50"/>
        <v>9</v>
      </c>
      <c r="AD579" s="266">
        <f t="shared" si="51"/>
        <v>-0.15141641701395764</v>
      </c>
      <c r="AE579" s="244">
        <f t="shared" si="49"/>
        <v>0.11616126557759388</v>
      </c>
      <c r="AG579" s="244"/>
      <c r="AH579" s="244"/>
      <c r="AI579" s="244"/>
      <c r="AJ579" s="244"/>
      <c r="AK579" s="244"/>
    </row>
    <row r="580" spans="4:37" x14ac:dyDescent="0.3">
      <c r="D580" s="75">
        <f t="shared" si="47"/>
        <v>10</v>
      </c>
      <c r="E580" s="80">
        <f t="shared" si="47"/>
        <v>5</v>
      </c>
      <c r="F580" s="80">
        <f t="shared" si="47"/>
        <v>5</v>
      </c>
      <c r="H580" s="255" t="s">
        <v>825</v>
      </c>
      <c r="I580" s="255" t="s">
        <v>825</v>
      </c>
      <c r="J580" s="255" t="s">
        <v>825</v>
      </c>
      <c r="L580" s="255" t="s">
        <v>825</v>
      </c>
      <c r="M580" s="95"/>
      <c r="N580" s="95"/>
      <c r="O580" s="95"/>
      <c r="T580" s="256" t="s">
        <v>825</v>
      </c>
      <c r="U580" s="257" t="s">
        <v>825</v>
      </c>
      <c r="V580" s="177"/>
      <c r="W580" s="258" t="s">
        <v>825</v>
      </c>
      <c r="X580" s="244">
        <v>-0.11137678706769641</v>
      </c>
      <c r="Y580" s="265">
        <f t="shared" si="48"/>
        <v>20</v>
      </c>
      <c r="AA580" s="265">
        <f>IF(COUNTIF($Y$571:$Y580,Y580)=1,Y580,Y580+(COUNTIF($Y$571:Y580,Y580)-1))</f>
        <v>20</v>
      </c>
      <c r="AB580" s="177"/>
      <c r="AC580" s="265">
        <f t="shared" si="50"/>
        <v>10</v>
      </c>
      <c r="AD580" s="266">
        <f t="shared" si="51"/>
        <v>-0.14863243398706838</v>
      </c>
      <c r="AE580" s="244">
        <f t="shared" si="49"/>
        <v>0.11616126557759388</v>
      </c>
      <c r="AG580" s="244"/>
      <c r="AH580" s="244"/>
      <c r="AI580" s="244"/>
      <c r="AJ580" s="244"/>
      <c r="AK580" s="244"/>
    </row>
    <row r="581" spans="4:37" x14ac:dyDescent="0.3">
      <c r="D581" s="75">
        <f t="shared" si="47"/>
        <v>11</v>
      </c>
      <c r="E581" s="80">
        <f t="shared" si="47"/>
        <v>5</v>
      </c>
      <c r="F581" s="80">
        <f t="shared" si="47"/>
        <v>5</v>
      </c>
      <c r="H581" s="255" t="s">
        <v>825</v>
      </c>
      <c r="I581" s="255" t="s">
        <v>825</v>
      </c>
      <c r="J581" s="255" t="s">
        <v>825</v>
      </c>
      <c r="L581" s="255" t="s">
        <v>825</v>
      </c>
      <c r="M581" s="95"/>
      <c r="N581" s="95"/>
      <c r="O581" s="95"/>
      <c r="T581" s="256" t="s">
        <v>825</v>
      </c>
      <c r="U581" s="257" t="s">
        <v>825</v>
      </c>
      <c r="V581" s="177"/>
      <c r="W581" s="258" t="s">
        <v>825</v>
      </c>
      <c r="X581" s="244">
        <v>-9.9634445267190591E-2</v>
      </c>
      <c r="Y581" s="265">
        <f t="shared" si="48"/>
        <v>26</v>
      </c>
      <c r="AA581" s="265">
        <f>IF(COUNTIF($Y$571:$Y581,Y581)=1,Y581,Y581+(COUNTIF($Y$571:Y581,Y581)-1))</f>
        <v>26</v>
      </c>
      <c r="AB581" s="177"/>
      <c r="AC581" s="265">
        <f t="shared" si="50"/>
        <v>11</v>
      </c>
      <c r="AD581" s="266">
        <f t="shared" si="51"/>
        <v>-0.14393247785367674</v>
      </c>
      <c r="AE581" s="244">
        <f t="shared" si="49"/>
        <v>0.11616126557759388</v>
      </c>
      <c r="AG581" s="244"/>
      <c r="AH581" s="244"/>
      <c r="AI581" s="244"/>
      <c r="AJ581" s="244"/>
      <c r="AK581" s="244"/>
    </row>
    <row r="582" spans="4:37" x14ac:dyDescent="0.3">
      <c r="D582" s="75">
        <f t="shared" si="47"/>
        <v>12</v>
      </c>
      <c r="E582" s="80">
        <f t="shared" si="47"/>
        <v>5</v>
      </c>
      <c r="F582" s="80">
        <f t="shared" si="47"/>
        <v>5</v>
      </c>
      <c r="H582" s="255" t="s">
        <v>825</v>
      </c>
      <c r="I582" s="255" t="s">
        <v>825</v>
      </c>
      <c r="J582" s="255" t="s">
        <v>825</v>
      </c>
      <c r="L582" s="255" t="s">
        <v>825</v>
      </c>
      <c r="M582" s="95"/>
      <c r="N582" s="95"/>
      <c r="O582" s="95"/>
      <c r="T582" s="256" t="s">
        <v>825</v>
      </c>
      <c r="U582" s="257" t="s">
        <v>825</v>
      </c>
      <c r="V582" s="177"/>
      <c r="W582" s="258" t="s">
        <v>825</v>
      </c>
      <c r="X582" s="244">
        <v>-0.10525341730786156</v>
      </c>
      <c r="Y582" s="265">
        <f t="shared" si="48"/>
        <v>23</v>
      </c>
      <c r="AA582" s="265">
        <f>IF(COUNTIF($Y$571:$Y582,Y582)=1,Y582,Y582+(COUNTIF($Y$571:Y582,Y582)-1))</f>
        <v>23</v>
      </c>
      <c r="AB582" s="177"/>
      <c r="AC582" s="265">
        <f t="shared" si="50"/>
        <v>12</v>
      </c>
      <c r="AD582" s="266">
        <f t="shared" si="51"/>
        <v>-0.13179638824765125</v>
      </c>
      <c r="AE582" s="244">
        <f t="shared" si="49"/>
        <v>0.11616126557759388</v>
      </c>
      <c r="AG582" s="244"/>
      <c r="AH582" s="244"/>
      <c r="AI582" s="244"/>
      <c r="AJ582" s="244"/>
      <c r="AK582" s="244"/>
    </row>
    <row r="583" spans="4:37" x14ac:dyDescent="0.3">
      <c r="D583" s="75">
        <f t="shared" si="47"/>
        <v>13</v>
      </c>
      <c r="E583" s="80">
        <f t="shared" si="47"/>
        <v>5</v>
      </c>
      <c r="F583" s="80">
        <f t="shared" si="47"/>
        <v>5</v>
      </c>
      <c r="H583" s="255" t="s">
        <v>825</v>
      </c>
      <c r="I583" s="255" t="s">
        <v>825</v>
      </c>
      <c r="J583" s="255" t="s">
        <v>825</v>
      </c>
      <c r="L583" s="255" t="s">
        <v>825</v>
      </c>
      <c r="M583" s="95"/>
      <c r="N583" s="95"/>
      <c r="O583" s="95"/>
      <c r="T583" s="256" t="s">
        <v>825</v>
      </c>
      <c r="U583" s="257" t="s">
        <v>825</v>
      </c>
      <c r="V583" s="177"/>
      <c r="W583" s="258" t="s">
        <v>825</v>
      </c>
      <c r="X583" s="244">
        <v>-0.1186986839601533</v>
      </c>
      <c r="Y583" s="265">
        <f t="shared" si="48"/>
        <v>16</v>
      </c>
      <c r="AA583" s="265">
        <f>IF(COUNTIF($Y$571:$Y583,Y583)=1,Y583,Y583+(COUNTIF($Y$571:Y583,Y583)-1))</f>
        <v>16</v>
      </c>
      <c r="AB583" s="177"/>
      <c r="AC583" s="265">
        <f t="shared" si="50"/>
        <v>13</v>
      </c>
      <c r="AD583" s="266">
        <f t="shared" si="51"/>
        <v>-0.13138062146069082</v>
      </c>
      <c r="AE583" s="244">
        <f t="shared" si="49"/>
        <v>0.11616126557759388</v>
      </c>
      <c r="AG583" s="244"/>
      <c r="AH583" s="244"/>
      <c r="AI583" s="244"/>
      <c r="AJ583" s="244"/>
      <c r="AK583" s="244"/>
    </row>
    <row r="584" spans="4:37" x14ac:dyDescent="0.3">
      <c r="D584" s="75">
        <f t="shared" si="47"/>
        <v>14</v>
      </c>
      <c r="E584" s="80">
        <f t="shared" si="47"/>
        <v>5</v>
      </c>
      <c r="F584" s="80">
        <f t="shared" si="47"/>
        <v>5</v>
      </c>
      <c r="H584" s="255" t="s">
        <v>825</v>
      </c>
      <c r="I584" s="255" t="s">
        <v>825</v>
      </c>
      <c r="J584" s="255" t="s">
        <v>825</v>
      </c>
      <c r="L584" s="255" t="s">
        <v>825</v>
      </c>
      <c r="M584" s="95"/>
      <c r="N584" s="95"/>
      <c r="O584" s="95"/>
      <c r="T584" s="256" t="s">
        <v>825</v>
      </c>
      <c r="U584" s="257" t="s">
        <v>825</v>
      </c>
      <c r="V584" s="177"/>
      <c r="W584" s="258" t="s">
        <v>825</v>
      </c>
      <c r="X584" s="244">
        <v>-8.2106543515569938E-2</v>
      </c>
      <c r="Y584" s="265">
        <f t="shared" si="48"/>
        <v>34</v>
      </c>
      <c r="AA584" s="265">
        <f>IF(COUNTIF($Y$571:$Y584,Y584)=1,Y584,Y584+(COUNTIF($Y$571:Y584,Y584)-1))</f>
        <v>34</v>
      </c>
      <c r="AB584" s="177"/>
      <c r="AC584" s="265">
        <f t="shared" si="50"/>
        <v>14</v>
      </c>
      <c r="AD584" s="266">
        <f t="shared" si="51"/>
        <v>-0.12509108091478224</v>
      </c>
      <c r="AE584" s="244">
        <f t="shared" si="49"/>
        <v>0.11616126557759388</v>
      </c>
      <c r="AG584" s="244"/>
      <c r="AH584" s="244"/>
      <c r="AI584" s="244"/>
      <c r="AJ584" s="244"/>
      <c r="AK584" s="244"/>
    </row>
    <row r="585" spans="4:37" x14ac:dyDescent="0.3">
      <c r="D585" s="75">
        <f t="shared" si="47"/>
        <v>15</v>
      </c>
      <c r="E585" s="80">
        <f t="shared" si="47"/>
        <v>5</v>
      </c>
      <c r="F585" s="80">
        <f t="shared" si="47"/>
        <v>5</v>
      </c>
      <c r="H585" s="255" t="s">
        <v>825</v>
      </c>
      <c r="I585" s="255" t="s">
        <v>825</v>
      </c>
      <c r="J585" s="255" t="s">
        <v>825</v>
      </c>
      <c r="L585" s="255" t="s">
        <v>825</v>
      </c>
      <c r="M585" s="95"/>
      <c r="N585" s="95"/>
      <c r="O585" s="95"/>
      <c r="T585" s="256" t="s">
        <v>825</v>
      </c>
      <c r="U585" s="257" t="s">
        <v>825</v>
      </c>
      <c r="V585" s="177"/>
      <c r="W585" s="258" t="s">
        <v>825</v>
      </c>
      <c r="X585" s="244">
        <v>-8.472186294134576E-2</v>
      </c>
      <c r="Y585" s="265">
        <f t="shared" si="48"/>
        <v>33</v>
      </c>
      <c r="AA585" s="265">
        <f>IF(COUNTIF($Y$571:$Y585,Y585)=1,Y585,Y585+(COUNTIF($Y$571:Y585,Y585)-1))</f>
        <v>33</v>
      </c>
      <c r="AB585" s="177"/>
      <c r="AC585" s="265">
        <f t="shared" si="50"/>
        <v>15</v>
      </c>
      <c r="AD585" s="266">
        <f t="shared" si="51"/>
        <v>-0.1227313567002094</v>
      </c>
      <c r="AE585" s="244">
        <f t="shared" si="49"/>
        <v>0.11616126557759388</v>
      </c>
      <c r="AG585" s="244"/>
      <c r="AH585" s="244"/>
      <c r="AI585" s="244"/>
      <c r="AJ585" s="244"/>
      <c r="AK585" s="244"/>
    </row>
    <row r="586" spans="4:37" x14ac:dyDescent="0.3">
      <c r="D586" s="75">
        <f t="shared" si="47"/>
        <v>16</v>
      </c>
      <c r="E586" s="80">
        <f t="shared" si="47"/>
        <v>5</v>
      </c>
      <c r="F586" s="80">
        <f t="shared" si="47"/>
        <v>5</v>
      </c>
      <c r="H586" s="255" t="s">
        <v>825</v>
      </c>
      <c r="I586" s="255" t="s">
        <v>825</v>
      </c>
      <c r="J586" s="255" t="s">
        <v>825</v>
      </c>
      <c r="L586" s="255" t="s">
        <v>825</v>
      </c>
      <c r="M586" s="95"/>
      <c r="N586" s="95"/>
      <c r="O586" s="95"/>
      <c r="T586" s="256" t="s">
        <v>825</v>
      </c>
      <c r="U586" s="257" t="s">
        <v>825</v>
      </c>
      <c r="V586" s="177"/>
      <c r="W586" s="258" t="s">
        <v>825</v>
      </c>
      <c r="X586" s="244">
        <v>-0.11373195685483052</v>
      </c>
      <c r="Y586" s="265">
        <f t="shared" si="48"/>
        <v>19</v>
      </c>
      <c r="AA586" s="265">
        <f>IF(COUNTIF($Y$571:$Y586,Y586)=1,Y586,Y586+(COUNTIF($Y$571:Y586,Y586)-1))</f>
        <v>19</v>
      </c>
      <c r="AB586" s="177"/>
      <c r="AC586" s="265">
        <f t="shared" si="50"/>
        <v>16</v>
      </c>
      <c r="AD586" s="266">
        <f t="shared" si="51"/>
        <v>-0.1186986839601533</v>
      </c>
      <c r="AE586" s="244">
        <f t="shared" si="49"/>
        <v>0.11616126557759388</v>
      </c>
      <c r="AG586" s="244"/>
      <c r="AH586" s="244"/>
      <c r="AI586" s="244"/>
      <c r="AJ586" s="244"/>
      <c r="AK586" s="244"/>
    </row>
    <row r="587" spans="4:37" x14ac:dyDescent="0.3">
      <c r="D587" s="75">
        <f t="shared" si="47"/>
        <v>17</v>
      </c>
      <c r="E587" s="80">
        <f t="shared" si="47"/>
        <v>5</v>
      </c>
      <c r="F587" s="80">
        <f t="shared" si="47"/>
        <v>5</v>
      </c>
      <c r="H587" s="255" t="s">
        <v>825</v>
      </c>
      <c r="I587" s="255" t="s">
        <v>825</v>
      </c>
      <c r="J587" s="255" t="s">
        <v>825</v>
      </c>
      <c r="L587" s="255" t="s">
        <v>825</v>
      </c>
      <c r="M587" s="95"/>
      <c r="N587" s="95"/>
      <c r="O587" s="95"/>
      <c r="T587" s="256" t="s">
        <v>825</v>
      </c>
      <c r="U587" s="257" t="s">
        <v>825</v>
      </c>
      <c r="V587" s="177"/>
      <c r="W587" s="258" t="s">
        <v>825</v>
      </c>
      <c r="X587" s="244">
        <v>-7.2438933130804087E-2</v>
      </c>
      <c r="Y587" s="265">
        <f t="shared" si="48"/>
        <v>37</v>
      </c>
      <c r="AA587" s="265">
        <f>IF(COUNTIF($Y$571:$Y587,Y587)=1,Y587,Y587+(COUNTIF($Y$571:Y587,Y587)-1))</f>
        <v>37</v>
      </c>
      <c r="AB587" s="177"/>
      <c r="AC587" s="265">
        <f t="shared" si="50"/>
        <v>17</v>
      </c>
      <c r="AD587" s="266">
        <f t="shared" si="51"/>
        <v>-0.11772874898046201</v>
      </c>
      <c r="AE587" s="244">
        <f t="shared" si="49"/>
        <v>0.11616126557759388</v>
      </c>
      <c r="AG587" s="244"/>
      <c r="AH587" s="244"/>
      <c r="AI587" s="244"/>
      <c r="AJ587" s="244"/>
      <c r="AK587" s="244"/>
    </row>
    <row r="588" spans="4:37" x14ac:dyDescent="0.3">
      <c r="D588" s="75">
        <f t="shared" si="47"/>
        <v>18</v>
      </c>
      <c r="E588" s="80">
        <f t="shared" si="47"/>
        <v>5</v>
      </c>
      <c r="F588" s="80">
        <f t="shared" si="47"/>
        <v>5</v>
      </c>
      <c r="H588" s="255" t="s">
        <v>825</v>
      </c>
      <c r="I588" s="255" t="s">
        <v>825</v>
      </c>
      <c r="J588" s="255" t="s">
        <v>825</v>
      </c>
      <c r="L588" s="255" t="s">
        <v>825</v>
      </c>
      <c r="M588" s="95"/>
      <c r="N588" s="95"/>
      <c r="O588" s="95"/>
      <c r="T588" s="256" t="s">
        <v>825</v>
      </c>
      <c r="U588" s="257" t="s">
        <v>825</v>
      </c>
      <c r="V588" s="177"/>
      <c r="W588" s="258" t="s">
        <v>825</v>
      </c>
      <c r="X588" s="244">
        <v>-9.5681996499977218E-2</v>
      </c>
      <c r="Y588" s="265">
        <f t="shared" si="48"/>
        <v>27</v>
      </c>
      <c r="AA588" s="265">
        <f>IF(COUNTIF($Y$571:$Y588,Y588)=1,Y588,Y588+(COUNTIF($Y$571:Y588,Y588)-1))</f>
        <v>27</v>
      </c>
      <c r="AB588" s="177"/>
      <c r="AC588" s="265">
        <f t="shared" si="50"/>
        <v>18</v>
      </c>
      <c r="AD588" s="266">
        <f t="shared" si="51"/>
        <v>-0.11726894206136552</v>
      </c>
      <c r="AE588" s="244">
        <f t="shared" si="49"/>
        <v>0.11616126557759388</v>
      </c>
      <c r="AG588" s="244"/>
      <c r="AH588" s="244"/>
      <c r="AI588" s="244"/>
      <c r="AJ588" s="244"/>
      <c r="AK588" s="244"/>
    </row>
    <row r="589" spans="4:37" x14ac:dyDescent="0.3">
      <c r="D589" s="75">
        <f t="shared" si="47"/>
        <v>19</v>
      </c>
      <c r="E589" s="80">
        <f t="shared" si="47"/>
        <v>5</v>
      </c>
      <c r="F589" s="80">
        <f t="shared" si="47"/>
        <v>5</v>
      </c>
      <c r="H589" s="255" t="s">
        <v>825</v>
      </c>
      <c r="I589" s="255" t="s">
        <v>825</v>
      </c>
      <c r="J589" s="255" t="s">
        <v>825</v>
      </c>
      <c r="L589" s="255" t="s">
        <v>825</v>
      </c>
      <c r="M589" s="95"/>
      <c r="N589" s="95"/>
      <c r="O589" s="95"/>
      <c r="T589" s="256" t="s">
        <v>825</v>
      </c>
      <c r="U589" s="257" t="s">
        <v>825</v>
      </c>
      <c r="V589" s="177"/>
      <c r="W589" s="258" t="s">
        <v>825</v>
      </c>
      <c r="X589" s="244">
        <v>-8.4809747230217364E-2</v>
      </c>
      <c r="Y589" s="265">
        <f t="shared" si="48"/>
        <v>32</v>
      </c>
      <c r="AA589" s="265">
        <f>IF(COUNTIF($Y$571:$Y589,Y589)=1,Y589,Y589+(COUNTIF($Y$571:Y589,Y589)-1))</f>
        <v>32</v>
      </c>
      <c r="AB589" s="177"/>
      <c r="AC589" s="265">
        <f t="shared" si="50"/>
        <v>19</v>
      </c>
      <c r="AD589" s="266">
        <f t="shared" si="51"/>
        <v>-0.11373195685483052</v>
      </c>
      <c r="AE589" s="244">
        <f t="shared" si="49"/>
        <v>0.11616126557759388</v>
      </c>
      <c r="AG589" s="244"/>
      <c r="AH589" s="244"/>
      <c r="AI589" s="244"/>
      <c r="AJ589" s="244"/>
      <c r="AK589" s="244"/>
    </row>
    <row r="590" spans="4:37" x14ac:dyDescent="0.3">
      <c r="D590" s="75">
        <f t="shared" si="47"/>
        <v>20</v>
      </c>
      <c r="E590" s="80">
        <f t="shared" si="47"/>
        <v>5</v>
      </c>
      <c r="F590" s="80">
        <f t="shared" si="47"/>
        <v>5</v>
      </c>
      <c r="H590" s="255" t="s">
        <v>825</v>
      </c>
      <c r="I590" s="255" t="s">
        <v>825</v>
      </c>
      <c r="J590" s="255" t="s">
        <v>825</v>
      </c>
      <c r="L590" s="255" t="s">
        <v>825</v>
      </c>
      <c r="M590" s="95"/>
      <c r="N590" s="95"/>
      <c r="O590" s="95"/>
      <c r="T590" s="256" t="s">
        <v>825</v>
      </c>
      <c r="U590" s="257" t="s">
        <v>825</v>
      </c>
      <c r="V590" s="177"/>
      <c r="W590" s="258" t="s">
        <v>825</v>
      </c>
      <c r="X590" s="244">
        <v>-0.11772874898046201</v>
      </c>
      <c r="Y590" s="265">
        <f t="shared" si="48"/>
        <v>17</v>
      </c>
      <c r="AA590" s="265">
        <f>IF(COUNTIF($Y$571:$Y590,Y590)=1,Y590,Y590+(COUNTIF($Y$571:Y590,Y590)-1))</f>
        <v>17</v>
      </c>
      <c r="AB590" s="177"/>
      <c r="AC590" s="265">
        <f t="shared" si="50"/>
        <v>20</v>
      </c>
      <c r="AD590" s="266">
        <f t="shared" si="51"/>
        <v>-0.11137678706769641</v>
      </c>
      <c r="AE590" s="244">
        <f t="shared" si="49"/>
        <v>0.11616126557759388</v>
      </c>
      <c r="AG590" s="244"/>
      <c r="AH590" s="244"/>
      <c r="AI590" s="244"/>
      <c r="AJ590" s="244"/>
      <c r="AK590" s="244"/>
    </row>
    <row r="591" spans="4:37" x14ac:dyDescent="0.3">
      <c r="D591" s="75">
        <f t="shared" ref="D591:F610" si="52">D349</f>
        <v>21</v>
      </c>
      <c r="E591" s="80">
        <f t="shared" si="52"/>
        <v>5</v>
      </c>
      <c r="F591" s="80">
        <f t="shared" si="52"/>
        <v>5</v>
      </c>
      <c r="H591" s="255" t="s">
        <v>825</v>
      </c>
      <c r="I591" s="255" t="s">
        <v>825</v>
      </c>
      <c r="J591" s="255" t="s">
        <v>825</v>
      </c>
      <c r="L591" s="255" t="s">
        <v>825</v>
      </c>
      <c r="M591" s="95"/>
      <c r="N591" s="95"/>
      <c r="O591" s="95"/>
      <c r="T591" s="256" t="s">
        <v>825</v>
      </c>
      <c r="U591" s="257" t="s">
        <v>825</v>
      </c>
      <c r="V591" s="177"/>
      <c r="W591" s="258" t="s">
        <v>825</v>
      </c>
      <c r="X591" s="244">
        <v>-8.1069705683312343E-2</v>
      </c>
      <c r="Y591" s="265">
        <f t="shared" si="48"/>
        <v>35</v>
      </c>
      <c r="AA591" s="265">
        <f>IF(COUNTIF($Y$571:$Y591,Y591)=1,Y591,Y591+(COUNTIF($Y$571:Y591,Y591)-1))</f>
        <v>35</v>
      </c>
      <c r="AB591" s="177"/>
      <c r="AC591" s="265">
        <f t="shared" si="50"/>
        <v>21</v>
      </c>
      <c r="AD591" s="266">
        <f t="shared" si="51"/>
        <v>-0.10554251039328044</v>
      </c>
      <c r="AE591" s="244">
        <f t="shared" si="49"/>
        <v>0.11616126557759388</v>
      </c>
      <c r="AG591" s="244"/>
      <c r="AH591" s="244"/>
      <c r="AI591" s="244"/>
      <c r="AJ591" s="244"/>
      <c r="AK591" s="244"/>
    </row>
    <row r="592" spans="4:37" x14ac:dyDescent="0.3">
      <c r="D592" s="75">
        <f t="shared" si="52"/>
        <v>22</v>
      </c>
      <c r="E592" s="80">
        <f t="shared" si="52"/>
        <v>5</v>
      </c>
      <c r="F592" s="80">
        <f t="shared" si="52"/>
        <v>5</v>
      </c>
      <c r="H592" s="255" t="s">
        <v>825</v>
      </c>
      <c r="I592" s="255" t="s">
        <v>825</v>
      </c>
      <c r="J592" s="255" t="s">
        <v>825</v>
      </c>
      <c r="L592" s="255" t="s">
        <v>825</v>
      </c>
      <c r="M592" s="95"/>
      <c r="N592" s="95"/>
      <c r="O592" s="95"/>
      <c r="T592" s="256" t="s">
        <v>825</v>
      </c>
      <c r="U592" s="257" t="s">
        <v>825</v>
      </c>
      <c r="V592" s="177"/>
      <c r="W592" s="258" t="s">
        <v>825</v>
      </c>
      <c r="X592" s="244">
        <v>-4.4940755498595331E-2</v>
      </c>
      <c r="Y592" s="265">
        <f t="shared" si="48"/>
        <v>53</v>
      </c>
      <c r="AA592" s="265">
        <f>IF(COUNTIF($Y$571:$Y592,Y592)=1,Y592,Y592+(COUNTIF($Y$571:Y592,Y592)-1))</f>
        <v>53</v>
      </c>
      <c r="AB592" s="177"/>
      <c r="AC592" s="265">
        <f t="shared" si="50"/>
        <v>22</v>
      </c>
      <c r="AD592" s="266">
        <f t="shared" si="51"/>
        <v>-0.10526394111123549</v>
      </c>
      <c r="AE592" s="244">
        <f t="shared" si="49"/>
        <v>0.11616126557759388</v>
      </c>
      <c r="AG592" s="244"/>
      <c r="AH592" s="244"/>
      <c r="AI592" s="244"/>
      <c r="AJ592" s="244"/>
      <c r="AK592" s="244"/>
    </row>
    <row r="593" spans="4:37" x14ac:dyDescent="0.3">
      <c r="D593" s="75">
        <f t="shared" si="52"/>
        <v>23</v>
      </c>
      <c r="E593" s="80">
        <f t="shared" si="52"/>
        <v>5</v>
      </c>
      <c r="F593" s="80">
        <f t="shared" si="52"/>
        <v>5</v>
      </c>
      <c r="H593" s="255" t="s">
        <v>825</v>
      </c>
      <c r="I593" s="255" t="s">
        <v>825</v>
      </c>
      <c r="J593" s="255" t="s">
        <v>825</v>
      </c>
      <c r="L593" s="255" t="s">
        <v>825</v>
      </c>
      <c r="M593" s="95"/>
      <c r="N593" s="95"/>
      <c r="O593" s="95"/>
      <c r="T593" s="256" t="s">
        <v>825</v>
      </c>
      <c r="U593" s="257" t="s">
        <v>825</v>
      </c>
      <c r="V593" s="177"/>
      <c r="W593" s="258" t="s">
        <v>825</v>
      </c>
      <c r="X593" s="244">
        <v>-6.3562004929106991E-2</v>
      </c>
      <c r="Y593" s="265">
        <f t="shared" si="48"/>
        <v>44</v>
      </c>
      <c r="AA593" s="265">
        <f>IF(COUNTIF($Y$571:$Y593,Y593)=1,Y593,Y593+(COUNTIF($Y$571:Y593,Y593)-1))</f>
        <v>44</v>
      </c>
      <c r="AB593" s="177"/>
      <c r="AC593" s="265">
        <f t="shared" si="50"/>
        <v>23</v>
      </c>
      <c r="AD593" s="266">
        <f t="shared" si="51"/>
        <v>-0.10525341730786156</v>
      </c>
      <c r="AE593" s="244">
        <f t="shared" si="49"/>
        <v>0.11616126557759388</v>
      </c>
      <c r="AG593" s="244"/>
      <c r="AH593" s="244"/>
      <c r="AI593" s="244"/>
      <c r="AJ593" s="244"/>
      <c r="AK593" s="244"/>
    </row>
    <row r="594" spans="4:37" x14ac:dyDescent="0.3">
      <c r="D594" s="75">
        <f t="shared" si="52"/>
        <v>24</v>
      </c>
      <c r="E594" s="80">
        <f t="shared" si="52"/>
        <v>5</v>
      </c>
      <c r="F594" s="80">
        <f t="shared" si="52"/>
        <v>5</v>
      </c>
      <c r="H594" s="255" t="s">
        <v>825</v>
      </c>
      <c r="I594" s="255" t="s">
        <v>825</v>
      </c>
      <c r="J594" s="255" t="s">
        <v>825</v>
      </c>
      <c r="L594" s="255" t="s">
        <v>825</v>
      </c>
      <c r="M594" s="95"/>
      <c r="N594" s="95"/>
      <c r="O594" s="95"/>
      <c r="T594" s="256" t="s">
        <v>825</v>
      </c>
      <c r="U594" s="257" t="s">
        <v>825</v>
      </c>
      <c r="V594" s="177"/>
      <c r="W594" s="258" t="s">
        <v>825</v>
      </c>
      <c r="X594" s="244">
        <v>-0.11726894206136552</v>
      </c>
      <c r="Y594" s="265">
        <f t="shared" si="48"/>
        <v>18</v>
      </c>
      <c r="AA594" s="265">
        <f>IF(COUNTIF($Y$571:$Y594,Y594)=1,Y594,Y594+(COUNTIF($Y$571:Y594,Y594)-1))</f>
        <v>18</v>
      </c>
      <c r="AB594" s="177"/>
      <c r="AC594" s="265">
        <f t="shared" si="50"/>
        <v>24</v>
      </c>
      <c r="AD594" s="266">
        <f t="shared" si="51"/>
        <v>-0.10411181511139733</v>
      </c>
      <c r="AE594" s="244">
        <f t="shared" si="49"/>
        <v>0.11616126557759388</v>
      </c>
      <c r="AG594" s="244"/>
      <c r="AH594" s="244"/>
      <c r="AI594" s="244"/>
      <c r="AJ594" s="244"/>
      <c r="AK594" s="244"/>
    </row>
    <row r="595" spans="4:37" x14ac:dyDescent="0.3">
      <c r="D595" s="75">
        <f t="shared" si="52"/>
        <v>25</v>
      </c>
      <c r="E595" s="80">
        <f t="shared" si="52"/>
        <v>5</v>
      </c>
      <c r="F595" s="80">
        <f t="shared" si="52"/>
        <v>5</v>
      </c>
      <c r="H595" s="255" t="s">
        <v>825</v>
      </c>
      <c r="I595" s="255" t="s">
        <v>825</v>
      </c>
      <c r="J595" s="255" t="s">
        <v>825</v>
      </c>
      <c r="L595" s="255" t="s">
        <v>825</v>
      </c>
      <c r="M595" s="95"/>
      <c r="N595" s="95"/>
      <c r="O595" s="95"/>
      <c r="T595" s="256" t="s">
        <v>825</v>
      </c>
      <c r="U595" s="257" t="s">
        <v>825</v>
      </c>
      <c r="V595" s="177"/>
      <c r="W595" s="258" t="s">
        <v>825</v>
      </c>
      <c r="X595" s="244">
        <v>-0.10526394111123549</v>
      </c>
      <c r="Y595" s="265">
        <f t="shared" si="48"/>
        <v>22</v>
      </c>
      <c r="AA595" s="265">
        <f>IF(COUNTIF($Y$571:$Y595,Y595)=1,Y595,Y595+(COUNTIF($Y$571:Y595,Y595)-1))</f>
        <v>22</v>
      </c>
      <c r="AB595" s="177"/>
      <c r="AC595" s="265">
        <f t="shared" si="50"/>
        <v>25</v>
      </c>
      <c r="AD595" s="266">
        <f t="shared" si="51"/>
        <v>-0.10363053284994754</v>
      </c>
      <c r="AE595" s="244">
        <f t="shared" si="49"/>
        <v>0.11616126557759388</v>
      </c>
      <c r="AG595" s="244"/>
      <c r="AH595" s="244"/>
      <c r="AI595" s="244"/>
      <c r="AJ595" s="244"/>
      <c r="AK595" s="244"/>
    </row>
    <row r="596" spans="4:37" x14ac:dyDescent="0.3">
      <c r="D596" s="75">
        <f t="shared" si="52"/>
        <v>26</v>
      </c>
      <c r="E596" s="80">
        <f t="shared" si="52"/>
        <v>5</v>
      </c>
      <c r="F596" s="80">
        <f t="shared" si="52"/>
        <v>5</v>
      </c>
      <c r="H596" s="255" t="s">
        <v>825</v>
      </c>
      <c r="I596" s="255" t="s">
        <v>825</v>
      </c>
      <c r="J596" s="255" t="s">
        <v>825</v>
      </c>
      <c r="L596" s="255" t="s">
        <v>825</v>
      </c>
      <c r="M596" s="95"/>
      <c r="N596" s="95"/>
      <c r="O596" s="95"/>
      <c r="T596" s="256" t="s">
        <v>825</v>
      </c>
      <c r="U596" s="257" t="s">
        <v>825</v>
      </c>
      <c r="V596" s="177"/>
      <c r="W596" s="258" t="s">
        <v>825</v>
      </c>
      <c r="X596" s="244">
        <v>-7.1769539785662681E-2</v>
      </c>
      <c r="Y596" s="265">
        <f t="shared" si="48"/>
        <v>40</v>
      </c>
      <c r="AA596" s="265">
        <f>IF(COUNTIF($Y$571:$Y596,Y596)=1,Y596,Y596+(COUNTIF($Y$571:Y596,Y596)-1))</f>
        <v>40</v>
      </c>
      <c r="AB596" s="177"/>
      <c r="AC596" s="265">
        <f t="shared" si="50"/>
        <v>26</v>
      </c>
      <c r="AD596" s="266">
        <f t="shared" si="51"/>
        <v>-9.9634445267190591E-2</v>
      </c>
      <c r="AE596" s="244">
        <f t="shared" si="49"/>
        <v>0.11616126557759388</v>
      </c>
      <c r="AG596" s="244"/>
      <c r="AH596" s="244"/>
      <c r="AI596" s="244"/>
      <c r="AJ596" s="244"/>
      <c r="AK596" s="244"/>
    </row>
    <row r="597" spans="4:37" x14ac:dyDescent="0.3">
      <c r="D597" s="75">
        <f t="shared" si="52"/>
        <v>27</v>
      </c>
      <c r="E597" s="80">
        <f t="shared" si="52"/>
        <v>5</v>
      </c>
      <c r="F597" s="80">
        <f t="shared" si="52"/>
        <v>5</v>
      </c>
      <c r="H597" s="255" t="s">
        <v>825</v>
      </c>
      <c r="I597" s="255" t="s">
        <v>825</v>
      </c>
      <c r="J597" s="255" t="s">
        <v>825</v>
      </c>
      <c r="L597" s="255" t="s">
        <v>825</v>
      </c>
      <c r="M597" s="95"/>
      <c r="N597" s="95"/>
      <c r="O597" s="95"/>
      <c r="T597" s="256" t="s">
        <v>825</v>
      </c>
      <c r="U597" s="257" t="s">
        <v>825</v>
      </c>
      <c r="V597" s="177"/>
      <c r="W597" s="258" t="s">
        <v>825</v>
      </c>
      <c r="X597" s="244">
        <v>2.7284773773475546E-2</v>
      </c>
      <c r="Y597" s="265">
        <f t="shared" si="48"/>
        <v>98</v>
      </c>
      <c r="AA597" s="265">
        <f>IF(COUNTIF($Y$571:$Y597,Y597)=1,Y597,Y597+(COUNTIF($Y$571:Y597,Y597)-1))</f>
        <v>98</v>
      </c>
      <c r="AB597" s="177"/>
      <c r="AC597" s="265">
        <f t="shared" si="50"/>
        <v>27</v>
      </c>
      <c r="AD597" s="266">
        <f t="shared" si="51"/>
        <v>-9.5681996499977218E-2</v>
      </c>
      <c r="AE597" s="244">
        <f t="shared" si="49"/>
        <v>0.11616126557759388</v>
      </c>
      <c r="AG597" s="244"/>
      <c r="AH597" s="244"/>
      <c r="AI597" s="244"/>
      <c r="AJ597" s="244"/>
      <c r="AK597" s="244"/>
    </row>
    <row r="598" spans="4:37" x14ac:dyDescent="0.3">
      <c r="D598" s="75">
        <f t="shared" si="52"/>
        <v>28</v>
      </c>
      <c r="E598" s="80">
        <f t="shared" si="52"/>
        <v>5</v>
      </c>
      <c r="F598" s="80">
        <f t="shared" si="52"/>
        <v>5</v>
      </c>
      <c r="H598" s="255" t="s">
        <v>825</v>
      </c>
      <c r="I598" s="255" t="s">
        <v>825</v>
      </c>
      <c r="J598" s="255" t="s">
        <v>825</v>
      </c>
      <c r="L598" s="255" t="s">
        <v>825</v>
      </c>
      <c r="M598" s="95"/>
      <c r="N598" s="95"/>
      <c r="O598" s="95"/>
      <c r="T598" s="256" t="s">
        <v>825</v>
      </c>
      <c r="U598" s="257" t="s">
        <v>825</v>
      </c>
      <c r="V598" s="177"/>
      <c r="W598" s="258" t="s">
        <v>825</v>
      </c>
      <c r="X598" s="244">
        <v>-7.1920410619782257E-2</v>
      </c>
      <c r="Y598" s="265">
        <f t="shared" si="48"/>
        <v>39</v>
      </c>
      <c r="AA598" s="265">
        <f>IF(COUNTIF($Y$571:$Y598,Y598)=1,Y598,Y598+(COUNTIF($Y$571:Y598,Y598)-1))</f>
        <v>39</v>
      </c>
      <c r="AB598" s="177"/>
      <c r="AC598" s="265">
        <f t="shared" si="50"/>
        <v>28</v>
      </c>
      <c r="AD598" s="266">
        <f t="shared" si="51"/>
        <v>-9.5067337146032757E-2</v>
      </c>
      <c r="AE598" s="244">
        <f t="shared" si="49"/>
        <v>0.11616126557759388</v>
      </c>
      <c r="AG598" s="244"/>
      <c r="AH598" s="244"/>
      <c r="AI598" s="244"/>
      <c r="AJ598" s="244"/>
      <c r="AK598" s="244"/>
    </row>
    <row r="599" spans="4:37" x14ac:dyDescent="0.3">
      <c r="D599" s="75">
        <f t="shared" si="52"/>
        <v>29</v>
      </c>
      <c r="E599" s="80">
        <f t="shared" si="52"/>
        <v>5</v>
      </c>
      <c r="F599" s="80">
        <f t="shared" si="52"/>
        <v>5</v>
      </c>
      <c r="H599" s="255" t="s">
        <v>825</v>
      </c>
      <c r="I599" s="255" t="s">
        <v>825</v>
      </c>
      <c r="J599" s="255" t="s">
        <v>825</v>
      </c>
      <c r="L599" s="255" t="s">
        <v>825</v>
      </c>
      <c r="M599" s="95"/>
      <c r="N599" s="95"/>
      <c r="O599" s="95"/>
      <c r="T599" s="256" t="s">
        <v>825</v>
      </c>
      <c r="U599" s="257" t="s">
        <v>825</v>
      </c>
      <c r="V599" s="177"/>
      <c r="W599" s="258" t="s">
        <v>825</v>
      </c>
      <c r="X599" s="244">
        <v>3.7324785856360877E-2</v>
      </c>
      <c r="Y599" s="265">
        <f t="shared" si="48"/>
        <v>112</v>
      </c>
      <c r="AA599" s="265">
        <f>IF(COUNTIF($Y$571:$Y599,Y599)=1,Y599,Y599+(COUNTIF($Y$571:Y599,Y599)-1))</f>
        <v>112</v>
      </c>
      <c r="AB599" s="177"/>
      <c r="AC599" s="265">
        <f t="shared" si="50"/>
        <v>29</v>
      </c>
      <c r="AD599" s="266">
        <f t="shared" si="51"/>
        <v>-9.223484181311338E-2</v>
      </c>
      <c r="AE599" s="244">
        <f t="shared" si="49"/>
        <v>0.11616126557759388</v>
      </c>
      <c r="AG599" s="244"/>
      <c r="AH599" s="244"/>
      <c r="AI599" s="244"/>
      <c r="AJ599" s="244"/>
      <c r="AK599" s="244"/>
    </row>
    <row r="600" spans="4:37" x14ac:dyDescent="0.3">
      <c r="D600" s="75">
        <f t="shared" si="52"/>
        <v>30</v>
      </c>
      <c r="E600" s="80">
        <f t="shared" si="52"/>
        <v>5</v>
      </c>
      <c r="F600" s="80">
        <f t="shared" si="52"/>
        <v>5</v>
      </c>
      <c r="H600" s="255" t="s">
        <v>825</v>
      </c>
      <c r="I600" s="255" t="s">
        <v>825</v>
      </c>
      <c r="J600" s="255" t="s">
        <v>825</v>
      </c>
      <c r="L600" s="255" t="s">
        <v>825</v>
      </c>
      <c r="M600" s="95"/>
      <c r="N600" s="95"/>
      <c r="O600" s="95"/>
      <c r="T600" s="256" t="s">
        <v>825</v>
      </c>
      <c r="U600" s="257" t="s">
        <v>825</v>
      </c>
      <c r="V600" s="177"/>
      <c r="W600" s="258" t="s">
        <v>825</v>
      </c>
      <c r="X600" s="244">
        <v>-4.7087231673442503E-2</v>
      </c>
      <c r="Y600" s="265">
        <f t="shared" si="48"/>
        <v>52</v>
      </c>
      <c r="AA600" s="265">
        <f>IF(COUNTIF($Y$571:$Y600,Y600)=1,Y600,Y600+(COUNTIF($Y$571:Y600,Y600)-1))</f>
        <v>52</v>
      </c>
      <c r="AB600" s="177"/>
      <c r="AC600" s="265">
        <f t="shared" si="50"/>
        <v>30</v>
      </c>
      <c r="AD600" s="266">
        <f t="shared" si="51"/>
        <v>-9.0247180077385233E-2</v>
      </c>
      <c r="AE600" s="244">
        <f t="shared" si="49"/>
        <v>0.11616126557759388</v>
      </c>
      <c r="AG600" s="244"/>
      <c r="AH600" s="244"/>
      <c r="AI600" s="244"/>
      <c r="AJ600" s="244"/>
      <c r="AK600" s="244"/>
    </row>
    <row r="601" spans="4:37" x14ac:dyDescent="0.3">
      <c r="D601" s="75">
        <f t="shared" si="52"/>
        <v>31</v>
      </c>
      <c r="E601" s="80">
        <f t="shared" si="52"/>
        <v>5</v>
      </c>
      <c r="F601" s="80">
        <f t="shared" si="52"/>
        <v>5</v>
      </c>
      <c r="H601" s="255" t="s">
        <v>825</v>
      </c>
      <c r="I601" s="255" t="s">
        <v>825</v>
      </c>
      <c r="J601" s="255" t="s">
        <v>825</v>
      </c>
      <c r="L601" s="255" t="s">
        <v>825</v>
      </c>
      <c r="M601" s="95"/>
      <c r="N601" s="95"/>
      <c r="O601" s="95"/>
      <c r="T601" s="256" t="s">
        <v>825</v>
      </c>
      <c r="U601" s="257" t="s">
        <v>825</v>
      </c>
      <c r="V601" s="177"/>
      <c r="W601" s="258" t="s">
        <v>825</v>
      </c>
      <c r="X601" s="244">
        <v>-5.9218657809632105E-2</v>
      </c>
      <c r="Y601" s="265">
        <f t="shared" si="48"/>
        <v>47</v>
      </c>
      <c r="AA601" s="265">
        <f>IF(COUNTIF($Y$571:$Y601,Y601)=1,Y601,Y601+(COUNTIF($Y$571:Y601,Y601)-1))</f>
        <v>47</v>
      </c>
      <c r="AB601" s="177"/>
      <c r="AC601" s="265">
        <f t="shared" si="50"/>
        <v>31</v>
      </c>
      <c r="AD601" s="266">
        <f t="shared" si="51"/>
        <v>-8.9660084795690459E-2</v>
      </c>
      <c r="AE601" s="244">
        <f t="shared" si="49"/>
        <v>0.11616126557759388</v>
      </c>
      <c r="AG601" s="244"/>
      <c r="AH601" s="244"/>
      <c r="AI601" s="244"/>
      <c r="AJ601" s="244"/>
      <c r="AK601" s="244"/>
    </row>
    <row r="602" spans="4:37" x14ac:dyDescent="0.3">
      <c r="D602" s="75">
        <f t="shared" si="52"/>
        <v>32</v>
      </c>
      <c r="E602" s="80">
        <f t="shared" si="52"/>
        <v>5</v>
      </c>
      <c r="F602" s="80">
        <f t="shared" si="52"/>
        <v>5</v>
      </c>
      <c r="H602" s="255" t="s">
        <v>825</v>
      </c>
      <c r="I602" s="255" t="s">
        <v>825</v>
      </c>
      <c r="J602" s="255" t="s">
        <v>825</v>
      </c>
      <c r="L602" s="255" t="s">
        <v>825</v>
      </c>
      <c r="M602" s="95"/>
      <c r="N602" s="95"/>
      <c r="O602" s="95"/>
      <c r="T602" s="256" t="s">
        <v>825</v>
      </c>
      <c r="U602" s="257" t="s">
        <v>825</v>
      </c>
      <c r="V602" s="177"/>
      <c r="W602" s="258" t="s">
        <v>825</v>
      </c>
      <c r="X602" s="244">
        <v>-6.3272292005069133E-2</v>
      </c>
      <c r="Y602" s="265">
        <f t="shared" si="48"/>
        <v>45</v>
      </c>
      <c r="AA602" s="265">
        <f>IF(COUNTIF($Y$571:$Y602,Y602)=1,Y602,Y602+(COUNTIF($Y$571:Y602,Y602)-1))</f>
        <v>45</v>
      </c>
      <c r="AB602" s="177"/>
      <c r="AC602" s="265">
        <f t="shared" si="50"/>
        <v>32</v>
      </c>
      <c r="AD602" s="266">
        <f t="shared" si="51"/>
        <v>-8.4809747230217364E-2</v>
      </c>
      <c r="AE602" s="244">
        <f t="shared" si="49"/>
        <v>0.11616126557759388</v>
      </c>
      <c r="AG602" s="244"/>
      <c r="AH602" s="244"/>
      <c r="AI602" s="244"/>
      <c r="AJ602" s="244"/>
      <c r="AK602" s="244"/>
    </row>
    <row r="603" spans="4:37" x14ac:dyDescent="0.3">
      <c r="D603" s="75">
        <f t="shared" si="52"/>
        <v>33</v>
      </c>
      <c r="E603" s="80">
        <f t="shared" si="52"/>
        <v>5</v>
      </c>
      <c r="F603" s="80">
        <f t="shared" si="52"/>
        <v>5</v>
      </c>
      <c r="H603" s="255" t="s">
        <v>825</v>
      </c>
      <c r="I603" s="255" t="s">
        <v>825</v>
      </c>
      <c r="J603" s="255" t="s">
        <v>825</v>
      </c>
      <c r="L603" s="255" t="s">
        <v>825</v>
      </c>
      <c r="M603" s="95"/>
      <c r="N603" s="95"/>
      <c r="O603" s="95"/>
      <c r="T603" s="256" t="s">
        <v>825</v>
      </c>
      <c r="U603" s="257" t="s">
        <v>825</v>
      </c>
      <c r="V603" s="177"/>
      <c r="W603" s="258" t="s">
        <v>825</v>
      </c>
      <c r="X603" s="244">
        <v>-3.0294142280736538E-2</v>
      </c>
      <c r="Y603" s="265">
        <f t="shared" ref="Y603:Y634" si="53">RANK($X603,$X$571:$X$790,-1)</f>
        <v>65</v>
      </c>
      <c r="AA603" s="265">
        <f>IF(COUNTIF($Y$571:$Y603,Y603)=1,Y603,Y603+(COUNTIF($Y$571:Y603,Y603)-1))</f>
        <v>65</v>
      </c>
      <c r="AB603" s="177"/>
      <c r="AC603" s="265">
        <f t="shared" si="50"/>
        <v>33</v>
      </c>
      <c r="AD603" s="266">
        <f t="shared" si="51"/>
        <v>-8.472186294134576E-2</v>
      </c>
      <c r="AE603" s="244">
        <f t="shared" si="49"/>
        <v>0.11616126557759388</v>
      </c>
      <c r="AG603" s="244"/>
      <c r="AH603" s="244"/>
      <c r="AI603" s="244"/>
      <c r="AJ603" s="244"/>
      <c r="AK603" s="244"/>
    </row>
    <row r="604" spans="4:37" x14ac:dyDescent="0.3">
      <c r="D604" s="75">
        <f t="shared" si="52"/>
        <v>34</v>
      </c>
      <c r="E604" s="80">
        <f t="shared" si="52"/>
        <v>5</v>
      </c>
      <c r="F604" s="80">
        <f t="shared" si="52"/>
        <v>5</v>
      </c>
      <c r="H604" s="255" t="s">
        <v>825</v>
      </c>
      <c r="I604" s="255" t="s">
        <v>825</v>
      </c>
      <c r="J604" s="255" t="s">
        <v>825</v>
      </c>
      <c r="L604" s="255" t="s">
        <v>825</v>
      </c>
      <c r="M604" s="95"/>
      <c r="N604" s="95"/>
      <c r="O604" s="95"/>
      <c r="T604" s="256" t="s">
        <v>825</v>
      </c>
      <c r="U604" s="257" t="s">
        <v>825</v>
      </c>
      <c r="V604" s="177"/>
      <c r="W604" s="258" t="s">
        <v>825</v>
      </c>
      <c r="X604" s="244">
        <v>-2.247511750638459E-2</v>
      </c>
      <c r="Y604" s="265">
        <f t="shared" si="53"/>
        <v>69</v>
      </c>
      <c r="AA604" s="265">
        <f>IF(COUNTIF($Y$571:$Y604,Y604)=1,Y604,Y604+(COUNTIF($Y$571:Y604,Y604)-1))</f>
        <v>69</v>
      </c>
      <c r="AB604" s="177"/>
      <c r="AC604" s="265">
        <f t="shared" si="50"/>
        <v>34</v>
      </c>
      <c r="AD604" s="266">
        <f t="shared" si="51"/>
        <v>-8.2106543515569938E-2</v>
      </c>
      <c r="AE604" s="244">
        <f t="shared" si="49"/>
        <v>0.11616126557759388</v>
      </c>
      <c r="AG604" s="244"/>
      <c r="AH604" s="244"/>
      <c r="AI604" s="244"/>
      <c r="AJ604" s="244"/>
      <c r="AK604" s="244"/>
    </row>
    <row r="605" spans="4:37" x14ac:dyDescent="0.3">
      <c r="D605" s="75">
        <f t="shared" si="52"/>
        <v>35</v>
      </c>
      <c r="E605" s="80">
        <f t="shared" si="52"/>
        <v>5</v>
      </c>
      <c r="F605" s="80">
        <f t="shared" si="52"/>
        <v>5</v>
      </c>
      <c r="H605" s="255" t="s">
        <v>825</v>
      </c>
      <c r="I605" s="255" t="s">
        <v>825</v>
      </c>
      <c r="J605" s="255" t="s">
        <v>825</v>
      </c>
      <c r="L605" s="255" t="s">
        <v>825</v>
      </c>
      <c r="M605" s="95"/>
      <c r="N605" s="95"/>
      <c r="O605" s="95"/>
      <c r="T605" s="256" t="s">
        <v>825</v>
      </c>
      <c r="U605" s="257" t="s">
        <v>825</v>
      </c>
      <c r="V605" s="177"/>
      <c r="W605" s="258" t="s">
        <v>825</v>
      </c>
      <c r="X605" s="244">
        <v>-5.3253876585445718E-2</v>
      </c>
      <c r="Y605" s="265">
        <f t="shared" si="53"/>
        <v>48</v>
      </c>
      <c r="AA605" s="265">
        <f>IF(COUNTIF($Y$571:$Y605,Y605)=1,Y605,Y605+(COUNTIF($Y$571:Y605,Y605)-1))</f>
        <v>48</v>
      </c>
      <c r="AB605" s="177"/>
      <c r="AC605" s="265">
        <f t="shared" si="50"/>
        <v>35</v>
      </c>
      <c r="AD605" s="266">
        <f t="shared" si="51"/>
        <v>-8.1069705683312343E-2</v>
      </c>
      <c r="AE605" s="244">
        <f t="shared" si="49"/>
        <v>0.11616126557759388</v>
      </c>
      <c r="AG605" s="244"/>
      <c r="AH605" s="244"/>
      <c r="AI605" s="244"/>
      <c r="AJ605" s="244"/>
      <c r="AK605" s="244"/>
    </row>
    <row r="606" spans="4:37" x14ac:dyDescent="0.3">
      <c r="D606" s="75">
        <f t="shared" si="52"/>
        <v>36</v>
      </c>
      <c r="E606" s="80">
        <f t="shared" si="52"/>
        <v>5</v>
      </c>
      <c r="F606" s="80">
        <f t="shared" si="52"/>
        <v>5</v>
      </c>
      <c r="H606" s="255" t="s">
        <v>825</v>
      </c>
      <c r="I606" s="255" t="s">
        <v>825</v>
      </c>
      <c r="J606" s="255" t="s">
        <v>825</v>
      </c>
      <c r="L606" s="255" t="s">
        <v>825</v>
      </c>
      <c r="M606" s="95"/>
      <c r="N606" s="95"/>
      <c r="O606" s="95"/>
      <c r="T606" s="256" t="s">
        <v>825</v>
      </c>
      <c r="U606" s="257" t="s">
        <v>825</v>
      </c>
      <c r="V606" s="177"/>
      <c r="W606" s="258" t="s">
        <v>825</v>
      </c>
      <c r="X606" s="244">
        <v>-0.10411181511139733</v>
      </c>
      <c r="Y606" s="265">
        <f t="shared" si="53"/>
        <v>24</v>
      </c>
      <c r="AA606" s="265">
        <f>IF(COUNTIF($Y$571:$Y606,Y606)=1,Y606,Y606+(COUNTIF($Y$571:Y606,Y606)-1))</f>
        <v>24</v>
      </c>
      <c r="AB606" s="177"/>
      <c r="AC606" s="265">
        <f t="shared" si="50"/>
        <v>36</v>
      </c>
      <c r="AD606" s="266">
        <f t="shared" si="51"/>
        <v>-7.4661490448540299E-2</v>
      </c>
      <c r="AE606" s="244">
        <f t="shared" si="49"/>
        <v>0.11616126557759388</v>
      </c>
      <c r="AG606" s="244"/>
      <c r="AH606" s="244"/>
      <c r="AI606" s="244"/>
      <c r="AJ606" s="244"/>
      <c r="AK606" s="244"/>
    </row>
    <row r="607" spans="4:37" x14ac:dyDescent="0.3">
      <c r="D607" s="75">
        <f t="shared" si="52"/>
        <v>37</v>
      </c>
      <c r="E607" s="80">
        <f t="shared" si="52"/>
        <v>5</v>
      </c>
      <c r="F607" s="80">
        <f t="shared" si="52"/>
        <v>5</v>
      </c>
      <c r="H607" s="255" t="s">
        <v>825</v>
      </c>
      <c r="I607" s="255" t="s">
        <v>825</v>
      </c>
      <c r="J607" s="255" t="s">
        <v>825</v>
      </c>
      <c r="L607" s="255" t="s">
        <v>825</v>
      </c>
      <c r="M607" s="95"/>
      <c r="N607" s="95"/>
      <c r="O607" s="95"/>
      <c r="T607" s="256" t="s">
        <v>825</v>
      </c>
      <c r="U607" s="257" t="s">
        <v>825</v>
      </c>
      <c r="V607" s="177"/>
      <c r="W607" s="258" t="s">
        <v>825</v>
      </c>
      <c r="X607" s="244">
        <v>-1.58900526468954E-2</v>
      </c>
      <c r="Y607" s="265">
        <f t="shared" si="53"/>
        <v>71</v>
      </c>
      <c r="AA607" s="265">
        <f>IF(COUNTIF($Y$571:$Y607,Y607)=1,Y607,Y607+(COUNTIF($Y$571:Y607,Y607)-1))</f>
        <v>71</v>
      </c>
      <c r="AB607" s="177"/>
      <c r="AC607" s="265">
        <f t="shared" si="50"/>
        <v>37</v>
      </c>
      <c r="AD607" s="266">
        <f t="shared" si="51"/>
        <v>-7.2438933130804087E-2</v>
      </c>
      <c r="AE607" s="244">
        <f t="shared" si="49"/>
        <v>0.11616126557759388</v>
      </c>
      <c r="AG607" s="244"/>
      <c r="AH607" s="244"/>
      <c r="AI607" s="244"/>
      <c r="AJ607" s="244"/>
      <c r="AK607" s="244"/>
    </row>
    <row r="608" spans="4:37" x14ac:dyDescent="0.3">
      <c r="D608" s="75">
        <f t="shared" si="52"/>
        <v>38</v>
      </c>
      <c r="E608" s="80">
        <f t="shared" si="52"/>
        <v>5</v>
      </c>
      <c r="F608" s="80">
        <f t="shared" si="52"/>
        <v>5</v>
      </c>
      <c r="H608" s="255" t="s">
        <v>825</v>
      </c>
      <c r="I608" s="255" t="s">
        <v>825</v>
      </c>
      <c r="J608" s="255" t="s">
        <v>825</v>
      </c>
      <c r="L608" s="255" t="s">
        <v>825</v>
      </c>
      <c r="M608" s="95"/>
      <c r="N608" s="95"/>
      <c r="O608" s="95"/>
      <c r="T608" s="256" t="s">
        <v>825</v>
      </c>
      <c r="U608" s="257" t="s">
        <v>825</v>
      </c>
      <c r="V608" s="177"/>
      <c r="W608" s="258" t="s">
        <v>825</v>
      </c>
      <c r="X608" s="244">
        <v>-4.2047310142843075E-2</v>
      </c>
      <c r="Y608" s="265">
        <f t="shared" si="53"/>
        <v>56</v>
      </c>
      <c r="AA608" s="265">
        <f>IF(COUNTIF($Y$571:$Y608,Y608)=1,Y608,Y608+(COUNTIF($Y$571:Y608,Y608)-1))</f>
        <v>56</v>
      </c>
      <c r="AB608" s="177"/>
      <c r="AC608" s="265">
        <f t="shared" si="50"/>
        <v>38</v>
      </c>
      <c r="AD608" s="266">
        <f t="shared" si="51"/>
        <v>-7.2256183232926555E-2</v>
      </c>
      <c r="AE608" s="244">
        <f t="shared" si="49"/>
        <v>0.11616126557759388</v>
      </c>
      <c r="AG608" s="244"/>
      <c r="AH608" s="244"/>
      <c r="AI608" s="244"/>
      <c r="AJ608" s="244"/>
      <c r="AK608" s="244"/>
    </row>
    <row r="609" spans="4:37" x14ac:dyDescent="0.3">
      <c r="D609" s="75">
        <f t="shared" si="52"/>
        <v>39</v>
      </c>
      <c r="E609" s="80">
        <f t="shared" si="52"/>
        <v>5</v>
      </c>
      <c r="F609" s="80">
        <f t="shared" si="52"/>
        <v>5</v>
      </c>
      <c r="H609" s="255" t="s">
        <v>825</v>
      </c>
      <c r="I609" s="255" t="s">
        <v>825</v>
      </c>
      <c r="J609" s="255" t="s">
        <v>825</v>
      </c>
      <c r="L609" s="255" t="s">
        <v>825</v>
      </c>
      <c r="M609" s="95"/>
      <c r="N609" s="95"/>
      <c r="O609" s="95"/>
      <c r="T609" s="256" t="s">
        <v>825</v>
      </c>
      <c r="U609" s="257" t="s">
        <v>825</v>
      </c>
      <c r="V609" s="177"/>
      <c r="W609" s="258" t="s">
        <v>825</v>
      </c>
      <c r="X609" s="244">
        <v>-0.12509108091478224</v>
      </c>
      <c r="Y609" s="265">
        <f t="shared" si="53"/>
        <v>14</v>
      </c>
      <c r="AA609" s="265">
        <f>IF(COUNTIF($Y$571:$Y609,Y609)=1,Y609,Y609+(COUNTIF($Y$571:Y609,Y609)-1))</f>
        <v>14</v>
      </c>
      <c r="AB609" s="177"/>
      <c r="AC609" s="265">
        <f t="shared" si="50"/>
        <v>39</v>
      </c>
      <c r="AD609" s="266">
        <f t="shared" si="51"/>
        <v>-7.1920410619782257E-2</v>
      </c>
      <c r="AE609" s="244">
        <f t="shared" si="49"/>
        <v>0.11616126557759388</v>
      </c>
      <c r="AG609" s="244"/>
      <c r="AH609" s="244"/>
      <c r="AI609" s="244"/>
      <c r="AJ609" s="244"/>
      <c r="AK609" s="244"/>
    </row>
    <row r="610" spans="4:37" x14ac:dyDescent="0.3">
      <c r="D610" s="75">
        <f t="shared" si="52"/>
        <v>40</v>
      </c>
      <c r="E610" s="80">
        <f t="shared" si="52"/>
        <v>5</v>
      </c>
      <c r="F610" s="80">
        <f t="shared" si="52"/>
        <v>5</v>
      </c>
      <c r="H610" s="255" t="s">
        <v>825</v>
      </c>
      <c r="I610" s="255" t="s">
        <v>825</v>
      </c>
      <c r="J610" s="255" t="s">
        <v>825</v>
      </c>
      <c r="L610" s="255" t="s">
        <v>825</v>
      </c>
      <c r="M610" s="95"/>
      <c r="N610" s="95"/>
      <c r="O610" s="95"/>
      <c r="T610" s="256" t="s">
        <v>825</v>
      </c>
      <c r="U610" s="257" t="s">
        <v>825</v>
      </c>
      <c r="V610" s="177"/>
      <c r="W610" s="258" t="s">
        <v>825</v>
      </c>
      <c r="X610" s="244">
        <v>-6.5329027420038516E-2</v>
      </c>
      <c r="Y610" s="265">
        <f t="shared" si="53"/>
        <v>42</v>
      </c>
      <c r="AA610" s="265">
        <f>IF(COUNTIF($Y$571:$Y610,Y610)=1,Y610,Y610+(COUNTIF($Y$571:Y610,Y610)-1))</f>
        <v>42</v>
      </c>
      <c r="AB610" s="177"/>
      <c r="AC610" s="265">
        <f t="shared" si="50"/>
        <v>40</v>
      </c>
      <c r="AD610" s="266">
        <f t="shared" si="51"/>
        <v>-7.1769539785662681E-2</v>
      </c>
      <c r="AE610" s="244">
        <f t="shared" si="49"/>
        <v>0.11616126557759388</v>
      </c>
      <c r="AG610" s="244"/>
      <c r="AH610" s="244"/>
      <c r="AI610" s="244"/>
      <c r="AJ610" s="244"/>
      <c r="AK610" s="244"/>
    </row>
    <row r="611" spans="4:37" x14ac:dyDescent="0.3">
      <c r="D611" s="75">
        <f t="shared" ref="D611:F630" si="54">D369</f>
        <v>41</v>
      </c>
      <c r="E611" s="80">
        <f t="shared" si="54"/>
        <v>5</v>
      </c>
      <c r="F611" s="80">
        <f t="shared" si="54"/>
        <v>5</v>
      </c>
      <c r="H611" s="255" t="s">
        <v>825</v>
      </c>
      <c r="I611" s="255" t="s">
        <v>825</v>
      </c>
      <c r="J611" s="255" t="s">
        <v>825</v>
      </c>
      <c r="L611" s="255" t="s">
        <v>825</v>
      </c>
      <c r="M611" s="95"/>
      <c r="N611" s="95"/>
      <c r="O611" s="95"/>
      <c r="T611" s="256" t="s">
        <v>825</v>
      </c>
      <c r="U611" s="257" t="s">
        <v>825</v>
      </c>
      <c r="V611" s="177"/>
      <c r="W611" s="258" t="s">
        <v>825</v>
      </c>
      <c r="X611" s="244">
        <v>-3.330828577416859E-2</v>
      </c>
      <c r="Y611" s="265">
        <f t="shared" si="53"/>
        <v>63</v>
      </c>
      <c r="AA611" s="265">
        <f>IF(COUNTIF($Y$571:$Y611,Y611)=1,Y611,Y611+(COUNTIF($Y$571:Y611,Y611)-1))</f>
        <v>63</v>
      </c>
      <c r="AB611" s="177"/>
      <c r="AC611" s="265">
        <f t="shared" si="50"/>
        <v>41</v>
      </c>
      <c r="AD611" s="266">
        <f t="shared" si="51"/>
        <v>-6.9255378736661877E-2</v>
      </c>
      <c r="AE611" s="244">
        <f t="shared" si="49"/>
        <v>0.11616126557759388</v>
      </c>
      <c r="AG611" s="244"/>
      <c r="AH611" s="244"/>
      <c r="AI611" s="244"/>
      <c r="AJ611" s="244"/>
      <c r="AK611" s="244"/>
    </row>
    <row r="612" spans="4:37" x14ac:dyDescent="0.3">
      <c r="D612" s="75">
        <f t="shared" si="54"/>
        <v>42</v>
      </c>
      <c r="E612" s="80">
        <f t="shared" si="54"/>
        <v>5</v>
      </c>
      <c r="F612" s="80">
        <f t="shared" si="54"/>
        <v>5</v>
      </c>
      <c r="H612" s="255" t="s">
        <v>825</v>
      </c>
      <c r="I612" s="255" t="s">
        <v>825</v>
      </c>
      <c r="J612" s="255" t="s">
        <v>825</v>
      </c>
      <c r="L612" s="255" t="s">
        <v>825</v>
      </c>
      <c r="M612" s="95"/>
      <c r="N612" s="95"/>
      <c r="O612" s="95"/>
      <c r="T612" s="256" t="s">
        <v>825</v>
      </c>
      <c r="U612" s="257" t="s">
        <v>825</v>
      </c>
      <c r="V612" s="177"/>
      <c r="W612" s="258" t="s">
        <v>825</v>
      </c>
      <c r="X612" s="244">
        <v>-9.223484181311338E-2</v>
      </c>
      <c r="Y612" s="265">
        <f t="shared" si="53"/>
        <v>29</v>
      </c>
      <c r="AA612" s="265">
        <f>IF(COUNTIF($Y$571:$Y612,Y612)=1,Y612,Y612+(COUNTIF($Y$571:Y612,Y612)-1))</f>
        <v>29</v>
      </c>
      <c r="AB612" s="177"/>
      <c r="AC612" s="265">
        <f t="shared" si="50"/>
        <v>42</v>
      </c>
      <c r="AD612" s="266">
        <f t="shared" si="51"/>
        <v>-6.5329027420038516E-2</v>
      </c>
      <c r="AE612" s="244">
        <f t="shared" si="49"/>
        <v>0.11616126557759388</v>
      </c>
      <c r="AG612" s="244"/>
      <c r="AH612" s="244"/>
      <c r="AI612" s="244"/>
      <c r="AJ612" s="244"/>
      <c r="AK612" s="244"/>
    </row>
    <row r="613" spans="4:37" x14ac:dyDescent="0.3">
      <c r="D613" s="75">
        <f t="shared" si="54"/>
        <v>43</v>
      </c>
      <c r="E613" s="80">
        <f t="shared" si="54"/>
        <v>5</v>
      </c>
      <c r="F613" s="80">
        <f t="shared" si="54"/>
        <v>5</v>
      </c>
      <c r="H613" s="255" t="s">
        <v>825</v>
      </c>
      <c r="I613" s="255" t="s">
        <v>825</v>
      </c>
      <c r="J613" s="255" t="s">
        <v>825</v>
      </c>
      <c r="L613" s="255" t="s">
        <v>825</v>
      </c>
      <c r="M613" s="95"/>
      <c r="N613" s="95"/>
      <c r="O613" s="95"/>
      <c r="T613" s="256" t="s">
        <v>825</v>
      </c>
      <c r="U613" s="257" t="s">
        <v>825</v>
      </c>
      <c r="V613" s="177"/>
      <c r="W613" s="258" t="s">
        <v>825</v>
      </c>
      <c r="X613" s="244">
        <v>-4.0736651251998879E-2</v>
      </c>
      <c r="Y613" s="265">
        <f t="shared" si="53"/>
        <v>57</v>
      </c>
      <c r="AA613" s="265">
        <f>IF(COUNTIF($Y$571:$Y613,Y613)=1,Y613,Y613+(COUNTIF($Y$571:Y613,Y613)-1))</f>
        <v>57</v>
      </c>
      <c r="AB613" s="177"/>
      <c r="AC613" s="265">
        <f t="shared" si="50"/>
        <v>43</v>
      </c>
      <c r="AD613" s="266">
        <f t="shared" si="51"/>
        <v>-6.4041484173759586E-2</v>
      </c>
      <c r="AE613" s="244">
        <f t="shared" si="49"/>
        <v>0.11616126557759388</v>
      </c>
      <c r="AG613" s="244"/>
      <c r="AH613" s="244"/>
      <c r="AI613" s="244"/>
      <c r="AJ613" s="244"/>
      <c r="AK613" s="244"/>
    </row>
    <row r="614" spans="4:37" x14ac:dyDescent="0.3">
      <c r="D614" s="75">
        <f t="shared" si="54"/>
        <v>44</v>
      </c>
      <c r="E614" s="80">
        <f t="shared" si="54"/>
        <v>5</v>
      </c>
      <c r="F614" s="80">
        <f t="shared" si="54"/>
        <v>5</v>
      </c>
      <c r="H614" s="255" t="s">
        <v>825</v>
      </c>
      <c r="I614" s="255" t="s">
        <v>825</v>
      </c>
      <c r="J614" s="255" t="s">
        <v>825</v>
      </c>
      <c r="L614" s="255" t="s">
        <v>825</v>
      </c>
      <c r="M614" s="95"/>
      <c r="N614" s="95"/>
      <c r="O614" s="95"/>
      <c r="T614" s="256" t="s">
        <v>825</v>
      </c>
      <c r="U614" s="257" t="s">
        <v>825</v>
      </c>
      <c r="V614" s="177"/>
      <c r="W614" s="258" t="s">
        <v>825</v>
      </c>
      <c r="X614" s="244">
        <v>-4.3852939668428063E-2</v>
      </c>
      <c r="Y614" s="265">
        <f t="shared" si="53"/>
        <v>55</v>
      </c>
      <c r="AA614" s="265">
        <f>IF(COUNTIF($Y$571:$Y614,Y614)=1,Y614,Y614+(COUNTIF($Y$571:Y614,Y614)-1))</f>
        <v>55</v>
      </c>
      <c r="AB614" s="177"/>
      <c r="AC614" s="265">
        <f t="shared" si="50"/>
        <v>44</v>
      </c>
      <c r="AD614" s="266">
        <f t="shared" si="51"/>
        <v>-6.3562004929106991E-2</v>
      </c>
      <c r="AE614" s="244">
        <f t="shared" si="49"/>
        <v>0.11616126557759388</v>
      </c>
      <c r="AG614" s="244"/>
      <c r="AH614" s="244"/>
      <c r="AI614" s="244"/>
      <c r="AJ614" s="244"/>
      <c r="AK614" s="244"/>
    </row>
    <row r="615" spans="4:37" x14ac:dyDescent="0.3">
      <c r="D615" s="75">
        <f t="shared" si="54"/>
        <v>45</v>
      </c>
      <c r="E615" s="80">
        <f t="shared" si="54"/>
        <v>5</v>
      </c>
      <c r="F615" s="80">
        <f t="shared" si="54"/>
        <v>5</v>
      </c>
      <c r="H615" s="255" t="s">
        <v>825</v>
      </c>
      <c r="I615" s="255" t="s">
        <v>825</v>
      </c>
      <c r="J615" s="255" t="s">
        <v>825</v>
      </c>
      <c r="L615" s="255" t="s">
        <v>825</v>
      </c>
      <c r="M615" s="95"/>
      <c r="N615" s="95"/>
      <c r="O615" s="95"/>
      <c r="T615" s="256" t="s">
        <v>825</v>
      </c>
      <c r="U615" s="257" t="s">
        <v>825</v>
      </c>
      <c r="V615" s="177"/>
      <c r="W615" s="258" t="s">
        <v>825</v>
      </c>
      <c r="X615" s="244">
        <v>-9.0379521189552971E-3</v>
      </c>
      <c r="Y615" s="265">
        <f t="shared" si="53"/>
        <v>76</v>
      </c>
      <c r="AA615" s="265">
        <f>IF(COUNTIF($Y$571:$Y615,Y615)=1,Y615,Y615+(COUNTIF($Y$571:Y615,Y615)-1))</f>
        <v>76</v>
      </c>
      <c r="AB615" s="177"/>
      <c r="AC615" s="265">
        <f t="shared" si="50"/>
        <v>45</v>
      </c>
      <c r="AD615" s="266">
        <f t="shared" si="51"/>
        <v>-6.3272292005069133E-2</v>
      </c>
      <c r="AE615" s="244">
        <f t="shared" si="49"/>
        <v>0.11616126557759388</v>
      </c>
      <c r="AG615" s="244"/>
      <c r="AH615" s="244"/>
      <c r="AI615" s="244"/>
      <c r="AJ615" s="244"/>
      <c r="AK615" s="244"/>
    </row>
    <row r="616" spans="4:37" x14ac:dyDescent="0.3">
      <c r="D616" s="75">
        <f t="shared" si="54"/>
        <v>46</v>
      </c>
      <c r="E616" s="80">
        <f t="shared" si="54"/>
        <v>5</v>
      </c>
      <c r="F616" s="80">
        <f t="shared" si="54"/>
        <v>5</v>
      </c>
      <c r="H616" s="255" t="s">
        <v>825</v>
      </c>
      <c r="I616" s="255" t="s">
        <v>825</v>
      </c>
      <c r="J616" s="255" t="s">
        <v>825</v>
      </c>
      <c r="L616" s="255" t="s">
        <v>825</v>
      </c>
      <c r="M616" s="95"/>
      <c r="N616" s="95"/>
      <c r="O616" s="95"/>
      <c r="T616" s="256" t="s">
        <v>825</v>
      </c>
      <c r="U616" s="257" t="s">
        <v>825</v>
      </c>
      <c r="V616" s="177"/>
      <c r="W616" s="258" t="s">
        <v>825</v>
      </c>
      <c r="X616" s="244">
        <v>-1.1713688930624187E-2</v>
      </c>
      <c r="Y616" s="265">
        <f t="shared" si="53"/>
        <v>74</v>
      </c>
      <c r="AA616" s="265">
        <f>IF(COUNTIF($Y$571:$Y616,Y616)=1,Y616,Y616+(COUNTIF($Y$571:Y616,Y616)-1))</f>
        <v>74</v>
      </c>
      <c r="AB616" s="177"/>
      <c r="AC616" s="265">
        <f t="shared" si="50"/>
        <v>46</v>
      </c>
      <c r="AD616" s="266">
        <f t="shared" si="51"/>
        <v>-6.2191158789817728E-2</v>
      </c>
      <c r="AE616" s="244">
        <f t="shared" si="49"/>
        <v>0.11616126557759388</v>
      </c>
      <c r="AG616" s="244"/>
      <c r="AH616" s="244"/>
      <c r="AI616" s="244"/>
      <c r="AJ616" s="244"/>
      <c r="AK616" s="244"/>
    </row>
    <row r="617" spans="4:37" x14ac:dyDescent="0.3">
      <c r="D617" s="75">
        <f t="shared" si="54"/>
        <v>47</v>
      </c>
      <c r="E617" s="80">
        <f t="shared" si="54"/>
        <v>5</v>
      </c>
      <c r="F617" s="80">
        <f t="shared" si="54"/>
        <v>5</v>
      </c>
      <c r="H617" s="255" t="s">
        <v>825</v>
      </c>
      <c r="I617" s="255" t="s">
        <v>825</v>
      </c>
      <c r="J617" s="255" t="s">
        <v>825</v>
      </c>
      <c r="L617" s="255" t="s">
        <v>825</v>
      </c>
      <c r="M617" s="95"/>
      <c r="N617" s="95"/>
      <c r="O617" s="95"/>
      <c r="T617" s="256" t="s">
        <v>825</v>
      </c>
      <c r="U617" s="257" t="s">
        <v>825</v>
      </c>
      <c r="V617" s="177"/>
      <c r="W617" s="258" t="s">
        <v>825</v>
      </c>
      <c r="X617" s="244">
        <v>1.4064650052991307E-5</v>
      </c>
      <c r="Y617" s="265">
        <f t="shared" si="53"/>
        <v>82</v>
      </c>
      <c r="AA617" s="265">
        <f>IF(COUNTIF($Y$571:$Y617,Y617)=1,Y617,Y617+(COUNTIF($Y$571:Y617,Y617)-1))</f>
        <v>82</v>
      </c>
      <c r="AB617" s="177"/>
      <c r="AC617" s="265">
        <f t="shared" si="50"/>
        <v>47</v>
      </c>
      <c r="AD617" s="266">
        <f t="shared" si="51"/>
        <v>-5.9218657809632105E-2</v>
      </c>
      <c r="AE617" s="244">
        <f t="shared" si="49"/>
        <v>0.11616126557759388</v>
      </c>
      <c r="AG617" s="244"/>
      <c r="AH617" s="244"/>
      <c r="AI617" s="244"/>
      <c r="AJ617" s="244"/>
      <c r="AK617" s="244"/>
    </row>
    <row r="618" spans="4:37" x14ac:dyDescent="0.3">
      <c r="D618" s="75">
        <f t="shared" si="54"/>
        <v>48</v>
      </c>
      <c r="E618" s="80">
        <f t="shared" si="54"/>
        <v>5</v>
      </c>
      <c r="F618" s="80">
        <f t="shared" si="54"/>
        <v>5</v>
      </c>
      <c r="H618" s="255" t="s">
        <v>825</v>
      </c>
      <c r="I618" s="255" t="s">
        <v>825</v>
      </c>
      <c r="J618" s="255" t="s">
        <v>825</v>
      </c>
      <c r="L618" s="255" t="s">
        <v>825</v>
      </c>
      <c r="M618" s="95"/>
      <c r="N618" s="95"/>
      <c r="O618" s="95"/>
      <c r="T618" s="256" t="s">
        <v>825</v>
      </c>
      <c r="U618" s="257" t="s">
        <v>825</v>
      </c>
      <c r="V618" s="177"/>
      <c r="W618" s="258" t="s">
        <v>825</v>
      </c>
      <c r="X618" s="244">
        <v>-4.4611158526148061E-2</v>
      </c>
      <c r="Y618" s="265">
        <f t="shared" si="53"/>
        <v>54</v>
      </c>
      <c r="AA618" s="265">
        <f>IF(COUNTIF($Y$571:$Y618,Y618)=1,Y618,Y618+(COUNTIF($Y$571:Y618,Y618)-1))</f>
        <v>54</v>
      </c>
      <c r="AB618" s="177"/>
      <c r="AC618" s="265">
        <f t="shared" si="50"/>
        <v>48</v>
      </c>
      <c r="AD618" s="266">
        <f t="shared" si="51"/>
        <v>-5.3253876585445718E-2</v>
      </c>
      <c r="AE618" s="244">
        <f t="shared" si="49"/>
        <v>0.11616126557759388</v>
      </c>
      <c r="AG618" s="244"/>
      <c r="AH618" s="244"/>
      <c r="AI618" s="244"/>
      <c r="AJ618" s="244"/>
      <c r="AK618" s="244"/>
    </row>
    <row r="619" spans="4:37" x14ac:dyDescent="0.3">
      <c r="D619" s="75">
        <f t="shared" si="54"/>
        <v>49</v>
      </c>
      <c r="E619" s="80">
        <f t="shared" si="54"/>
        <v>5</v>
      </c>
      <c r="F619" s="80">
        <f t="shared" si="54"/>
        <v>5</v>
      </c>
      <c r="H619" s="255" t="s">
        <v>825</v>
      </c>
      <c r="I619" s="255" t="s">
        <v>825</v>
      </c>
      <c r="J619" s="255" t="s">
        <v>825</v>
      </c>
      <c r="L619" s="255" t="s">
        <v>825</v>
      </c>
      <c r="M619" s="95"/>
      <c r="N619" s="95"/>
      <c r="O619" s="95"/>
      <c r="T619" s="256" t="s">
        <v>825</v>
      </c>
      <c r="U619" s="257" t="s">
        <v>825</v>
      </c>
      <c r="V619" s="177"/>
      <c r="W619" s="258" t="s">
        <v>825</v>
      </c>
      <c r="X619" s="244">
        <v>-6.2191158789817728E-2</v>
      </c>
      <c r="Y619" s="265">
        <f t="shared" si="53"/>
        <v>46</v>
      </c>
      <c r="AA619" s="265">
        <f>IF(COUNTIF($Y$571:$Y619,Y619)=1,Y619,Y619+(COUNTIF($Y$571:Y619,Y619)-1))</f>
        <v>46</v>
      </c>
      <c r="AB619" s="177"/>
      <c r="AC619" s="265">
        <f t="shared" si="50"/>
        <v>49</v>
      </c>
      <c r="AD619" s="266">
        <f t="shared" si="51"/>
        <v>-5.3049629031404734E-2</v>
      </c>
      <c r="AE619" s="244">
        <f t="shared" si="49"/>
        <v>0.11616126557759388</v>
      </c>
      <c r="AG619" s="244"/>
      <c r="AH619" s="244"/>
      <c r="AI619" s="244"/>
      <c r="AJ619" s="244"/>
      <c r="AK619" s="244"/>
    </row>
    <row r="620" spans="4:37" x14ac:dyDescent="0.3">
      <c r="D620" s="75">
        <f t="shared" si="54"/>
        <v>50</v>
      </c>
      <c r="E620" s="80">
        <f t="shared" si="54"/>
        <v>5</v>
      </c>
      <c r="F620" s="80">
        <f t="shared" si="54"/>
        <v>5</v>
      </c>
      <c r="H620" s="255" t="s">
        <v>825</v>
      </c>
      <c r="I620" s="255" t="s">
        <v>825</v>
      </c>
      <c r="J620" s="255" t="s">
        <v>825</v>
      </c>
      <c r="L620" s="255" t="s">
        <v>825</v>
      </c>
      <c r="M620" s="95"/>
      <c r="N620" s="95"/>
      <c r="O620" s="95"/>
      <c r="T620" s="256" t="s">
        <v>825</v>
      </c>
      <c r="U620" s="257" t="s">
        <v>825</v>
      </c>
      <c r="V620" s="177"/>
      <c r="W620" s="258" t="s">
        <v>825</v>
      </c>
      <c r="X620" s="244">
        <v>-6.9255378736661877E-2</v>
      </c>
      <c r="Y620" s="265">
        <f t="shared" si="53"/>
        <v>41</v>
      </c>
      <c r="AA620" s="265">
        <f>IF(COUNTIF($Y$571:$Y620,Y620)=1,Y620,Y620+(COUNTIF($Y$571:Y620,Y620)-1))</f>
        <v>41</v>
      </c>
      <c r="AB620" s="177"/>
      <c r="AC620" s="265">
        <f t="shared" si="50"/>
        <v>50</v>
      </c>
      <c r="AD620" s="266">
        <f t="shared" si="51"/>
        <v>-4.9607509122129904E-2</v>
      </c>
      <c r="AE620" s="244">
        <f t="shared" si="49"/>
        <v>0.11616126557759388</v>
      </c>
      <c r="AG620" s="244"/>
      <c r="AH620" s="244"/>
      <c r="AI620" s="244"/>
      <c r="AJ620" s="244"/>
      <c r="AK620" s="244"/>
    </row>
    <row r="621" spans="4:37" x14ac:dyDescent="0.3">
      <c r="D621" s="75">
        <f t="shared" si="54"/>
        <v>51</v>
      </c>
      <c r="E621" s="80">
        <f t="shared" si="54"/>
        <v>5</v>
      </c>
      <c r="F621" s="80">
        <f t="shared" si="54"/>
        <v>5</v>
      </c>
      <c r="H621" s="255" t="s">
        <v>825</v>
      </c>
      <c r="I621" s="255" t="s">
        <v>825</v>
      </c>
      <c r="J621" s="255" t="s">
        <v>825</v>
      </c>
      <c r="L621" s="255" t="s">
        <v>825</v>
      </c>
      <c r="M621" s="95"/>
      <c r="N621" s="95"/>
      <c r="O621" s="95"/>
      <c r="T621" s="256" t="s">
        <v>825</v>
      </c>
      <c r="U621" s="257" t="s">
        <v>825</v>
      </c>
      <c r="V621" s="177"/>
      <c r="W621" s="258" t="s">
        <v>825</v>
      </c>
      <c r="X621" s="244">
        <v>-1.2578500886566524E-2</v>
      </c>
      <c r="Y621" s="265">
        <f t="shared" si="53"/>
        <v>73</v>
      </c>
      <c r="AA621" s="265">
        <f>IF(COUNTIF($Y$571:$Y621,Y621)=1,Y621,Y621+(COUNTIF($Y$571:Y621,Y621)-1))</f>
        <v>73</v>
      </c>
      <c r="AB621" s="177"/>
      <c r="AC621" s="265">
        <f t="shared" si="50"/>
        <v>51</v>
      </c>
      <c r="AD621" s="266">
        <f t="shared" si="51"/>
        <v>-4.7402103427027685E-2</v>
      </c>
      <c r="AE621" s="244">
        <f t="shared" si="49"/>
        <v>0.11616126557759388</v>
      </c>
      <c r="AG621" s="244"/>
      <c r="AH621" s="244"/>
      <c r="AI621" s="244"/>
      <c r="AJ621" s="244"/>
      <c r="AK621" s="244"/>
    </row>
    <row r="622" spans="4:37" x14ac:dyDescent="0.3">
      <c r="D622" s="75">
        <f t="shared" si="54"/>
        <v>52</v>
      </c>
      <c r="E622" s="80">
        <f t="shared" si="54"/>
        <v>5</v>
      </c>
      <c r="F622" s="80">
        <f t="shared" si="54"/>
        <v>5</v>
      </c>
      <c r="H622" s="255" t="s">
        <v>825</v>
      </c>
      <c r="I622" s="255" t="s">
        <v>825</v>
      </c>
      <c r="J622" s="255" t="s">
        <v>825</v>
      </c>
      <c r="L622" s="255" t="s">
        <v>825</v>
      </c>
      <c r="M622" s="95"/>
      <c r="N622" s="95"/>
      <c r="O622" s="95"/>
      <c r="T622" s="256" t="s">
        <v>825</v>
      </c>
      <c r="U622" s="257" t="s">
        <v>825</v>
      </c>
      <c r="V622" s="177"/>
      <c r="W622" s="258" t="s">
        <v>825</v>
      </c>
      <c r="X622" s="244">
        <v>1.2831885153929167E-3</v>
      </c>
      <c r="Y622" s="265">
        <f t="shared" si="53"/>
        <v>85</v>
      </c>
      <c r="AA622" s="265">
        <f>IF(COUNTIF($Y$571:$Y622,Y622)=1,Y622,Y622+(COUNTIF($Y$571:Y622,Y622)-1))</f>
        <v>85</v>
      </c>
      <c r="AB622" s="177"/>
      <c r="AC622" s="265">
        <f t="shared" si="50"/>
        <v>52</v>
      </c>
      <c r="AD622" s="266">
        <f t="shared" si="51"/>
        <v>-4.7087231673442503E-2</v>
      </c>
      <c r="AE622" s="244">
        <f t="shared" si="49"/>
        <v>0.11616126557759388</v>
      </c>
      <c r="AG622" s="244"/>
      <c r="AH622" s="244"/>
      <c r="AI622" s="244"/>
      <c r="AJ622" s="244"/>
      <c r="AK622" s="244"/>
    </row>
    <row r="623" spans="4:37" x14ac:dyDescent="0.3">
      <c r="D623" s="75">
        <f t="shared" si="54"/>
        <v>53</v>
      </c>
      <c r="E623" s="80">
        <f t="shared" si="54"/>
        <v>5</v>
      </c>
      <c r="F623" s="80">
        <f t="shared" si="54"/>
        <v>5</v>
      </c>
      <c r="H623" s="255" t="s">
        <v>825</v>
      </c>
      <c r="I623" s="255" t="s">
        <v>825</v>
      </c>
      <c r="J623" s="255" t="s">
        <v>825</v>
      </c>
      <c r="L623" s="255" t="s">
        <v>825</v>
      </c>
      <c r="M623" s="95"/>
      <c r="N623" s="95"/>
      <c r="O623" s="95"/>
      <c r="T623" s="256" t="s">
        <v>825</v>
      </c>
      <c r="U623" s="257" t="s">
        <v>825</v>
      </c>
      <c r="V623" s="177"/>
      <c r="W623" s="258" t="s">
        <v>825</v>
      </c>
      <c r="X623" s="244">
        <v>-3.6626915217873646E-2</v>
      </c>
      <c r="Y623" s="265">
        <f t="shared" si="53"/>
        <v>59</v>
      </c>
      <c r="AA623" s="265">
        <f>IF(COUNTIF($Y$571:$Y623,Y623)=1,Y623,Y623+(COUNTIF($Y$571:Y623,Y623)-1))</f>
        <v>59</v>
      </c>
      <c r="AB623" s="177"/>
      <c r="AC623" s="265">
        <f t="shared" si="50"/>
        <v>53</v>
      </c>
      <c r="AD623" s="266">
        <f t="shared" si="51"/>
        <v>-4.4940755498595331E-2</v>
      </c>
      <c r="AE623" s="244">
        <f t="shared" si="49"/>
        <v>0.11616126557759388</v>
      </c>
      <c r="AG623" s="244"/>
      <c r="AH623" s="244"/>
      <c r="AI623" s="244"/>
      <c r="AJ623" s="244"/>
      <c r="AK623" s="244"/>
    </row>
    <row r="624" spans="4:37" x14ac:dyDescent="0.3">
      <c r="D624" s="75">
        <f t="shared" si="54"/>
        <v>54</v>
      </c>
      <c r="E624" s="80">
        <f t="shared" si="54"/>
        <v>5</v>
      </c>
      <c r="F624" s="80">
        <f t="shared" si="54"/>
        <v>5</v>
      </c>
      <c r="H624" s="255" t="s">
        <v>825</v>
      </c>
      <c r="I624" s="255" t="s">
        <v>825</v>
      </c>
      <c r="J624" s="255" t="s">
        <v>825</v>
      </c>
      <c r="L624" s="255" t="s">
        <v>825</v>
      </c>
      <c r="M624" s="95"/>
      <c r="N624" s="95"/>
      <c r="O624" s="95"/>
      <c r="T624" s="256" t="s">
        <v>825</v>
      </c>
      <c r="U624" s="257" t="s">
        <v>825</v>
      </c>
      <c r="V624" s="177"/>
      <c r="W624" s="258" t="s">
        <v>825</v>
      </c>
      <c r="X624" s="244">
        <v>1.1671128013990392E-2</v>
      </c>
      <c r="Y624" s="265">
        <f t="shared" si="53"/>
        <v>88</v>
      </c>
      <c r="AA624" s="265">
        <f>IF(COUNTIF($Y$571:$Y624,Y624)=1,Y624,Y624+(COUNTIF($Y$571:Y624,Y624)-1))</f>
        <v>88</v>
      </c>
      <c r="AB624" s="177"/>
      <c r="AC624" s="265">
        <f t="shared" si="50"/>
        <v>54</v>
      </c>
      <c r="AD624" s="266">
        <f t="shared" si="51"/>
        <v>-4.4611158526148061E-2</v>
      </c>
      <c r="AE624" s="244">
        <f t="shared" si="49"/>
        <v>0.11616126557759388</v>
      </c>
      <c r="AG624" s="244"/>
      <c r="AH624" s="244"/>
      <c r="AI624" s="244"/>
      <c r="AJ624" s="244"/>
      <c r="AK624" s="244"/>
    </row>
    <row r="625" spans="4:37" x14ac:dyDescent="0.3">
      <c r="D625" s="75">
        <f t="shared" si="54"/>
        <v>55</v>
      </c>
      <c r="E625" s="80">
        <f t="shared" si="54"/>
        <v>5</v>
      </c>
      <c r="F625" s="80">
        <f t="shared" si="54"/>
        <v>5</v>
      </c>
      <c r="H625" s="255" t="s">
        <v>825</v>
      </c>
      <c r="I625" s="255" t="s">
        <v>825</v>
      </c>
      <c r="J625" s="255" t="s">
        <v>825</v>
      </c>
      <c r="L625" s="255" t="s">
        <v>825</v>
      </c>
      <c r="M625" s="95"/>
      <c r="N625" s="95"/>
      <c r="O625" s="95"/>
      <c r="T625" s="256" t="s">
        <v>825</v>
      </c>
      <c r="U625" s="257" t="s">
        <v>825</v>
      </c>
      <c r="V625" s="177"/>
      <c r="W625" s="258" t="s">
        <v>825</v>
      </c>
      <c r="X625" s="244">
        <v>-1.452150894020196E-2</v>
      </c>
      <c r="Y625" s="265">
        <f t="shared" si="53"/>
        <v>72</v>
      </c>
      <c r="AA625" s="265">
        <f>IF(COUNTIF($Y$571:$Y625,Y625)=1,Y625,Y625+(COUNTIF($Y$571:Y625,Y625)-1))</f>
        <v>72</v>
      </c>
      <c r="AB625" s="177"/>
      <c r="AC625" s="265">
        <f t="shared" si="50"/>
        <v>55</v>
      </c>
      <c r="AD625" s="266">
        <f t="shared" si="51"/>
        <v>-4.3852939668428063E-2</v>
      </c>
      <c r="AE625" s="244">
        <f t="shared" si="49"/>
        <v>0.11616126557759388</v>
      </c>
      <c r="AG625" s="244"/>
      <c r="AH625" s="244"/>
      <c r="AI625" s="244"/>
      <c r="AJ625" s="244"/>
      <c r="AK625" s="244"/>
    </row>
    <row r="626" spans="4:37" x14ac:dyDescent="0.3">
      <c r="D626" s="75">
        <f t="shared" si="54"/>
        <v>56</v>
      </c>
      <c r="E626" s="80">
        <f t="shared" si="54"/>
        <v>5</v>
      </c>
      <c r="F626" s="80">
        <f t="shared" si="54"/>
        <v>5</v>
      </c>
      <c r="H626" s="255" t="s">
        <v>825</v>
      </c>
      <c r="I626" s="255" t="s">
        <v>825</v>
      </c>
      <c r="J626" s="255" t="s">
        <v>825</v>
      </c>
      <c r="L626" s="255" t="s">
        <v>825</v>
      </c>
      <c r="M626" s="95"/>
      <c r="N626" s="95"/>
      <c r="O626" s="95"/>
      <c r="T626" s="256" t="s">
        <v>825</v>
      </c>
      <c r="U626" s="257" t="s">
        <v>825</v>
      </c>
      <c r="V626" s="177"/>
      <c r="W626" s="258" t="s">
        <v>825</v>
      </c>
      <c r="X626" s="244">
        <v>-4.7402103427027685E-2</v>
      </c>
      <c r="Y626" s="265">
        <f t="shared" si="53"/>
        <v>51</v>
      </c>
      <c r="AA626" s="265">
        <f>IF(COUNTIF($Y$571:$Y626,Y626)=1,Y626,Y626+(COUNTIF($Y$571:Y626,Y626)-1))</f>
        <v>51</v>
      </c>
      <c r="AB626" s="177"/>
      <c r="AC626" s="265">
        <f t="shared" si="50"/>
        <v>56</v>
      </c>
      <c r="AD626" s="266">
        <f t="shared" si="51"/>
        <v>-4.2047310142843075E-2</v>
      </c>
      <c r="AE626" s="244">
        <f t="shared" si="49"/>
        <v>0.11616126557759388</v>
      </c>
      <c r="AG626" s="244"/>
      <c r="AH626" s="244"/>
      <c r="AI626" s="244"/>
      <c r="AJ626" s="244"/>
      <c r="AK626" s="244"/>
    </row>
    <row r="627" spans="4:37" x14ac:dyDescent="0.3">
      <c r="D627" s="75">
        <f t="shared" si="54"/>
        <v>57</v>
      </c>
      <c r="E627" s="80">
        <f t="shared" si="54"/>
        <v>5</v>
      </c>
      <c r="F627" s="80">
        <f t="shared" si="54"/>
        <v>5</v>
      </c>
      <c r="H627" s="255" t="s">
        <v>825</v>
      </c>
      <c r="I627" s="255" t="s">
        <v>825</v>
      </c>
      <c r="J627" s="255" t="s">
        <v>825</v>
      </c>
      <c r="L627" s="255" t="s">
        <v>825</v>
      </c>
      <c r="M627" s="95"/>
      <c r="N627" s="95"/>
      <c r="O627" s="95"/>
      <c r="T627" s="256" t="s">
        <v>825</v>
      </c>
      <c r="U627" s="257" t="s">
        <v>825</v>
      </c>
      <c r="V627" s="177"/>
      <c r="W627" s="258" t="s">
        <v>825</v>
      </c>
      <c r="X627" s="244">
        <v>4.571996738660971E-2</v>
      </c>
      <c r="Y627" s="265">
        <f t="shared" si="53"/>
        <v>120</v>
      </c>
      <c r="AA627" s="265">
        <f>IF(COUNTIF($Y$571:$Y627,Y627)=1,Y627,Y627+(COUNTIF($Y$571:Y627,Y627)-1))</f>
        <v>120</v>
      </c>
      <c r="AB627" s="177"/>
      <c r="AC627" s="265">
        <f t="shared" si="50"/>
        <v>57</v>
      </c>
      <c r="AD627" s="266">
        <f t="shared" si="51"/>
        <v>-4.0736651251998879E-2</v>
      </c>
      <c r="AE627" s="244">
        <f t="shared" si="49"/>
        <v>0.11616126557759388</v>
      </c>
      <c r="AG627" s="244"/>
      <c r="AH627" s="244"/>
      <c r="AI627" s="244"/>
      <c r="AJ627" s="244"/>
      <c r="AK627" s="244"/>
    </row>
    <row r="628" spans="4:37" x14ac:dyDescent="0.3">
      <c r="D628" s="75">
        <f t="shared" si="54"/>
        <v>58</v>
      </c>
      <c r="E628" s="80">
        <f t="shared" si="54"/>
        <v>5</v>
      </c>
      <c r="F628" s="80">
        <f t="shared" si="54"/>
        <v>5</v>
      </c>
      <c r="H628" s="255" t="s">
        <v>825</v>
      </c>
      <c r="I628" s="255" t="s">
        <v>825</v>
      </c>
      <c r="J628" s="255" t="s">
        <v>825</v>
      </c>
      <c r="L628" s="255" t="s">
        <v>825</v>
      </c>
      <c r="M628" s="95"/>
      <c r="N628" s="95"/>
      <c r="O628" s="95"/>
      <c r="T628" s="256" t="s">
        <v>825</v>
      </c>
      <c r="U628" s="257" t="s">
        <v>825</v>
      </c>
      <c r="V628" s="177"/>
      <c r="W628" s="258" t="s">
        <v>825</v>
      </c>
      <c r="X628" s="244">
        <v>1.0686352633096889E-2</v>
      </c>
      <c r="Y628" s="265">
        <f t="shared" si="53"/>
        <v>87</v>
      </c>
      <c r="AA628" s="265">
        <f>IF(COUNTIF($Y$571:$Y628,Y628)=1,Y628,Y628+(COUNTIF($Y$571:Y628,Y628)-1))</f>
        <v>87</v>
      </c>
      <c r="AB628" s="177"/>
      <c r="AC628" s="265">
        <f t="shared" si="50"/>
        <v>58</v>
      </c>
      <c r="AD628" s="266">
        <f t="shared" si="51"/>
        <v>-3.9903728512467818E-2</v>
      </c>
      <c r="AE628" s="244">
        <f t="shared" si="49"/>
        <v>0.11616126557759388</v>
      </c>
      <c r="AG628" s="244"/>
      <c r="AH628" s="244"/>
      <c r="AI628" s="244"/>
      <c r="AJ628" s="244"/>
      <c r="AK628" s="244"/>
    </row>
    <row r="629" spans="4:37" x14ac:dyDescent="0.3">
      <c r="D629" s="75">
        <f t="shared" si="54"/>
        <v>59</v>
      </c>
      <c r="E629" s="80">
        <f t="shared" si="54"/>
        <v>5</v>
      </c>
      <c r="F629" s="80">
        <f t="shared" si="54"/>
        <v>5</v>
      </c>
      <c r="H629" s="255" t="s">
        <v>825</v>
      </c>
      <c r="I629" s="255" t="s">
        <v>825</v>
      </c>
      <c r="J629" s="255" t="s">
        <v>825</v>
      </c>
      <c r="L629" s="255" t="s">
        <v>825</v>
      </c>
      <c r="M629" s="95"/>
      <c r="N629" s="95"/>
      <c r="O629" s="95"/>
      <c r="T629" s="256" t="s">
        <v>825</v>
      </c>
      <c r="U629" s="257" t="s">
        <v>825</v>
      </c>
      <c r="V629" s="177"/>
      <c r="W629" s="258" t="s">
        <v>825</v>
      </c>
      <c r="X629" s="244">
        <v>-3.4887083670808512E-2</v>
      </c>
      <c r="Y629" s="265">
        <f t="shared" si="53"/>
        <v>60</v>
      </c>
      <c r="AA629" s="265">
        <f>IF(COUNTIF($Y$571:$Y629,Y629)=1,Y629,Y629+(COUNTIF($Y$571:Y629,Y629)-1))</f>
        <v>60</v>
      </c>
      <c r="AB629" s="177"/>
      <c r="AC629" s="265">
        <f t="shared" si="50"/>
        <v>59</v>
      </c>
      <c r="AD629" s="266">
        <f t="shared" si="51"/>
        <v>-3.6626915217873646E-2</v>
      </c>
      <c r="AE629" s="244">
        <f t="shared" si="49"/>
        <v>0.11616126557759388</v>
      </c>
      <c r="AG629" s="244"/>
      <c r="AH629" s="244"/>
      <c r="AI629" s="244"/>
      <c r="AJ629" s="244"/>
      <c r="AK629" s="244"/>
    </row>
    <row r="630" spans="4:37" x14ac:dyDescent="0.3">
      <c r="D630" s="75">
        <f t="shared" si="54"/>
        <v>60</v>
      </c>
      <c r="E630" s="80">
        <f t="shared" si="54"/>
        <v>5</v>
      </c>
      <c r="F630" s="80">
        <f t="shared" si="54"/>
        <v>5</v>
      </c>
      <c r="H630" s="255" t="s">
        <v>825</v>
      </c>
      <c r="I630" s="255" t="s">
        <v>825</v>
      </c>
      <c r="J630" s="255" t="s">
        <v>825</v>
      </c>
      <c r="L630" s="255" t="s">
        <v>825</v>
      </c>
      <c r="M630" s="95"/>
      <c r="N630" s="95"/>
      <c r="O630" s="95"/>
      <c r="T630" s="256" t="s">
        <v>825</v>
      </c>
      <c r="U630" s="257" t="s">
        <v>825</v>
      </c>
      <c r="V630" s="177"/>
      <c r="W630" s="258" t="s">
        <v>825</v>
      </c>
      <c r="X630" s="244">
        <v>4.2375355448881317E-2</v>
      </c>
      <c r="Y630" s="265">
        <f t="shared" si="53"/>
        <v>117</v>
      </c>
      <c r="AA630" s="265">
        <f>IF(COUNTIF($Y$571:$Y630,Y630)=1,Y630,Y630+(COUNTIF($Y$571:Y630,Y630)-1))</f>
        <v>117</v>
      </c>
      <c r="AB630" s="177"/>
      <c r="AC630" s="265">
        <f t="shared" si="50"/>
        <v>60</v>
      </c>
      <c r="AD630" s="266">
        <f t="shared" si="51"/>
        <v>-3.4887083670808512E-2</v>
      </c>
      <c r="AE630" s="244">
        <f t="shared" si="49"/>
        <v>0.11616126557759388</v>
      </c>
      <c r="AG630" s="244"/>
      <c r="AH630" s="244"/>
      <c r="AI630" s="244"/>
      <c r="AJ630" s="244"/>
      <c r="AK630" s="244"/>
    </row>
    <row r="631" spans="4:37" x14ac:dyDescent="0.3">
      <c r="D631" s="75">
        <f t="shared" ref="D631:F650" si="55">D389</f>
        <v>61</v>
      </c>
      <c r="E631" s="80">
        <f t="shared" si="55"/>
        <v>5</v>
      </c>
      <c r="F631" s="80">
        <f t="shared" si="55"/>
        <v>5</v>
      </c>
      <c r="H631" s="255" t="s">
        <v>825</v>
      </c>
      <c r="I631" s="255" t="s">
        <v>825</v>
      </c>
      <c r="J631" s="255" t="s">
        <v>825</v>
      </c>
      <c r="L631" s="255" t="s">
        <v>825</v>
      </c>
      <c r="M631" s="95"/>
      <c r="N631" s="95"/>
      <c r="O631" s="95"/>
      <c r="T631" s="256" t="s">
        <v>825</v>
      </c>
      <c r="U631" s="257" t="s">
        <v>825</v>
      </c>
      <c r="V631" s="177"/>
      <c r="W631" s="258" t="s">
        <v>825</v>
      </c>
      <c r="X631" s="244">
        <v>1.6943560795133709E-2</v>
      </c>
      <c r="Y631" s="265">
        <f t="shared" si="53"/>
        <v>91</v>
      </c>
      <c r="AA631" s="265">
        <f>IF(COUNTIF($Y$571:$Y631,Y631)=1,Y631,Y631+(COUNTIF($Y$571:Y631,Y631)-1))</f>
        <v>91</v>
      </c>
      <c r="AB631" s="177"/>
      <c r="AC631" s="265">
        <f t="shared" si="50"/>
        <v>61</v>
      </c>
      <c r="AD631" s="266">
        <f t="shared" si="51"/>
        <v>-3.4131253989903576E-2</v>
      </c>
      <c r="AE631" s="244">
        <f t="shared" si="49"/>
        <v>0.11616126557759388</v>
      </c>
      <c r="AG631" s="244"/>
      <c r="AH631" s="244"/>
      <c r="AI631" s="244"/>
      <c r="AJ631" s="244"/>
      <c r="AK631" s="244"/>
    </row>
    <row r="632" spans="4:37" x14ac:dyDescent="0.3">
      <c r="D632" s="75">
        <f t="shared" si="55"/>
        <v>62</v>
      </c>
      <c r="E632" s="80">
        <f t="shared" si="55"/>
        <v>5</v>
      </c>
      <c r="F632" s="80">
        <f t="shared" si="55"/>
        <v>5</v>
      </c>
      <c r="H632" s="255" t="s">
        <v>825</v>
      </c>
      <c r="I632" s="255" t="s">
        <v>825</v>
      </c>
      <c r="J632" s="255" t="s">
        <v>825</v>
      </c>
      <c r="L632" s="255" t="s">
        <v>825</v>
      </c>
      <c r="M632" s="95"/>
      <c r="N632" s="95"/>
      <c r="O632" s="95"/>
      <c r="T632" s="256" t="s">
        <v>825</v>
      </c>
      <c r="U632" s="257" t="s">
        <v>825</v>
      </c>
      <c r="V632" s="177"/>
      <c r="W632" s="258" t="s">
        <v>825</v>
      </c>
      <c r="X632" s="244">
        <v>-8.9660084795690459E-2</v>
      </c>
      <c r="Y632" s="265">
        <f t="shared" si="53"/>
        <v>31</v>
      </c>
      <c r="AA632" s="265">
        <f>IF(COUNTIF($Y$571:$Y632,Y632)=1,Y632,Y632+(COUNTIF($Y$571:Y632,Y632)-1))</f>
        <v>31</v>
      </c>
      <c r="AB632" s="177"/>
      <c r="AC632" s="265">
        <f t="shared" si="50"/>
        <v>62</v>
      </c>
      <c r="AD632" s="266">
        <f t="shared" si="51"/>
        <v>-3.3483607980522828E-2</v>
      </c>
      <c r="AE632" s="244">
        <f t="shared" si="49"/>
        <v>0.11616126557759388</v>
      </c>
      <c r="AG632" s="244"/>
      <c r="AH632" s="244"/>
      <c r="AI632" s="244"/>
      <c r="AJ632" s="244"/>
      <c r="AK632" s="244"/>
    </row>
    <row r="633" spans="4:37" x14ac:dyDescent="0.3">
      <c r="D633" s="75">
        <f t="shared" si="55"/>
        <v>63</v>
      </c>
      <c r="E633" s="80">
        <f t="shared" si="55"/>
        <v>5</v>
      </c>
      <c r="F633" s="80">
        <f t="shared" si="55"/>
        <v>5</v>
      </c>
      <c r="H633" s="255" t="s">
        <v>825</v>
      </c>
      <c r="I633" s="255" t="s">
        <v>825</v>
      </c>
      <c r="J633" s="255" t="s">
        <v>825</v>
      </c>
      <c r="L633" s="255" t="s">
        <v>825</v>
      </c>
      <c r="M633" s="95"/>
      <c r="N633" s="95"/>
      <c r="O633" s="95"/>
      <c r="T633" s="256" t="s">
        <v>825</v>
      </c>
      <c r="U633" s="257" t="s">
        <v>825</v>
      </c>
      <c r="V633" s="177"/>
      <c r="W633" s="258" t="s">
        <v>825</v>
      </c>
      <c r="X633" s="244">
        <v>2.7442865669852108E-2</v>
      </c>
      <c r="Y633" s="265">
        <f t="shared" si="53"/>
        <v>99</v>
      </c>
      <c r="AA633" s="265">
        <f>IF(COUNTIF($Y$571:$Y633,Y633)=1,Y633,Y633+(COUNTIF($Y$571:Y633,Y633)-1))</f>
        <v>99</v>
      </c>
      <c r="AB633" s="177"/>
      <c r="AC633" s="265">
        <f t="shared" si="50"/>
        <v>63</v>
      </c>
      <c r="AD633" s="266">
        <f t="shared" si="51"/>
        <v>-3.330828577416859E-2</v>
      </c>
      <c r="AE633" s="244">
        <f t="shared" si="49"/>
        <v>0.11616126557759388</v>
      </c>
      <c r="AG633" s="244"/>
      <c r="AH633" s="244"/>
      <c r="AI633" s="244"/>
      <c r="AJ633" s="244"/>
      <c r="AK633" s="244"/>
    </row>
    <row r="634" spans="4:37" x14ac:dyDescent="0.3">
      <c r="D634" s="75">
        <f t="shared" si="55"/>
        <v>64</v>
      </c>
      <c r="E634" s="80">
        <f t="shared" si="55"/>
        <v>5</v>
      </c>
      <c r="F634" s="80">
        <f t="shared" si="55"/>
        <v>5</v>
      </c>
      <c r="H634" s="255" t="s">
        <v>825</v>
      </c>
      <c r="I634" s="255" t="s">
        <v>825</v>
      </c>
      <c r="J634" s="255" t="s">
        <v>825</v>
      </c>
      <c r="L634" s="255" t="s">
        <v>825</v>
      </c>
      <c r="M634" s="95"/>
      <c r="N634" s="95"/>
      <c r="O634" s="95"/>
      <c r="T634" s="256" t="s">
        <v>825</v>
      </c>
      <c r="U634" s="257" t="s">
        <v>825</v>
      </c>
      <c r="V634" s="177"/>
      <c r="W634" s="258" t="s">
        <v>825</v>
      </c>
      <c r="X634" s="244">
        <v>3.5038448195152262E-2</v>
      </c>
      <c r="Y634" s="265">
        <f t="shared" si="53"/>
        <v>107</v>
      </c>
      <c r="AA634" s="265">
        <f>IF(COUNTIF($Y$571:$Y634,Y634)=1,Y634,Y634+(COUNTIF($Y$571:Y634,Y634)-1))</f>
        <v>107</v>
      </c>
      <c r="AB634" s="177"/>
      <c r="AC634" s="265">
        <f t="shared" si="50"/>
        <v>64</v>
      </c>
      <c r="AD634" s="266">
        <f t="shared" si="51"/>
        <v>-3.112478119762856E-2</v>
      </c>
      <c r="AE634" s="244">
        <f t="shared" si="49"/>
        <v>0.11616126557759388</v>
      </c>
      <c r="AG634" s="244"/>
      <c r="AH634" s="244"/>
      <c r="AI634" s="244"/>
      <c r="AJ634" s="244"/>
      <c r="AK634" s="244"/>
    </row>
    <row r="635" spans="4:37" x14ac:dyDescent="0.3">
      <c r="D635" s="75">
        <f t="shared" si="55"/>
        <v>65</v>
      </c>
      <c r="E635" s="80">
        <f t="shared" si="55"/>
        <v>5</v>
      </c>
      <c r="F635" s="80">
        <f t="shared" si="55"/>
        <v>5</v>
      </c>
      <c r="H635" s="255" t="s">
        <v>825</v>
      </c>
      <c r="I635" s="255" t="s">
        <v>825</v>
      </c>
      <c r="J635" s="255" t="s">
        <v>825</v>
      </c>
      <c r="L635" s="255" t="s">
        <v>825</v>
      </c>
      <c r="M635" s="95"/>
      <c r="N635" s="95"/>
      <c r="O635" s="95"/>
      <c r="T635" s="256" t="s">
        <v>825</v>
      </c>
      <c r="U635" s="257" t="s">
        <v>825</v>
      </c>
      <c r="V635" s="177"/>
      <c r="W635" s="258" t="s">
        <v>825</v>
      </c>
      <c r="X635" s="244">
        <v>-3.112478119762856E-2</v>
      </c>
      <c r="Y635" s="265">
        <f t="shared" ref="Y635:Y666" si="56">RANK($X635,$X$571:$X$790,-1)</f>
        <v>64</v>
      </c>
      <c r="AA635" s="265">
        <f>IF(COUNTIF($Y$571:$Y635,Y635)=1,Y635,Y635+(COUNTIF($Y$571:Y635,Y635)-1))</f>
        <v>64</v>
      </c>
      <c r="AB635" s="177"/>
      <c r="AC635" s="265">
        <f t="shared" si="50"/>
        <v>65</v>
      </c>
      <c r="AD635" s="266">
        <f t="shared" si="51"/>
        <v>-3.0294142280736538E-2</v>
      </c>
      <c r="AE635" s="244">
        <f t="shared" ref="AE635:AE698" si="57">$AE$568</f>
        <v>0.11616126557759388</v>
      </c>
      <c r="AG635" s="244"/>
      <c r="AH635" s="244"/>
      <c r="AI635" s="244"/>
      <c r="AJ635" s="244"/>
      <c r="AK635" s="244"/>
    </row>
    <row r="636" spans="4:37" x14ac:dyDescent="0.3">
      <c r="D636" s="75">
        <f t="shared" si="55"/>
        <v>66</v>
      </c>
      <c r="E636" s="80">
        <f t="shared" si="55"/>
        <v>5</v>
      </c>
      <c r="F636" s="80">
        <f t="shared" si="55"/>
        <v>5</v>
      </c>
      <c r="H636" s="255" t="s">
        <v>825</v>
      </c>
      <c r="I636" s="255" t="s">
        <v>825</v>
      </c>
      <c r="J636" s="255" t="s">
        <v>825</v>
      </c>
      <c r="L636" s="255" t="s">
        <v>825</v>
      </c>
      <c r="M636" s="95"/>
      <c r="N636" s="95"/>
      <c r="O636" s="95"/>
      <c r="T636" s="256" t="s">
        <v>825</v>
      </c>
      <c r="U636" s="257" t="s">
        <v>825</v>
      </c>
      <c r="V636" s="177"/>
      <c r="W636" s="258" t="s">
        <v>825</v>
      </c>
      <c r="X636" s="244">
        <v>-3.7970451743065937E-3</v>
      </c>
      <c r="Y636" s="265">
        <f t="shared" si="56"/>
        <v>81</v>
      </c>
      <c r="AA636" s="265">
        <f>IF(COUNTIF($Y$571:$Y636,Y636)=1,Y636,Y636+(COUNTIF($Y$571:Y636,Y636)-1))</f>
        <v>81</v>
      </c>
      <c r="AB636" s="177"/>
      <c r="AC636" s="265">
        <f t="shared" ref="AC636:AC699" si="58">N(AC635)+1</f>
        <v>66</v>
      </c>
      <c r="AD636" s="266">
        <f t="shared" ref="AD636:AD699" si="59">INDEX($X$571:$X$790,MATCH(AC636,$AA$571:$AA$790,0))</f>
        <v>-2.7363385291005474E-2</v>
      </c>
      <c r="AE636" s="244">
        <f t="shared" si="57"/>
        <v>0.11616126557759388</v>
      </c>
      <c r="AG636" s="244"/>
      <c r="AH636" s="244"/>
      <c r="AI636" s="244"/>
      <c r="AJ636" s="244"/>
      <c r="AK636" s="244"/>
    </row>
    <row r="637" spans="4:37" x14ac:dyDescent="0.3">
      <c r="D637" s="75">
        <f t="shared" si="55"/>
        <v>67</v>
      </c>
      <c r="E637" s="80">
        <f t="shared" si="55"/>
        <v>5</v>
      </c>
      <c r="F637" s="80">
        <f t="shared" si="55"/>
        <v>5</v>
      </c>
      <c r="H637" s="255" t="s">
        <v>825</v>
      </c>
      <c r="I637" s="255" t="s">
        <v>825</v>
      </c>
      <c r="J637" s="255" t="s">
        <v>825</v>
      </c>
      <c r="L637" s="255" t="s">
        <v>825</v>
      </c>
      <c r="M637" s="95"/>
      <c r="N637" s="95"/>
      <c r="O637" s="95"/>
      <c r="T637" s="256" t="s">
        <v>825</v>
      </c>
      <c r="U637" s="257" t="s">
        <v>825</v>
      </c>
      <c r="V637" s="177"/>
      <c r="W637" s="258" t="s">
        <v>825</v>
      </c>
      <c r="X637" s="244">
        <v>1.3241937653156323E-2</v>
      </c>
      <c r="Y637" s="265">
        <f t="shared" si="56"/>
        <v>89</v>
      </c>
      <c r="AA637" s="265">
        <f>IF(COUNTIF($Y$571:$Y637,Y637)=1,Y637,Y637+(COUNTIF($Y$571:Y637,Y637)-1))</f>
        <v>89</v>
      </c>
      <c r="AB637" s="177"/>
      <c r="AC637" s="265">
        <f t="shared" si="58"/>
        <v>67</v>
      </c>
      <c r="AD637" s="266">
        <f t="shared" si="59"/>
        <v>-2.7201591124848802E-2</v>
      </c>
      <c r="AE637" s="244">
        <f t="shared" si="57"/>
        <v>0.11616126557759388</v>
      </c>
      <c r="AG637" s="244"/>
      <c r="AH637" s="244"/>
      <c r="AI637" s="244"/>
      <c r="AJ637" s="244"/>
      <c r="AK637" s="244"/>
    </row>
    <row r="638" spans="4:37" x14ac:dyDescent="0.3">
      <c r="D638" s="75">
        <f t="shared" si="55"/>
        <v>68</v>
      </c>
      <c r="E638" s="80">
        <f t="shared" si="55"/>
        <v>5</v>
      </c>
      <c r="F638" s="80">
        <f t="shared" si="55"/>
        <v>5</v>
      </c>
      <c r="H638" s="255" t="s">
        <v>825</v>
      </c>
      <c r="I638" s="255" t="s">
        <v>825</v>
      </c>
      <c r="J638" s="255" t="s">
        <v>825</v>
      </c>
      <c r="L638" s="255" t="s">
        <v>825</v>
      </c>
      <c r="M638" s="95"/>
      <c r="N638" s="95"/>
      <c r="O638" s="95"/>
      <c r="T638" s="256" t="s">
        <v>825</v>
      </c>
      <c r="U638" s="257" t="s">
        <v>825</v>
      </c>
      <c r="V638" s="177"/>
      <c r="W638" s="258" t="s">
        <v>825</v>
      </c>
      <c r="X638" s="244">
        <v>-2.6896346808407343E-2</v>
      </c>
      <c r="Y638" s="265">
        <f t="shared" si="56"/>
        <v>68</v>
      </c>
      <c r="AA638" s="265">
        <f>IF(COUNTIF($Y$571:$Y638,Y638)=1,Y638,Y638+(COUNTIF($Y$571:Y638,Y638)-1))</f>
        <v>68</v>
      </c>
      <c r="AB638" s="177"/>
      <c r="AC638" s="265">
        <f t="shared" si="58"/>
        <v>68</v>
      </c>
      <c r="AD638" s="266">
        <f t="shared" si="59"/>
        <v>-2.6896346808407343E-2</v>
      </c>
      <c r="AE638" s="244">
        <f t="shared" si="57"/>
        <v>0.11616126557759388</v>
      </c>
      <c r="AG638" s="244"/>
      <c r="AH638" s="244"/>
      <c r="AI638" s="244"/>
      <c r="AJ638" s="244"/>
      <c r="AK638" s="244"/>
    </row>
    <row r="639" spans="4:37" x14ac:dyDescent="0.3">
      <c r="D639" s="75">
        <f t="shared" si="55"/>
        <v>69</v>
      </c>
      <c r="E639" s="80">
        <f t="shared" si="55"/>
        <v>5</v>
      </c>
      <c r="F639" s="80">
        <f t="shared" si="55"/>
        <v>5</v>
      </c>
      <c r="H639" s="255" t="s">
        <v>825</v>
      </c>
      <c r="I639" s="255" t="s">
        <v>825</v>
      </c>
      <c r="J639" s="255" t="s">
        <v>825</v>
      </c>
      <c r="L639" s="255" t="s">
        <v>825</v>
      </c>
      <c r="M639" s="95"/>
      <c r="N639" s="95"/>
      <c r="O639" s="95"/>
      <c r="T639" s="256" t="s">
        <v>825</v>
      </c>
      <c r="U639" s="257" t="s">
        <v>825</v>
      </c>
      <c r="V639" s="177"/>
      <c r="W639" s="258" t="s">
        <v>825</v>
      </c>
      <c r="X639" s="244">
        <v>-5.2005381955685702E-3</v>
      </c>
      <c r="Y639" s="265">
        <f t="shared" si="56"/>
        <v>79</v>
      </c>
      <c r="AA639" s="265">
        <f>IF(COUNTIF($Y$571:$Y639,Y639)=1,Y639,Y639+(COUNTIF($Y$571:Y639,Y639)-1))</f>
        <v>79</v>
      </c>
      <c r="AB639" s="177"/>
      <c r="AC639" s="265">
        <f t="shared" si="58"/>
        <v>69</v>
      </c>
      <c r="AD639" s="266">
        <f t="shared" si="59"/>
        <v>-2.247511750638459E-2</v>
      </c>
      <c r="AE639" s="244">
        <f t="shared" si="57"/>
        <v>0.11616126557759388</v>
      </c>
      <c r="AG639" s="244"/>
      <c r="AH639" s="244"/>
      <c r="AI639" s="244"/>
      <c r="AJ639" s="244"/>
      <c r="AK639" s="244"/>
    </row>
    <row r="640" spans="4:37" x14ac:dyDescent="0.3">
      <c r="D640" s="75">
        <f t="shared" si="55"/>
        <v>70</v>
      </c>
      <c r="E640" s="80">
        <f t="shared" si="55"/>
        <v>5</v>
      </c>
      <c r="F640" s="80">
        <f t="shared" si="55"/>
        <v>5</v>
      </c>
      <c r="H640" s="255" t="s">
        <v>825</v>
      </c>
      <c r="I640" s="255" t="s">
        <v>825</v>
      </c>
      <c r="J640" s="255" t="s">
        <v>825</v>
      </c>
      <c r="L640" s="255" t="s">
        <v>825</v>
      </c>
      <c r="M640" s="95"/>
      <c r="N640" s="95"/>
      <c r="O640" s="95"/>
      <c r="T640" s="256" t="s">
        <v>825</v>
      </c>
      <c r="U640" s="257" t="s">
        <v>825</v>
      </c>
      <c r="V640" s="177"/>
      <c r="W640" s="258" t="s">
        <v>825</v>
      </c>
      <c r="X640" s="244">
        <v>-2.7201591124848802E-2</v>
      </c>
      <c r="Y640" s="265">
        <f t="shared" si="56"/>
        <v>67</v>
      </c>
      <c r="AA640" s="265">
        <f>IF(COUNTIF($Y$571:$Y640,Y640)=1,Y640,Y640+(COUNTIF($Y$571:Y640,Y640)-1))</f>
        <v>67</v>
      </c>
      <c r="AB640" s="177"/>
      <c r="AC640" s="265">
        <f t="shared" si="58"/>
        <v>70</v>
      </c>
      <c r="AD640" s="266">
        <f t="shared" si="59"/>
        <v>-1.601595927071962E-2</v>
      </c>
      <c r="AE640" s="244">
        <f t="shared" si="57"/>
        <v>0.11616126557759388</v>
      </c>
      <c r="AG640" s="244"/>
      <c r="AH640" s="244"/>
      <c r="AI640" s="244"/>
      <c r="AJ640" s="244"/>
      <c r="AK640" s="244"/>
    </row>
    <row r="641" spans="4:37" x14ac:dyDescent="0.3">
      <c r="D641" s="75">
        <f t="shared" si="55"/>
        <v>71</v>
      </c>
      <c r="E641" s="80">
        <f t="shared" si="55"/>
        <v>5</v>
      </c>
      <c r="F641" s="80">
        <f t="shared" si="55"/>
        <v>5</v>
      </c>
      <c r="H641" s="255" t="s">
        <v>825</v>
      </c>
      <c r="I641" s="255" t="s">
        <v>825</v>
      </c>
      <c r="J641" s="255" t="s">
        <v>825</v>
      </c>
      <c r="L641" s="255" t="s">
        <v>825</v>
      </c>
      <c r="M641" s="95"/>
      <c r="N641" s="95"/>
      <c r="O641" s="95"/>
      <c r="T641" s="256" t="s">
        <v>825</v>
      </c>
      <c r="U641" s="257" t="s">
        <v>825</v>
      </c>
      <c r="V641" s="177"/>
      <c r="W641" s="258" t="s">
        <v>825</v>
      </c>
      <c r="X641" s="244">
        <v>3.152160231928889E-2</v>
      </c>
      <c r="Y641" s="265">
        <f t="shared" si="56"/>
        <v>104</v>
      </c>
      <c r="AA641" s="265">
        <f>IF(COUNTIF($Y$571:$Y641,Y641)=1,Y641,Y641+(COUNTIF($Y$571:Y641,Y641)-1))</f>
        <v>104</v>
      </c>
      <c r="AB641" s="177"/>
      <c r="AC641" s="265">
        <f t="shared" si="58"/>
        <v>71</v>
      </c>
      <c r="AD641" s="266">
        <f t="shared" si="59"/>
        <v>-1.58900526468954E-2</v>
      </c>
      <c r="AE641" s="244">
        <f t="shared" si="57"/>
        <v>0.11616126557759388</v>
      </c>
      <c r="AG641" s="244"/>
      <c r="AH641" s="244"/>
      <c r="AI641" s="244"/>
      <c r="AJ641" s="244"/>
      <c r="AK641" s="244"/>
    </row>
    <row r="642" spans="4:37" x14ac:dyDescent="0.3">
      <c r="D642" s="75">
        <f t="shared" si="55"/>
        <v>72</v>
      </c>
      <c r="E642" s="80">
        <f t="shared" si="55"/>
        <v>5</v>
      </c>
      <c r="F642" s="80">
        <f t="shared" si="55"/>
        <v>5</v>
      </c>
      <c r="H642" s="255" t="s">
        <v>825</v>
      </c>
      <c r="I642" s="255" t="s">
        <v>825</v>
      </c>
      <c r="J642" s="255" t="s">
        <v>825</v>
      </c>
      <c r="L642" s="255" t="s">
        <v>825</v>
      </c>
      <c r="M642" s="95"/>
      <c r="N642" s="95"/>
      <c r="O642" s="95"/>
      <c r="T642" s="256" t="s">
        <v>825</v>
      </c>
      <c r="U642" s="257" t="s">
        <v>825</v>
      </c>
      <c r="V642" s="177"/>
      <c r="W642" s="258" t="s">
        <v>825</v>
      </c>
      <c r="X642" s="244">
        <v>3.4347345732725347E-2</v>
      </c>
      <c r="Y642" s="265">
        <f t="shared" si="56"/>
        <v>106</v>
      </c>
      <c r="AA642" s="265">
        <f>IF(COUNTIF($Y$571:$Y642,Y642)=1,Y642,Y642+(COUNTIF($Y$571:Y642,Y642)-1))</f>
        <v>106</v>
      </c>
      <c r="AB642" s="177"/>
      <c r="AC642" s="265">
        <f t="shared" si="58"/>
        <v>72</v>
      </c>
      <c r="AD642" s="266">
        <f t="shared" si="59"/>
        <v>-1.452150894020196E-2</v>
      </c>
      <c r="AE642" s="244">
        <f t="shared" si="57"/>
        <v>0.11616126557759388</v>
      </c>
      <c r="AG642" s="244"/>
      <c r="AH642" s="244"/>
      <c r="AI642" s="244"/>
      <c r="AJ642" s="244"/>
      <c r="AK642" s="244"/>
    </row>
    <row r="643" spans="4:37" x14ac:dyDescent="0.3">
      <c r="D643" s="75">
        <f t="shared" si="55"/>
        <v>73</v>
      </c>
      <c r="E643" s="80">
        <f t="shared" si="55"/>
        <v>5</v>
      </c>
      <c r="F643" s="80">
        <f t="shared" si="55"/>
        <v>5</v>
      </c>
      <c r="H643" s="255" t="s">
        <v>825</v>
      </c>
      <c r="I643" s="255" t="s">
        <v>825</v>
      </c>
      <c r="J643" s="255" t="s">
        <v>825</v>
      </c>
      <c r="L643" s="255" t="s">
        <v>825</v>
      </c>
      <c r="M643" s="95"/>
      <c r="N643" s="95"/>
      <c r="O643" s="95"/>
      <c r="T643" s="256" t="s">
        <v>825</v>
      </c>
      <c r="U643" s="257" t="s">
        <v>825</v>
      </c>
      <c r="V643" s="177"/>
      <c r="W643" s="258" t="s">
        <v>825</v>
      </c>
      <c r="X643" s="244">
        <v>-3.3483607980522828E-2</v>
      </c>
      <c r="Y643" s="265">
        <f t="shared" si="56"/>
        <v>62</v>
      </c>
      <c r="AA643" s="265">
        <f>IF(COUNTIF($Y$571:$Y643,Y643)=1,Y643,Y643+(COUNTIF($Y$571:Y643,Y643)-1))</f>
        <v>62</v>
      </c>
      <c r="AB643" s="177"/>
      <c r="AC643" s="265">
        <f t="shared" si="58"/>
        <v>73</v>
      </c>
      <c r="AD643" s="266">
        <f t="shared" si="59"/>
        <v>-1.2578500886566524E-2</v>
      </c>
      <c r="AE643" s="244">
        <f t="shared" si="57"/>
        <v>0.11616126557759388</v>
      </c>
      <c r="AG643" s="244"/>
      <c r="AH643" s="244"/>
      <c r="AI643" s="244"/>
      <c r="AJ643" s="244"/>
      <c r="AK643" s="244"/>
    </row>
    <row r="644" spans="4:37" x14ac:dyDescent="0.3">
      <c r="D644" s="75">
        <f t="shared" si="55"/>
        <v>74</v>
      </c>
      <c r="E644" s="80">
        <f t="shared" si="55"/>
        <v>5</v>
      </c>
      <c r="F644" s="80">
        <f t="shared" si="55"/>
        <v>5</v>
      </c>
      <c r="H644" s="255" t="s">
        <v>825</v>
      </c>
      <c r="I644" s="255" t="s">
        <v>825</v>
      </c>
      <c r="J644" s="255" t="s">
        <v>825</v>
      </c>
      <c r="L644" s="255" t="s">
        <v>825</v>
      </c>
      <c r="M644" s="95"/>
      <c r="N644" s="95"/>
      <c r="O644" s="95"/>
      <c r="T644" s="256" t="s">
        <v>825</v>
      </c>
      <c r="U644" s="257" t="s">
        <v>825</v>
      </c>
      <c r="V644" s="177"/>
      <c r="W644" s="258" t="s">
        <v>825</v>
      </c>
      <c r="X644" s="244">
        <v>-4.9607509122129904E-2</v>
      </c>
      <c r="Y644" s="265">
        <f t="shared" si="56"/>
        <v>50</v>
      </c>
      <c r="AA644" s="265">
        <f>IF(COUNTIF($Y$571:$Y644,Y644)=1,Y644,Y644+(COUNTIF($Y$571:Y644,Y644)-1))</f>
        <v>50</v>
      </c>
      <c r="AB644" s="177"/>
      <c r="AC644" s="265">
        <f t="shared" si="58"/>
        <v>74</v>
      </c>
      <c r="AD644" s="266">
        <f t="shared" si="59"/>
        <v>-1.1713688930624187E-2</v>
      </c>
      <c r="AE644" s="244">
        <f t="shared" si="57"/>
        <v>0.11616126557759388</v>
      </c>
      <c r="AG644" s="244"/>
      <c r="AH644" s="244"/>
      <c r="AI644" s="244"/>
      <c r="AJ644" s="244"/>
      <c r="AK644" s="244"/>
    </row>
    <row r="645" spans="4:37" x14ac:dyDescent="0.3">
      <c r="D645" s="75">
        <f t="shared" si="55"/>
        <v>75</v>
      </c>
      <c r="E645" s="80">
        <f t="shared" si="55"/>
        <v>5</v>
      </c>
      <c r="F645" s="80">
        <f t="shared" si="55"/>
        <v>5</v>
      </c>
      <c r="H645" s="255" t="s">
        <v>825</v>
      </c>
      <c r="I645" s="255" t="s">
        <v>825</v>
      </c>
      <c r="J645" s="255" t="s">
        <v>825</v>
      </c>
      <c r="L645" s="255" t="s">
        <v>825</v>
      </c>
      <c r="M645" s="95"/>
      <c r="N645" s="95"/>
      <c r="O645" s="95"/>
      <c r="T645" s="256" t="s">
        <v>825</v>
      </c>
      <c r="U645" s="257" t="s">
        <v>825</v>
      </c>
      <c r="V645" s="177"/>
      <c r="W645" s="258" t="s">
        <v>825</v>
      </c>
      <c r="X645" s="244">
        <v>-7.936987281057635E-3</v>
      </c>
      <c r="Y645" s="265">
        <f t="shared" si="56"/>
        <v>77</v>
      </c>
      <c r="AA645" s="265">
        <f>IF(COUNTIF($Y$571:$Y645,Y645)=1,Y645,Y645+(COUNTIF($Y$571:Y645,Y645)-1))</f>
        <v>77</v>
      </c>
      <c r="AB645" s="177"/>
      <c r="AC645" s="265">
        <f t="shared" si="58"/>
        <v>75</v>
      </c>
      <c r="AD645" s="266">
        <f t="shared" si="59"/>
        <v>-9.3276525627858705E-3</v>
      </c>
      <c r="AE645" s="244">
        <f t="shared" si="57"/>
        <v>0.11616126557759388</v>
      </c>
      <c r="AG645" s="244"/>
      <c r="AH645" s="244"/>
      <c r="AI645" s="244"/>
      <c r="AJ645" s="244"/>
      <c r="AK645" s="244"/>
    </row>
    <row r="646" spans="4:37" x14ac:dyDescent="0.3">
      <c r="D646" s="75">
        <f t="shared" si="55"/>
        <v>76</v>
      </c>
      <c r="E646" s="80">
        <f t="shared" si="55"/>
        <v>5</v>
      </c>
      <c r="F646" s="80">
        <f t="shared" si="55"/>
        <v>5</v>
      </c>
      <c r="H646" s="255" t="s">
        <v>825</v>
      </c>
      <c r="I646" s="255" t="s">
        <v>825</v>
      </c>
      <c r="J646" s="255" t="s">
        <v>825</v>
      </c>
      <c r="L646" s="255" t="s">
        <v>825</v>
      </c>
      <c r="M646" s="95"/>
      <c r="N646" s="95"/>
      <c r="O646" s="95"/>
      <c r="T646" s="256" t="s">
        <v>825</v>
      </c>
      <c r="U646" s="257" t="s">
        <v>825</v>
      </c>
      <c r="V646" s="177"/>
      <c r="W646" s="258" t="s">
        <v>825</v>
      </c>
      <c r="X646" s="244">
        <v>3.9062220739340674E-2</v>
      </c>
      <c r="Y646" s="265">
        <f t="shared" si="56"/>
        <v>114</v>
      </c>
      <c r="AA646" s="265">
        <f>IF(COUNTIF($Y$571:$Y646,Y646)=1,Y646,Y646+(COUNTIF($Y$571:Y646,Y646)-1))</f>
        <v>114</v>
      </c>
      <c r="AB646" s="177"/>
      <c r="AC646" s="265">
        <f t="shared" si="58"/>
        <v>76</v>
      </c>
      <c r="AD646" s="266">
        <f t="shared" si="59"/>
        <v>-9.0379521189552971E-3</v>
      </c>
      <c r="AE646" s="244">
        <f t="shared" si="57"/>
        <v>0.11616126557759388</v>
      </c>
      <c r="AG646" s="244"/>
      <c r="AH646" s="244"/>
      <c r="AI646" s="244"/>
      <c r="AJ646" s="244"/>
      <c r="AK646" s="244"/>
    </row>
    <row r="647" spans="4:37" x14ac:dyDescent="0.3">
      <c r="D647" s="75">
        <f t="shared" si="55"/>
        <v>77</v>
      </c>
      <c r="E647" s="80">
        <f t="shared" si="55"/>
        <v>5</v>
      </c>
      <c r="F647" s="80">
        <f t="shared" si="55"/>
        <v>5</v>
      </c>
      <c r="H647" s="255" t="s">
        <v>825</v>
      </c>
      <c r="I647" s="255" t="s">
        <v>825</v>
      </c>
      <c r="J647" s="255" t="s">
        <v>825</v>
      </c>
      <c r="L647" s="255" t="s">
        <v>825</v>
      </c>
      <c r="M647" s="95"/>
      <c r="N647" s="95"/>
      <c r="O647" s="95"/>
      <c r="T647" s="256" t="s">
        <v>825</v>
      </c>
      <c r="U647" s="257" t="s">
        <v>825</v>
      </c>
      <c r="V647" s="177"/>
      <c r="W647" s="258" t="s">
        <v>825</v>
      </c>
      <c r="X647" s="244">
        <v>2.2206376691830339E-2</v>
      </c>
      <c r="Y647" s="265">
        <f t="shared" si="56"/>
        <v>95</v>
      </c>
      <c r="AA647" s="265">
        <f>IF(COUNTIF($Y$571:$Y647,Y647)=1,Y647,Y647+(COUNTIF($Y$571:Y647,Y647)-1))</f>
        <v>95</v>
      </c>
      <c r="AB647" s="177"/>
      <c r="AC647" s="265">
        <f t="shared" si="58"/>
        <v>77</v>
      </c>
      <c r="AD647" s="266">
        <f t="shared" si="59"/>
        <v>-7.936987281057635E-3</v>
      </c>
      <c r="AE647" s="244">
        <f t="shared" si="57"/>
        <v>0.11616126557759388</v>
      </c>
      <c r="AG647" s="244"/>
      <c r="AH647" s="244"/>
      <c r="AI647" s="244"/>
      <c r="AJ647" s="244"/>
      <c r="AK647" s="244"/>
    </row>
    <row r="648" spans="4:37" x14ac:dyDescent="0.3">
      <c r="D648" s="75">
        <f t="shared" si="55"/>
        <v>78</v>
      </c>
      <c r="E648" s="80">
        <f t="shared" si="55"/>
        <v>5</v>
      </c>
      <c r="F648" s="80">
        <f t="shared" si="55"/>
        <v>5</v>
      </c>
      <c r="H648" s="255" t="s">
        <v>825</v>
      </c>
      <c r="I648" s="255" t="s">
        <v>825</v>
      </c>
      <c r="J648" s="255" t="s">
        <v>825</v>
      </c>
      <c r="L648" s="255" t="s">
        <v>825</v>
      </c>
      <c r="M648" s="95"/>
      <c r="N648" s="95"/>
      <c r="O648" s="95"/>
      <c r="T648" s="256" t="s">
        <v>825</v>
      </c>
      <c r="U648" s="257" t="s">
        <v>825</v>
      </c>
      <c r="V648" s="177"/>
      <c r="W648" s="258" t="s">
        <v>825</v>
      </c>
      <c r="X648" s="244">
        <v>-4.667514716659645E-3</v>
      </c>
      <c r="Y648" s="265">
        <f t="shared" si="56"/>
        <v>80</v>
      </c>
      <c r="AA648" s="265">
        <f>IF(COUNTIF($Y$571:$Y648,Y648)=1,Y648,Y648+(COUNTIF($Y$571:Y648,Y648)-1))</f>
        <v>80</v>
      </c>
      <c r="AB648" s="177"/>
      <c r="AC648" s="265">
        <f t="shared" si="58"/>
        <v>78</v>
      </c>
      <c r="AD648" s="266">
        <f t="shared" si="59"/>
        <v>-5.4536078410963645E-3</v>
      </c>
      <c r="AE648" s="244">
        <f t="shared" si="57"/>
        <v>0.11616126557759388</v>
      </c>
      <c r="AG648" s="244"/>
      <c r="AH648" s="244"/>
      <c r="AI648" s="244"/>
      <c r="AJ648" s="244"/>
      <c r="AK648" s="244"/>
    </row>
    <row r="649" spans="4:37" x14ac:dyDescent="0.3">
      <c r="D649" s="75">
        <f t="shared" si="55"/>
        <v>79</v>
      </c>
      <c r="E649" s="80">
        <f t="shared" si="55"/>
        <v>5</v>
      </c>
      <c r="F649" s="80">
        <f t="shared" si="55"/>
        <v>5</v>
      </c>
      <c r="H649" s="255" t="s">
        <v>825</v>
      </c>
      <c r="I649" s="255" t="s">
        <v>825</v>
      </c>
      <c r="J649" s="255" t="s">
        <v>825</v>
      </c>
      <c r="L649" s="255" t="s">
        <v>825</v>
      </c>
      <c r="M649" s="95"/>
      <c r="N649" s="95"/>
      <c r="O649" s="95"/>
      <c r="T649" s="256" t="s">
        <v>825</v>
      </c>
      <c r="U649" s="257" t="s">
        <v>825</v>
      </c>
      <c r="V649" s="177"/>
      <c r="W649" s="258" t="s">
        <v>825</v>
      </c>
      <c r="X649" s="244">
        <v>8.548248831931432E-2</v>
      </c>
      <c r="Y649" s="265">
        <f t="shared" si="56"/>
        <v>151</v>
      </c>
      <c r="AA649" s="265">
        <f>IF(COUNTIF($Y$571:$Y649,Y649)=1,Y649,Y649+(COUNTIF($Y$571:Y649,Y649)-1))</f>
        <v>151</v>
      </c>
      <c r="AB649" s="177"/>
      <c r="AC649" s="265">
        <f t="shared" si="58"/>
        <v>79</v>
      </c>
      <c r="AD649" s="266">
        <f t="shared" si="59"/>
        <v>-5.2005381955685702E-3</v>
      </c>
      <c r="AE649" s="244">
        <f t="shared" si="57"/>
        <v>0.11616126557759388</v>
      </c>
      <c r="AG649" s="244"/>
      <c r="AH649" s="244"/>
      <c r="AI649" s="244"/>
      <c r="AJ649" s="244"/>
      <c r="AK649" s="244"/>
    </row>
    <row r="650" spans="4:37" x14ac:dyDescent="0.3">
      <c r="D650" s="75">
        <f t="shared" si="55"/>
        <v>80</v>
      </c>
      <c r="E650" s="80">
        <f t="shared" si="55"/>
        <v>5</v>
      </c>
      <c r="F650" s="80">
        <f t="shared" si="55"/>
        <v>5</v>
      </c>
      <c r="H650" s="255" t="s">
        <v>825</v>
      </c>
      <c r="I650" s="255" t="s">
        <v>825</v>
      </c>
      <c r="J650" s="255" t="s">
        <v>825</v>
      </c>
      <c r="L650" s="255" t="s">
        <v>825</v>
      </c>
      <c r="M650" s="95"/>
      <c r="N650" s="95"/>
      <c r="O650" s="95"/>
      <c r="T650" s="256" t="s">
        <v>825</v>
      </c>
      <c r="U650" s="257" t="s">
        <v>825</v>
      </c>
      <c r="V650" s="177"/>
      <c r="W650" s="258" t="s">
        <v>825</v>
      </c>
      <c r="X650" s="244">
        <v>5.7546674255886471E-2</v>
      </c>
      <c r="Y650" s="265">
        <f t="shared" si="56"/>
        <v>132</v>
      </c>
      <c r="AA650" s="265">
        <f>IF(COUNTIF($Y$571:$Y650,Y650)=1,Y650,Y650+(COUNTIF($Y$571:Y650,Y650)-1))</f>
        <v>132</v>
      </c>
      <c r="AB650" s="177"/>
      <c r="AC650" s="265">
        <f t="shared" si="58"/>
        <v>80</v>
      </c>
      <c r="AD650" s="266">
        <f t="shared" si="59"/>
        <v>-4.667514716659645E-3</v>
      </c>
      <c r="AE650" s="244">
        <f t="shared" si="57"/>
        <v>0.11616126557759388</v>
      </c>
      <c r="AG650" s="244"/>
      <c r="AH650" s="244"/>
      <c r="AI650" s="244"/>
      <c r="AJ650" s="244"/>
      <c r="AK650" s="244"/>
    </row>
    <row r="651" spans="4:37" x14ac:dyDescent="0.3">
      <c r="D651" s="75">
        <f t="shared" ref="D651:F670" si="60">D409</f>
        <v>81</v>
      </c>
      <c r="E651" s="80">
        <f t="shared" si="60"/>
        <v>5</v>
      </c>
      <c r="F651" s="80">
        <f t="shared" si="60"/>
        <v>5</v>
      </c>
      <c r="H651" s="255" t="s">
        <v>825</v>
      </c>
      <c r="I651" s="255" t="s">
        <v>825</v>
      </c>
      <c r="J651" s="255" t="s">
        <v>825</v>
      </c>
      <c r="L651" s="255" t="s">
        <v>825</v>
      </c>
      <c r="M651" s="95"/>
      <c r="N651" s="95"/>
      <c r="O651" s="95"/>
      <c r="T651" s="256" t="s">
        <v>825</v>
      </c>
      <c r="U651" s="257" t="s">
        <v>825</v>
      </c>
      <c r="V651" s="177"/>
      <c r="W651" s="258" t="s">
        <v>825</v>
      </c>
      <c r="X651" s="244">
        <v>5.2155756400303642E-2</v>
      </c>
      <c r="Y651" s="265">
        <f t="shared" si="56"/>
        <v>124</v>
      </c>
      <c r="AA651" s="265">
        <f>IF(COUNTIF($Y$571:$Y651,Y651)=1,Y651,Y651+(COUNTIF($Y$571:Y651,Y651)-1))</f>
        <v>124</v>
      </c>
      <c r="AB651" s="177"/>
      <c r="AC651" s="265">
        <f t="shared" si="58"/>
        <v>81</v>
      </c>
      <c r="AD651" s="266">
        <f t="shared" si="59"/>
        <v>-3.7970451743065937E-3</v>
      </c>
      <c r="AE651" s="244">
        <f t="shared" si="57"/>
        <v>0.11616126557759388</v>
      </c>
      <c r="AG651" s="244"/>
      <c r="AH651" s="244"/>
      <c r="AI651" s="244"/>
      <c r="AJ651" s="244"/>
      <c r="AK651" s="244"/>
    </row>
    <row r="652" spans="4:37" x14ac:dyDescent="0.3">
      <c r="D652" s="75">
        <f t="shared" si="60"/>
        <v>82</v>
      </c>
      <c r="E652" s="80">
        <f t="shared" si="60"/>
        <v>5</v>
      </c>
      <c r="F652" s="80">
        <f t="shared" si="60"/>
        <v>5</v>
      </c>
      <c r="H652" s="255" t="s">
        <v>825</v>
      </c>
      <c r="I652" s="255" t="s">
        <v>825</v>
      </c>
      <c r="J652" s="255" t="s">
        <v>825</v>
      </c>
      <c r="L652" s="255" t="s">
        <v>825</v>
      </c>
      <c r="M652" s="95"/>
      <c r="N652" s="95"/>
      <c r="O652" s="95"/>
      <c r="T652" s="256" t="s">
        <v>825</v>
      </c>
      <c r="U652" s="257" t="s">
        <v>825</v>
      </c>
      <c r="V652" s="177"/>
      <c r="W652" s="258" t="s">
        <v>825</v>
      </c>
      <c r="X652" s="244">
        <v>4.322102990744723E-2</v>
      </c>
      <c r="Y652" s="265">
        <f t="shared" si="56"/>
        <v>118</v>
      </c>
      <c r="AA652" s="265">
        <f>IF(COUNTIF($Y$571:$Y652,Y652)=1,Y652,Y652+(COUNTIF($Y$571:Y652,Y652)-1))</f>
        <v>118</v>
      </c>
      <c r="AB652" s="177"/>
      <c r="AC652" s="265">
        <f t="shared" si="58"/>
        <v>82</v>
      </c>
      <c r="AD652" s="266">
        <f t="shared" si="59"/>
        <v>1.4064650052991307E-5</v>
      </c>
      <c r="AE652" s="244">
        <f t="shared" si="57"/>
        <v>0.11616126557759388</v>
      </c>
      <c r="AG652" s="244"/>
      <c r="AH652" s="244"/>
      <c r="AI652" s="244"/>
      <c r="AJ652" s="244"/>
      <c r="AK652" s="244"/>
    </row>
    <row r="653" spans="4:37" x14ac:dyDescent="0.3">
      <c r="D653" s="75">
        <f t="shared" si="60"/>
        <v>83</v>
      </c>
      <c r="E653" s="80">
        <f t="shared" si="60"/>
        <v>5</v>
      </c>
      <c r="F653" s="80">
        <f t="shared" si="60"/>
        <v>5</v>
      </c>
      <c r="H653" s="255" t="s">
        <v>825</v>
      </c>
      <c r="I653" s="255" t="s">
        <v>825</v>
      </c>
      <c r="J653" s="255" t="s">
        <v>825</v>
      </c>
      <c r="L653" s="255" t="s">
        <v>825</v>
      </c>
      <c r="M653" s="95"/>
      <c r="N653" s="95"/>
      <c r="O653" s="95"/>
      <c r="T653" s="256" t="s">
        <v>825</v>
      </c>
      <c r="U653" s="257" t="s">
        <v>825</v>
      </c>
      <c r="V653" s="177"/>
      <c r="W653" s="258" t="s">
        <v>825</v>
      </c>
      <c r="X653" s="244">
        <v>7.673033214823817E-2</v>
      </c>
      <c r="Y653" s="265">
        <f t="shared" si="56"/>
        <v>143</v>
      </c>
      <c r="AA653" s="265">
        <f>IF(COUNTIF($Y$571:$Y653,Y653)=1,Y653,Y653+(COUNTIF($Y$571:Y653,Y653)-1))</f>
        <v>143</v>
      </c>
      <c r="AB653" s="177"/>
      <c r="AC653" s="265">
        <f t="shared" si="58"/>
        <v>83</v>
      </c>
      <c r="AD653" s="266">
        <f t="shared" si="59"/>
        <v>2.2049903530659923E-4</v>
      </c>
      <c r="AE653" s="244">
        <f t="shared" si="57"/>
        <v>0.11616126557759388</v>
      </c>
      <c r="AG653" s="244"/>
      <c r="AH653" s="244"/>
      <c r="AI653" s="244"/>
      <c r="AJ653" s="244"/>
      <c r="AK653" s="244"/>
    </row>
    <row r="654" spans="4:37" x14ac:dyDescent="0.3">
      <c r="D654" s="75">
        <f t="shared" si="60"/>
        <v>84</v>
      </c>
      <c r="E654" s="80">
        <f t="shared" si="60"/>
        <v>5</v>
      </c>
      <c r="F654" s="80">
        <f t="shared" si="60"/>
        <v>5</v>
      </c>
      <c r="H654" s="255" t="s">
        <v>825</v>
      </c>
      <c r="I654" s="255" t="s">
        <v>825</v>
      </c>
      <c r="J654" s="255" t="s">
        <v>825</v>
      </c>
      <c r="L654" s="255" t="s">
        <v>825</v>
      </c>
      <c r="M654" s="95"/>
      <c r="N654" s="95"/>
      <c r="O654" s="95"/>
      <c r="T654" s="256" t="s">
        <v>825</v>
      </c>
      <c r="U654" s="257" t="s">
        <v>825</v>
      </c>
      <c r="V654" s="177"/>
      <c r="W654" s="258" t="s">
        <v>825</v>
      </c>
      <c r="X654" s="244">
        <v>4.1191999169572523E-2</v>
      </c>
      <c r="Y654" s="265">
        <f t="shared" si="56"/>
        <v>115</v>
      </c>
      <c r="AA654" s="265">
        <f>IF(COUNTIF($Y$571:$Y654,Y654)=1,Y654,Y654+(COUNTIF($Y$571:Y654,Y654)-1))</f>
        <v>115</v>
      </c>
      <c r="AB654" s="177"/>
      <c r="AC654" s="265">
        <f t="shared" si="58"/>
        <v>84</v>
      </c>
      <c r="AD654" s="266">
        <f t="shared" si="59"/>
        <v>5.3664732561161212E-4</v>
      </c>
      <c r="AE654" s="244">
        <f t="shared" si="57"/>
        <v>0.11616126557759388</v>
      </c>
      <c r="AG654" s="244"/>
      <c r="AH654" s="244"/>
      <c r="AI654" s="244"/>
      <c r="AJ654" s="244"/>
      <c r="AK654" s="244"/>
    </row>
    <row r="655" spans="4:37" x14ac:dyDescent="0.3">
      <c r="D655" s="75">
        <f t="shared" si="60"/>
        <v>85</v>
      </c>
      <c r="E655" s="80">
        <f t="shared" si="60"/>
        <v>5</v>
      </c>
      <c r="F655" s="80">
        <f t="shared" si="60"/>
        <v>5</v>
      </c>
      <c r="H655" s="255" t="s">
        <v>825</v>
      </c>
      <c r="I655" s="255" t="s">
        <v>825</v>
      </c>
      <c r="J655" s="255" t="s">
        <v>825</v>
      </c>
      <c r="L655" s="255" t="s">
        <v>825</v>
      </c>
      <c r="M655" s="95"/>
      <c r="N655" s="95"/>
      <c r="O655" s="95"/>
      <c r="T655" s="256" t="s">
        <v>825</v>
      </c>
      <c r="U655" s="257" t="s">
        <v>825</v>
      </c>
      <c r="V655" s="177"/>
      <c r="W655" s="258" t="s">
        <v>825</v>
      </c>
      <c r="X655" s="244">
        <v>8.8032782354571432E-2</v>
      </c>
      <c r="Y655" s="265">
        <f t="shared" si="56"/>
        <v>155</v>
      </c>
      <c r="AA655" s="265">
        <f>IF(COUNTIF($Y$571:$Y655,Y655)=1,Y655,Y655+(COUNTIF($Y$571:Y655,Y655)-1))</f>
        <v>155</v>
      </c>
      <c r="AB655" s="177"/>
      <c r="AC655" s="265">
        <f t="shared" si="58"/>
        <v>85</v>
      </c>
      <c r="AD655" s="266">
        <f t="shared" si="59"/>
        <v>1.2831885153929167E-3</v>
      </c>
      <c r="AE655" s="244">
        <f t="shared" si="57"/>
        <v>0.11616126557759388</v>
      </c>
      <c r="AG655" s="244"/>
      <c r="AH655" s="244"/>
      <c r="AI655" s="244"/>
      <c r="AJ655" s="244"/>
      <c r="AK655" s="244"/>
    </row>
    <row r="656" spans="4:37" x14ac:dyDescent="0.3">
      <c r="D656" s="75">
        <f t="shared" si="60"/>
        <v>86</v>
      </c>
      <c r="E656" s="80">
        <f t="shared" si="60"/>
        <v>5</v>
      </c>
      <c r="F656" s="80">
        <f t="shared" si="60"/>
        <v>5</v>
      </c>
      <c r="H656" s="255" t="s">
        <v>825</v>
      </c>
      <c r="I656" s="255" t="s">
        <v>825</v>
      </c>
      <c r="J656" s="255" t="s">
        <v>825</v>
      </c>
      <c r="L656" s="255" t="s">
        <v>825</v>
      </c>
      <c r="M656" s="95"/>
      <c r="N656" s="95"/>
      <c r="O656" s="95"/>
      <c r="T656" s="256" t="s">
        <v>825</v>
      </c>
      <c r="U656" s="257" t="s">
        <v>825</v>
      </c>
      <c r="V656" s="177"/>
      <c r="W656" s="258" t="s">
        <v>825</v>
      </c>
      <c r="X656" s="244">
        <v>6.7231938202584954E-2</v>
      </c>
      <c r="Y656" s="265">
        <f t="shared" si="56"/>
        <v>138</v>
      </c>
      <c r="AA656" s="265">
        <f>IF(COUNTIF($Y$571:$Y656,Y656)=1,Y656,Y656+(COUNTIF($Y$571:Y656,Y656)-1))</f>
        <v>138</v>
      </c>
      <c r="AB656" s="177"/>
      <c r="AC656" s="265">
        <f t="shared" si="58"/>
        <v>86</v>
      </c>
      <c r="AD656" s="266">
        <f t="shared" si="59"/>
        <v>4.6635641140920728E-3</v>
      </c>
      <c r="AE656" s="244">
        <f t="shared" si="57"/>
        <v>0.11616126557759388</v>
      </c>
      <c r="AG656" s="244"/>
      <c r="AH656" s="244"/>
      <c r="AI656" s="244"/>
      <c r="AJ656" s="244"/>
      <c r="AK656" s="244"/>
    </row>
    <row r="657" spans="4:37" x14ac:dyDescent="0.3">
      <c r="D657" s="75">
        <f t="shared" si="60"/>
        <v>87</v>
      </c>
      <c r="E657" s="80">
        <f t="shared" si="60"/>
        <v>5</v>
      </c>
      <c r="F657" s="80">
        <f t="shared" si="60"/>
        <v>5</v>
      </c>
      <c r="H657" s="255" t="s">
        <v>825</v>
      </c>
      <c r="I657" s="255" t="s">
        <v>825</v>
      </c>
      <c r="J657" s="255" t="s">
        <v>825</v>
      </c>
      <c r="L657" s="255" t="s">
        <v>825</v>
      </c>
      <c r="M657" s="95"/>
      <c r="N657" s="95"/>
      <c r="O657" s="95"/>
      <c r="T657" s="256" t="s">
        <v>825</v>
      </c>
      <c r="U657" s="257" t="s">
        <v>825</v>
      </c>
      <c r="V657" s="177"/>
      <c r="W657" s="258" t="s">
        <v>825</v>
      </c>
      <c r="X657" s="244">
        <v>4.6264880164325256E-2</v>
      </c>
      <c r="Y657" s="265">
        <f t="shared" si="56"/>
        <v>121</v>
      </c>
      <c r="AA657" s="265">
        <f>IF(COUNTIF($Y$571:$Y657,Y657)=1,Y657,Y657+(COUNTIF($Y$571:Y657,Y657)-1))</f>
        <v>121</v>
      </c>
      <c r="AB657" s="177"/>
      <c r="AC657" s="265">
        <f t="shared" si="58"/>
        <v>87</v>
      </c>
      <c r="AD657" s="266">
        <f t="shared" si="59"/>
        <v>1.0686352633096889E-2</v>
      </c>
      <c r="AE657" s="244">
        <f t="shared" si="57"/>
        <v>0.11616126557759388</v>
      </c>
      <c r="AG657" s="244"/>
      <c r="AH657" s="244"/>
      <c r="AI657" s="244"/>
      <c r="AJ657" s="244"/>
      <c r="AK657" s="244"/>
    </row>
    <row r="658" spans="4:37" x14ac:dyDescent="0.3">
      <c r="D658" s="75">
        <f t="shared" si="60"/>
        <v>88</v>
      </c>
      <c r="E658" s="80">
        <f t="shared" si="60"/>
        <v>5</v>
      </c>
      <c r="F658" s="80">
        <f t="shared" si="60"/>
        <v>5</v>
      </c>
      <c r="H658" s="255" t="s">
        <v>825</v>
      </c>
      <c r="I658" s="255" t="s">
        <v>825</v>
      </c>
      <c r="J658" s="255" t="s">
        <v>825</v>
      </c>
      <c r="L658" s="255" t="s">
        <v>825</v>
      </c>
      <c r="M658" s="95"/>
      <c r="N658" s="95"/>
      <c r="O658" s="95"/>
      <c r="T658" s="256" t="s">
        <v>825</v>
      </c>
      <c r="U658" s="257" t="s">
        <v>825</v>
      </c>
      <c r="V658" s="177"/>
      <c r="W658" s="258" t="s">
        <v>825</v>
      </c>
      <c r="X658" s="244">
        <v>7.0044109534084825E-2</v>
      </c>
      <c r="Y658" s="265">
        <f t="shared" si="56"/>
        <v>140</v>
      </c>
      <c r="AA658" s="265">
        <f>IF(COUNTIF($Y$571:$Y658,Y658)=1,Y658,Y658+(COUNTIF($Y$571:Y658,Y658)-1))</f>
        <v>140</v>
      </c>
      <c r="AB658" s="177"/>
      <c r="AC658" s="265">
        <f t="shared" si="58"/>
        <v>88</v>
      </c>
      <c r="AD658" s="266">
        <f t="shared" si="59"/>
        <v>1.1671128013990392E-2</v>
      </c>
      <c r="AE658" s="244">
        <f t="shared" si="57"/>
        <v>0.11616126557759388</v>
      </c>
      <c r="AG658" s="244"/>
      <c r="AH658" s="244"/>
      <c r="AI658" s="244"/>
      <c r="AJ658" s="244"/>
      <c r="AK658" s="244"/>
    </row>
    <row r="659" spans="4:37" x14ac:dyDescent="0.3">
      <c r="D659" s="75">
        <f t="shared" si="60"/>
        <v>89</v>
      </c>
      <c r="E659" s="80">
        <f t="shared" si="60"/>
        <v>5</v>
      </c>
      <c r="F659" s="80">
        <f t="shared" si="60"/>
        <v>5</v>
      </c>
      <c r="H659" s="255" t="s">
        <v>825</v>
      </c>
      <c r="I659" s="255" t="s">
        <v>825</v>
      </c>
      <c r="J659" s="255" t="s">
        <v>825</v>
      </c>
      <c r="L659" s="255" t="s">
        <v>825</v>
      </c>
      <c r="M659" s="95"/>
      <c r="N659" s="95"/>
      <c r="O659" s="95"/>
      <c r="T659" s="256" t="s">
        <v>825</v>
      </c>
      <c r="U659" s="257" t="s">
        <v>825</v>
      </c>
      <c r="V659" s="177"/>
      <c r="W659" s="258" t="s">
        <v>825</v>
      </c>
      <c r="X659" s="244">
        <v>3.7729922581455251E-2</v>
      </c>
      <c r="Y659" s="265">
        <f t="shared" si="56"/>
        <v>113</v>
      </c>
      <c r="AA659" s="265">
        <f>IF(COUNTIF($Y$571:$Y659,Y659)=1,Y659,Y659+(COUNTIF($Y$571:Y659,Y659)-1))</f>
        <v>113</v>
      </c>
      <c r="AB659" s="177"/>
      <c r="AC659" s="265">
        <f t="shared" si="58"/>
        <v>89</v>
      </c>
      <c r="AD659" s="266">
        <f t="shared" si="59"/>
        <v>1.3241937653156323E-2</v>
      </c>
      <c r="AE659" s="244">
        <f t="shared" si="57"/>
        <v>0.11616126557759388</v>
      </c>
      <c r="AG659" s="244"/>
      <c r="AH659" s="244"/>
      <c r="AI659" s="244"/>
      <c r="AJ659" s="244"/>
      <c r="AK659" s="244"/>
    </row>
    <row r="660" spans="4:37" x14ac:dyDescent="0.3">
      <c r="D660" s="75">
        <f t="shared" si="60"/>
        <v>90</v>
      </c>
      <c r="E660" s="80">
        <f t="shared" si="60"/>
        <v>5</v>
      </c>
      <c r="F660" s="80">
        <f t="shared" si="60"/>
        <v>5</v>
      </c>
      <c r="H660" s="255" t="s">
        <v>825</v>
      </c>
      <c r="I660" s="255" t="s">
        <v>825</v>
      </c>
      <c r="J660" s="255" t="s">
        <v>825</v>
      </c>
      <c r="L660" s="255" t="s">
        <v>825</v>
      </c>
      <c r="M660" s="95"/>
      <c r="N660" s="95"/>
      <c r="O660" s="95"/>
      <c r="T660" s="256" t="s">
        <v>825</v>
      </c>
      <c r="U660" s="257" t="s">
        <v>825</v>
      </c>
      <c r="V660" s="177"/>
      <c r="W660" s="258" t="s">
        <v>825</v>
      </c>
      <c r="X660" s="244">
        <v>-9.3276525627858705E-3</v>
      </c>
      <c r="Y660" s="265">
        <f t="shared" si="56"/>
        <v>75</v>
      </c>
      <c r="AA660" s="265">
        <f>IF(COUNTIF($Y$571:$Y660,Y660)=1,Y660,Y660+(COUNTIF($Y$571:Y660,Y660)-1))</f>
        <v>75</v>
      </c>
      <c r="AB660" s="177"/>
      <c r="AC660" s="265">
        <f t="shared" si="58"/>
        <v>90</v>
      </c>
      <c r="AD660" s="266">
        <f t="shared" si="59"/>
        <v>1.678223011344495E-2</v>
      </c>
      <c r="AE660" s="244">
        <f t="shared" si="57"/>
        <v>0.11616126557759388</v>
      </c>
      <c r="AG660" s="244"/>
      <c r="AH660" s="244"/>
      <c r="AI660" s="244"/>
      <c r="AJ660" s="244"/>
      <c r="AK660" s="244"/>
    </row>
    <row r="661" spans="4:37" x14ac:dyDescent="0.3">
      <c r="D661" s="75">
        <f t="shared" si="60"/>
        <v>91</v>
      </c>
      <c r="E661" s="80">
        <f t="shared" si="60"/>
        <v>5</v>
      </c>
      <c r="F661" s="80">
        <f t="shared" si="60"/>
        <v>5</v>
      </c>
      <c r="H661" s="255" t="s">
        <v>825</v>
      </c>
      <c r="I661" s="255" t="s">
        <v>825</v>
      </c>
      <c r="J661" s="255" t="s">
        <v>825</v>
      </c>
      <c r="L661" s="255" t="s">
        <v>825</v>
      </c>
      <c r="M661" s="95"/>
      <c r="N661" s="95"/>
      <c r="O661" s="95"/>
      <c r="T661" s="256" t="s">
        <v>825</v>
      </c>
      <c r="U661" s="257" t="s">
        <v>825</v>
      </c>
      <c r="V661" s="177"/>
      <c r="W661" s="258" t="s">
        <v>825</v>
      </c>
      <c r="X661" s="244">
        <v>7.3512801862011257E-2</v>
      </c>
      <c r="Y661" s="265">
        <f t="shared" si="56"/>
        <v>142</v>
      </c>
      <c r="AA661" s="265">
        <f>IF(COUNTIF($Y$571:$Y661,Y661)=1,Y661,Y661+(COUNTIF($Y$571:Y661,Y661)-1))</f>
        <v>142</v>
      </c>
      <c r="AB661" s="177"/>
      <c r="AC661" s="265">
        <f t="shared" si="58"/>
        <v>91</v>
      </c>
      <c r="AD661" s="266">
        <f t="shared" si="59"/>
        <v>1.6943560795133709E-2</v>
      </c>
      <c r="AE661" s="244">
        <f t="shared" si="57"/>
        <v>0.11616126557759388</v>
      </c>
      <c r="AG661" s="244"/>
      <c r="AH661" s="244"/>
      <c r="AI661" s="244"/>
      <c r="AJ661" s="244"/>
      <c r="AK661" s="244"/>
    </row>
    <row r="662" spans="4:37" x14ac:dyDescent="0.3">
      <c r="D662" s="75">
        <f t="shared" si="60"/>
        <v>92</v>
      </c>
      <c r="E662" s="80">
        <f t="shared" si="60"/>
        <v>5</v>
      </c>
      <c r="F662" s="80">
        <f t="shared" si="60"/>
        <v>5</v>
      </c>
      <c r="H662" s="255" t="s">
        <v>825</v>
      </c>
      <c r="I662" s="255" t="s">
        <v>825</v>
      </c>
      <c r="J662" s="255" t="s">
        <v>825</v>
      </c>
      <c r="L662" s="255" t="s">
        <v>825</v>
      </c>
      <c r="M662" s="95"/>
      <c r="N662" s="95"/>
      <c r="O662" s="95"/>
      <c r="T662" s="256" t="s">
        <v>825</v>
      </c>
      <c r="U662" s="257" t="s">
        <v>825</v>
      </c>
      <c r="V662" s="177"/>
      <c r="W662" s="258" t="s">
        <v>825</v>
      </c>
      <c r="X662" s="244">
        <v>2.5157266949742685E-2</v>
      </c>
      <c r="Y662" s="265">
        <f t="shared" si="56"/>
        <v>97</v>
      </c>
      <c r="AA662" s="265">
        <f>IF(COUNTIF($Y$571:$Y662,Y662)=1,Y662,Y662+(COUNTIF($Y$571:Y662,Y662)-1))</f>
        <v>97</v>
      </c>
      <c r="AB662" s="177"/>
      <c r="AC662" s="265">
        <f t="shared" si="58"/>
        <v>92</v>
      </c>
      <c r="AD662" s="266">
        <f t="shared" si="59"/>
        <v>1.7542731472315342E-2</v>
      </c>
      <c r="AE662" s="244">
        <f t="shared" si="57"/>
        <v>0.11616126557759388</v>
      </c>
      <c r="AG662" s="244"/>
      <c r="AH662" s="244"/>
      <c r="AI662" s="244"/>
      <c r="AJ662" s="244"/>
      <c r="AK662" s="244"/>
    </row>
    <row r="663" spans="4:37" x14ac:dyDescent="0.3">
      <c r="D663" s="75">
        <f t="shared" si="60"/>
        <v>93</v>
      </c>
      <c r="E663" s="80">
        <f t="shared" si="60"/>
        <v>5</v>
      </c>
      <c r="F663" s="80">
        <f t="shared" si="60"/>
        <v>5</v>
      </c>
      <c r="H663" s="255" t="s">
        <v>825</v>
      </c>
      <c r="I663" s="255" t="s">
        <v>825</v>
      </c>
      <c r="J663" s="255" t="s">
        <v>825</v>
      </c>
      <c r="L663" s="255" t="s">
        <v>825</v>
      </c>
      <c r="M663" s="95"/>
      <c r="N663" s="95"/>
      <c r="O663" s="95"/>
      <c r="T663" s="256" t="s">
        <v>825</v>
      </c>
      <c r="U663" s="257" t="s">
        <v>825</v>
      </c>
      <c r="V663" s="177"/>
      <c r="W663" s="258" t="s">
        <v>825</v>
      </c>
      <c r="X663" s="244">
        <v>9.8337760531475804E-2</v>
      </c>
      <c r="Y663" s="265">
        <f t="shared" si="56"/>
        <v>165</v>
      </c>
      <c r="AA663" s="265">
        <f>IF(COUNTIF($Y$571:$Y663,Y663)=1,Y663,Y663+(COUNTIF($Y$571:Y663,Y663)-1))</f>
        <v>165</v>
      </c>
      <c r="AB663" s="177"/>
      <c r="AC663" s="265">
        <f t="shared" si="58"/>
        <v>93</v>
      </c>
      <c r="AD663" s="266">
        <f t="shared" si="59"/>
        <v>1.9648015269856194E-2</v>
      </c>
      <c r="AE663" s="244">
        <f t="shared" si="57"/>
        <v>0.11616126557759388</v>
      </c>
      <c r="AG663" s="244"/>
      <c r="AH663" s="244"/>
      <c r="AI663" s="244"/>
      <c r="AJ663" s="244"/>
      <c r="AK663" s="244"/>
    </row>
    <row r="664" spans="4:37" x14ac:dyDescent="0.3">
      <c r="D664" s="75">
        <f t="shared" si="60"/>
        <v>94</v>
      </c>
      <c r="E664" s="80">
        <f t="shared" si="60"/>
        <v>5</v>
      </c>
      <c r="F664" s="80">
        <f t="shared" si="60"/>
        <v>5</v>
      </c>
      <c r="H664" s="255" t="s">
        <v>825</v>
      </c>
      <c r="I664" s="255" t="s">
        <v>825</v>
      </c>
      <c r="J664" s="255" t="s">
        <v>825</v>
      </c>
      <c r="L664" s="255" t="s">
        <v>825</v>
      </c>
      <c r="M664" s="95"/>
      <c r="N664" s="95"/>
      <c r="O664" s="95"/>
      <c r="T664" s="256" t="s">
        <v>825</v>
      </c>
      <c r="U664" s="257" t="s">
        <v>825</v>
      </c>
      <c r="V664" s="177"/>
      <c r="W664" s="258" t="s">
        <v>825</v>
      </c>
      <c r="X664" s="244">
        <v>9.7762962733456193E-2</v>
      </c>
      <c r="Y664" s="265">
        <f t="shared" si="56"/>
        <v>163</v>
      </c>
      <c r="AA664" s="265">
        <f>IF(COUNTIF($Y$571:$Y664,Y664)=1,Y664,Y664+(COUNTIF($Y$571:Y664,Y664)-1))</f>
        <v>163</v>
      </c>
      <c r="AB664" s="177"/>
      <c r="AC664" s="265">
        <f t="shared" si="58"/>
        <v>94</v>
      </c>
      <c r="AD664" s="266">
        <f t="shared" si="59"/>
        <v>2.0938396259061194E-2</v>
      </c>
      <c r="AE664" s="244">
        <f t="shared" si="57"/>
        <v>0.11616126557759388</v>
      </c>
      <c r="AG664" s="244"/>
      <c r="AH664" s="244"/>
      <c r="AI664" s="244"/>
      <c r="AJ664" s="244"/>
      <c r="AK664" s="244"/>
    </row>
    <row r="665" spans="4:37" x14ac:dyDescent="0.3">
      <c r="D665" s="75">
        <f t="shared" si="60"/>
        <v>95</v>
      </c>
      <c r="E665" s="80">
        <f t="shared" si="60"/>
        <v>5</v>
      </c>
      <c r="F665" s="80">
        <f t="shared" si="60"/>
        <v>5</v>
      </c>
      <c r="H665" s="255" t="s">
        <v>825</v>
      </c>
      <c r="I665" s="255" t="s">
        <v>825</v>
      </c>
      <c r="J665" s="255" t="s">
        <v>825</v>
      </c>
      <c r="L665" s="255" t="s">
        <v>825</v>
      </c>
      <c r="M665" s="95"/>
      <c r="N665" s="95"/>
      <c r="O665" s="95"/>
      <c r="T665" s="256" t="s">
        <v>825</v>
      </c>
      <c r="U665" s="257" t="s">
        <v>825</v>
      </c>
      <c r="V665" s="177"/>
      <c r="W665" s="258" t="s">
        <v>825</v>
      </c>
      <c r="X665" s="244">
        <v>3.5666250616141454E-2</v>
      </c>
      <c r="Y665" s="265">
        <f t="shared" si="56"/>
        <v>111</v>
      </c>
      <c r="AA665" s="265">
        <f>IF(COUNTIF($Y$571:$Y665,Y665)=1,Y665,Y665+(COUNTIF($Y$571:Y665,Y665)-1))</f>
        <v>111</v>
      </c>
      <c r="AB665" s="177"/>
      <c r="AC665" s="265">
        <f t="shared" si="58"/>
        <v>95</v>
      </c>
      <c r="AD665" s="266">
        <f t="shared" si="59"/>
        <v>2.2206376691830339E-2</v>
      </c>
      <c r="AE665" s="244">
        <f t="shared" si="57"/>
        <v>0.11616126557759388</v>
      </c>
      <c r="AG665" s="244"/>
      <c r="AH665" s="244"/>
      <c r="AI665" s="244"/>
      <c r="AJ665" s="244"/>
      <c r="AK665" s="244"/>
    </row>
    <row r="666" spans="4:37" x14ac:dyDescent="0.3">
      <c r="D666" s="75">
        <f t="shared" si="60"/>
        <v>96</v>
      </c>
      <c r="E666" s="80">
        <f t="shared" si="60"/>
        <v>5</v>
      </c>
      <c r="F666" s="80">
        <f t="shared" si="60"/>
        <v>5</v>
      </c>
      <c r="H666" s="255" t="s">
        <v>825</v>
      </c>
      <c r="I666" s="255" t="s">
        <v>825</v>
      </c>
      <c r="J666" s="255" t="s">
        <v>825</v>
      </c>
      <c r="L666" s="255" t="s">
        <v>825</v>
      </c>
      <c r="M666" s="95"/>
      <c r="N666" s="95"/>
      <c r="O666" s="95"/>
      <c r="T666" s="256" t="s">
        <v>825</v>
      </c>
      <c r="U666" s="257" t="s">
        <v>825</v>
      </c>
      <c r="V666" s="177"/>
      <c r="W666" s="258" t="s">
        <v>825</v>
      </c>
      <c r="X666" s="244">
        <v>7.8780185667815542E-2</v>
      </c>
      <c r="Y666" s="265">
        <f t="shared" si="56"/>
        <v>147</v>
      </c>
      <c r="AA666" s="265">
        <f>IF(COUNTIF($Y$571:$Y666,Y666)=1,Y666,Y666+(COUNTIF($Y$571:Y666,Y666)-1))</f>
        <v>147</v>
      </c>
      <c r="AB666" s="177"/>
      <c r="AC666" s="265">
        <f t="shared" si="58"/>
        <v>96</v>
      </c>
      <c r="AD666" s="266">
        <f t="shared" si="59"/>
        <v>2.3308783165211261E-2</v>
      </c>
      <c r="AE666" s="244">
        <f t="shared" si="57"/>
        <v>0.11616126557759388</v>
      </c>
      <c r="AG666" s="244"/>
      <c r="AH666" s="244"/>
      <c r="AI666" s="244"/>
      <c r="AJ666" s="244"/>
      <c r="AK666" s="244"/>
    </row>
    <row r="667" spans="4:37" x14ac:dyDescent="0.3">
      <c r="D667" s="75">
        <f t="shared" si="60"/>
        <v>97</v>
      </c>
      <c r="E667" s="80">
        <f t="shared" si="60"/>
        <v>5</v>
      </c>
      <c r="F667" s="80">
        <f t="shared" si="60"/>
        <v>5</v>
      </c>
      <c r="H667" s="255" t="s">
        <v>825</v>
      </c>
      <c r="I667" s="255" t="s">
        <v>825</v>
      </c>
      <c r="J667" s="255" t="s">
        <v>825</v>
      </c>
      <c r="L667" s="255" t="s">
        <v>825</v>
      </c>
      <c r="M667" s="95"/>
      <c r="N667" s="95"/>
      <c r="O667" s="95"/>
      <c r="T667" s="256" t="s">
        <v>825</v>
      </c>
      <c r="U667" s="257" t="s">
        <v>825</v>
      </c>
      <c r="V667" s="177"/>
      <c r="W667" s="258" t="s">
        <v>825</v>
      </c>
      <c r="X667" s="244">
        <v>9.7475559187301483E-2</v>
      </c>
      <c r="Y667" s="265">
        <f t="shared" ref="Y667:Y698" si="61">RANK($X667,$X$571:$X$790,-1)</f>
        <v>162</v>
      </c>
      <c r="AA667" s="265">
        <f>IF(COUNTIF($Y$571:$Y667,Y667)=1,Y667,Y667+(COUNTIF($Y$571:Y667,Y667)-1))</f>
        <v>162</v>
      </c>
      <c r="AB667" s="177"/>
      <c r="AC667" s="265">
        <f t="shared" si="58"/>
        <v>97</v>
      </c>
      <c r="AD667" s="266">
        <f t="shared" si="59"/>
        <v>2.5157266949742685E-2</v>
      </c>
      <c r="AE667" s="244">
        <f t="shared" si="57"/>
        <v>0.11616126557759388</v>
      </c>
      <c r="AG667" s="244"/>
      <c r="AH667" s="244"/>
      <c r="AI667" s="244"/>
      <c r="AJ667" s="244"/>
      <c r="AK667" s="244"/>
    </row>
    <row r="668" spans="4:37" x14ac:dyDescent="0.3">
      <c r="D668" s="75">
        <f t="shared" si="60"/>
        <v>98</v>
      </c>
      <c r="E668" s="80">
        <f t="shared" si="60"/>
        <v>5</v>
      </c>
      <c r="F668" s="80">
        <f t="shared" si="60"/>
        <v>5</v>
      </c>
      <c r="H668" s="255" t="s">
        <v>825</v>
      </c>
      <c r="I668" s="255" t="s">
        <v>825</v>
      </c>
      <c r="J668" s="255" t="s">
        <v>825</v>
      </c>
      <c r="L668" s="255" t="s">
        <v>825</v>
      </c>
      <c r="M668" s="95"/>
      <c r="N668" s="95"/>
      <c r="O668" s="95"/>
      <c r="T668" s="256" t="s">
        <v>825</v>
      </c>
      <c r="U668" s="257" t="s">
        <v>825</v>
      </c>
      <c r="V668" s="177"/>
      <c r="W668" s="258" t="s">
        <v>825</v>
      </c>
      <c r="X668" s="244">
        <v>5.7888949781448949E-2</v>
      </c>
      <c r="Y668" s="265">
        <f t="shared" si="61"/>
        <v>133</v>
      </c>
      <c r="AA668" s="265">
        <f>IF(COUNTIF($Y$571:$Y668,Y668)=1,Y668,Y668+(COUNTIF($Y$571:Y668,Y668)-1))</f>
        <v>133</v>
      </c>
      <c r="AB668" s="177"/>
      <c r="AC668" s="265">
        <f t="shared" si="58"/>
        <v>98</v>
      </c>
      <c r="AD668" s="266">
        <f t="shared" si="59"/>
        <v>2.7284773773475546E-2</v>
      </c>
      <c r="AE668" s="244">
        <f t="shared" si="57"/>
        <v>0.11616126557759388</v>
      </c>
      <c r="AG668" s="244"/>
      <c r="AH668" s="244"/>
      <c r="AI668" s="244"/>
      <c r="AJ668" s="244"/>
      <c r="AK668" s="244"/>
    </row>
    <row r="669" spans="4:37" x14ac:dyDescent="0.3">
      <c r="D669" s="75">
        <f t="shared" si="60"/>
        <v>99</v>
      </c>
      <c r="E669" s="80">
        <f t="shared" si="60"/>
        <v>5</v>
      </c>
      <c r="F669" s="80">
        <f t="shared" si="60"/>
        <v>5</v>
      </c>
      <c r="H669" s="255" t="s">
        <v>825</v>
      </c>
      <c r="I669" s="255" t="s">
        <v>825</v>
      </c>
      <c r="J669" s="255" t="s">
        <v>825</v>
      </c>
      <c r="L669" s="255" t="s">
        <v>825</v>
      </c>
      <c r="M669" s="95"/>
      <c r="N669" s="95"/>
      <c r="O669" s="95"/>
      <c r="T669" s="256" t="s">
        <v>825</v>
      </c>
      <c r="U669" s="257" t="s">
        <v>825</v>
      </c>
      <c r="V669" s="177"/>
      <c r="W669" s="258" t="s">
        <v>825</v>
      </c>
      <c r="X669" s="244">
        <v>4.6635641140920728E-3</v>
      </c>
      <c r="Y669" s="265">
        <f t="shared" si="61"/>
        <v>86</v>
      </c>
      <c r="AA669" s="265">
        <f>IF(COUNTIF($Y$571:$Y669,Y669)=1,Y669,Y669+(COUNTIF($Y$571:Y669,Y669)-1))</f>
        <v>86</v>
      </c>
      <c r="AB669" s="177"/>
      <c r="AC669" s="265">
        <f t="shared" si="58"/>
        <v>99</v>
      </c>
      <c r="AD669" s="266">
        <f t="shared" si="59"/>
        <v>2.7442865669852108E-2</v>
      </c>
      <c r="AE669" s="244">
        <f t="shared" si="57"/>
        <v>0.11616126557759388</v>
      </c>
      <c r="AG669" s="244"/>
      <c r="AH669" s="244"/>
      <c r="AI669" s="244"/>
      <c r="AJ669" s="244"/>
      <c r="AK669" s="244"/>
    </row>
    <row r="670" spans="4:37" x14ac:dyDescent="0.3">
      <c r="D670" s="75">
        <f t="shared" si="60"/>
        <v>100</v>
      </c>
      <c r="E670" s="80">
        <f t="shared" si="60"/>
        <v>5</v>
      </c>
      <c r="F670" s="80">
        <f t="shared" si="60"/>
        <v>5</v>
      </c>
      <c r="H670" s="255" t="s">
        <v>825</v>
      </c>
      <c r="I670" s="255" t="s">
        <v>825</v>
      </c>
      <c r="J670" s="255" t="s">
        <v>825</v>
      </c>
      <c r="L670" s="255" t="s">
        <v>825</v>
      </c>
      <c r="M670" s="95"/>
      <c r="N670" s="95"/>
      <c r="O670" s="95"/>
      <c r="T670" s="256" t="s">
        <v>825</v>
      </c>
      <c r="U670" s="257" t="s">
        <v>825</v>
      </c>
      <c r="V670" s="177"/>
      <c r="W670" s="258" t="s">
        <v>825</v>
      </c>
      <c r="X670" s="244">
        <v>2.0938396259061194E-2</v>
      </c>
      <c r="Y670" s="265">
        <f t="shared" si="61"/>
        <v>94</v>
      </c>
      <c r="AA670" s="265">
        <f>IF(COUNTIF($Y$571:$Y670,Y670)=1,Y670,Y670+(COUNTIF($Y$571:Y670,Y670)-1))</f>
        <v>94</v>
      </c>
      <c r="AB670" s="177"/>
      <c r="AC670" s="265">
        <f t="shared" si="58"/>
        <v>100</v>
      </c>
      <c r="AD670" s="266">
        <f t="shared" si="59"/>
        <v>2.9379747871155968E-2</v>
      </c>
      <c r="AE670" s="244">
        <f t="shared" si="57"/>
        <v>0.11616126557759388</v>
      </c>
      <c r="AG670" s="244"/>
      <c r="AH670" s="244"/>
      <c r="AI670" s="244"/>
      <c r="AJ670" s="244"/>
      <c r="AK670" s="244"/>
    </row>
    <row r="671" spans="4:37" x14ac:dyDescent="0.3">
      <c r="D671" s="75">
        <f t="shared" ref="D671:F690" si="62">D429</f>
        <v>101</v>
      </c>
      <c r="E671" s="80">
        <f t="shared" si="62"/>
        <v>5</v>
      </c>
      <c r="F671" s="80">
        <f t="shared" si="62"/>
        <v>5</v>
      </c>
      <c r="H671" s="255" t="s">
        <v>825</v>
      </c>
      <c r="I671" s="255" t="s">
        <v>825</v>
      </c>
      <c r="J671" s="255" t="s">
        <v>825</v>
      </c>
      <c r="L671" s="255" t="s">
        <v>825</v>
      </c>
      <c r="M671" s="95"/>
      <c r="N671" s="95"/>
      <c r="O671" s="95"/>
      <c r="T671" s="256" t="s">
        <v>825</v>
      </c>
      <c r="U671" s="257" t="s">
        <v>825</v>
      </c>
      <c r="V671" s="177"/>
      <c r="W671" s="258" t="s">
        <v>825</v>
      </c>
      <c r="X671" s="244">
        <v>8.6552544357564445E-2</v>
      </c>
      <c r="Y671" s="265">
        <f t="shared" si="61"/>
        <v>153</v>
      </c>
      <c r="AA671" s="265">
        <f>IF(COUNTIF($Y$571:$Y671,Y671)=1,Y671,Y671+(COUNTIF($Y$571:Y671,Y671)-1))</f>
        <v>153</v>
      </c>
      <c r="AB671" s="177"/>
      <c r="AC671" s="265">
        <f t="shared" si="58"/>
        <v>101</v>
      </c>
      <c r="AD671" s="266">
        <f t="shared" si="59"/>
        <v>2.9541595021452784E-2</v>
      </c>
      <c r="AE671" s="244">
        <f t="shared" si="57"/>
        <v>0.11616126557759388</v>
      </c>
      <c r="AG671" s="244"/>
      <c r="AH671" s="244"/>
      <c r="AI671" s="244"/>
      <c r="AJ671" s="244"/>
      <c r="AK671" s="244"/>
    </row>
    <row r="672" spans="4:37" x14ac:dyDescent="0.3">
      <c r="D672" s="75">
        <f t="shared" si="62"/>
        <v>102</v>
      </c>
      <c r="E672" s="80">
        <f t="shared" si="62"/>
        <v>5</v>
      </c>
      <c r="F672" s="80">
        <f t="shared" si="62"/>
        <v>5</v>
      </c>
      <c r="H672" s="255" t="s">
        <v>825</v>
      </c>
      <c r="I672" s="255" t="s">
        <v>825</v>
      </c>
      <c r="J672" s="255" t="s">
        <v>825</v>
      </c>
      <c r="L672" s="255" t="s">
        <v>825</v>
      </c>
      <c r="M672" s="95"/>
      <c r="N672" s="95"/>
      <c r="O672" s="95"/>
      <c r="T672" s="256" t="s">
        <v>825</v>
      </c>
      <c r="U672" s="257" t="s">
        <v>825</v>
      </c>
      <c r="V672" s="177"/>
      <c r="W672" s="258" t="s">
        <v>825</v>
      </c>
      <c r="X672" s="244">
        <v>4.5624495307510483E-2</v>
      </c>
      <c r="Y672" s="265">
        <f t="shared" si="61"/>
        <v>119</v>
      </c>
      <c r="AA672" s="265">
        <f>IF(COUNTIF($Y$571:$Y672,Y672)=1,Y672,Y672+(COUNTIF($Y$571:Y672,Y672)-1))</f>
        <v>119</v>
      </c>
      <c r="AB672" s="177"/>
      <c r="AC672" s="265">
        <f t="shared" si="58"/>
        <v>102</v>
      </c>
      <c r="AD672" s="266">
        <f t="shared" si="59"/>
        <v>3.0035861016941987E-2</v>
      </c>
      <c r="AE672" s="244">
        <f t="shared" si="57"/>
        <v>0.11616126557759388</v>
      </c>
      <c r="AG672" s="244"/>
      <c r="AH672" s="244"/>
      <c r="AI672" s="244"/>
      <c r="AJ672" s="244"/>
      <c r="AK672" s="244"/>
    </row>
    <row r="673" spans="4:37" x14ac:dyDescent="0.3">
      <c r="D673" s="75">
        <f t="shared" si="62"/>
        <v>103</v>
      </c>
      <c r="E673" s="80">
        <f t="shared" si="62"/>
        <v>5</v>
      </c>
      <c r="F673" s="80">
        <f t="shared" si="62"/>
        <v>5</v>
      </c>
      <c r="H673" s="255" t="s">
        <v>825</v>
      </c>
      <c r="I673" s="255" t="s">
        <v>825</v>
      </c>
      <c r="J673" s="255" t="s">
        <v>825</v>
      </c>
      <c r="L673" s="255" t="s">
        <v>825</v>
      </c>
      <c r="M673" s="95"/>
      <c r="N673" s="95"/>
      <c r="O673" s="95"/>
      <c r="T673" s="256" t="s">
        <v>825</v>
      </c>
      <c r="U673" s="257" t="s">
        <v>825</v>
      </c>
      <c r="V673" s="177"/>
      <c r="W673" s="258" t="s">
        <v>825</v>
      </c>
      <c r="X673" s="244">
        <v>0.11222585865677707</v>
      </c>
      <c r="Y673" s="265">
        <f t="shared" si="61"/>
        <v>178</v>
      </c>
      <c r="AA673" s="265">
        <f>IF(COUNTIF($Y$571:$Y673,Y673)=1,Y673,Y673+(COUNTIF($Y$571:Y673,Y673)-1))</f>
        <v>178</v>
      </c>
      <c r="AB673" s="177"/>
      <c r="AC673" s="265">
        <f t="shared" si="58"/>
        <v>103</v>
      </c>
      <c r="AD673" s="266">
        <f t="shared" si="59"/>
        <v>3.1189258160179024E-2</v>
      </c>
      <c r="AE673" s="244">
        <f t="shared" si="57"/>
        <v>0.11616126557759388</v>
      </c>
      <c r="AG673" s="244"/>
      <c r="AH673" s="244"/>
      <c r="AI673" s="244"/>
      <c r="AJ673" s="244"/>
      <c r="AK673" s="244"/>
    </row>
    <row r="674" spans="4:37" x14ac:dyDescent="0.3">
      <c r="D674" s="75">
        <f t="shared" si="62"/>
        <v>104</v>
      </c>
      <c r="E674" s="80">
        <f t="shared" si="62"/>
        <v>5</v>
      </c>
      <c r="F674" s="80">
        <f t="shared" si="62"/>
        <v>5</v>
      </c>
      <c r="H674" s="255" t="s">
        <v>825</v>
      </c>
      <c r="I674" s="255" t="s">
        <v>825</v>
      </c>
      <c r="J674" s="255" t="s">
        <v>825</v>
      </c>
      <c r="L674" s="255" t="s">
        <v>825</v>
      </c>
      <c r="M674" s="95"/>
      <c r="N674" s="95"/>
      <c r="O674" s="95"/>
      <c r="T674" s="256" t="s">
        <v>825</v>
      </c>
      <c r="U674" s="257" t="s">
        <v>825</v>
      </c>
      <c r="V674" s="177"/>
      <c r="W674" s="258" t="s">
        <v>825</v>
      </c>
      <c r="X674" s="244">
        <v>9.0371799543248421E-2</v>
      </c>
      <c r="Y674" s="265">
        <f t="shared" si="61"/>
        <v>156</v>
      </c>
      <c r="AA674" s="265">
        <f>IF(COUNTIF($Y$571:$Y674,Y674)=1,Y674,Y674+(COUNTIF($Y$571:Y674,Y674)-1))</f>
        <v>156</v>
      </c>
      <c r="AB674" s="177"/>
      <c r="AC674" s="265">
        <f t="shared" si="58"/>
        <v>104</v>
      </c>
      <c r="AD674" s="266">
        <f t="shared" si="59"/>
        <v>3.152160231928889E-2</v>
      </c>
      <c r="AE674" s="244">
        <f t="shared" si="57"/>
        <v>0.11616126557759388</v>
      </c>
      <c r="AG674" s="244"/>
      <c r="AH674" s="244"/>
      <c r="AI674" s="244"/>
      <c r="AJ674" s="244"/>
      <c r="AK674" s="244"/>
    </row>
    <row r="675" spans="4:37" x14ac:dyDescent="0.3">
      <c r="D675" s="75">
        <f t="shared" si="62"/>
        <v>105</v>
      </c>
      <c r="E675" s="80">
        <f t="shared" si="62"/>
        <v>5</v>
      </c>
      <c r="F675" s="80">
        <f t="shared" si="62"/>
        <v>5</v>
      </c>
      <c r="H675" s="255" t="s">
        <v>825</v>
      </c>
      <c r="I675" s="255" t="s">
        <v>825</v>
      </c>
      <c r="J675" s="255" t="s">
        <v>825</v>
      </c>
      <c r="L675" s="255" t="s">
        <v>825</v>
      </c>
      <c r="M675" s="95"/>
      <c r="N675" s="95"/>
      <c r="O675" s="95"/>
      <c r="T675" s="256" t="s">
        <v>825</v>
      </c>
      <c r="U675" s="257" t="s">
        <v>825</v>
      </c>
      <c r="V675" s="177"/>
      <c r="W675" s="258" t="s">
        <v>825</v>
      </c>
      <c r="X675" s="244">
        <v>9.7205561113490144E-2</v>
      </c>
      <c r="Y675" s="265">
        <f t="shared" si="61"/>
        <v>161</v>
      </c>
      <c r="AA675" s="265">
        <f>IF(COUNTIF($Y$571:$Y675,Y675)=1,Y675,Y675+(COUNTIF($Y$571:Y675,Y675)-1))</f>
        <v>161</v>
      </c>
      <c r="AB675" s="177"/>
      <c r="AC675" s="265">
        <f t="shared" si="58"/>
        <v>105</v>
      </c>
      <c r="AD675" s="266">
        <f t="shared" si="59"/>
        <v>3.3529833886779971E-2</v>
      </c>
      <c r="AE675" s="244">
        <f t="shared" si="57"/>
        <v>0.11616126557759388</v>
      </c>
      <c r="AG675" s="244"/>
      <c r="AH675" s="244"/>
      <c r="AI675" s="244"/>
      <c r="AJ675" s="244"/>
      <c r="AK675" s="244"/>
    </row>
    <row r="676" spans="4:37" x14ac:dyDescent="0.3">
      <c r="D676" s="75">
        <f t="shared" si="62"/>
        <v>106</v>
      </c>
      <c r="E676" s="80">
        <f t="shared" si="62"/>
        <v>5</v>
      </c>
      <c r="F676" s="80">
        <f t="shared" si="62"/>
        <v>5</v>
      </c>
      <c r="H676" s="255" t="s">
        <v>825</v>
      </c>
      <c r="I676" s="255" t="s">
        <v>825</v>
      </c>
      <c r="J676" s="255" t="s">
        <v>825</v>
      </c>
      <c r="L676" s="255" t="s">
        <v>825</v>
      </c>
      <c r="M676" s="95"/>
      <c r="N676" s="95"/>
      <c r="O676" s="95"/>
      <c r="T676" s="256" t="s">
        <v>825</v>
      </c>
      <c r="U676" s="257" t="s">
        <v>825</v>
      </c>
      <c r="V676" s="177"/>
      <c r="W676" s="258" t="s">
        <v>825</v>
      </c>
      <c r="X676" s="244">
        <v>9.9083528727888129E-2</v>
      </c>
      <c r="Y676" s="265">
        <f t="shared" si="61"/>
        <v>168</v>
      </c>
      <c r="AA676" s="265">
        <f>IF(COUNTIF($Y$571:$Y676,Y676)=1,Y676,Y676+(COUNTIF($Y$571:Y676,Y676)-1))</f>
        <v>168</v>
      </c>
      <c r="AB676" s="177"/>
      <c r="AC676" s="265">
        <f t="shared" si="58"/>
        <v>106</v>
      </c>
      <c r="AD676" s="266">
        <f t="shared" si="59"/>
        <v>3.4347345732725347E-2</v>
      </c>
      <c r="AE676" s="244">
        <f t="shared" si="57"/>
        <v>0.11616126557759388</v>
      </c>
      <c r="AG676" s="244"/>
      <c r="AH676" s="244"/>
      <c r="AI676" s="244"/>
      <c r="AJ676" s="244"/>
      <c r="AK676" s="244"/>
    </row>
    <row r="677" spans="4:37" x14ac:dyDescent="0.3">
      <c r="D677" s="75">
        <f t="shared" si="62"/>
        <v>107</v>
      </c>
      <c r="E677" s="80">
        <f t="shared" si="62"/>
        <v>5</v>
      </c>
      <c r="F677" s="80">
        <f t="shared" si="62"/>
        <v>5</v>
      </c>
      <c r="H677" s="255" t="s">
        <v>825</v>
      </c>
      <c r="I677" s="255" t="s">
        <v>825</v>
      </c>
      <c r="J677" s="255" t="s">
        <v>825</v>
      </c>
      <c r="L677" s="255" t="s">
        <v>825</v>
      </c>
      <c r="M677" s="95"/>
      <c r="N677" s="95"/>
      <c r="O677" s="95"/>
      <c r="T677" s="256" t="s">
        <v>825</v>
      </c>
      <c r="U677" s="257" t="s">
        <v>825</v>
      </c>
      <c r="V677" s="177"/>
      <c r="W677" s="258" t="s">
        <v>825</v>
      </c>
      <c r="X677" s="244">
        <v>3.3529833886779971E-2</v>
      </c>
      <c r="Y677" s="265">
        <f t="shared" si="61"/>
        <v>105</v>
      </c>
      <c r="AA677" s="265">
        <f>IF(COUNTIF($Y$571:$Y677,Y677)=1,Y677,Y677+(COUNTIF($Y$571:Y677,Y677)-1))</f>
        <v>105</v>
      </c>
      <c r="AB677" s="177"/>
      <c r="AC677" s="265">
        <f t="shared" si="58"/>
        <v>107</v>
      </c>
      <c r="AD677" s="266">
        <f t="shared" si="59"/>
        <v>3.5038448195152262E-2</v>
      </c>
      <c r="AE677" s="244">
        <f t="shared" si="57"/>
        <v>0.11616126557759388</v>
      </c>
      <c r="AG677" s="244"/>
      <c r="AH677" s="244"/>
      <c r="AI677" s="244"/>
      <c r="AJ677" s="244"/>
      <c r="AK677" s="244"/>
    </row>
    <row r="678" spans="4:37" x14ac:dyDescent="0.3">
      <c r="D678" s="75">
        <f t="shared" si="62"/>
        <v>108</v>
      </c>
      <c r="E678" s="80">
        <f t="shared" si="62"/>
        <v>5</v>
      </c>
      <c r="F678" s="80">
        <f t="shared" si="62"/>
        <v>5</v>
      </c>
      <c r="H678" s="255" t="s">
        <v>825</v>
      </c>
      <c r="I678" s="255" t="s">
        <v>825</v>
      </c>
      <c r="J678" s="255" t="s">
        <v>825</v>
      </c>
      <c r="L678" s="255" t="s">
        <v>825</v>
      </c>
      <c r="M678" s="95"/>
      <c r="N678" s="95"/>
      <c r="O678" s="95"/>
      <c r="T678" s="256" t="s">
        <v>825</v>
      </c>
      <c r="U678" s="257" t="s">
        <v>825</v>
      </c>
      <c r="V678" s="177"/>
      <c r="W678" s="258" t="s">
        <v>825</v>
      </c>
      <c r="X678" s="244">
        <v>3.525553081002529E-2</v>
      </c>
      <c r="Y678" s="265">
        <f t="shared" si="61"/>
        <v>108</v>
      </c>
      <c r="AA678" s="265">
        <f>IF(COUNTIF($Y$571:$Y678,Y678)=1,Y678,Y678+(COUNTIF($Y$571:Y678,Y678)-1))</f>
        <v>108</v>
      </c>
      <c r="AB678" s="177"/>
      <c r="AC678" s="265">
        <f t="shared" si="58"/>
        <v>108</v>
      </c>
      <c r="AD678" s="266">
        <f t="shared" si="59"/>
        <v>3.525553081002529E-2</v>
      </c>
      <c r="AE678" s="244">
        <f t="shared" si="57"/>
        <v>0.11616126557759388</v>
      </c>
      <c r="AG678" s="244"/>
      <c r="AH678" s="244"/>
      <c r="AI678" s="244"/>
      <c r="AJ678" s="244"/>
      <c r="AK678" s="244"/>
    </row>
    <row r="679" spans="4:37" x14ac:dyDescent="0.3">
      <c r="D679" s="75">
        <f t="shared" si="62"/>
        <v>109</v>
      </c>
      <c r="E679" s="80">
        <f t="shared" si="62"/>
        <v>5</v>
      </c>
      <c r="F679" s="80">
        <f t="shared" si="62"/>
        <v>5</v>
      </c>
      <c r="H679" s="255" t="s">
        <v>825</v>
      </c>
      <c r="I679" s="255" t="s">
        <v>825</v>
      </c>
      <c r="J679" s="255" t="s">
        <v>825</v>
      </c>
      <c r="L679" s="255" t="s">
        <v>825</v>
      </c>
      <c r="M679" s="95"/>
      <c r="N679" s="95"/>
      <c r="O679" s="95"/>
      <c r="T679" s="256" t="s">
        <v>825</v>
      </c>
      <c r="U679" s="257" t="s">
        <v>825</v>
      </c>
      <c r="V679" s="177"/>
      <c r="W679" s="258" t="s">
        <v>825</v>
      </c>
      <c r="X679" s="244">
        <v>5.5582825312942293E-2</v>
      </c>
      <c r="Y679" s="265">
        <f t="shared" si="61"/>
        <v>131</v>
      </c>
      <c r="AA679" s="265">
        <f>IF(COUNTIF($Y$571:$Y679,Y679)=1,Y679,Y679+(COUNTIF($Y$571:Y679,Y679)-1))</f>
        <v>131</v>
      </c>
      <c r="AB679" s="177"/>
      <c r="AC679" s="265">
        <f t="shared" si="58"/>
        <v>109</v>
      </c>
      <c r="AD679" s="266">
        <f t="shared" si="59"/>
        <v>3.5329467761317658E-2</v>
      </c>
      <c r="AE679" s="244">
        <f t="shared" si="57"/>
        <v>0.11616126557759388</v>
      </c>
      <c r="AG679" s="244"/>
      <c r="AH679" s="244"/>
      <c r="AI679" s="244"/>
      <c r="AJ679" s="244"/>
      <c r="AK679" s="244"/>
    </row>
    <row r="680" spans="4:37" x14ac:dyDescent="0.3">
      <c r="D680" s="75">
        <f t="shared" si="62"/>
        <v>110</v>
      </c>
      <c r="E680" s="80">
        <f t="shared" si="62"/>
        <v>5</v>
      </c>
      <c r="F680" s="80">
        <f t="shared" si="62"/>
        <v>5</v>
      </c>
      <c r="H680" s="255" t="s">
        <v>825</v>
      </c>
      <c r="I680" s="255" t="s">
        <v>825</v>
      </c>
      <c r="J680" s="255" t="s">
        <v>825</v>
      </c>
      <c r="L680" s="255" t="s">
        <v>825</v>
      </c>
      <c r="M680" s="95"/>
      <c r="N680" s="95"/>
      <c r="O680" s="95"/>
      <c r="T680" s="256" t="s">
        <v>825</v>
      </c>
      <c r="U680" s="257" t="s">
        <v>825</v>
      </c>
      <c r="V680" s="177"/>
      <c r="W680" s="258" t="s">
        <v>825</v>
      </c>
      <c r="X680" s="244">
        <v>9.8785788514976436E-2</v>
      </c>
      <c r="Y680" s="265">
        <f t="shared" si="61"/>
        <v>167</v>
      </c>
      <c r="AA680" s="265">
        <f>IF(COUNTIF($Y$571:$Y680,Y680)=1,Y680,Y680+(COUNTIF($Y$571:Y680,Y680)-1))</f>
        <v>167</v>
      </c>
      <c r="AB680" s="177"/>
      <c r="AC680" s="265">
        <f t="shared" si="58"/>
        <v>110</v>
      </c>
      <c r="AD680" s="266">
        <f t="shared" si="59"/>
        <v>3.5360555661647419E-2</v>
      </c>
      <c r="AE680" s="244">
        <f t="shared" si="57"/>
        <v>0.11616126557759388</v>
      </c>
      <c r="AG680" s="244"/>
      <c r="AH680" s="244"/>
      <c r="AI680" s="244"/>
      <c r="AJ680" s="244"/>
      <c r="AK680" s="244"/>
    </row>
    <row r="681" spans="4:37" x14ac:dyDescent="0.3">
      <c r="D681" s="75">
        <f t="shared" si="62"/>
        <v>111</v>
      </c>
      <c r="E681" s="80">
        <f t="shared" si="62"/>
        <v>5</v>
      </c>
      <c r="F681" s="80">
        <f t="shared" si="62"/>
        <v>5</v>
      </c>
      <c r="H681" s="255" t="s">
        <v>825</v>
      </c>
      <c r="I681" s="255" t="s">
        <v>825</v>
      </c>
      <c r="J681" s="255" t="s">
        <v>825</v>
      </c>
      <c r="L681" s="255" t="s">
        <v>825</v>
      </c>
      <c r="M681" s="95"/>
      <c r="N681" s="95"/>
      <c r="O681" s="95"/>
      <c r="T681" s="256" t="s">
        <v>825</v>
      </c>
      <c r="U681" s="257" t="s">
        <v>825</v>
      </c>
      <c r="V681" s="177"/>
      <c r="W681" s="258" t="s">
        <v>825</v>
      </c>
      <c r="X681" s="244">
        <v>3.5329467761317658E-2</v>
      </c>
      <c r="Y681" s="265">
        <f t="shared" si="61"/>
        <v>109</v>
      </c>
      <c r="AA681" s="265">
        <f>IF(COUNTIF($Y$571:$Y681,Y681)=1,Y681,Y681+(COUNTIF($Y$571:Y681,Y681)-1))</f>
        <v>109</v>
      </c>
      <c r="AB681" s="177"/>
      <c r="AC681" s="265">
        <f t="shared" si="58"/>
        <v>111</v>
      </c>
      <c r="AD681" s="266">
        <f t="shared" si="59"/>
        <v>3.5666250616141454E-2</v>
      </c>
      <c r="AE681" s="244">
        <f t="shared" si="57"/>
        <v>0.11616126557759388</v>
      </c>
      <c r="AG681" s="244"/>
      <c r="AH681" s="244"/>
      <c r="AI681" s="244"/>
      <c r="AJ681" s="244"/>
      <c r="AK681" s="244"/>
    </row>
    <row r="682" spans="4:37" x14ac:dyDescent="0.3">
      <c r="D682" s="75">
        <f t="shared" si="62"/>
        <v>112</v>
      </c>
      <c r="E682" s="80">
        <f t="shared" si="62"/>
        <v>5</v>
      </c>
      <c r="F682" s="80">
        <f t="shared" si="62"/>
        <v>5</v>
      </c>
      <c r="H682" s="255" t="s">
        <v>825</v>
      </c>
      <c r="I682" s="255" t="s">
        <v>825</v>
      </c>
      <c r="J682" s="255" t="s">
        <v>825</v>
      </c>
      <c r="L682" s="255" t="s">
        <v>825</v>
      </c>
      <c r="M682" s="95"/>
      <c r="N682" s="95"/>
      <c r="O682" s="95"/>
      <c r="T682" s="256" t="s">
        <v>825</v>
      </c>
      <c r="U682" s="257" t="s">
        <v>825</v>
      </c>
      <c r="V682" s="177"/>
      <c r="W682" s="258" t="s">
        <v>825</v>
      </c>
      <c r="X682" s="244">
        <v>0.10686706608017511</v>
      </c>
      <c r="Y682" s="265">
        <f t="shared" si="61"/>
        <v>174</v>
      </c>
      <c r="AA682" s="265">
        <f>IF(COUNTIF($Y$571:$Y682,Y682)=1,Y682,Y682+(COUNTIF($Y$571:Y682,Y682)-1))</f>
        <v>174</v>
      </c>
      <c r="AB682" s="177"/>
      <c r="AC682" s="265">
        <f t="shared" si="58"/>
        <v>112</v>
      </c>
      <c r="AD682" s="266">
        <f t="shared" si="59"/>
        <v>3.7324785856360877E-2</v>
      </c>
      <c r="AE682" s="244">
        <f t="shared" si="57"/>
        <v>0.11616126557759388</v>
      </c>
      <c r="AG682" s="244"/>
      <c r="AH682" s="244"/>
      <c r="AI682" s="244"/>
      <c r="AJ682" s="244"/>
      <c r="AK682" s="244"/>
    </row>
    <row r="683" spans="4:37" x14ac:dyDescent="0.3">
      <c r="D683" s="75">
        <f t="shared" si="62"/>
        <v>113</v>
      </c>
      <c r="E683" s="80">
        <f t="shared" si="62"/>
        <v>5</v>
      </c>
      <c r="F683" s="80">
        <f t="shared" si="62"/>
        <v>5</v>
      </c>
      <c r="H683" s="255" t="s">
        <v>825</v>
      </c>
      <c r="I683" s="255" t="s">
        <v>825</v>
      </c>
      <c r="J683" s="255" t="s">
        <v>825</v>
      </c>
      <c r="L683" s="255" t="s">
        <v>825</v>
      </c>
      <c r="M683" s="95"/>
      <c r="N683" s="95"/>
      <c r="O683" s="95"/>
      <c r="T683" s="256" t="s">
        <v>825</v>
      </c>
      <c r="U683" s="257" t="s">
        <v>825</v>
      </c>
      <c r="V683" s="177"/>
      <c r="W683" s="258" t="s">
        <v>825</v>
      </c>
      <c r="X683" s="244">
        <v>7.7587411020339045E-2</v>
      </c>
      <c r="Y683" s="265">
        <f t="shared" si="61"/>
        <v>144</v>
      </c>
      <c r="AA683" s="265">
        <f>IF(COUNTIF($Y$571:$Y683,Y683)=1,Y683,Y683+(COUNTIF($Y$571:Y683,Y683)-1))</f>
        <v>144</v>
      </c>
      <c r="AB683" s="177"/>
      <c r="AC683" s="265">
        <f t="shared" si="58"/>
        <v>113</v>
      </c>
      <c r="AD683" s="266">
        <f t="shared" si="59"/>
        <v>3.7729922581455251E-2</v>
      </c>
      <c r="AE683" s="244">
        <f t="shared" si="57"/>
        <v>0.11616126557759388</v>
      </c>
      <c r="AG683" s="244"/>
      <c r="AH683" s="244"/>
      <c r="AI683" s="244"/>
      <c r="AJ683" s="244"/>
      <c r="AK683" s="244"/>
    </row>
    <row r="684" spans="4:37" x14ac:dyDescent="0.3">
      <c r="D684" s="75">
        <f t="shared" si="62"/>
        <v>114</v>
      </c>
      <c r="E684" s="80">
        <f t="shared" si="62"/>
        <v>5</v>
      </c>
      <c r="F684" s="80">
        <f t="shared" si="62"/>
        <v>5</v>
      </c>
      <c r="H684" s="255" t="s">
        <v>825</v>
      </c>
      <c r="I684" s="255" t="s">
        <v>825</v>
      </c>
      <c r="J684" s="255" t="s">
        <v>825</v>
      </c>
      <c r="L684" s="255" t="s">
        <v>825</v>
      </c>
      <c r="M684" s="95"/>
      <c r="N684" s="95"/>
      <c r="O684" s="95"/>
      <c r="T684" s="256" t="s">
        <v>825</v>
      </c>
      <c r="U684" s="257" t="s">
        <v>825</v>
      </c>
      <c r="V684" s="177"/>
      <c r="W684" s="258" t="s">
        <v>825</v>
      </c>
      <c r="X684" s="244">
        <v>0.11629753848340627</v>
      </c>
      <c r="Y684" s="265">
        <f t="shared" si="61"/>
        <v>179</v>
      </c>
      <c r="AA684" s="265">
        <f>IF(COUNTIF($Y$571:$Y684,Y684)=1,Y684,Y684+(COUNTIF($Y$571:Y684,Y684)-1))</f>
        <v>179</v>
      </c>
      <c r="AB684" s="177"/>
      <c r="AC684" s="265">
        <f t="shared" si="58"/>
        <v>114</v>
      </c>
      <c r="AD684" s="266">
        <f t="shared" si="59"/>
        <v>3.9062220739340674E-2</v>
      </c>
      <c r="AE684" s="244">
        <f t="shared" si="57"/>
        <v>0.11616126557759388</v>
      </c>
      <c r="AG684" s="244"/>
      <c r="AH684" s="244"/>
      <c r="AI684" s="244"/>
      <c r="AJ684" s="244"/>
      <c r="AK684" s="244"/>
    </row>
    <row r="685" spans="4:37" x14ac:dyDescent="0.3">
      <c r="D685" s="75">
        <f t="shared" si="62"/>
        <v>115</v>
      </c>
      <c r="E685" s="80">
        <f t="shared" si="62"/>
        <v>5</v>
      </c>
      <c r="F685" s="80">
        <f t="shared" si="62"/>
        <v>5</v>
      </c>
      <c r="H685" s="255" t="s">
        <v>825</v>
      </c>
      <c r="I685" s="255" t="s">
        <v>825</v>
      </c>
      <c r="J685" s="255" t="s">
        <v>825</v>
      </c>
      <c r="L685" s="255" t="s">
        <v>825</v>
      </c>
      <c r="M685" s="95"/>
      <c r="N685" s="95"/>
      <c r="O685" s="95"/>
      <c r="T685" s="256" t="s">
        <v>825</v>
      </c>
      <c r="U685" s="257" t="s">
        <v>825</v>
      </c>
      <c r="V685" s="177"/>
      <c r="W685" s="258" t="s">
        <v>825</v>
      </c>
      <c r="X685" s="244">
        <v>5.4794954109204534E-2</v>
      </c>
      <c r="Y685" s="265">
        <f t="shared" si="61"/>
        <v>129</v>
      </c>
      <c r="AA685" s="265">
        <f>IF(COUNTIF($Y$571:$Y685,Y685)=1,Y685,Y685+(COUNTIF($Y$571:Y685,Y685)-1))</f>
        <v>129</v>
      </c>
      <c r="AB685" s="177"/>
      <c r="AC685" s="265">
        <f t="shared" si="58"/>
        <v>115</v>
      </c>
      <c r="AD685" s="266">
        <f t="shared" si="59"/>
        <v>4.1191999169572523E-2</v>
      </c>
      <c r="AE685" s="244">
        <f t="shared" si="57"/>
        <v>0.11616126557759388</v>
      </c>
      <c r="AG685" s="244"/>
      <c r="AH685" s="244"/>
      <c r="AI685" s="244"/>
      <c r="AJ685" s="244"/>
      <c r="AK685" s="244"/>
    </row>
    <row r="686" spans="4:37" x14ac:dyDescent="0.3">
      <c r="D686" s="75">
        <f t="shared" si="62"/>
        <v>116</v>
      </c>
      <c r="E686" s="80">
        <f t="shared" si="62"/>
        <v>5</v>
      </c>
      <c r="F686" s="80">
        <f t="shared" si="62"/>
        <v>5</v>
      </c>
      <c r="H686" s="255" t="s">
        <v>825</v>
      </c>
      <c r="I686" s="255" t="s">
        <v>825</v>
      </c>
      <c r="J686" s="255" t="s">
        <v>825</v>
      </c>
      <c r="L686" s="255" t="s">
        <v>825</v>
      </c>
      <c r="M686" s="95"/>
      <c r="N686" s="95"/>
      <c r="O686" s="95"/>
      <c r="T686" s="256" t="s">
        <v>825</v>
      </c>
      <c r="U686" s="257" t="s">
        <v>825</v>
      </c>
      <c r="V686" s="177"/>
      <c r="W686" s="258" t="s">
        <v>825</v>
      </c>
      <c r="X686" s="244">
        <v>2.9541595021452784E-2</v>
      </c>
      <c r="Y686" s="265">
        <f t="shared" si="61"/>
        <v>101</v>
      </c>
      <c r="AA686" s="265">
        <f>IF(COUNTIF($Y$571:$Y686,Y686)=1,Y686,Y686+(COUNTIF($Y$571:Y686,Y686)-1))</f>
        <v>101</v>
      </c>
      <c r="AB686" s="177"/>
      <c r="AC686" s="265">
        <f t="shared" si="58"/>
        <v>116</v>
      </c>
      <c r="AD686" s="266">
        <f t="shared" si="59"/>
        <v>4.2111219235924702E-2</v>
      </c>
      <c r="AE686" s="244">
        <f t="shared" si="57"/>
        <v>0.11616126557759388</v>
      </c>
      <c r="AG686" s="244"/>
      <c r="AH686" s="244"/>
      <c r="AI686" s="244"/>
      <c r="AJ686" s="244"/>
      <c r="AK686" s="244"/>
    </row>
    <row r="687" spans="4:37" x14ac:dyDescent="0.3">
      <c r="D687" s="75">
        <f t="shared" si="62"/>
        <v>117</v>
      </c>
      <c r="E687" s="80">
        <f t="shared" si="62"/>
        <v>5</v>
      </c>
      <c r="F687" s="80">
        <f t="shared" si="62"/>
        <v>5</v>
      </c>
      <c r="H687" s="255" t="s">
        <v>825</v>
      </c>
      <c r="I687" s="255" t="s">
        <v>825</v>
      </c>
      <c r="J687" s="255" t="s">
        <v>825</v>
      </c>
      <c r="L687" s="255" t="s">
        <v>825</v>
      </c>
      <c r="M687" s="95"/>
      <c r="N687" s="95"/>
      <c r="O687" s="95"/>
      <c r="T687" s="256" t="s">
        <v>825</v>
      </c>
      <c r="U687" s="257" t="s">
        <v>825</v>
      </c>
      <c r="V687" s="177"/>
      <c r="W687" s="258" t="s">
        <v>825</v>
      </c>
      <c r="X687" s="244">
        <v>0.10428636402736267</v>
      </c>
      <c r="Y687" s="265">
        <f t="shared" si="61"/>
        <v>171</v>
      </c>
      <c r="AA687" s="265">
        <f>IF(COUNTIF($Y$571:$Y687,Y687)=1,Y687,Y687+(COUNTIF($Y$571:Y687,Y687)-1))</f>
        <v>171</v>
      </c>
      <c r="AB687" s="177"/>
      <c r="AC687" s="265">
        <f t="shared" si="58"/>
        <v>117</v>
      </c>
      <c r="AD687" s="266">
        <f t="shared" si="59"/>
        <v>4.2375355448881317E-2</v>
      </c>
      <c r="AE687" s="244">
        <f t="shared" si="57"/>
        <v>0.11616126557759388</v>
      </c>
      <c r="AG687" s="244"/>
      <c r="AH687" s="244"/>
      <c r="AI687" s="244"/>
      <c r="AJ687" s="244"/>
      <c r="AK687" s="244"/>
    </row>
    <row r="688" spans="4:37" x14ac:dyDescent="0.3">
      <c r="D688" s="75">
        <f t="shared" si="62"/>
        <v>118</v>
      </c>
      <c r="E688" s="80">
        <f t="shared" si="62"/>
        <v>5</v>
      </c>
      <c r="F688" s="80">
        <f t="shared" si="62"/>
        <v>5</v>
      </c>
      <c r="H688" s="255" t="s">
        <v>825</v>
      </c>
      <c r="I688" s="255" t="s">
        <v>825</v>
      </c>
      <c r="J688" s="255" t="s">
        <v>825</v>
      </c>
      <c r="L688" s="255" t="s">
        <v>825</v>
      </c>
      <c r="M688" s="95"/>
      <c r="N688" s="95"/>
      <c r="O688" s="95"/>
      <c r="T688" s="256" t="s">
        <v>825</v>
      </c>
      <c r="U688" s="257" t="s">
        <v>825</v>
      </c>
      <c r="V688" s="177"/>
      <c r="W688" s="258" t="s">
        <v>825</v>
      </c>
      <c r="X688" s="244">
        <v>2.3308783165211261E-2</v>
      </c>
      <c r="Y688" s="265">
        <f t="shared" si="61"/>
        <v>96</v>
      </c>
      <c r="AA688" s="265">
        <f>IF(COUNTIF($Y$571:$Y688,Y688)=1,Y688,Y688+(COUNTIF($Y$571:Y688,Y688)-1))</f>
        <v>96</v>
      </c>
      <c r="AB688" s="177"/>
      <c r="AC688" s="265">
        <f t="shared" si="58"/>
        <v>118</v>
      </c>
      <c r="AD688" s="266">
        <f t="shared" si="59"/>
        <v>4.322102990744723E-2</v>
      </c>
      <c r="AE688" s="244">
        <f t="shared" si="57"/>
        <v>0.11616126557759388</v>
      </c>
      <c r="AG688" s="244"/>
      <c r="AH688" s="244"/>
      <c r="AI688" s="244"/>
      <c r="AJ688" s="244"/>
      <c r="AK688" s="244"/>
    </row>
    <row r="689" spans="4:37" x14ac:dyDescent="0.3">
      <c r="D689" s="75">
        <f t="shared" si="62"/>
        <v>119</v>
      </c>
      <c r="E689" s="80">
        <f t="shared" si="62"/>
        <v>5</v>
      </c>
      <c r="F689" s="80">
        <f t="shared" si="62"/>
        <v>5</v>
      </c>
      <c r="H689" s="255" t="s">
        <v>825</v>
      </c>
      <c r="I689" s="255" t="s">
        <v>825</v>
      </c>
      <c r="J689" s="255" t="s">
        <v>825</v>
      </c>
      <c r="L689" s="255" t="s">
        <v>825</v>
      </c>
      <c r="M689" s="95"/>
      <c r="N689" s="95"/>
      <c r="O689" s="95"/>
      <c r="T689" s="256" t="s">
        <v>825</v>
      </c>
      <c r="U689" s="257" t="s">
        <v>825</v>
      </c>
      <c r="V689" s="177"/>
      <c r="W689" s="258" t="s">
        <v>825</v>
      </c>
      <c r="X689" s="244">
        <v>2.2049903530659923E-4</v>
      </c>
      <c r="Y689" s="265">
        <f t="shared" si="61"/>
        <v>83</v>
      </c>
      <c r="AA689" s="265">
        <f>IF(COUNTIF($Y$571:$Y689,Y689)=1,Y689,Y689+(COUNTIF($Y$571:Y689,Y689)-1))</f>
        <v>83</v>
      </c>
      <c r="AB689" s="177"/>
      <c r="AC689" s="265">
        <f t="shared" si="58"/>
        <v>119</v>
      </c>
      <c r="AD689" s="266">
        <f t="shared" si="59"/>
        <v>4.5624495307510483E-2</v>
      </c>
      <c r="AE689" s="244">
        <f t="shared" si="57"/>
        <v>0.11616126557759388</v>
      </c>
      <c r="AG689" s="244"/>
      <c r="AH689" s="244"/>
      <c r="AI689" s="244"/>
      <c r="AJ689" s="244"/>
      <c r="AK689" s="244"/>
    </row>
    <row r="690" spans="4:37" x14ac:dyDescent="0.3">
      <c r="D690" s="75">
        <f t="shared" si="62"/>
        <v>120</v>
      </c>
      <c r="E690" s="80">
        <f t="shared" si="62"/>
        <v>5</v>
      </c>
      <c r="F690" s="80">
        <f t="shared" si="62"/>
        <v>5</v>
      </c>
      <c r="H690" s="255" t="s">
        <v>825</v>
      </c>
      <c r="I690" s="255" t="s">
        <v>825</v>
      </c>
      <c r="J690" s="255" t="s">
        <v>825</v>
      </c>
      <c r="L690" s="255" t="s">
        <v>825</v>
      </c>
      <c r="M690" s="95"/>
      <c r="N690" s="95"/>
      <c r="O690" s="95"/>
      <c r="T690" s="256" t="s">
        <v>825</v>
      </c>
      <c r="U690" s="257" t="s">
        <v>825</v>
      </c>
      <c r="V690" s="177"/>
      <c r="W690" s="258" t="s">
        <v>825</v>
      </c>
      <c r="X690" s="244">
        <v>4.2111219235924702E-2</v>
      </c>
      <c r="Y690" s="265">
        <f t="shared" si="61"/>
        <v>116</v>
      </c>
      <c r="AA690" s="265">
        <f>IF(COUNTIF($Y$571:$Y690,Y690)=1,Y690,Y690+(COUNTIF($Y$571:Y690,Y690)-1))</f>
        <v>116</v>
      </c>
      <c r="AB690" s="177"/>
      <c r="AC690" s="265">
        <f t="shared" si="58"/>
        <v>120</v>
      </c>
      <c r="AD690" s="266">
        <f t="shared" si="59"/>
        <v>4.571996738660971E-2</v>
      </c>
      <c r="AE690" s="244">
        <f t="shared" si="57"/>
        <v>0.11616126557759388</v>
      </c>
      <c r="AG690" s="244"/>
      <c r="AH690" s="244"/>
      <c r="AI690" s="244"/>
      <c r="AJ690" s="244"/>
      <c r="AK690" s="244"/>
    </row>
    <row r="691" spans="4:37" x14ac:dyDescent="0.3">
      <c r="D691" s="75">
        <f t="shared" ref="D691:F710" si="63">D449</f>
        <v>121</v>
      </c>
      <c r="E691" s="80">
        <f t="shared" si="63"/>
        <v>5</v>
      </c>
      <c r="F691" s="80">
        <f t="shared" si="63"/>
        <v>5</v>
      </c>
      <c r="H691" s="255" t="s">
        <v>825</v>
      </c>
      <c r="I691" s="255" t="s">
        <v>825</v>
      </c>
      <c r="J691" s="255" t="s">
        <v>825</v>
      </c>
      <c r="L691" s="255" t="s">
        <v>825</v>
      </c>
      <c r="M691" s="95"/>
      <c r="N691" s="95"/>
      <c r="O691" s="95"/>
      <c r="T691" s="256" t="s">
        <v>825</v>
      </c>
      <c r="U691" s="257" t="s">
        <v>825</v>
      </c>
      <c r="V691" s="177"/>
      <c r="W691" s="258" t="s">
        <v>825</v>
      </c>
      <c r="X691" s="244">
        <v>0.10956414965487932</v>
      </c>
      <c r="Y691" s="265">
        <f t="shared" si="61"/>
        <v>176</v>
      </c>
      <c r="AA691" s="265">
        <f>IF(COUNTIF($Y$571:$Y691,Y691)=1,Y691,Y691+(COUNTIF($Y$571:Y691,Y691)-1))</f>
        <v>176</v>
      </c>
      <c r="AB691" s="177"/>
      <c r="AC691" s="265">
        <f t="shared" si="58"/>
        <v>121</v>
      </c>
      <c r="AD691" s="266">
        <f t="shared" si="59"/>
        <v>4.6264880164325256E-2</v>
      </c>
      <c r="AE691" s="244">
        <f t="shared" si="57"/>
        <v>0.11616126557759388</v>
      </c>
      <c r="AG691" s="244"/>
      <c r="AH691" s="244"/>
      <c r="AI691" s="244"/>
      <c r="AJ691" s="244"/>
      <c r="AK691" s="244"/>
    </row>
    <row r="692" spans="4:37" x14ac:dyDescent="0.3">
      <c r="D692" s="75">
        <f t="shared" si="63"/>
        <v>122</v>
      </c>
      <c r="E692" s="80">
        <f t="shared" si="63"/>
        <v>5</v>
      </c>
      <c r="F692" s="80">
        <f t="shared" si="63"/>
        <v>5</v>
      </c>
      <c r="H692" s="255" t="s">
        <v>825</v>
      </c>
      <c r="I692" s="255" t="s">
        <v>825</v>
      </c>
      <c r="J692" s="255" t="s">
        <v>825</v>
      </c>
      <c r="L692" s="255" t="s">
        <v>825</v>
      </c>
      <c r="M692" s="95"/>
      <c r="N692" s="95"/>
      <c r="O692" s="95"/>
      <c r="T692" s="256" t="s">
        <v>825</v>
      </c>
      <c r="U692" s="257" t="s">
        <v>825</v>
      </c>
      <c r="V692" s="177"/>
      <c r="W692" s="258" t="s">
        <v>825</v>
      </c>
      <c r="X692" s="244">
        <v>0.10419928517141396</v>
      </c>
      <c r="Y692" s="265">
        <f t="shared" si="61"/>
        <v>170</v>
      </c>
      <c r="AA692" s="265">
        <f>IF(COUNTIF($Y$571:$Y692,Y692)=1,Y692,Y692+(COUNTIF($Y$571:Y692,Y692)-1))</f>
        <v>170</v>
      </c>
      <c r="AB692" s="177"/>
      <c r="AC692" s="265">
        <f t="shared" si="58"/>
        <v>122</v>
      </c>
      <c r="AD692" s="266">
        <f t="shared" si="59"/>
        <v>4.8677934630558022E-2</v>
      </c>
      <c r="AE692" s="244">
        <f t="shared" si="57"/>
        <v>0.11616126557759388</v>
      </c>
      <c r="AG692" s="244"/>
      <c r="AH692" s="244"/>
      <c r="AI692" s="244"/>
      <c r="AJ692" s="244"/>
      <c r="AK692" s="244"/>
    </row>
    <row r="693" spans="4:37" x14ac:dyDescent="0.3">
      <c r="D693" s="75">
        <f t="shared" si="63"/>
        <v>123</v>
      </c>
      <c r="E693" s="80">
        <f t="shared" si="63"/>
        <v>5</v>
      </c>
      <c r="F693" s="80">
        <f t="shared" si="63"/>
        <v>5</v>
      </c>
      <c r="H693" s="255" t="s">
        <v>825</v>
      </c>
      <c r="I693" s="255" t="s">
        <v>825</v>
      </c>
      <c r="J693" s="255" t="s">
        <v>825</v>
      </c>
      <c r="L693" s="255" t="s">
        <v>825</v>
      </c>
      <c r="M693" s="95"/>
      <c r="N693" s="95"/>
      <c r="O693" s="95"/>
      <c r="T693" s="256" t="s">
        <v>825</v>
      </c>
      <c r="U693" s="257" t="s">
        <v>825</v>
      </c>
      <c r="V693" s="177"/>
      <c r="W693" s="258" t="s">
        <v>825</v>
      </c>
      <c r="X693" s="244">
        <v>9.1448337686800649E-2</v>
      </c>
      <c r="Y693" s="265">
        <f t="shared" si="61"/>
        <v>158</v>
      </c>
      <c r="AA693" s="265">
        <f>IF(COUNTIF($Y$571:$Y693,Y693)=1,Y693,Y693+(COUNTIF($Y$571:Y693,Y693)-1))</f>
        <v>158</v>
      </c>
      <c r="AB693" s="177"/>
      <c r="AC693" s="265">
        <f t="shared" si="58"/>
        <v>123</v>
      </c>
      <c r="AD693" s="266">
        <f t="shared" si="59"/>
        <v>4.9771306002441486E-2</v>
      </c>
      <c r="AE693" s="244">
        <f t="shared" si="57"/>
        <v>0.11616126557759388</v>
      </c>
      <c r="AG693" s="244"/>
      <c r="AH693" s="244"/>
      <c r="AI693" s="244"/>
      <c r="AJ693" s="244"/>
      <c r="AK693" s="244"/>
    </row>
    <row r="694" spans="4:37" x14ac:dyDescent="0.3">
      <c r="D694" s="75">
        <f t="shared" si="63"/>
        <v>124</v>
      </c>
      <c r="E694" s="80">
        <f t="shared" si="63"/>
        <v>5</v>
      </c>
      <c r="F694" s="80">
        <f t="shared" si="63"/>
        <v>5</v>
      </c>
      <c r="H694" s="255" t="s">
        <v>825</v>
      </c>
      <c r="I694" s="255" t="s">
        <v>825</v>
      </c>
      <c r="J694" s="255" t="s">
        <v>825</v>
      </c>
      <c r="L694" s="255" t="s">
        <v>825</v>
      </c>
      <c r="M694" s="95"/>
      <c r="N694" s="95"/>
      <c r="O694" s="95"/>
      <c r="T694" s="256" t="s">
        <v>825</v>
      </c>
      <c r="U694" s="257" t="s">
        <v>825</v>
      </c>
      <c r="V694" s="177"/>
      <c r="W694" s="258" t="s">
        <v>825</v>
      </c>
      <c r="X694" s="244">
        <v>0.10960112993469406</v>
      </c>
      <c r="Y694" s="265">
        <f t="shared" si="61"/>
        <v>177</v>
      </c>
      <c r="AA694" s="265">
        <f>IF(COUNTIF($Y$571:$Y694,Y694)=1,Y694,Y694+(COUNTIF($Y$571:Y694,Y694)-1))</f>
        <v>177</v>
      </c>
      <c r="AB694" s="177"/>
      <c r="AC694" s="265">
        <f t="shared" si="58"/>
        <v>124</v>
      </c>
      <c r="AD694" s="266">
        <f t="shared" si="59"/>
        <v>5.2155756400303642E-2</v>
      </c>
      <c r="AE694" s="244">
        <f t="shared" si="57"/>
        <v>0.11616126557759388</v>
      </c>
      <c r="AG694" s="244"/>
      <c r="AH694" s="244"/>
      <c r="AI694" s="244"/>
      <c r="AJ694" s="244"/>
      <c r="AK694" s="244"/>
    </row>
    <row r="695" spans="4:37" x14ac:dyDescent="0.3">
      <c r="D695" s="75">
        <f t="shared" si="63"/>
        <v>125</v>
      </c>
      <c r="E695" s="80">
        <f t="shared" si="63"/>
        <v>5</v>
      </c>
      <c r="F695" s="80">
        <f t="shared" si="63"/>
        <v>5</v>
      </c>
      <c r="H695" s="255" t="s">
        <v>825</v>
      </c>
      <c r="I695" s="255" t="s">
        <v>825</v>
      </c>
      <c r="J695" s="255" t="s">
        <v>825</v>
      </c>
      <c r="L695" s="255" t="s">
        <v>825</v>
      </c>
      <c r="M695" s="95"/>
      <c r="N695" s="95"/>
      <c r="O695" s="95"/>
      <c r="T695" s="256" t="s">
        <v>825</v>
      </c>
      <c r="U695" s="257" t="s">
        <v>825</v>
      </c>
      <c r="V695" s="177"/>
      <c r="W695" s="258" t="s">
        <v>825</v>
      </c>
      <c r="X695" s="244">
        <v>0.12255590920424046</v>
      </c>
      <c r="Y695" s="265">
        <f t="shared" si="61"/>
        <v>186</v>
      </c>
      <c r="AA695" s="265">
        <f>IF(COUNTIF($Y$571:$Y695,Y695)=1,Y695,Y695+(COUNTIF($Y$571:Y695,Y695)-1))</f>
        <v>186</v>
      </c>
      <c r="AB695" s="177"/>
      <c r="AC695" s="265">
        <f t="shared" si="58"/>
        <v>125</v>
      </c>
      <c r="AD695" s="266">
        <f t="shared" si="59"/>
        <v>5.3020024070746422E-2</v>
      </c>
      <c r="AE695" s="244">
        <f t="shared" si="57"/>
        <v>0.11616126557759388</v>
      </c>
      <c r="AG695" s="244"/>
      <c r="AH695" s="244"/>
      <c r="AI695" s="244"/>
      <c r="AJ695" s="244"/>
      <c r="AK695" s="244"/>
    </row>
    <row r="696" spans="4:37" x14ac:dyDescent="0.3">
      <c r="D696" s="75">
        <f t="shared" si="63"/>
        <v>126</v>
      </c>
      <c r="E696" s="80">
        <f t="shared" si="63"/>
        <v>5</v>
      </c>
      <c r="F696" s="80">
        <f t="shared" si="63"/>
        <v>5</v>
      </c>
      <c r="H696" s="255" t="s">
        <v>825</v>
      </c>
      <c r="I696" s="255" t="s">
        <v>825</v>
      </c>
      <c r="J696" s="255" t="s">
        <v>825</v>
      </c>
      <c r="L696" s="255" t="s">
        <v>825</v>
      </c>
      <c r="M696" s="95"/>
      <c r="N696" s="95"/>
      <c r="O696" s="95"/>
      <c r="T696" s="256" t="s">
        <v>825</v>
      </c>
      <c r="U696" s="257" t="s">
        <v>825</v>
      </c>
      <c r="V696" s="177"/>
      <c r="W696" s="258" t="s">
        <v>825</v>
      </c>
      <c r="X696" s="244">
        <v>0.10792535792414985</v>
      </c>
      <c r="Y696" s="265">
        <f t="shared" si="61"/>
        <v>175</v>
      </c>
      <c r="AA696" s="265">
        <f>IF(COUNTIF($Y$571:$Y696,Y696)=1,Y696,Y696+(COUNTIF($Y$571:Y696,Y696)-1))</f>
        <v>175</v>
      </c>
      <c r="AB696" s="177"/>
      <c r="AC696" s="265">
        <f t="shared" si="58"/>
        <v>126</v>
      </c>
      <c r="AD696" s="266">
        <f t="shared" si="59"/>
        <v>5.3114782296595463E-2</v>
      </c>
      <c r="AE696" s="244">
        <f t="shared" si="57"/>
        <v>0.11616126557759388</v>
      </c>
      <c r="AG696" s="244"/>
      <c r="AH696" s="244"/>
      <c r="AI696" s="244"/>
      <c r="AJ696" s="244"/>
      <c r="AK696" s="244"/>
    </row>
    <row r="697" spans="4:37" x14ac:dyDescent="0.3">
      <c r="D697" s="75">
        <f t="shared" si="63"/>
        <v>127</v>
      </c>
      <c r="E697" s="80">
        <f t="shared" si="63"/>
        <v>5</v>
      </c>
      <c r="F697" s="80">
        <f t="shared" si="63"/>
        <v>5</v>
      </c>
      <c r="H697" s="255" t="s">
        <v>825</v>
      </c>
      <c r="I697" s="255" t="s">
        <v>825</v>
      </c>
      <c r="J697" s="255" t="s">
        <v>825</v>
      </c>
      <c r="L697" s="255" t="s">
        <v>825</v>
      </c>
      <c r="M697" s="95"/>
      <c r="N697" s="95"/>
      <c r="O697" s="95"/>
      <c r="T697" s="256" t="s">
        <v>825</v>
      </c>
      <c r="U697" s="257" t="s">
        <v>825</v>
      </c>
      <c r="V697" s="177"/>
      <c r="W697" s="258" t="s">
        <v>825</v>
      </c>
      <c r="X697" s="244">
        <v>8.3584281264386565E-2</v>
      </c>
      <c r="Y697" s="265">
        <f t="shared" si="61"/>
        <v>150</v>
      </c>
      <c r="AA697" s="265">
        <f>IF(COUNTIF($Y$571:$Y697,Y697)=1,Y697,Y697+(COUNTIF($Y$571:Y697,Y697)-1))</f>
        <v>150</v>
      </c>
      <c r="AB697" s="177"/>
      <c r="AC697" s="265">
        <f t="shared" si="58"/>
        <v>127</v>
      </c>
      <c r="AD697" s="266">
        <f t="shared" si="59"/>
        <v>5.326115912692507E-2</v>
      </c>
      <c r="AE697" s="244">
        <f t="shared" si="57"/>
        <v>0.11616126557759388</v>
      </c>
      <c r="AG697" s="244"/>
      <c r="AH697" s="244"/>
      <c r="AI697" s="244"/>
      <c r="AJ697" s="244"/>
      <c r="AK697" s="244"/>
    </row>
    <row r="698" spans="4:37" x14ac:dyDescent="0.3">
      <c r="D698" s="75">
        <f t="shared" si="63"/>
        <v>128</v>
      </c>
      <c r="E698" s="80">
        <f t="shared" si="63"/>
        <v>5</v>
      </c>
      <c r="F698" s="80">
        <f t="shared" si="63"/>
        <v>5</v>
      </c>
      <c r="H698" s="255" t="s">
        <v>825</v>
      </c>
      <c r="I698" s="255" t="s">
        <v>825</v>
      </c>
      <c r="J698" s="255" t="s">
        <v>825</v>
      </c>
      <c r="L698" s="255" t="s">
        <v>825</v>
      </c>
      <c r="M698" s="95"/>
      <c r="N698" s="95"/>
      <c r="O698" s="95"/>
      <c r="T698" s="256" t="s">
        <v>825</v>
      </c>
      <c r="U698" s="257" t="s">
        <v>825</v>
      </c>
      <c r="V698" s="177"/>
      <c r="W698" s="258" t="s">
        <v>825</v>
      </c>
      <c r="X698" s="244">
        <v>5.3664732561161212E-4</v>
      </c>
      <c r="Y698" s="265">
        <f t="shared" si="61"/>
        <v>84</v>
      </c>
      <c r="AA698" s="265">
        <f>IF(COUNTIF($Y$571:$Y698,Y698)=1,Y698,Y698+(COUNTIF($Y$571:Y698,Y698)-1))</f>
        <v>84</v>
      </c>
      <c r="AB698" s="177"/>
      <c r="AC698" s="265">
        <f t="shared" si="58"/>
        <v>128</v>
      </c>
      <c r="AD698" s="266">
        <f t="shared" si="59"/>
        <v>5.4342770110578371E-2</v>
      </c>
      <c r="AE698" s="244">
        <f t="shared" si="57"/>
        <v>0.11616126557759388</v>
      </c>
      <c r="AG698" s="244"/>
      <c r="AH698" s="244"/>
      <c r="AI698" s="244"/>
      <c r="AJ698" s="244"/>
      <c r="AK698" s="244"/>
    </row>
    <row r="699" spans="4:37" x14ac:dyDescent="0.3">
      <c r="D699" s="75">
        <f t="shared" si="63"/>
        <v>129</v>
      </c>
      <c r="E699" s="80">
        <f t="shared" si="63"/>
        <v>5</v>
      </c>
      <c r="F699" s="80">
        <f t="shared" si="63"/>
        <v>5</v>
      </c>
      <c r="H699" s="255" t="s">
        <v>825</v>
      </c>
      <c r="I699" s="255" t="s">
        <v>825</v>
      </c>
      <c r="J699" s="255" t="s">
        <v>825</v>
      </c>
      <c r="L699" s="255" t="s">
        <v>825</v>
      </c>
      <c r="M699" s="95"/>
      <c r="N699" s="95"/>
      <c r="O699" s="95"/>
      <c r="T699" s="256" t="s">
        <v>825</v>
      </c>
      <c r="U699" s="257" t="s">
        <v>825</v>
      </c>
      <c r="V699" s="177"/>
      <c r="W699" s="258" t="s">
        <v>825</v>
      </c>
      <c r="X699" s="244">
        <v>0.13212133784513935</v>
      </c>
      <c r="Y699" s="265">
        <f t="shared" ref="Y699:Y730" si="64">RANK($X699,$X$571:$X$790,-1)</f>
        <v>190</v>
      </c>
      <c r="AA699" s="265">
        <f>IF(COUNTIF($Y$571:$Y699,Y699)=1,Y699,Y699+(COUNTIF($Y$571:Y699,Y699)-1))</f>
        <v>190</v>
      </c>
      <c r="AB699" s="177"/>
      <c r="AC699" s="265">
        <f t="shared" si="58"/>
        <v>129</v>
      </c>
      <c r="AD699" s="266">
        <f t="shared" si="59"/>
        <v>5.4794954109204534E-2</v>
      </c>
      <c r="AE699" s="244">
        <f t="shared" ref="AE699:AE762" si="65">$AE$568</f>
        <v>0.11616126557759388</v>
      </c>
      <c r="AG699" s="244"/>
      <c r="AH699" s="244"/>
      <c r="AI699" s="244"/>
      <c r="AJ699" s="244"/>
      <c r="AK699" s="244"/>
    </row>
    <row r="700" spans="4:37" x14ac:dyDescent="0.3">
      <c r="D700" s="75">
        <f t="shared" si="63"/>
        <v>130</v>
      </c>
      <c r="E700" s="80">
        <f t="shared" si="63"/>
        <v>5</v>
      </c>
      <c r="F700" s="80">
        <f t="shared" si="63"/>
        <v>5</v>
      </c>
      <c r="H700" s="255" t="s">
        <v>825</v>
      </c>
      <c r="I700" s="255" t="s">
        <v>825</v>
      </c>
      <c r="J700" s="255" t="s">
        <v>825</v>
      </c>
      <c r="L700" s="255" t="s">
        <v>825</v>
      </c>
      <c r="M700" s="95"/>
      <c r="N700" s="95"/>
      <c r="O700" s="95"/>
      <c r="T700" s="256" t="s">
        <v>825</v>
      </c>
      <c r="U700" s="257" t="s">
        <v>825</v>
      </c>
      <c r="V700" s="177"/>
      <c r="W700" s="258" t="s">
        <v>825</v>
      </c>
      <c r="X700" s="244">
        <v>0.13843169137907832</v>
      </c>
      <c r="Y700" s="265">
        <f t="shared" si="64"/>
        <v>194</v>
      </c>
      <c r="AA700" s="265">
        <f>IF(COUNTIF($Y$571:$Y700,Y700)=1,Y700,Y700+(COUNTIF($Y$571:Y700,Y700)-1))</f>
        <v>194</v>
      </c>
      <c r="AB700" s="177"/>
      <c r="AC700" s="265">
        <f t="shared" ref="AC700:AC763" si="66">N(AC699)+1</f>
        <v>130</v>
      </c>
      <c r="AD700" s="266">
        <f t="shared" ref="AD700:AD763" si="67">INDEX($X$571:$X$790,MATCH(AC700,$AA$571:$AA$790,0))</f>
        <v>5.5026092062042835E-2</v>
      </c>
      <c r="AE700" s="244">
        <f t="shared" si="65"/>
        <v>0.11616126557759388</v>
      </c>
      <c r="AG700" s="244"/>
      <c r="AH700" s="244"/>
      <c r="AI700" s="244"/>
      <c r="AJ700" s="244"/>
      <c r="AK700" s="244"/>
    </row>
    <row r="701" spans="4:37" x14ac:dyDescent="0.3">
      <c r="D701" s="75">
        <f t="shared" si="63"/>
        <v>131</v>
      </c>
      <c r="E701" s="80">
        <f t="shared" si="63"/>
        <v>5</v>
      </c>
      <c r="F701" s="80">
        <f t="shared" si="63"/>
        <v>5</v>
      </c>
      <c r="H701" s="255" t="s">
        <v>825</v>
      </c>
      <c r="I701" s="255" t="s">
        <v>825</v>
      </c>
      <c r="J701" s="255" t="s">
        <v>825</v>
      </c>
      <c r="L701" s="255" t="s">
        <v>825</v>
      </c>
      <c r="M701" s="95"/>
      <c r="N701" s="95"/>
      <c r="O701" s="95"/>
      <c r="T701" s="256" t="s">
        <v>825</v>
      </c>
      <c r="U701" s="257" t="s">
        <v>825</v>
      </c>
      <c r="V701" s="177"/>
      <c r="W701" s="258" t="s">
        <v>825</v>
      </c>
      <c r="X701" s="244">
        <v>9.8724947229460569E-2</v>
      </c>
      <c r="Y701" s="265">
        <f t="shared" si="64"/>
        <v>166</v>
      </c>
      <c r="AA701" s="265">
        <f>IF(COUNTIF($Y$571:$Y701,Y701)=1,Y701,Y701+(COUNTIF($Y$571:Y701,Y701)-1))</f>
        <v>166</v>
      </c>
      <c r="AB701" s="177"/>
      <c r="AC701" s="265">
        <f t="shared" si="66"/>
        <v>131</v>
      </c>
      <c r="AD701" s="266">
        <f t="shared" si="67"/>
        <v>5.5582825312942293E-2</v>
      </c>
      <c r="AE701" s="244">
        <f t="shared" si="65"/>
        <v>0.11616126557759388</v>
      </c>
      <c r="AG701" s="244"/>
      <c r="AH701" s="244"/>
      <c r="AI701" s="244"/>
      <c r="AJ701" s="244"/>
      <c r="AK701" s="244"/>
    </row>
    <row r="702" spans="4:37" x14ac:dyDescent="0.3">
      <c r="D702" s="75">
        <f t="shared" si="63"/>
        <v>132</v>
      </c>
      <c r="E702" s="80">
        <f t="shared" si="63"/>
        <v>5</v>
      </c>
      <c r="F702" s="80">
        <f t="shared" si="63"/>
        <v>5</v>
      </c>
      <c r="H702" s="255" t="s">
        <v>825</v>
      </c>
      <c r="I702" s="255" t="s">
        <v>825</v>
      </c>
      <c r="J702" s="255" t="s">
        <v>825</v>
      </c>
      <c r="L702" s="255" t="s">
        <v>825</v>
      </c>
      <c r="M702" s="95"/>
      <c r="N702" s="95"/>
      <c r="O702" s="95"/>
      <c r="T702" s="256" t="s">
        <v>825</v>
      </c>
      <c r="U702" s="257" t="s">
        <v>825</v>
      </c>
      <c r="V702" s="177"/>
      <c r="W702" s="258" t="s">
        <v>825</v>
      </c>
      <c r="X702" s="244">
        <v>0.12152599874119938</v>
      </c>
      <c r="Y702" s="265">
        <f t="shared" si="64"/>
        <v>184</v>
      </c>
      <c r="AA702" s="265">
        <f>IF(COUNTIF($Y$571:$Y702,Y702)=1,Y702,Y702+(COUNTIF($Y$571:Y702,Y702)-1))</f>
        <v>184</v>
      </c>
      <c r="AB702" s="177"/>
      <c r="AC702" s="265">
        <f t="shared" si="66"/>
        <v>132</v>
      </c>
      <c r="AD702" s="266">
        <f t="shared" si="67"/>
        <v>5.7546674255886471E-2</v>
      </c>
      <c r="AE702" s="244">
        <f t="shared" si="65"/>
        <v>0.11616126557759388</v>
      </c>
      <c r="AG702" s="244"/>
      <c r="AH702" s="244"/>
      <c r="AI702" s="244"/>
      <c r="AJ702" s="244"/>
      <c r="AK702" s="244"/>
    </row>
    <row r="703" spans="4:37" x14ac:dyDescent="0.3">
      <c r="D703" s="75">
        <f t="shared" si="63"/>
        <v>133</v>
      </c>
      <c r="E703" s="80">
        <f t="shared" si="63"/>
        <v>5</v>
      </c>
      <c r="F703" s="80">
        <f t="shared" si="63"/>
        <v>5</v>
      </c>
      <c r="H703" s="255" t="s">
        <v>825</v>
      </c>
      <c r="I703" s="255" t="s">
        <v>825</v>
      </c>
      <c r="J703" s="255" t="s">
        <v>825</v>
      </c>
      <c r="L703" s="255" t="s">
        <v>825</v>
      </c>
      <c r="M703" s="95"/>
      <c r="N703" s="95"/>
      <c r="O703" s="95"/>
      <c r="T703" s="256" t="s">
        <v>825</v>
      </c>
      <c r="U703" s="257" t="s">
        <v>825</v>
      </c>
      <c r="V703" s="177"/>
      <c r="W703" s="258" t="s">
        <v>825</v>
      </c>
      <c r="X703" s="244">
        <v>0.11641888680371618</v>
      </c>
      <c r="Y703" s="265">
        <f t="shared" si="64"/>
        <v>180</v>
      </c>
      <c r="AA703" s="265">
        <f>IF(COUNTIF($Y$571:$Y703,Y703)=1,Y703,Y703+(COUNTIF($Y$571:Y703,Y703)-1))</f>
        <v>180</v>
      </c>
      <c r="AB703" s="177"/>
      <c r="AC703" s="265">
        <f t="shared" si="66"/>
        <v>133</v>
      </c>
      <c r="AD703" s="266">
        <f t="shared" si="67"/>
        <v>5.7888949781448949E-2</v>
      </c>
      <c r="AE703" s="244">
        <f t="shared" si="65"/>
        <v>0.11616126557759388</v>
      </c>
      <c r="AG703" s="244"/>
      <c r="AH703" s="244"/>
      <c r="AI703" s="244"/>
      <c r="AJ703" s="244"/>
      <c r="AK703" s="244"/>
    </row>
    <row r="704" spans="4:37" x14ac:dyDescent="0.3">
      <c r="D704" s="75">
        <f t="shared" si="63"/>
        <v>134</v>
      </c>
      <c r="E704" s="80">
        <f t="shared" si="63"/>
        <v>5</v>
      </c>
      <c r="F704" s="80">
        <f t="shared" si="63"/>
        <v>5</v>
      </c>
      <c r="H704" s="255" t="s">
        <v>825</v>
      </c>
      <c r="I704" s="255" t="s">
        <v>825</v>
      </c>
      <c r="J704" s="255" t="s">
        <v>825</v>
      </c>
      <c r="L704" s="255" t="s">
        <v>825</v>
      </c>
      <c r="M704" s="95"/>
      <c r="N704" s="95"/>
      <c r="O704" s="95"/>
      <c r="T704" s="256" t="s">
        <v>825</v>
      </c>
      <c r="U704" s="257" t="s">
        <v>825</v>
      </c>
      <c r="V704" s="177"/>
      <c r="W704" s="258" t="s">
        <v>825</v>
      </c>
      <c r="X704" s="244">
        <v>0.1481098464494946</v>
      </c>
      <c r="Y704" s="265">
        <f t="shared" si="64"/>
        <v>197</v>
      </c>
      <c r="AA704" s="265">
        <f>IF(COUNTIF($Y$571:$Y704,Y704)=1,Y704,Y704+(COUNTIF($Y$571:Y704,Y704)-1))</f>
        <v>197</v>
      </c>
      <c r="AB704" s="177"/>
      <c r="AC704" s="265">
        <f t="shared" si="66"/>
        <v>134</v>
      </c>
      <c r="AD704" s="266">
        <f t="shared" si="67"/>
        <v>5.8062030732116174E-2</v>
      </c>
      <c r="AE704" s="244">
        <f t="shared" si="65"/>
        <v>0.11616126557759388</v>
      </c>
      <c r="AG704" s="244"/>
      <c r="AH704" s="244"/>
      <c r="AI704" s="244"/>
      <c r="AJ704" s="244"/>
      <c r="AK704" s="244"/>
    </row>
    <row r="705" spans="4:37" x14ac:dyDescent="0.3">
      <c r="D705" s="75">
        <f t="shared" si="63"/>
        <v>135</v>
      </c>
      <c r="E705" s="80">
        <f t="shared" si="63"/>
        <v>5</v>
      </c>
      <c r="F705" s="80">
        <f t="shared" si="63"/>
        <v>5</v>
      </c>
      <c r="H705" s="255" t="s">
        <v>825</v>
      </c>
      <c r="I705" s="255" t="s">
        <v>825</v>
      </c>
      <c r="J705" s="255" t="s">
        <v>825</v>
      </c>
      <c r="L705" s="255" t="s">
        <v>825</v>
      </c>
      <c r="M705" s="95"/>
      <c r="N705" s="95"/>
      <c r="O705" s="95"/>
      <c r="T705" s="256" t="s">
        <v>825</v>
      </c>
      <c r="U705" s="257" t="s">
        <v>825</v>
      </c>
      <c r="V705" s="177"/>
      <c r="W705" s="258" t="s">
        <v>825</v>
      </c>
      <c r="X705" s="244">
        <v>0.11920060135667322</v>
      </c>
      <c r="Y705" s="265">
        <f t="shared" si="64"/>
        <v>183</v>
      </c>
      <c r="AA705" s="265">
        <f>IF(COUNTIF($Y$571:$Y705,Y705)=1,Y705,Y705+(COUNTIF($Y$571:Y705,Y705)-1))</f>
        <v>183</v>
      </c>
      <c r="AB705" s="177"/>
      <c r="AC705" s="265">
        <f t="shared" si="66"/>
        <v>135</v>
      </c>
      <c r="AD705" s="266">
        <f t="shared" si="67"/>
        <v>6.0185164065146179E-2</v>
      </c>
      <c r="AE705" s="244">
        <f t="shared" si="65"/>
        <v>0.11616126557759388</v>
      </c>
      <c r="AG705" s="244"/>
      <c r="AH705" s="244"/>
      <c r="AI705" s="244"/>
      <c r="AJ705" s="244"/>
      <c r="AK705" s="244"/>
    </row>
    <row r="706" spans="4:37" x14ac:dyDescent="0.3">
      <c r="D706" s="75">
        <f t="shared" si="63"/>
        <v>136</v>
      </c>
      <c r="E706" s="80">
        <f t="shared" si="63"/>
        <v>5</v>
      </c>
      <c r="F706" s="80">
        <f t="shared" si="63"/>
        <v>5</v>
      </c>
      <c r="H706" s="255" t="s">
        <v>825</v>
      </c>
      <c r="I706" s="255" t="s">
        <v>825</v>
      </c>
      <c r="J706" s="255" t="s">
        <v>825</v>
      </c>
      <c r="L706" s="255" t="s">
        <v>825</v>
      </c>
      <c r="M706" s="95"/>
      <c r="N706" s="95"/>
      <c r="O706" s="95"/>
      <c r="T706" s="256" t="s">
        <v>825</v>
      </c>
      <c r="U706" s="257" t="s">
        <v>825</v>
      </c>
      <c r="V706" s="177"/>
      <c r="W706" s="258" t="s">
        <v>825</v>
      </c>
      <c r="X706" s="244">
        <v>0.15285410395298502</v>
      </c>
      <c r="Y706" s="265">
        <f t="shared" si="64"/>
        <v>202</v>
      </c>
      <c r="AA706" s="265">
        <f>IF(COUNTIF($Y$571:$Y706,Y706)=1,Y706,Y706+(COUNTIF($Y$571:Y706,Y706)-1))</f>
        <v>202</v>
      </c>
      <c r="AB706" s="177"/>
      <c r="AC706" s="265">
        <f t="shared" si="66"/>
        <v>136</v>
      </c>
      <c r="AD706" s="266">
        <f t="shared" si="67"/>
        <v>6.0825839954853474E-2</v>
      </c>
      <c r="AE706" s="244">
        <f t="shared" si="65"/>
        <v>0.11616126557759388</v>
      </c>
      <c r="AG706" s="244"/>
      <c r="AH706" s="244"/>
      <c r="AI706" s="244"/>
      <c r="AJ706" s="244"/>
      <c r="AK706" s="244"/>
    </row>
    <row r="707" spans="4:37" x14ac:dyDescent="0.3">
      <c r="D707" s="75">
        <f t="shared" si="63"/>
        <v>137</v>
      </c>
      <c r="E707" s="80">
        <f t="shared" si="63"/>
        <v>5</v>
      </c>
      <c r="F707" s="80">
        <f t="shared" si="63"/>
        <v>5</v>
      </c>
      <c r="H707" s="255" t="s">
        <v>825</v>
      </c>
      <c r="I707" s="255" t="s">
        <v>825</v>
      </c>
      <c r="J707" s="255" t="s">
        <v>825</v>
      </c>
      <c r="L707" s="255" t="s">
        <v>825</v>
      </c>
      <c r="M707" s="95"/>
      <c r="N707" s="95"/>
      <c r="O707" s="95"/>
      <c r="T707" s="256" t="s">
        <v>825</v>
      </c>
      <c r="U707" s="257" t="s">
        <v>825</v>
      </c>
      <c r="V707" s="177"/>
      <c r="W707" s="258" t="s">
        <v>825</v>
      </c>
      <c r="X707" s="244">
        <v>3.1189258160179024E-2</v>
      </c>
      <c r="Y707" s="265">
        <f t="shared" si="64"/>
        <v>103</v>
      </c>
      <c r="AA707" s="265">
        <f>IF(COUNTIF($Y$571:$Y707,Y707)=1,Y707,Y707+(COUNTIF($Y$571:Y707,Y707)-1))</f>
        <v>103</v>
      </c>
      <c r="AB707" s="177"/>
      <c r="AC707" s="265">
        <f t="shared" si="66"/>
        <v>137</v>
      </c>
      <c r="AD707" s="266">
        <f t="shared" si="67"/>
        <v>6.3514308364772745E-2</v>
      </c>
      <c r="AE707" s="244">
        <f t="shared" si="65"/>
        <v>0.11616126557759388</v>
      </c>
      <c r="AG707" s="244"/>
      <c r="AH707" s="244"/>
      <c r="AI707" s="244"/>
      <c r="AJ707" s="244"/>
      <c r="AK707" s="244"/>
    </row>
    <row r="708" spans="4:37" x14ac:dyDescent="0.3">
      <c r="D708" s="75">
        <f t="shared" si="63"/>
        <v>138</v>
      </c>
      <c r="E708" s="80">
        <f t="shared" si="63"/>
        <v>5</v>
      </c>
      <c r="F708" s="80">
        <f t="shared" si="63"/>
        <v>5</v>
      </c>
      <c r="H708" s="255" t="s">
        <v>825</v>
      </c>
      <c r="I708" s="255" t="s">
        <v>825</v>
      </c>
      <c r="J708" s="255" t="s">
        <v>825</v>
      </c>
      <c r="L708" s="255" t="s">
        <v>825</v>
      </c>
      <c r="M708" s="95"/>
      <c r="N708" s="95"/>
      <c r="O708" s="95"/>
      <c r="T708" s="256" t="s">
        <v>825</v>
      </c>
      <c r="U708" s="257" t="s">
        <v>825</v>
      </c>
      <c r="V708" s="177"/>
      <c r="W708" s="258" t="s">
        <v>825</v>
      </c>
      <c r="X708" s="244">
        <v>5.5026092062042835E-2</v>
      </c>
      <c r="Y708" s="265">
        <f t="shared" si="64"/>
        <v>130</v>
      </c>
      <c r="AA708" s="265">
        <f>IF(COUNTIF($Y$571:$Y708,Y708)=1,Y708,Y708+(COUNTIF($Y$571:Y708,Y708)-1))</f>
        <v>130</v>
      </c>
      <c r="AB708" s="177"/>
      <c r="AC708" s="265">
        <f t="shared" si="66"/>
        <v>138</v>
      </c>
      <c r="AD708" s="266">
        <f t="shared" si="67"/>
        <v>6.7231938202584954E-2</v>
      </c>
      <c r="AE708" s="244">
        <f t="shared" si="65"/>
        <v>0.11616126557759388</v>
      </c>
      <c r="AG708" s="244"/>
      <c r="AH708" s="244"/>
      <c r="AI708" s="244"/>
      <c r="AJ708" s="244"/>
      <c r="AK708" s="244"/>
    </row>
    <row r="709" spans="4:37" x14ac:dyDescent="0.3">
      <c r="D709" s="75">
        <f t="shared" si="63"/>
        <v>139</v>
      </c>
      <c r="E709" s="80">
        <f t="shared" si="63"/>
        <v>5</v>
      </c>
      <c r="F709" s="80">
        <f t="shared" si="63"/>
        <v>5</v>
      </c>
      <c r="H709" s="255" t="s">
        <v>825</v>
      </c>
      <c r="I709" s="255" t="s">
        <v>825</v>
      </c>
      <c r="J709" s="255" t="s">
        <v>825</v>
      </c>
      <c r="L709" s="255" t="s">
        <v>825</v>
      </c>
      <c r="M709" s="95"/>
      <c r="N709" s="95"/>
      <c r="O709" s="95"/>
      <c r="T709" s="256" t="s">
        <v>825</v>
      </c>
      <c r="U709" s="257" t="s">
        <v>825</v>
      </c>
      <c r="V709" s="177"/>
      <c r="W709" s="258" t="s">
        <v>825</v>
      </c>
      <c r="X709" s="244">
        <v>7.7790216059860973E-2</v>
      </c>
      <c r="Y709" s="265">
        <f t="shared" si="64"/>
        <v>145</v>
      </c>
      <c r="AA709" s="265">
        <f>IF(COUNTIF($Y$571:$Y709,Y709)=1,Y709,Y709+(COUNTIF($Y$571:Y709,Y709)-1))</f>
        <v>145</v>
      </c>
      <c r="AB709" s="177"/>
      <c r="AC709" s="265">
        <f t="shared" si="66"/>
        <v>139</v>
      </c>
      <c r="AD709" s="266">
        <f t="shared" si="67"/>
        <v>7.0006671483474434E-2</v>
      </c>
      <c r="AE709" s="244">
        <f t="shared" si="65"/>
        <v>0.11616126557759388</v>
      </c>
      <c r="AG709" s="244"/>
      <c r="AH709" s="244"/>
      <c r="AI709" s="244"/>
      <c r="AJ709" s="244"/>
      <c r="AK709" s="244"/>
    </row>
    <row r="710" spans="4:37" x14ac:dyDescent="0.3">
      <c r="D710" s="75">
        <f t="shared" si="63"/>
        <v>140</v>
      </c>
      <c r="E710" s="80">
        <f t="shared" si="63"/>
        <v>5</v>
      </c>
      <c r="F710" s="80">
        <f t="shared" si="63"/>
        <v>5</v>
      </c>
      <c r="H710" s="255" t="s">
        <v>825</v>
      </c>
      <c r="I710" s="255" t="s">
        <v>825</v>
      </c>
      <c r="J710" s="255" t="s">
        <v>825</v>
      </c>
      <c r="L710" s="255" t="s">
        <v>825</v>
      </c>
      <c r="M710" s="95"/>
      <c r="N710" s="95"/>
      <c r="O710" s="95"/>
      <c r="T710" s="256" t="s">
        <v>825</v>
      </c>
      <c r="U710" s="257" t="s">
        <v>825</v>
      </c>
      <c r="V710" s="177"/>
      <c r="W710" s="258" t="s">
        <v>825</v>
      </c>
      <c r="X710" s="244">
        <v>0.15578734032871708</v>
      </c>
      <c r="Y710" s="265">
        <f t="shared" si="64"/>
        <v>204</v>
      </c>
      <c r="AA710" s="265">
        <f>IF(COUNTIF($Y$571:$Y710,Y710)=1,Y710,Y710+(COUNTIF($Y$571:Y710,Y710)-1))</f>
        <v>204</v>
      </c>
      <c r="AB710" s="177"/>
      <c r="AC710" s="265">
        <f t="shared" si="66"/>
        <v>140</v>
      </c>
      <c r="AD710" s="266">
        <f t="shared" si="67"/>
        <v>7.0044109534084825E-2</v>
      </c>
      <c r="AE710" s="244">
        <f t="shared" si="65"/>
        <v>0.11616126557759388</v>
      </c>
      <c r="AG710" s="244"/>
      <c r="AH710" s="244"/>
      <c r="AI710" s="244"/>
      <c r="AJ710" s="244"/>
      <c r="AK710" s="244"/>
    </row>
    <row r="711" spans="4:37" x14ac:dyDescent="0.3">
      <c r="D711" s="75">
        <f t="shared" ref="D711:F728" si="68">D469</f>
        <v>141</v>
      </c>
      <c r="E711" s="80">
        <f t="shared" si="68"/>
        <v>5</v>
      </c>
      <c r="F711" s="80">
        <f t="shared" si="68"/>
        <v>5</v>
      </c>
      <c r="H711" s="255" t="s">
        <v>825</v>
      </c>
      <c r="I711" s="255" t="s">
        <v>825</v>
      </c>
      <c r="J711" s="255" t="s">
        <v>825</v>
      </c>
      <c r="L711" s="255" t="s">
        <v>825</v>
      </c>
      <c r="M711" s="95"/>
      <c r="N711" s="95"/>
      <c r="O711" s="95"/>
      <c r="T711" s="256" t="s">
        <v>825</v>
      </c>
      <c r="U711" s="257" t="s">
        <v>825</v>
      </c>
      <c r="V711" s="177"/>
      <c r="W711" s="258" t="s">
        <v>825</v>
      </c>
      <c r="X711" s="244">
        <v>0.15817316694797981</v>
      </c>
      <c r="Y711" s="265">
        <f t="shared" si="64"/>
        <v>205</v>
      </c>
      <c r="AA711" s="265">
        <f>IF(COUNTIF($Y$571:$Y711,Y711)=1,Y711,Y711+(COUNTIF($Y$571:Y711,Y711)-1))</f>
        <v>205</v>
      </c>
      <c r="AB711" s="177"/>
      <c r="AC711" s="265">
        <f t="shared" si="66"/>
        <v>141</v>
      </c>
      <c r="AD711" s="266">
        <f t="shared" si="67"/>
        <v>7.2417126943409543E-2</v>
      </c>
      <c r="AE711" s="244">
        <f t="shared" si="65"/>
        <v>0.11616126557759388</v>
      </c>
      <c r="AG711" s="244"/>
      <c r="AH711" s="244"/>
      <c r="AI711" s="244"/>
      <c r="AJ711" s="244"/>
      <c r="AK711" s="244"/>
    </row>
    <row r="712" spans="4:37" x14ac:dyDescent="0.3">
      <c r="D712" s="75">
        <f t="shared" si="68"/>
        <v>142</v>
      </c>
      <c r="E712" s="80">
        <f t="shared" si="68"/>
        <v>5</v>
      </c>
      <c r="F712" s="80">
        <f t="shared" si="68"/>
        <v>5</v>
      </c>
      <c r="H712" s="255" t="s">
        <v>825</v>
      </c>
      <c r="I712" s="255" t="s">
        <v>825</v>
      </c>
      <c r="J712" s="255" t="s">
        <v>825</v>
      </c>
      <c r="L712" s="255" t="s">
        <v>825</v>
      </c>
      <c r="M712" s="95"/>
      <c r="N712" s="95"/>
      <c r="O712" s="95"/>
      <c r="T712" s="256" t="s">
        <v>825</v>
      </c>
      <c r="U712" s="257" t="s">
        <v>825</v>
      </c>
      <c r="V712" s="177"/>
      <c r="W712" s="258" t="s">
        <v>825</v>
      </c>
      <c r="X712" s="244">
        <v>0.1638476894120138</v>
      </c>
      <c r="Y712" s="265">
        <f t="shared" si="64"/>
        <v>208</v>
      </c>
      <c r="AA712" s="265">
        <f>IF(COUNTIF($Y$571:$Y712,Y712)=1,Y712,Y712+(COUNTIF($Y$571:Y712,Y712)-1))</f>
        <v>208</v>
      </c>
      <c r="AB712" s="177"/>
      <c r="AC712" s="265">
        <f t="shared" si="66"/>
        <v>142</v>
      </c>
      <c r="AD712" s="266">
        <f t="shared" si="67"/>
        <v>7.3512801862011257E-2</v>
      </c>
      <c r="AE712" s="244">
        <f t="shared" si="65"/>
        <v>0.11616126557759388</v>
      </c>
      <c r="AG712" s="244"/>
      <c r="AH712" s="244"/>
      <c r="AI712" s="244"/>
      <c r="AJ712" s="244"/>
      <c r="AK712" s="244"/>
    </row>
    <row r="713" spans="4:37" x14ac:dyDescent="0.3">
      <c r="D713" s="75">
        <f t="shared" si="68"/>
        <v>143</v>
      </c>
      <c r="E713" s="80">
        <f t="shared" si="68"/>
        <v>5</v>
      </c>
      <c r="F713" s="80">
        <f t="shared" si="68"/>
        <v>5</v>
      </c>
      <c r="H713" s="255" t="s">
        <v>825</v>
      </c>
      <c r="I713" s="255" t="s">
        <v>825</v>
      </c>
      <c r="J713" s="255" t="s">
        <v>825</v>
      </c>
      <c r="L713" s="255" t="s">
        <v>825</v>
      </c>
      <c r="M713" s="95"/>
      <c r="N713" s="95"/>
      <c r="O713" s="95"/>
      <c r="T713" s="256" t="s">
        <v>825</v>
      </c>
      <c r="U713" s="257" t="s">
        <v>825</v>
      </c>
      <c r="V713" s="177"/>
      <c r="W713" s="258" t="s">
        <v>825</v>
      </c>
      <c r="X713" s="244">
        <v>5.8062030732116174E-2</v>
      </c>
      <c r="Y713" s="265">
        <f t="shared" si="64"/>
        <v>134</v>
      </c>
      <c r="AA713" s="265">
        <f>IF(COUNTIF($Y$571:$Y713,Y713)=1,Y713,Y713+(COUNTIF($Y$571:Y713,Y713)-1))</f>
        <v>134</v>
      </c>
      <c r="AB713" s="177"/>
      <c r="AC713" s="265">
        <f t="shared" si="66"/>
        <v>143</v>
      </c>
      <c r="AD713" s="266">
        <f t="shared" si="67"/>
        <v>7.673033214823817E-2</v>
      </c>
      <c r="AE713" s="244">
        <f t="shared" si="65"/>
        <v>0.11616126557759388</v>
      </c>
      <c r="AG713" s="244"/>
      <c r="AH713" s="244"/>
      <c r="AI713" s="244"/>
      <c r="AJ713" s="244"/>
      <c r="AK713" s="244"/>
    </row>
    <row r="714" spans="4:37" x14ac:dyDescent="0.3">
      <c r="D714" s="75">
        <f t="shared" si="68"/>
        <v>144</v>
      </c>
      <c r="E714" s="80">
        <f t="shared" si="68"/>
        <v>5</v>
      </c>
      <c r="F714" s="80">
        <f t="shared" si="68"/>
        <v>5</v>
      </c>
      <c r="H714" s="255" t="s">
        <v>825</v>
      </c>
      <c r="I714" s="255" t="s">
        <v>825</v>
      </c>
      <c r="J714" s="255" t="s">
        <v>825</v>
      </c>
      <c r="L714" s="255" t="s">
        <v>825</v>
      </c>
      <c r="M714" s="95"/>
      <c r="N714" s="95"/>
      <c r="O714" s="95"/>
      <c r="T714" s="256" t="s">
        <v>825</v>
      </c>
      <c r="U714" s="257" t="s">
        <v>825</v>
      </c>
      <c r="V714" s="177"/>
      <c r="W714" s="258" t="s">
        <v>825</v>
      </c>
      <c r="X714" s="244">
        <v>0.14267233675040533</v>
      </c>
      <c r="Y714" s="265">
        <f t="shared" si="64"/>
        <v>195</v>
      </c>
      <c r="AA714" s="265">
        <f>IF(COUNTIF($Y$571:$Y714,Y714)=1,Y714,Y714+(COUNTIF($Y$571:Y714,Y714)-1))</f>
        <v>195</v>
      </c>
      <c r="AB714" s="177"/>
      <c r="AC714" s="265">
        <f t="shared" si="66"/>
        <v>144</v>
      </c>
      <c r="AD714" s="266">
        <f t="shared" si="67"/>
        <v>7.7587411020339045E-2</v>
      </c>
      <c r="AE714" s="244">
        <f t="shared" si="65"/>
        <v>0.11616126557759388</v>
      </c>
      <c r="AG714" s="244"/>
      <c r="AH714" s="244"/>
      <c r="AI714" s="244"/>
      <c r="AJ714" s="244"/>
      <c r="AK714" s="244"/>
    </row>
    <row r="715" spans="4:37" x14ac:dyDescent="0.3">
      <c r="D715" s="75">
        <f t="shared" si="68"/>
        <v>145</v>
      </c>
      <c r="E715" s="80">
        <f t="shared" si="68"/>
        <v>5</v>
      </c>
      <c r="F715" s="80">
        <f t="shared" si="68"/>
        <v>5</v>
      </c>
      <c r="H715" s="255" t="s">
        <v>825</v>
      </c>
      <c r="I715" s="255" t="s">
        <v>825</v>
      </c>
      <c r="J715" s="255" t="s">
        <v>825</v>
      </c>
      <c r="L715" s="255" t="s">
        <v>825</v>
      </c>
      <c r="M715" s="95"/>
      <c r="N715" s="95"/>
      <c r="O715" s="95"/>
      <c r="T715" s="256" t="s">
        <v>825</v>
      </c>
      <c r="U715" s="257" t="s">
        <v>825</v>
      </c>
      <c r="V715" s="177"/>
      <c r="W715" s="258" t="s">
        <v>825</v>
      </c>
      <c r="X715" s="244">
        <v>0.13723414992268385</v>
      </c>
      <c r="Y715" s="265">
        <f t="shared" si="64"/>
        <v>193</v>
      </c>
      <c r="AA715" s="265">
        <f>IF(COUNTIF($Y$571:$Y715,Y715)=1,Y715,Y715+(COUNTIF($Y$571:Y715,Y715)-1))</f>
        <v>193</v>
      </c>
      <c r="AB715" s="177"/>
      <c r="AC715" s="265">
        <f t="shared" si="66"/>
        <v>145</v>
      </c>
      <c r="AD715" s="266">
        <f t="shared" si="67"/>
        <v>7.7790216059860973E-2</v>
      </c>
      <c r="AE715" s="244">
        <f t="shared" si="65"/>
        <v>0.11616126557759388</v>
      </c>
      <c r="AG715" s="244"/>
      <c r="AH715" s="244"/>
      <c r="AI715" s="244"/>
      <c r="AJ715" s="244"/>
      <c r="AK715" s="244"/>
    </row>
    <row r="716" spans="4:37" x14ac:dyDescent="0.3">
      <c r="D716" s="75">
        <f t="shared" si="68"/>
        <v>146</v>
      </c>
      <c r="E716" s="80">
        <f t="shared" si="68"/>
        <v>5</v>
      </c>
      <c r="F716" s="80">
        <f t="shared" si="68"/>
        <v>5</v>
      </c>
      <c r="H716" s="255" t="s">
        <v>825</v>
      </c>
      <c r="I716" s="255" t="s">
        <v>825</v>
      </c>
      <c r="J716" s="255" t="s">
        <v>825</v>
      </c>
      <c r="L716" s="255" t="s">
        <v>825</v>
      </c>
      <c r="M716" s="95"/>
      <c r="N716" s="95"/>
      <c r="O716" s="95"/>
      <c r="T716" s="256" t="s">
        <v>825</v>
      </c>
      <c r="U716" s="257" t="s">
        <v>825</v>
      </c>
      <c r="V716" s="177"/>
      <c r="W716" s="258" t="s">
        <v>825</v>
      </c>
      <c r="X716" s="244">
        <v>0.14905020976594638</v>
      </c>
      <c r="Y716" s="265">
        <f t="shared" si="64"/>
        <v>198</v>
      </c>
      <c r="AA716" s="265">
        <f>IF(COUNTIF($Y$571:$Y716,Y716)=1,Y716,Y716+(COUNTIF($Y$571:Y716,Y716)-1))</f>
        <v>198</v>
      </c>
      <c r="AB716" s="177"/>
      <c r="AC716" s="265">
        <f t="shared" si="66"/>
        <v>146</v>
      </c>
      <c r="AD716" s="266">
        <f t="shared" si="67"/>
        <v>7.8541890970325698E-2</v>
      </c>
      <c r="AE716" s="244">
        <f t="shared" si="65"/>
        <v>0.11616126557759388</v>
      </c>
      <c r="AG716" s="244"/>
      <c r="AH716" s="244"/>
      <c r="AI716" s="244"/>
      <c r="AJ716" s="244"/>
      <c r="AK716" s="244"/>
    </row>
    <row r="717" spans="4:37" x14ac:dyDescent="0.3">
      <c r="D717" s="75">
        <f t="shared" si="68"/>
        <v>147</v>
      </c>
      <c r="E717" s="80">
        <f t="shared" si="68"/>
        <v>5</v>
      </c>
      <c r="F717" s="80">
        <f t="shared" si="68"/>
        <v>5</v>
      </c>
      <c r="H717" s="255" t="s">
        <v>825</v>
      </c>
      <c r="I717" s="255" t="s">
        <v>825</v>
      </c>
      <c r="J717" s="255" t="s">
        <v>825</v>
      </c>
      <c r="L717" s="255" t="s">
        <v>825</v>
      </c>
      <c r="M717" s="95"/>
      <c r="N717" s="95"/>
      <c r="O717" s="95"/>
      <c r="T717" s="256" t="s">
        <v>825</v>
      </c>
      <c r="U717" s="257" t="s">
        <v>825</v>
      </c>
      <c r="V717" s="177"/>
      <c r="W717" s="258" t="s">
        <v>825</v>
      </c>
      <c r="X717" s="244">
        <v>0.1183477291261559</v>
      </c>
      <c r="Y717" s="265">
        <f t="shared" si="64"/>
        <v>182</v>
      </c>
      <c r="AA717" s="265">
        <f>IF(COUNTIF($Y$571:$Y717,Y717)=1,Y717,Y717+(COUNTIF($Y$571:Y717,Y717)-1))</f>
        <v>182</v>
      </c>
      <c r="AB717" s="177"/>
      <c r="AC717" s="265">
        <f t="shared" si="66"/>
        <v>147</v>
      </c>
      <c r="AD717" s="266">
        <f t="shared" si="67"/>
        <v>7.8780185667815542E-2</v>
      </c>
      <c r="AE717" s="244">
        <f t="shared" si="65"/>
        <v>0.11616126557759388</v>
      </c>
      <c r="AG717" s="244"/>
      <c r="AH717" s="244"/>
      <c r="AI717" s="244"/>
      <c r="AJ717" s="244"/>
      <c r="AK717" s="244"/>
    </row>
    <row r="718" spans="4:37" x14ac:dyDescent="0.3">
      <c r="D718" s="75">
        <f t="shared" si="68"/>
        <v>148</v>
      </c>
      <c r="E718" s="80">
        <f t="shared" si="68"/>
        <v>5</v>
      </c>
      <c r="F718" s="80">
        <f t="shared" si="68"/>
        <v>5</v>
      </c>
      <c r="H718" s="255" t="s">
        <v>825</v>
      </c>
      <c r="I718" s="255" t="s">
        <v>825</v>
      </c>
      <c r="J718" s="255" t="s">
        <v>825</v>
      </c>
      <c r="L718" s="255" t="s">
        <v>825</v>
      </c>
      <c r="M718" s="95"/>
      <c r="N718" s="95"/>
      <c r="O718" s="95"/>
      <c r="T718" s="256" t="s">
        <v>825</v>
      </c>
      <c r="U718" s="257" t="s">
        <v>825</v>
      </c>
      <c r="V718" s="177"/>
      <c r="W718" s="258" t="s">
        <v>825</v>
      </c>
      <c r="X718" s="244">
        <v>0.12779145997458369</v>
      </c>
      <c r="Y718" s="265">
        <f t="shared" si="64"/>
        <v>187</v>
      </c>
      <c r="AA718" s="265">
        <f>IF(COUNTIF($Y$571:$Y718,Y718)=1,Y718,Y718+(COUNTIF($Y$571:Y718,Y718)-1))</f>
        <v>187</v>
      </c>
      <c r="AB718" s="177"/>
      <c r="AC718" s="265">
        <f t="shared" si="66"/>
        <v>148</v>
      </c>
      <c r="AD718" s="266">
        <f t="shared" si="67"/>
        <v>8.1049357520792412E-2</v>
      </c>
      <c r="AE718" s="244">
        <f t="shared" si="65"/>
        <v>0.11616126557759388</v>
      </c>
      <c r="AG718" s="244"/>
      <c r="AH718" s="244"/>
      <c r="AI718" s="244"/>
      <c r="AJ718" s="244"/>
      <c r="AK718" s="244"/>
    </row>
    <row r="719" spans="4:37" x14ac:dyDescent="0.3">
      <c r="D719" s="75">
        <f t="shared" si="68"/>
        <v>149</v>
      </c>
      <c r="E719" s="80">
        <f t="shared" si="68"/>
        <v>5</v>
      </c>
      <c r="F719" s="80">
        <f t="shared" si="68"/>
        <v>5</v>
      </c>
      <c r="H719" s="255" t="s">
        <v>825</v>
      </c>
      <c r="I719" s="255" t="s">
        <v>825</v>
      </c>
      <c r="J719" s="255" t="s">
        <v>825</v>
      </c>
      <c r="L719" s="255" t="s">
        <v>825</v>
      </c>
      <c r="M719" s="95"/>
      <c r="N719" s="95"/>
      <c r="O719" s="95"/>
      <c r="T719" s="256" t="s">
        <v>825</v>
      </c>
      <c r="U719" s="257" t="s">
        <v>825</v>
      </c>
      <c r="V719" s="177"/>
      <c r="W719" s="258" t="s">
        <v>825</v>
      </c>
      <c r="X719" s="244">
        <v>0.17234468931752367</v>
      </c>
      <c r="Y719" s="265">
        <f t="shared" si="64"/>
        <v>210</v>
      </c>
      <c r="AA719" s="265">
        <f>IF(COUNTIF($Y$571:$Y719,Y719)=1,Y719,Y719+(COUNTIF($Y$571:Y719,Y719)-1))</f>
        <v>210</v>
      </c>
      <c r="AB719" s="177"/>
      <c r="AC719" s="265">
        <f t="shared" si="66"/>
        <v>149</v>
      </c>
      <c r="AD719" s="266">
        <f t="shared" si="67"/>
        <v>8.2227298766753332E-2</v>
      </c>
      <c r="AE719" s="244">
        <f t="shared" si="65"/>
        <v>0.11616126557759388</v>
      </c>
      <c r="AG719" s="244"/>
      <c r="AH719" s="244"/>
      <c r="AI719" s="244"/>
      <c r="AJ719" s="244"/>
      <c r="AK719" s="244"/>
    </row>
    <row r="720" spans="4:37" x14ac:dyDescent="0.3">
      <c r="D720" s="75">
        <f t="shared" si="68"/>
        <v>150</v>
      </c>
      <c r="E720" s="80">
        <f t="shared" si="68"/>
        <v>5</v>
      </c>
      <c r="F720" s="80">
        <f t="shared" si="68"/>
        <v>5</v>
      </c>
      <c r="H720" s="255" t="s">
        <v>825</v>
      </c>
      <c r="I720" s="255" t="s">
        <v>825</v>
      </c>
      <c r="J720" s="255" t="s">
        <v>825</v>
      </c>
      <c r="L720" s="255" t="s">
        <v>825</v>
      </c>
      <c r="M720" s="95"/>
      <c r="N720" s="95"/>
      <c r="O720" s="95"/>
      <c r="T720" s="256" t="s">
        <v>825</v>
      </c>
      <c r="U720" s="257" t="s">
        <v>825</v>
      </c>
      <c r="V720" s="177"/>
      <c r="W720" s="258" t="s">
        <v>825</v>
      </c>
      <c r="X720" s="244">
        <v>0.1047611458736354</v>
      </c>
      <c r="Y720" s="265">
        <f t="shared" si="64"/>
        <v>172</v>
      </c>
      <c r="AA720" s="265">
        <f>IF(COUNTIF($Y$571:$Y720,Y720)=1,Y720,Y720+(COUNTIF($Y$571:Y720,Y720)-1))</f>
        <v>172</v>
      </c>
      <c r="AB720" s="177"/>
      <c r="AC720" s="265">
        <f t="shared" si="66"/>
        <v>150</v>
      </c>
      <c r="AD720" s="266">
        <f t="shared" si="67"/>
        <v>8.3584281264386565E-2</v>
      </c>
      <c r="AE720" s="244">
        <f t="shared" si="65"/>
        <v>0.11616126557759388</v>
      </c>
      <c r="AG720" s="244"/>
      <c r="AH720" s="244"/>
      <c r="AI720" s="244"/>
      <c r="AJ720" s="244"/>
      <c r="AK720" s="244"/>
    </row>
    <row r="721" spans="4:37" x14ac:dyDescent="0.3">
      <c r="D721" s="75">
        <f t="shared" si="68"/>
        <v>151</v>
      </c>
      <c r="E721" s="80">
        <f t="shared" si="68"/>
        <v>5</v>
      </c>
      <c r="F721" s="80">
        <f t="shared" si="68"/>
        <v>5</v>
      </c>
      <c r="H721" s="255" t="s">
        <v>825</v>
      </c>
      <c r="I721" s="255" t="s">
        <v>825</v>
      </c>
      <c r="J721" s="255" t="s">
        <v>825</v>
      </c>
      <c r="L721" s="255" t="s">
        <v>825</v>
      </c>
      <c r="M721" s="95"/>
      <c r="N721" s="95"/>
      <c r="O721" s="95"/>
      <c r="T721" s="256" t="s">
        <v>825</v>
      </c>
      <c r="U721" s="257" t="s">
        <v>825</v>
      </c>
      <c r="V721" s="177"/>
      <c r="W721" s="258" t="s">
        <v>825</v>
      </c>
      <c r="X721" s="244">
        <v>5.3020024070746422E-2</v>
      </c>
      <c r="Y721" s="265">
        <f t="shared" si="64"/>
        <v>125</v>
      </c>
      <c r="AA721" s="265">
        <f>IF(COUNTIF($Y$571:$Y721,Y721)=1,Y721,Y721+(COUNTIF($Y$571:Y721,Y721)-1))</f>
        <v>125</v>
      </c>
      <c r="AB721" s="177"/>
      <c r="AC721" s="265">
        <f t="shared" si="66"/>
        <v>151</v>
      </c>
      <c r="AD721" s="266">
        <f t="shared" si="67"/>
        <v>8.548248831931432E-2</v>
      </c>
      <c r="AE721" s="244">
        <f t="shared" si="65"/>
        <v>0.11616126557759388</v>
      </c>
      <c r="AG721" s="244"/>
      <c r="AH721" s="244"/>
      <c r="AI721" s="244"/>
      <c r="AJ721" s="244"/>
      <c r="AK721" s="244"/>
    </row>
    <row r="722" spans="4:37" x14ac:dyDescent="0.3">
      <c r="D722" s="75">
        <f t="shared" si="68"/>
        <v>152</v>
      </c>
      <c r="E722" s="80">
        <f t="shared" si="68"/>
        <v>5</v>
      </c>
      <c r="F722" s="80">
        <f t="shared" si="68"/>
        <v>5</v>
      </c>
      <c r="H722" s="255" t="s">
        <v>825</v>
      </c>
      <c r="I722" s="255" t="s">
        <v>825</v>
      </c>
      <c r="J722" s="255" t="s">
        <v>825</v>
      </c>
      <c r="L722" s="255" t="s">
        <v>825</v>
      </c>
      <c r="M722" s="95"/>
      <c r="N722" s="95"/>
      <c r="O722" s="95"/>
      <c r="T722" s="256" t="s">
        <v>825</v>
      </c>
      <c r="U722" s="257" t="s">
        <v>825</v>
      </c>
      <c r="V722" s="177"/>
      <c r="W722" s="258" t="s">
        <v>825</v>
      </c>
      <c r="X722" s="244">
        <v>9.4483785812517415E-2</v>
      </c>
      <c r="Y722" s="265">
        <f t="shared" si="64"/>
        <v>160</v>
      </c>
      <c r="AA722" s="265">
        <f>IF(COUNTIF($Y$571:$Y722,Y722)=1,Y722,Y722+(COUNTIF($Y$571:Y722,Y722)-1))</f>
        <v>160</v>
      </c>
      <c r="AB722" s="177"/>
      <c r="AC722" s="265">
        <f t="shared" si="66"/>
        <v>152</v>
      </c>
      <c r="AD722" s="266">
        <f t="shared" si="67"/>
        <v>8.6305911043154826E-2</v>
      </c>
      <c r="AE722" s="244">
        <f t="shared" si="65"/>
        <v>0.11616126557759388</v>
      </c>
      <c r="AG722" s="244"/>
      <c r="AH722" s="244"/>
      <c r="AI722" s="244"/>
      <c r="AJ722" s="244"/>
      <c r="AK722" s="244"/>
    </row>
    <row r="723" spans="4:37" x14ac:dyDescent="0.3">
      <c r="D723" s="75">
        <f t="shared" si="68"/>
        <v>153</v>
      </c>
      <c r="E723" s="80">
        <f t="shared" si="68"/>
        <v>5</v>
      </c>
      <c r="F723" s="80">
        <f t="shared" si="68"/>
        <v>5</v>
      </c>
      <c r="H723" s="255" t="s">
        <v>825</v>
      </c>
      <c r="I723" s="255" t="s">
        <v>825</v>
      </c>
      <c r="J723" s="255" t="s">
        <v>825</v>
      </c>
      <c r="L723" s="255" t="s">
        <v>825</v>
      </c>
      <c r="M723" s="95"/>
      <c r="N723" s="95"/>
      <c r="O723" s="95"/>
      <c r="T723" s="256" t="s">
        <v>825</v>
      </c>
      <c r="U723" s="257" t="s">
        <v>825</v>
      </c>
      <c r="V723" s="177"/>
      <c r="W723" s="258" t="s">
        <v>825</v>
      </c>
      <c r="X723" s="244">
        <v>0.15042909044187461</v>
      </c>
      <c r="Y723" s="265">
        <f t="shared" si="64"/>
        <v>199</v>
      </c>
      <c r="AA723" s="265">
        <f>IF(COUNTIF($Y$571:$Y723,Y723)=1,Y723,Y723+(COUNTIF($Y$571:Y723,Y723)-1))</f>
        <v>199</v>
      </c>
      <c r="AB723" s="177"/>
      <c r="AC723" s="265">
        <f t="shared" si="66"/>
        <v>153</v>
      </c>
      <c r="AD723" s="266">
        <f t="shared" si="67"/>
        <v>8.6552544357564445E-2</v>
      </c>
      <c r="AE723" s="244">
        <f t="shared" si="65"/>
        <v>0.11616126557759388</v>
      </c>
      <c r="AG723" s="244"/>
      <c r="AH723" s="244"/>
      <c r="AI723" s="244"/>
      <c r="AJ723" s="244"/>
      <c r="AK723" s="244"/>
    </row>
    <row r="724" spans="4:37" x14ac:dyDescent="0.3">
      <c r="D724" s="75">
        <f t="shared" si="68"/>
        <v>154</v>
      </c>
      <c r="E724" s="80">
        <f t="shared" si="68"/>
        <v>5</v>
      </c>
      <c r="F724" s="80">
        <f t="shared" si="68"/>
        <v>5</v>
      </c>
      <c r="H724" s="255" t="s">
        <v>825</v>
      </c>
      <c r="I724" s="255" t="s">
        <v>825</v>
      </c>
      <c r="J724" s="255" t="s">
        <v>825</v>
      </c>
      <c r="L724" s="255" t="s">
        <v>825</v>
      </c>
      <c r="M724" s="95"/>
      <c r="N724" s="95"/>
      <c r="O724" s="95"/>
      <c r="T724" s="256" t="s">
        <v>825</v>
      </c>
      <c r="U724" s="257" t="s">
        <v>825</v>
      </c>
      <c r="V724" s="177"/>
      <c r="W724" s="258" t="s">
        <v>825</v>
      </c>
      <c r="X724" s="244">
        <v>0.15244057897123928</v>
      </c>
      <c r="Y724" s="265">
        <f t="shared" si="64"/>
        <v>201</v>
      </c>
      <c r="AA724" s="265">
        <f>IF(COUNTIF($Y$571:$Y724,Y724)=1,Y724,Y724+(COUNTIF($Y$571:Y724,Y724)-1))</f>
        <v>201</v>
      </c>
      <c r="AB724" s="177"/>
      <c r="AC724" s="265">
        <f t="shared" si="66"/>
        <v>154</v>
      </c>
      <c r="AD724" s="266">
        <f t="shared" si="67"/>
        <v>8.7154654765092307E-2</v>
      </c>
      <c r="AE724" s="244">
        <f t="shared" si="65"/>
        <v>0.11616126557759388</v>
      </c>
      <c r="AG724" s="244"/>
      <c r="AH724" s="244"/>
      <c r="AI724" s="244"/>
      <c r="AJ724" s="244"/>
      <c r="AK724" s="244"/>
    </row>
    <row r="725" spans="4:37" x14ac:dyDescent="0.3">
      <c r="D725" s="75">
        <f t="shared" si="68"/>
        <v>155</v>
      </c>
      <c r="E725" s="80">
        <f t="shared" si="68"/>
        <v>5</v>
      </c>
      <c r="F725" s="80">
        <f t="shared" si="68"/>
        <v>5</v>
      </c>
      <c r="H725" s="255" t="s">
        <v>825</v>
      </c>
      <c r="I725" s="255" t="s">
        <v>825</v>
      </c>
      <c r="J725" s="255" t="s">
        <v>825</v>
      </c>
      <c r="L725" s="255" t="s">
        <v>825</v>
      </c>
      <c r="M725" s="95"/>
      <c r="N725" s="95"/>
      <c r="O725" s="95"/>
      <c r="T725" s="256" t="s">
        <v>825</v>
      </c>
      <c r="U725" s="257" t="s">
        <v>825</v>
      </c>
      <c r="V725" s="177"/>
      <c r="W725" s="258" t="s">
        <v>825</v>
      </c>
      <c r="X725" s="244">
        <v>0.1223740276355535</v>
      </c>
      <c r="Y725" s="265">
        <f t="shared" si="64"/>
        <v>185</v>
      </c>
      <c r="AA725" s="265">
        <f>IF(COUNTIF($Y$571:$Y725,Y725)=1,Y725,Y725+(COUNTIF($Y$571:Y725,Y725)-1))</f>
        <v>185</v>
      </c>
      <c r="AB725" s="177"/>
      <c r="AC725" s="265">
        <f t="shared" si="66"/>
        <v>155</v>
      </c>
      <c r="AD725" s="266">
        <f t="shared" si="67"/>
        <v>8.8032782354571432E-2</v>
      </c>
      <c r="AE725" s="244">
        <f t="shared" si="65"/>
        <v>0.11616126557759388</v>
      </c>
      <c r="AG725" s="244"/>
      <c r="AH725" s="244"/>
      <c r="AI725" s="244"/>
      <c r="AJ725" s="244"/>
      <c r="AK725" s="244"/>
    </row>
    <row r="726" spans="4:37" x14ac:dyDescent="0.3">
      <c r="D726" s="75">
        <f t="shared" si="68"/>
        <v>156</v>
      </c>
      <c r="E726" s="80">
        <f t="shared" si="68"/>
        <v>5</v>
      </c>
      <c r="F726" s="80">
        <f t="shared" si="68"/>
        <v>5</v>
      </c>
      <c r="H726" s="255" t="s">
        <v>825</v>
      </c>
      <c r="I726" s="255" t="s">
        <v>825</v>
      </c>
      <c r="J726" s="255" t="s">
        <v>825</v>
      </c>
      <c r="L726" s="255" t="s">
        <v>825</v>
      </c>
      <c r="M726" s="95"/>
      <c r="N726" s="95"/>
      <c r="O726" s="95"/>
      <c r="T726" s="256" t="s">
        <v>825</v>
      </c>
      <c r="U726" s="257" t="s">
        <v>825</v>
      </c>
      <c r="V726" s="177"/>
      <c r="W726" s="258" t="s">
        <v>825</v>
      </c>
      <c r="X726" s="244">
        <v>8.7154654765092307E-2</v>
      </c>
      <c r="Y726" s="265">
        <f t="shared" si="64"/>
        <v>154</v>
      </c>
      <c r="AA726" s="265">
        <f>IF(COUNTIF($Y$571:$Y726,Y726)=1,Y726,Y726+(COUNTIF($Y$571:Y726,Y726)-1))</f>
        <v>154</v>
      </c>
      <c r="AB726" s="177"/>
      <c r="AC726" s="265">
        <f t="shared" si="66"/>
        <v>156</v>
      </c>
      <c r="AD726" s="266">
        <f t="shared" si="67"/>
        <v>9.0371799543248421E-2</v>
      </c>
      <c r="AE726" s="244">
        <f t="shared" si="65"/>
        <v>0.11616126557759388</v>
      </c>
      <c r="AG726" s="244"/>
      <c r="AH726" s="244"/>
      <c r="AI726" s="244"/>
      <c r="AJ726" s="244"/>
      <c r="AK726" s="244"/>
    </row>
    <row r="727" spans="4:37" x14ac:dyDescent="0.3">
      <c r="D727" s="75">
        <f t="shared" si="68"/>
        <v>157</v>
      </c>
      <c r="E727" s="80">
        <f t="shared" si="68"/>
        <v>5</v>
      </c>
      <c r="F727" s="80">
        <f t="shared" si="68"/>
        <v>5</v>
      </c>
      <c r="H727" s="255" t="s">
        <v>825</v>
      </c>
      <c r="I727" s="255" t="s">
        <v>825</v>
      </c>
      <c r="J727" s="255" t="s">
        <v>825</v>
      </c>
      <c r="L727" s="255" t="s">
        <v>825</v>
      </c>
      <c r="M727" s="95"/>
      <c r="N727" s="95"/>
      <c r="O727" s="95"/>
      <c r="T727" s="256" t="s">
        <v>825</v>
      </c>
      <c r="U727" s="257" t="s">
        <v>825</v>
      </c>
      <c r="V727" s="177"/>
      <c r="W727" s="258" t="s">
        <v>825</v>
      </c>
      <c r="X727" s="244">
        <v>7.2417126943409543E-2</v>
      </c>
      <c r="Y727" s="265">
        <f t="shared" si="64"/>
        <v>141</v>
      </c>
      <c r="AA727" s="265">
        <f>IF(COUNTIF($Y$571:$Y727,Y727)=1,Y727,Y727+(COUNTIF($Y$571:Y727,Y727)-1))</f>
        <v>141</v>
      </c>
      <c r="AB727" s="177"/>
      <c r="AC727" s="265">
        <f t="shared" si="66"/>
        <v>157</v>
      </c>
      <c r="AD727" s="266">
        <f t="shared" si="67"/>
        <v>9.0664618415056325E-2</v>
      </c>
      <c r="AE727" s="244">
        <f t="shared" si="65"/>
        <v>0.11616126557759388</v>
      </c>
      <c r="AG727" s="244"/>
      <c r="AH727" s="244"/>
      <c r="AI727" s="244"/>
      <c r="AJ727" s="244"/>
      <c r="AK727" s="244"/>
    </row>
    <row r="728" spans="4:37" x14ac:dyDescent="0.3">
      <c r="D728" s="75">
        <f t="shared" si="68"/>
        <v>158</v>
      </c>
      <c r="E728" s="80">
        <f t="shared" si="68"/>
        <v>5</v>
      </c>
      <c r="F728" s="80">
        <f t="shared" si="68"/>
        <v>5</v>
      </c>
      <c r="H728" s="269" t="s">
        <v>825</v>
      </c>
      <c r="I728" s="269" t="s">
        <v>825</v>
      </c>
      <c r="J728" s="269" t="s">
        <v>825</v>
      </c>
      <c r="L728" s="269" t="s">
        <v>825</v>
      </c>
      <c r="M728" s="95"/>
      <c r="N728" s="95"/>
      <c r="O728" s="95"/>
      <c r="T728" s="256" t="s">
        <v>825</v>
      </c>
      <c r="U728" s="257" t="s">
        <v>825</v>
      </c>
      <c r="V728" s="177"/>
      <c r="W728" s="258" t="s">
        <v>825</v>
      </c>
      <c r="X728" s="244">
        <v>0.13600207644099793</v>
      </c>
      <c r="Y728" s="265">
        <f t="shared" si="64"/>
        <v>192</v>
      </c>
      <c r="AA728" s="265">
        <f>IF(COUNTIF($Y$571:$Y728,Y728)=1,Y728,Y728+(COUNTIF($Y$571:Y728,Y728)-1))</f>
        <v>192</v>
      </c>
      <c r="AB728" s="177"/>
      <c r="AC728" s="265">
        <f t="shared" si="66"/>
        <v>158</v>
      </c>
      <c r="AD728" s="266">
        <f t="shared" si="67"/>
        <v>9.1448337686800649E-2</v>
      </c>
      <c r="AE728" s="244">
        <f t="shared" si="65"/>
        <v>0.11616126557759388</v>
      </c>
      <c r="AG728" s="244"/>
      <c r="AH728" s="244"/>
      <c r="AI728" s="244"/>
      <c r="AJ728" s="244"/>
      <c r="AK728" s="244"/>
    </row>
    <row r="729" spans="4:37" x14ac:dyDescent="0.3">
      <c r="D729" s="267">
        <f t="shared" ref="D729:F748" si="69">D495</f>
        <v>1</v>
      </c>
      <c r="E729" s="268">
        <f t="shared" si="69"/>
        <v>6</v>
      </c>
      <c r="F729" s="268">
        <f t="shared" si="69"/>
        <v>6</v>
      </c>
      <c r="H729" s="271" t="s">
        <v>825</v>
      </c>
      <c r="I729" s="271" t="s">
        <v>825</v>
      </c>
      <c r="J729" s="271" t="s">
        <v>825</v>
      </c>
      <c r="L729" s="271" t="s">
        <v>825</v>
      </c>
      <c r="M729" s="95"/>
      <c r="N729" s="95"/>
      <c r="O729" s="95"/>
      <c r="T729" s="256" t="s">
        <v>825</v>
      </c>
      <c r="U729" s="257" t="s">
        <v>825</v>
      </c>
      <c r="V729" s="177"/>
      <c r="W729" s="258" t="s">
        <v>825</v>
      </c>
      <c r="X729" s="244">
        <v>-0.17280601050106661</v>
      </c>
      <c r="Y729" s="265">
        <f t="shared" si="64"/>
        <v>6</v>
      </c>
      <c r="AA729" s="265">
        <f>IF(COUNTIF($Y$571:$Y729,Y729)=1,Y729,Y729+(COUNTIF($Y$571:Y729,Y729)-1))</f>
        <v>6</v>
      </c>
      <c r="AB729" s="177"/>
      <c r="AC729" s="265">
        <f t="shared" si="66"/>
        <v>159</v>
      </c>
      <c r="AD729" s="266">
        <f t="shared" si="67"/>
        <v>9.4246444645849581E-2</v>
      </c>
      <c r="AE729" s="244">
        <f t="shared" si="65"/>
        <v>0.11616126557759388</v>
      </c>
      <c r="AG729" s="244"/>
      <c r="AH729" s="244"/>
      <c r="AI729" s="244"/>
      <c r="AJ729" s="244"/>
      <c r="AK729" s="244"/>
    </row>
    <row r="730" spans="4:37" x14ac:dyDescent="0.3">
      <c r="D730" s="75">
        <f t="shared" si="69"/>
        <v>2</v>
      </c>
      <c r="E730" s="80">
        <f t="shared" si="69"/>
        <v>6</v>
      </c>
      <c r="F730" s="80">
        <f t="shared" si="69"/>
        <v>6</v>
      </c>
      <c r="H730" s="255" t="s">
        <v>825</v>
      </c>
      <c r="I730" s="255" t="s">
        <v>825</v>
      </c>
      <c r="J730" s="255" t="s">
        <v>825</v>
      </c>
      <c r="L730" s="255" t="s">
        <v>825</v>
      </c>
      <c r="M730" s="95"/>
      <c r="N730" s="95"/>
      <c r="O730" s="95"/>
      <c r="T730" s="256" t="s">
        <v>825</v>
      </c>
      <c r="U730" s="257" t="s">
        <v>825</v>
      </c>
      <c r="V730" s="177"/>
      <c r="W730" s="258" t="s">
        <v>825</v>
      </c>
      <c r="X730" s="244">
        <v>-0.13179638824765125</v>
      </c>
      <c r="Y730" s="265">
        <f t="shared" si="64"/>
        <v>12</v>
      </c>
      <c r="AA730" s="265">
        <f>IF(COUNTIF($Y$571:$Y730,Y730)=1,Y730,Y730+(COUNTIF($Y$571:Y730,Y730)-1))</f>
        <v>12</v>
      </c>
      <c r="AB730" s="177"/>
      <c r="AC730" s="265">
        <f t="shared" si="66"/>
        <v>160</v>
      </c>
      <c r="AD730" s="266">
        <f t="shared" si="67"/>
        <v>9.4483785812517415E-2</v>
      </c>
      <c r="AE730" s="244">
        <f t="shared" si="65"/>
        <v>0.11616126557759388</v>
      </c>
      <c r="AG730" s="244"/>
      <c r="AH730" s="244"/>
      <c r="AI730" s="244"/>
      <c r="AJ730" s="244"/>
      <c r="AK730" s="244"/>
    </row>
    <row r="731" spans="4:37" x14ac:dyDescent="0.3">
      <c r="D731" s="75">
        <f t="shared" si="69"/>
        <v>3</v>
      </c>
      <c r="E731" s="80">
        <f t="shared" si="69"/>
        <v>6</v>
      </c>
      <c r="F731" s="80">
        <f t="shared" si="69"/>
        <v>6</v>
      </c>
      <c r="H731" s="255" t="s">
        <v>825</v>
      </c>
      <c r="I731" s="255" t="s">
        <v>825</v>
      </c>
      <c r="J731" s="255" t="s">
        <v>825</v>
      </c>
      <c r="L731" s="255" t="s">
        <v>825</v>
      </c>
      <c r="M731" s="95"/>
      <c r="N731" s="95"/>
      <c r="O731" s="95"/>
      <c r="T731" s="256" t="s">
        <v>825</v>
      </c>
      <c r="U731" s="257" t="s">
        <v>825</v>
      </c>
      <c r="V731" s="177"/>
      <c r="W731" s="258" t="s">
        <v>825</v>
      </c>
      <c r="X731" s="244">
        <v>-7.4661490448540299E-2</v>
      </c>
      <c r="Y731" s="265">
        <f t="shared" ref="Y731:Y762" si="70">RANK($X731,$X$571:$X$790,-1)</f>
        <v>36</v>
      </c>
      <c r="AA731" s="265">
        <f>IF(COUNTIF($Y$571:$Y731,Y731)=1,Y731,Y731+(COUNTIF($Y$571:Y731,Y731)-1))</f>
        <v>36</v>
      </c>
      <c r="AB731" s="177"/>
      <c r="AC731" s="265">
        <f t="shared" si="66"/>
        <v>161</v>
      </c>
      <c r="AD731" s="266">
        <f t="shared" si="67"/>
        <v>9.7205561113490144E-2</v>
      </c>
      <c r="AE731" s="244">
        <f t="shared" si="65"/>
        <v>0.11616126557759388</v>
      </c>
      <c r="AG731" s="244"/>
      <c r="AH731" s="244"/>
      <c r="AI731" s="244"/>
      <c r="AJ731" s="244"/>
      <c r="AK731" s="244"/>
    </row>
    <row r="732" spans="4:37" x14ac:dyDescent="0.3">
      <c r="D732" s="75">
        <f t="shared" si="69"/>
        <v>4</v>
      </c>
      <c r="E732" s="80">
        <f t="shared" si="69"/>
        <v>6</v>
      </c>
      <c r="F732" s="80">
        <f t="shared" si="69"/>
        <v>6</v>
      </c>
      <c r="H732" s="255" t="s">
        <v>825</v>
      </c>
      <c r="I732" s="255" t="s">
        <v>825</v>
      </c>
      <c r="J732" s="255" t="s">
        <v>825</v>
      </c>
      <c r="L732" s="255" t="s">
        <v>825</v>
      </c>
      <c r="M732" s="95"/>
      <c r="N732" s="95"/>
      <c r="O732" s="95"/>
      <c r="T732" s="256" t="s">
        <v>825</v>
      </c>
      <c r="U732" s="257" t="s">
        <v>825</v>
      </c>
      <c r="V732" s="177"/>
      <c r="W732" s="258" t="s">
        <v>825</v>
      </c>
      <c r="X732" s="244">
        <v>-0.10554251039328044</v>
      </c>
      <c r="Y732" s="265">
        <f t="shared" si="70"/>
        <v>21</v>
      </c>
      <c r="AA732" s="265">
        <f>IF(COUNTIF($Y$571:$Y732,Y732)=1,Y732,Y732+(COUNTIF($Y$571:Y732,Y732)-1))</f>
        <v>21</v>
      </c>
      <c r="AB732" s="177"/>
      <c r="AC732" s="265">
        <f t="shared" si="66"/>
        <v>162</v>
      </c>
      <c r="AD732" s="266">
        <f t="shared" si="67"/>
        <v>9.7475559187301483E-2</v>
      </c>
      <c r="AE732" s="244">
        <f t="shared" si="65"/>
        <v>0.11616126557759388</v>
      </c>
      <c r="AG732" s="244"/>
      <c r="AH732" s="244"/>
      <c r="AI732" s="244"/>
      <c r="AJ732" s="244"/>
      <c r="AK732" s="244"/>
    </row>
    <row r="733" spans="4:37" x14ac:dyDescent="0.3">
      <c r="D733" s="75">
        <f t="shared" si="69"/>
        <v>5</v>
      </c>
      <c r="E733" s="80">
        <f t="shared" si="69"/>
        <v>6</v>
      </c>
      <c r="F733" s="80">
        <f t="shared" si="69"/>
        <v>6</v>
      </c>
      <c r="H733" s="255" t="s">
        <v>825</v>
      </c>
      <c r="I733" s="255" t="s">
        <v>825</v>
      </c>
      <c r="J733" s="255" t="s">
        <v>825</v>
      </c>
      <c r="L733" s="255" t="s">
        <v>825</v>
      </c>
      <c r="M733" s="95"/>
      <c r="N733" s="95"/>
      <c r="O733" s="95"/>
      <c r="T733" s="256" t="s">
        <v>825</v>
      </c>
      <c r="U733" s="257" t="s">
        <v>825</v>
      </c>
      <c r="V733" s="177"/>
      <c r="W733" s="258" t="s">
        <v>825</v>
      </c>
      <c r="X733" s="244">
        <v>-9.0247180077385233E-2</v>
      </c>
      <c r="Y733" s="265">
        <f t="shared" si="70"/>
        <v>30</v>
      </c>
      <c r="AA733" s="265">
        <f>IF(COUNTIF($Y$571:$Y733,Y733)=1,Y733,Y733+(COUNTIF($Y$571:Y733,Y733)-1))</f>
        <v>30</v>
      </c>
      <c r="AB733" s="177"/>
      <c r="AC733" s="265">
        <f t="shared" si="66"/>
        <v>163</v>
      </c>
      <c r="AD733" s="266">
        <f t="shared" si="67"/>
        <v>9.7762962733456193E-2</v>
      </c>
      <c r="AE733" s="244">
        <f t="shared" si="65"/>
        <v>0.11616126557759388</v>
      </c>
      <c r="AG733" s="244"/>
      <c r="AH733" s="244"/>
      <c r="AI733" s="244"/>
      <c r="AJ733" s="244"/>
      <c r="AK733" s="244"/>
    </row>
    <row r="734" spans="4:37" x14ac:dyDescent="0.3">
      <c r="D734" s="75">
        <f t="shared" si="69"/>
        <v>6</v>
      </c>
      <c r="E734" s="80">
        <f t="shared" si="69"/>
        <v>6</v>
      </c>
      <c r="F734" s="80">
        <f t="shared" si="69"/>
        <v>6</v>
      </c>
      <c r="H734" s="255" t="s">
        <v>825</v>
      </c>
      <c r="I734" s="255" t="s">
        <v>825</v>
      </c>
      <c r="J734" s="255" t="s">
        <v>825</v>
      </c>
      <c r="L734" s="255" t="s">
        <v>825</v>
      </c>
      <c r="M734" s="95"/>
      <c r="N734" s="95"/>
      <c r="O734" s="95"/>
      <c r="T734" s="256" t="s">
        <v>825</v>
      </c>
      <c r="U734" s="257" t="s">
        <v>825</v>
      </c>
      <c r="V734" s="177"/>
      <c r="W734" s="258" t="s">
        <v>825</v>
      </c>
      <c r="X734" s="244">
        <v>-3.4131253989903576E-2</v>
      </c>
      <c r="Y734" s="265">
        <f t="shared" si="70"/>
        <v>61</v>
      </c>
      <c r="AA734" s="265">
        <f>IF(COUNTIF($Y$571:$Y734,Y734)=1,Y734,Y734+(COUNTIF($Y$571:Y734,Y734)-1))</f>
        <v>61</v>
      </c>
      <c r="AB734" s="177"/>
      <c r="AC734" s="265">
        <f t="shared" si="66"/>
        <v>164</v>
      </c>
      <c r="AD734" s="266">
        <f t="shared" si="67"/>
        <v>9.8074211639931061E-2</v>
      </c>
      <c r="AE734" s="244">
        <f t="shared" si="65"/>
        <v>0.11616126557759388</v>
      </c>
      <c r="AG734" s="244"/>
      <c r="AH734" s="244"/>
      <c r="AI734" s="244"/>
      <c r="AJ734" s="244"/>
      <c r="AK734" s="244"/>
    </row>
    <row r="735" spans="4:37" x14ac:dyDescent="0.3">
      <c r="D735" s="75">
        <f t="shared" si="69"/>
        <v>7</v>
      </c>
      <c r="E735" s="80">
        <f t="shared" si="69"/>
        <v>6</v>
      </c>
      <c r="F735" s="80">
        <f t="shared" si="69"/>
        <v>6</v>
      </c>
      <c r="H735" s="255" t="s">
        <v>825</v>
      </c>
      <c r="I735" s="255" t="s">
        <v>825</v>
      </c>
      <c r="J735" s="255" t="s">
        <v>825</v>
      </c>
      <c r="L735" s="255" t="s">
        <v>825</v>
      </c>
      <c r="M735" s="95"/>
      <c r="N735" s="95"/>
      <c r="O735" s="95"/>
      <c r="T735" s="256" t="s">
        <v>825</v>
      </c>
      <c r="U735" s="257" t="s">
        <v>825</v>
      </c>
      <c r="V735" s="177"/>
      <c r="W735" s="258" t="s">
        <v>825</v>
      </c>
      <c r="X735" s="244">
        <v>-2.7363385291005474E-2</v>
      </c>
      <c r="Y735" s="265">
        <f t="shared" si="70"/>
        <v>66</v>
      </c>
      <c r="AA735" s="265">
        <f>IF(COUNTIF($Y$571:$Y735,Y735)=1,Y735,Y735+(COUNTIF($Y$571:Y735,Y735)-1))</f>
        <v>66</v>
      </c>
      <c r="AB735" s="177"/>
      <c r="AC735" s="265">
        <f t="shared" si="66"/>
        <v>165</v>
      </c>
      <c r="AD735" s="266">
        <f t="shared" si="67"/>
        <v>9.8337760531475804E-2</v>
      </c>
      <c r="AE735" s="244">
        <f t="shared" si="65"/>
        <v>0.11616126557759388</v>
      </c>
      <c r="AG735" s="244"/>
      <c r="AH735" s="244"/>
      <c r="AI735" s="244"/>
      <c r="AJ735" s="244"/>
      <c r="AK735" s="244"/>
    </row>
    <row r="736" spans="4:37" x14ac:dyDescent="0.3">
      <c r="D736" s="75">
        <f t="shared" si="69"/>
        <v>8</v>
      </c>
      <c r="E736" s="80">
        <f t="shared" si="69"/>
        <v>6</v>
      </c>
      <c r="F736" s="80">
        <f t="shared" si="69"/>
        <v>6</v>
      </c>
      <c r="H736" s="255" t="s">
        <v>825</v>
      </c>
      <c r="I736" s="255" t="s">
        <v>825</v>
      </c>
      <c r="J736" s="255" t="s">
        <v>825</v>
      </c>
      <c r="L736" s="255" t="s">
        <v>825</v>
      </c>
      <c r="M736" s="95"/>
      <c r="N736" s="95"/>
      <c r="O736" s="95"/>
      <c r="T736" s="256" t="s">
        <v>825</v>
      </c>
      <c r="U736" s="257" t="s">
        <v>825</v>
      </c>
      <c r="V736" s="177"/>
      <c r="W736" s="258" t="s">
        <v>825</v>
      </c>
      <c r="X736" s="244">
        <v>-1.601595927071962E-2</v>
      </c>
      <c r="Y736" s="265">
        <f t="shared" si="70"/>
        <v>70</v>
      </c>
      <c r="AA736" s="265">
        <f>IF(COUNTIF($Y$571:$Y736,Y736)=1,Y736,Y736+(COUNTIF($Y$571:Y736,Y736)-1))</f>
        <v>70</v>
      </c>
      <c r="AB736" s="177"/>
      <c r="AC736" s="265">
        <f t="shared" si="66"/>
        <v>166</v>
      </c>
      <c r="AD736" s="266">
        <f t="shared" si="67"/>
        <v>9.8724947229460569E-2</v>
      </c>
      <c r="AE736" s="244">
        <f t="shared" si="65"/>
        <v>0.11616126557759388</v>
      </c>
      <c r="AG736" s="244"/>
      <c r="AH736" s="244"/>
      <c r="AI736" s="244"/>
      <c r="AJ736" s="244"/>
      <c r="AK736" s="244"/>
    </row>
    <row r="737" spans="4:37" x14ac:dyDescent="0.3">
      <c r="D737" s="75">
        <f t="shared" si="69"/>
        <v>9</v>
      </c>
      <c r="E737" s="80">
        <f t="shared" si="69"/>
        <v>6</v>
      </c>
      <c r="F737" s="80">
        <f t="shared" si="69"/>
        <v>6</v>
      </c>
      <c r="H737" s="255" t="s">
        <v>825</v>
      </c>
      <c r="I737" s="255" t="s">
        <v>825</v>
      </c>
      <c r="J737" s="255" t="s">
        <v>825</v>
      </c>
      <c r="L737" s="255" t="s">
        <v>825</v>
      </c>
      <c r="M737" s="95"/>
      <c r="N737" s="95"/>
      <c r="O737" s="95"/>
      <c r="T737" s="256" t="s">
        <v>825</v>
      </c>
      <c r="U737" s="257" t="s">
        <v>825</v>
      </c>
      <c r="V737" s="177"/>
      <c r="W737" s="258" t="s">
        <v>825</v>
      </c>
      <c r="X737" s="244">
        <v>-5.4536078410963645E-3</v>
      </c>
      <c r="Y737" s="265">
        <f t="shared" si="70"/>
        <v>78</v>
      </c>
      <c r="AA737" s="265">
        <f>IF(COUNTIF($Y$571:$Y737,Y737)=1,Y737,Y737+(COUNTIF($Y$571:Y737,Y737)-1))</f>
        <v>78</v>
      </c>
      <c r="AB737" s="177"/>
      <c r="AC737" s="265">
        <f t="shared" si="66"/>
        <v>167</v>
      </c>
      <c r="AD737" s="266">
        <f t="shared" si="67"/>
        <v>9.8785788514976436E-2</v>
      </c>
      <c r="AE737" s="244">
        <f t="shared" si="65"/>
        <v>0.11616126557759388</v>
      </c>
      <c r="AG737" s="244"/>
      <c r="AH737" s="244"/>
      <c r="AI737" s="244"/>
      <c r="AJ737" s="244"/>
      <c r="AK737" s="244"/>
    </row>
    <row r="738" spans="4:37" x14ac:dyDescent="0.3">
      <c r="D738" s="75">
        <f t="shared" si="69"/>
        <v>10</v>
      </c>
      <c r="E738" s="80">
        <f t="shared" si="69"/>
        <v>6</v>
      </c>
      <c r="F738" s="80">
        <f t="shared" si="69"/>
        <v>6</v>
      </c>
      <c r="H738" s="255" t="s">
        <v>825</v>
      </c>
      <c r="I738" s="255" t="s">
        <v>825</v>
      </c>
      <c r="J738" s="255" t="s">
        <v>825</v>
      </c>
      <c r="L738" s="255" t="s">
        <v>825</v>
      </c>
      <c r="M738" s="95"/>
      <c r="N738" s="95"/>
      <c r="O738" s="95"/>
      <c r="T738" s="256" t="s">
        <v>825</v>
      </c>
      <c r="U738" s="257" t="s">
        <v>825</v>
      </c>
      <c r="V738" s="177"/>
      <c r="W738" s="258" t="s">
        <v>825</v>
      </c>
      <c r="X738" s="244">
        <v>1.678223011344495E-2</v>
      </c>
      <c r="Y738" s="265">
        <f t="shared" si="70"/>
        <v>90</v>
      </c>
      <c r="AA738" s="265">
        <f>IF(COUNTIF($Y$571:$Y738,Y738)=1,Y738,Y738+(COUNTIF($Y$571:Y738,Y738)-1))</f>
        <v>90</v>
      </c>
      <c r="AB738" s="177"/>
      <c r="AC738" s="265">
        <f t="shared" si="66"/>
        <v>168</v>
      </c>
      <c r="AD738" s="266">
        <f t="shared" si="67"/>
        <v>9.9083528727888129E-2</v>
      </c>
      <c r="AE738" s="244">
        <f t="shared" si="65"/>
        <v>0.11616126557759388</v>
      </c>
      <c r="AG738" s="244"/>
      <c r="AH738" s="244"/>
      <c r="AI738" s="244"/>
      <c r="AJ738" s="244"/>
      <c r="AK738" s="244"/>
    </row>
    <row r="739" spans="4:37" x14ac:dyDescent="0.3">
      <c r="D739" s="75">
        <f t="shared" si="69"/>
        <v>11</v>
      </c>
      <c r="E739" s="80">
        <f t="shared" si="69"/>
        <v>6</v>
      </c>
      <c r="F739" s="80">
        <f t="shared" si="69"/>
        <v>6</v>
      </c>
      <c r="H739" s="255" t="s">
        <v>825</v>
      </c>
      <c r="I739" s="255" t="s">
        <v>825</v>
      </c>
      <c r="J739" s="255" t="s">
        <v>825</v>
      </c>
      <c r="L739" s="255" t="s">
        <v>825</v>
      </c>
      <c r="M739" s="95"/>
      <c r="N739" s="95"/>
      <c r="O739" s="95"/>
      <c r="T739" s="256" t="s">
        <v>825</v>
      </c>
      <c r="U739" s="257" t="s">
        <v>825</v>
      </c>
      <c r="V739" s="177"/>
      <c r="W739" s="258" t="s">
        <v>825</v>
      </c>
      <c r="X739" s="244">
        <v>3.0035861016941987E-2</v>
      </c>
      <c r="Y739" s="265">
        <f t="shared" si="70"/>
        <v>102</v>
      </c>
      <c r="AA739" s="265">
        <f>IF(COUNTIF($Y$571:$Y739,Y739)=1,Y739,Y739+(COUNTIF($Y$571:Y739,Y739)-1))</f>
        <v>102</v>
      </c>
      <c r="AB739" s="177"/>
      <c r="AC739" s="265">
        <f t="shared" si="66"/>
        <v>169</v>
      </c>
      <c r="AD739" s="266">
        <f t="shared" si="67"/>
        <v>0.10217976210858322</v>
      </c>
      <c r="AE739" s="244">
        <f t="shared" si="65"/>
        <v>0.11616126557759388</v>
      </c>
      <c r="AG739" s="244"/>
      <c r="AH739" s="244"/>
      <c r="AI739" s="244"/>
      <c r="AJ739" s="244"/>
      <c r="AK739" s="244"/>
    </row>
    <row r="740" spans="4:37" x14ac:dyDescent="0.3">
      <c r="D740" s="75">
        <f t="shared" si="69"/>
        <v>12</v>
      </c>
      <c r="E740" s="80">
        <f t="shared" si="69"/>
        <v>6</v>
      </c>
      <c r="F740" s="80">
        <f t="shared" si="69"/>
        <v>6</v>
      </c>
      <c r="H740" s="255" t="s">
        <v>825</v>
      </c>
      <c r="I740" s="255" t="s">
        <v>825</v>
      </c>
      <c r="J740" s="255" t="s">
        <v>825</v>
      </c>
      <c r="L740" s="255" t="s">
        <v>825</v>
      </c>
      <c r="M740" s="95"/>
      <c r="N740" s="95"/>
      <c r="O740" s="95"/>
      <c r="T740" s="256" t="s">
        <v>825</v>
      </c>
      <c r="U740" s="257" t="s">
        <v>825</v>
      </c>
      <c r="V740" s="177"/>
      <c r="W740" s="258" t="s">
        <v>825</v>
      </c>
      <c r="X740" s="244">
        <v>1.9648015269856194E-2</v>
      </c>
      <c r="Y740" s="265">
        <f t="shared" si="70"/>
        <v>93</v>
      </c>
      <c r="AA740" s="265">
        <f>IF(COUNTIF($Y$571:$Y740,Y740)=1,Y740,Y740+(COUNTIF($Y$571:Y740,Y740)-1))</f>
        <v>93</v>
      </c>
      <c r="AB740" s="177"/>
      <c r="AC740" s="265">
        <f t="shared" si="66"/>
        <v>170</v>
      </c>
      <c r="AD740" s="266">
        <f t="shared" si="67"/>
        <v>0.10419928517141396</v>
      </c>
      <c r="AE740" s="244">
        <f t="shared" si="65"/>
        <v>0.11616126557759388</v>
      </c>
      <c r="AG740" s="244"/>
      <c r="AH740" s="244"/>
      <c r="AI740" s="244"/>
      <c r="AJ740" s="244"/>
      <c r="AK740" s="244"/>
    </row>
    <row r="741" spans="4:37" x14ac:dyDescent="0.3">
      <c r="D741" s="75">
        <f t="shared" si="69"/>
        <v>13</v>
      </c>
      <c r="E741" s="80">
        <f t="shared" si="69"/>
        <v>6</v>
      </c>
      <c r="F741" s="80">
        <f t="shared" si="69"/>
        <v>6</v>
      </c>
      <c r="H741" s="255" t="s">
        <v>825</v>
      </c>
      <c r="I741" s="255" t="s">
        <v>825</v>
      </c>
      <c r="J741" s="255" t="s">
        <v>825</v>
      </c>
      <c r="L741" s="255" t="s">
        <v>825</v>
      </c>
      <c r="M741" s="95"/>
      <c r="N741" s="95"/>
      <c r="O741" s="95"/>
      <c r="T741" s="256" t="s">
        <v>825</v>
      </c>
      <c r="U741" s="257" t="s">
        <v>825</v>
      </c>
      <c r="V741" s="177"/>
      <c r="W741" s="258" t="s">
        <v>825</v>
      </c>
      <c r="X741" s="244">
        <v>2.9379747871155968E-2</v>
      </c>
      <c r="Y741" s="265">
        <f t="shared" si="70"/>
        <v>100</v>
      </c>
      <c r="AA741" s="265">
        <f>IF(COUNTIF($Y$571:$Y741,Y741)=1,Y741,Y741+(COUNTIF($Y$571:Y741,Y741)-1))</f>
        <v>100</v>
      </c>
      <c r="AB741" s="177"/>
      <c r="AC741" s="265">
        <f t="shared" si="66"/>
        <v>171</v>
      </c>
      <c r="AD741" s="266">
        <f t="shared" si="67"/>
        <v>0.10428636402736267</v>
      </c>
      <c r="AE741" s="244">
        <f t="shared" si="65"/>
        <v>0.11616126557759388</v>
      </c>
      <c r="AG741" s="244"/>
      <c r="AH741" s="244"/>
      <c r="AI741" s="244"/>
      <c r="AJ741" s="244"/>
      <c r="AK741" s="244"/>
    </row>
    <row r="742" spans="4:37" x14ac:dyDescent="0.3">
      <c r="D742" s="75">
        <f t="shared" si="69"/>
        <v>14</v>
      </c>
      <c r="E742" s="80">
        <f t="shared" si="69"/>
        <v>6</v>
      </c>
      <c r="F742" s="80">
        <f t="shared" si="69"/>
        <v>6</v>
      </c>
      <c r="H742" s="255" t="s">
        <v>825</v>
      </c>
      <c r="I742" s="255" t="s">
        <v>825</v>
      </c>
      <c r="J742" s="255" t="s">
        <v>825</v>
      </c>
      <c r="L742" s="255" t="s">
        <v>825</v>
      </c>
      <c r="M742" s="95"/>
      <c r="N742" s="95"/>
      <c r="O742" s="95"/>
      <c r="T742" s="256" t="s">
        <v>825</v>
      </c>
      <c r="U742" s="257" t="s">
        <v>825</v>
      </c>
      <c r="V742" s="177"/>
      <c r="W742" s="258" t="s">
        <v>825</v>
      </c>
      <c r="X742" s="244">
        <v>3.5360555661647419E-2</v>
      </c>
      <c r="Y742" s="265">
        <f t="shared" si="70"/>
        <v>110</v>
      </c>
      <c r="AA742" s="265">
        <f>IF(COUNTIF($Y$571:$Y742,Y742)=1,Y742,Y742+(COUNTIF($Y$571:Y742,Y742)-1))</f>
        <v>110</v>
      </c>
      <c r="AB742" s="177"/>
      <c r="AC742" s="265">
        <f t="shared" si="66"/>
        <v>172</v>
      </c>
      <c r="AD742" s="266">
        <f t="shared" si="67"/>
        <v>0.1047611458736354</v>
      </c>
      <c r="AE742" s="244">
        <f t="shared" si="65"/>
        <v>0.11616126557759388</v>
      </c>
      <c r="AG742" s="244"/>
      <c r="AH742" s="244"/>
      <c r="AI742" s="244"/>
      <c r="AJ742" s="244"/>
      <c r="AK742" s="244"/>
    </row>
    <row r="743" spans="4:37" x14ac:dyDescent="0.3">
      <c r="D743" s="75">
        <f t="shared" si="69"/>
        <v>15</v>
      </c>
      <c r="E743" s="80">
        <f t="shared" si="69"/>
        <v>6</v>
      </c>
      <c r="F743" s="80">
        <f t="shared" si="69"/>
        <v>6</v>
      </c>
      <c r="H743" s="255" t="s">
        <v>825</v>
      </c>
      <c r="I743" s="255" t="s">
        <v>825</v>
      </c>
      <c r="J743" s="255" t="s">
        <v>825</v>
      </c>
      <c r="L743" s="255" t="s">
        <v>825</v>
      </c>
      <c r="M743" s="95"/>
      <c r="N743" s="95"/>
      <c r="O743" s="95"/>
      <c r="T743" s="256" t="s">
        <v>825</v>
      </c>
      <c r="U743" s="257" t="s">
        <v>825</v>
      </c>
      <c r="V743" s="177"/>
      <c r="W743" s="258" t="s">
        <v>825</v>
      </c>
      <c r="X743" s="244">
        <v>9.4246444645849581E-2</v>
      </c>
      <c r="Y743" s="265">
        <f t="shared" si="70"/>
        <v>159</v>
      </c>
      <c r="AA743" s="265">
        <f>IF(COUNTIF($Y$571:$Y743,Y743)=1,Y743,Y743+(COUNTIF($Y$571:Y743,Y743)-1))</f>
        <v>159</v>
      </c>
      <c r="AB743" s="177"/>
      <c r="AC743" s="265">
        <f t="shared" si="66"/>
        <v>173</v>
      </c>
      <c r="AD743" s="266">
        <f t="shared" si="67"/>
        <v>0.10520863836039179</v>
      </c>
      <c r="AE743" s="244">
        <f t="shared" si="65"/>
        <v>0.11616126557759388</v>
      </c>
      <c r="AG743" s="244"/>
      <c r="AH743" s="244"/>
      <c r="AI743" s="244"/>
      <c r="AJ743" s="244"/>
      <c r="AK743" s="244"/>
    </row>
    <row r="744" spans="4:37" x14ac:dyDescent="0.3">
      <c r="D744" s="75">
        <f t="shared" si="69"/>
        <v>16</v>
      </c>
      <c r="E744" s="80">
        <f t="shared" si="69"/>
        <v>6</v>
      </c>
      <c r="F744" s="80">
        <f t="shared" si="69"/>
        <v>6</v>
      </c>
      <c r="H744" s="255" t="s">
        <v>825</v>
      </c>
      <c r="I744" s="255" t="s">
        <v>825</v>
      </c>
      <c r="J744" s="255" t="s">
        <v>825</v>
      </c>
      <c r="L744" s="255" t="s">
        <v>825</v>
      </c>
      <c r="M744" s="95"/>
      <c r="N744" s="95"/>
      <c r="O744" s="95"/>
      <c r="T744" s="256" t="s">
        <v>825</v>
      </c>
      <c r="U744" s="257" t="s">
        <v>825</v>
      </c>
      <c r="V744" s="177"/>
      <c r="W744" s="258" t="s">
        <v>825</v>
      </c>
      <c r="X744" s="244">
        <v>5.3114782296595463E-2</v>
      </c>
      <c r="Y744" s="265">
        <f t="shared" si="70"/>
        <v>126</v>
      </c>
      <c r="AA744" s="265">
        <f>IF(COUNTIF($Y$571:$Y744,Y744)=1,Y744,Y744+(COUNTIF($Y$571:Y744,Y744)-1))</f>
        <v>126</v>
      </c>
      <c r="AB744" s="177"/>
      <c r="AC744" s="265">
        <f t="shared" si="66"/>
        <v>174</v>
      </c>
      <c r="AD744" s="266">
        <f t="shared" si="67"/>
        <v>0.10686706608017511</v>
      </c>
      <c r="AE744" s="244">
        <f t="shared" si="65"/>
        <v>0.11616126557759388</v>
      </c>
      <c r="AG744" s="244"/>
      <c r="AH744" s="244"/>
      <c r="AI744" s="244"/>
      <c r="AJ744" s="244"/>
      <c r="AK744" s="244"/>
    </row>
    <row r="745" spans="4:37" x14ac:dyDescent="0.3">
      <c r="D745" s="75">
        <f t="shared" si="69"/>
        <v>17</v>
      </c>
      <c r="E745" s="80">
        <f t="shared" si="69"/>
        <v>6</v>
      </c>
      <c r="F745" s="80">
        <f t="shared" si="69"/>
        <v>6</v>
      </c>
      <c r="H745" s="255" t="s">
        <v>825</v>
      </c>
      <c r="I745" s="255" t="s">
        <v>825</v>
      </c>
      <c r="J745" s="255" t="s">
        <v>825</v>
      </c>
      <c r="L745" s="255" t="s">
        <v>825</v>
      </c>
      <c r="M745" s="95"/>
      <c r="N745" s="95"/>
      <c r="O745" s="95"/>
      <c r="T745" s="256" t="s">
        <v>825</v>
      </c>
      <c r="U745" s="257" t="s">
        <v>825</v>
      </c>
      <c r="V745" s="177"/>
      <c r="W745" s="258" t="s">
        <v>825</v>
      </c>
      <c r="X745" s="244">
        <v>0.10217976210858322</v>
      </c>
      <c r="Y745" s="265">
        <f t="shared" si="70"/>
        <v>169</v>
      </c>
      <c r="AA745" s="265">
        <f>IF(COUNTIF($Y$571:$Y745,Y745)=1,Y745,Y745+(COUNTIF($Y$571:Y745,Y745)-1))</f>
        <v>169</v>
      </c>
      <c r="AB745" s="177"/>
      <c r="AC745" s="265">
        <f t="shared" si="66"/>
        <v>175</v>
      </c>
      <c r="AD745" s="266">
        <f t="shared" si="67"/>
        <v>0.10792535792414985</v>
      </c>
      <c r="AE745" s="244">
        <f t="shared" si="65"/>
        <v>0.11616126557759388</v>
      </c>
      <c r="AG745" s="244"/>
      <c r="AH745" s="244"/>
      <c r="AI745" s="244"/>
      <c r="AJ745" s="244"/>
      <c r="AK745" s="244"/>
    </row>
    <row r="746" spans="4:37" x14ac:dyDescent="0.3">
      <c r="D746" s="75">
        <f t="shared" si="69"/>
        <v>18</v>
      </c>
      <c r="E746" s="80">
        <f t="shared" si="69"/>
        <v>6</v>
      </c>
      <c r="F746" s="80">
        <f t="shared" si="69"/>
        <v>6</v>
      </c>
      <c r="H746" s="255" t="s">
        <v>825</v>
      </c>
      <c r="I746" s="255" t="s">
        <v>825</v>
      </c>
      <c r="J746" s="255" t="s">
        <v>825</v>
      </c>
      <c r="L746" s="255" t="s">
        <v>825</v>
      </c>
      <c r="M746" s="95"/>
      <c r="N746" s="95"/>
      <c r="O746" s="95"/>
      <c r="T746" s="256" t="s">
        <v>825</v>
      </c>
      <c r="U746" s="257" t="s">
        <v>825</v>
      </c>
      <c r="V746" s="177"/>
      <c r="W746" s="258" t="s">
        <v>825</v>
      </c>
      <c r="X746" s="244">
        <v>5.326115912692507E-2</v>
      </c>
      <c r="Y746" s="265">
        <f t="shared" si="70"/>
        <v>127</v>
      </c>
      <c r="AA746" s="265">
        <f>IF(COUNTIF($Y$571:$Y746,Y746)=1,Y746,Y746+(COUNTIF($Y$571:Y746,Y746)-1))</f>
        <v>127</v>
      </c>
      <c r="AB746" s="177"/>
      <c r="AC746" s="265">
        <f t="shared" si="66"/>
        <v>176</v>
      </c>
      <c r="AD746" s="266">
        <f t="shared" si="67"/>
        <v>0.10956414965487932</v>
      </c>
      <c r="AE746" s="244">
        <f t="shared" si="65"/>
        <v>0.11616126557759388</v>
      </c>
      <c r="AG746" s="244"/>
      <c r="AH746" s="244"/>
      <c r="AI746" s="244"/>
      <c r="AJ746" s="244"/>
      <c r="AK746" s="244"/>
    </row>
    <row r="747" spans="4:37" x14ac:dyDescent="0.3">
      <c r="D747" s="75">
        <f t="shared" si="69"/>
        <v>19</v>
      </c>
      <c r="E747" s="80">
        <f t="shared" si="69"/>
        <v>6</v>
      </c>
      <c r="F747" s="80">
        <f t="shared" si="69"/>
        <v>6</v>
      </c>
      <c r="H747" s="255" t="s">
        <v>825</v>
      </c>
      <c r="I747" s="255" t="s">
        <v>825</v>
      </c>
      <c r="J747" s="255" t="s">
        <v>825</v>
      </c>
      <c r="L747" s="255" t="s">
        <v>825</v>
      </c>
      <c r="M747" s="95"/>
      <c r="N747" s="95"/>
      <c r="O747" s="95"/>
      <c r="T747" s="256" t="s">
        <v>825</v>
      </c>
      <c r="U747" s="257" t="s">
        <v>825</v>
      </c>
      <c r="V747" s="177"/>
      <c r="W747" s="258" t="s">
        <v>825</v>
      </c>
      <c r="X747" s="244">
        <v>8.6305911043154826E-2</v>
      </c>
      <c r="Y747" s="265">
        <f t="shared" si="70"/>
        <v>152</v>
      </c>
      <c r="AA747" s="265">
        <f>IF(COUNTIF($Y$571:$Y747,Y747)=1,Y747,Y747+(COUNTIF($Y$571:Y747,Y747)-1))</f>
        <v>152</v>
      </c>
      <c r="AB747" s="177"/>
      <c r="AC747" s="265">
        <f t="shared" si="66"/>
        <v>177</v>
      </c>
      <c r="AD747" s="266">
        <f t="shared" si="67"/>
        <v>0.10960112993469406</v>
      </c>
      <c r="AE747" s="244">
        <f t="shared" si="65"/>
        <v>0.11616126557759388</v>
      </c>
      <c r="AG747" s="244"/>
      <c r="AH747" s="244"/>
      <c r="AI747" s="244"/>
      <c r="AJ747" s="244"/>
      <c r="AK747" s="244"/>
    </row>
    <row r="748" spans="4:37" x14ac:dyDescent="0.3">
      <c r="D748" s="75">
        <f t="shared" si="69"/>
        <v>20</v>
      </c>
      <c r="E748" s="80">
        <f t="shared" si="69"/>
        <v>6</v>
      </c>
      <c r="F748" s="80">
        <f t="shared" si="69"/>
        <v>6</v>
      </c>
      <c r="H748" s="255" t="s">
        <v>825</v>
      </c>
      <c r="I748" s="255" t="s">
        <v>825</v>
      </c>
      <c r="J748" s="255" t="s">
        <v>825</v>
      </c>
      <c r="L748" s="255" t="s">
        <v>825</v>
      </c>
      <c r="M748" s="95"/>
      <c r="N748" s="95"/>
      <c r="O748" s="95"/>
      <c r="T748" s="256" t="s">
        <v>825</v>
      </c>
      <c r="U748" s="257" t="s">
        <v>825</v>
      </c>
      <c r="V748" s="177"/>
      <c r="W748" s="258" t="s">
        <v>825</v>
      </c>
      <c r="X748" s="244">
        <v>6.0825839954853474E-2</v>
      </c>
      <c r="Y748" s="265">
        <f t="shared" si="70"/>
        <v>136</v>
      </c>
      <c r="AA748" s="265">
        <f>IF(COUNTIF($Y$571:$Y748,Y748)=1,Y748,Y748+(COUNTIF($Y$571:Y748,Y748)-1))</f>
        <v>136</v>
      </c>
      <c r="AB748" s="177"/>
      <c r="AC748" s="265">
        <f t="shared" si="66"/>
        <v>178</v>
      </c>
      <c r="AD748" s="266">
        <f t="shared" si="67"/>
        <v>0.11222585865677707</v>
      </c>
      <c r="AE748" s="244">
        <f t="shared" si="65"/>
        <v>0.11616126557759388</v>
      </c>
      <c r="AG748" s="244"/>
      <c r="AH748" s="244"/>
      <c r="AI748" s="244"/>
      <c r="AJ748" s="244"/>
      <c r="AK748" s="244"/>
    </row>
    <row r="749" spans="4:37" x14ac:dyDescent="0.3">
      <c r="D749" s="75">
        <f t="shared" ref="D749:F768" si="71">D515</f>
        <v>21</v>
      </c>
      <c r="E749" s="80">
        <f t="shared" si="71"/>
        <v>6</v>
      </c>
      <c r="F749" s="80">
        <f t="shared" si="71"/>
        <v>6</v>
      </c>
      <c r="H749" s="255" t="s">
        <v>825</v>
      </c>
      <c r="I749" s="255" t="s">
        <v>825</v>
      </c>
      <c r="J749" s="255" t="s">
        <v>825</v>
      </c>
      <c r="L749" s="255" t="s">
        <v>825</v>
      </c>
      <c r="M749" s="95"/>
      <c r="N749" s="95"/>
      <c r="O749" s="95"/>
      <c r="T749" s="256" t="s">
        <v>825</v>
      </c>
      <c r="U749" s="257" t="s">
        <v>825</v>
      </c>
      <c r="V749" s="177"/>
      <c r="W749" s="258" t="s">
        <v>825</v>
      </c>
      <c r="X749" s="244">
        <v>6.3514308364772745E-2</v>
      </c>
      <c r="Y749" s="265">
        <f t="shared" si="70"/>
        <v>137</v>
      </c>
      <c r="AA749" s="265">
        <f>IF(COUNTIF($Y$571:$Y749,Y749)=1,Y749,Y749+(COUNTIF($Y$571:Y749,Y749)-1))</f>
        <v>137</v>
      </c>
      <c r="AB749" s="177"/>
      <c r="AC749" s="265">
        <f t="shared" si="66"/>
        <v>179</v>
      </c>
      <c r="AD749" s="266">
        <f t="shared" si="67"/>
        <v>0.11629753848340627</v>
      </c>
      <c r="AE749" s="244">
        <f t="shared" si="65"/>
        <v>0.11616126557759388</v>
      </c>
      <c r="AG749" s="244"/>
      <c r="AH749" s="244"/>
      <c r="AI749" s="244"/>
      <c r="AJ749" s="244"/>
      <c r="AK749" s="244"/>
    </row>
    <row r="750" spans="4:37" x14ac:dyDescent="0.3">
      <c r="D750" s="75">
        <f t="shared" si="71"/>
        <v>22</v>
      </c>
      <c r="E750" s="80">
        <f t="shared" si="71"/>
        <v>6</v>
      </c>
      <c r="F750" s="80">
        <f t="shared" si="71"/>
        <v>6</v>
      </c>
      <c r="H750" s="255" t="s">
        <v>825</v>
      </c>
      <c r="I750" s="255" t="s">
        <v>825</v>
      </c>
      <c r="J750" s="255" t="s">
        <v>825</v>
      </c>
      <c r="L750" s="255" t="s">
        <v>825</v>
      </c>
      <c r="M750" s="95"/>
      <c r="N750" s="95"/>
      <c r="O750" s="95"/>
      <c r="T750" s="256" t="s">
        <v>825</v>
      </c>
      <c r="U750" s="257" t="s">
        <v>825</v>
      </c>
      <c r="V750" s="177"/>
      <c r="W750" s="258" t="s">
        <v>825</v>
      </c>
      <c r="X750" s="244">
        <v>6.0185164065146179E-2</v>
      </c>
      <c r="Y750" s="265">
        <f t="shared" si="70"/>
        <v>135</v>
      </c>
      <c r="AA750" s="265">
        <f>IF(COUNTIF($Y$571:$Y750,Y750)=1,Y750,Y750+(COUNTIF($Y$571:Y750,Y750)-1))</f>
        <v>135</v>
      </c>
      <c r="AB750" s="177"/>
      <c r="AC750" s="265">
        <f t="shared" si="66"/>
        <v>180</v>
      </c>
      <c r="AD750" s="266">
        <f t="shared" si="67"/>
        <v>0.11641888680371618</v>
      </c>
      <c r="AE750" s="244">
        <f t="shared" si="65"/>
        <v>0.11616126557759388</v>
      </c>
      <c r="AG750" s="244"/>
      <c r="AH750" s="244"/>
      <c r="AI750" s="244"/>
      <c r="AJ750" s="244"/>
      <c r="AK750" s="244"/>
    </row>
    <row r="751" spans="4:37" x14ac:dyDescent="0.3">
      <c r="D751" s="75">
        <f t="shared" si="71"/>
        <v>23</v>
      </c>
      <c r="E751" s="80">
        <f t="shared" si="71"/>
        <v>6</v>
      </c>
      <c r="F751" s="80">
        <f t="shared" si="71"/>
        <v>6</v>
      </c>
      <c r="H751" s="255" t="s">
        <v>825</v>
      </c>
      <c r="I751" s="255" t="s">
        <v>825</v>
      </c>
      <c r="J751" s="255" t="s">
        <v>825</v>
      </c>
      <c r="L751" s="255" t="s">
        <v>825</v>
      </c>
      <c r="M751" s="95"/>
      <c r="N751" s="95"/>
      <c r="O751" s="95"/>
      <c r="T751" s="256" t="s">
        <v>825</v>
      </c>
      <c r="U751" s="257" t="s">
        <v>825</v>
      </c>
      <c r="V751" s="177"/>
      <c r="W751" s="258" t="s">
        <v>825</v>
      </c>
      <c r="X751" s="244">
        <v>4.9771306002441486E-2</v>
      </c>
      <c r="Y751" s="265">
        <f t="shared" si="70"/>
        <v>123</v>
      </c>
      <c r="AA751" s="265">
        <f>IF(COUNTIF($Y$571:$Y751,Y751)=1,Y751,Y751+(COUNTIF($Y$571:Y751,Y751)-1))</f>
        <v>123</v>
      </c>
      <c r="AB751" s="177"/>
      <c r="AC751" s="265">
        <f t="shared" si="66"/>
        <v>181</v>
      </c>
      <c r="AD751" s="266">
        <f t="shared" si="67"/>
        <v>0.11668829175367633</v>
      </c>
      <c r="AE751" s="244">
        <f t="shared" si="65"/>
        <v>0.11616126557759388</v>
      </c>
      <c r="AG751" s="244"/>
      <c r="AH751" s="244"/>
      <c r="AI751" s="244"/>
      <c r="AJ751" s="244"/>
      <c r="AK751" s="244"/>
    </row>
    <row r="752" spans="4:37" x14ac:dyDescent="0.3">
      <c r="D752" s="75">
        <f t="shared" si="71"/>
        <v>24</v>
      </c>
      <c r="E752" s="80">
        <f t="shared" si="71"/>
        <v>6</v>
      </c>
      <c r="F752" s="80">
        <f t="shared" si="71"/>
        <v>6</v>
      </c>
      <c r="H752" s="255" t="s">
        <v>825</v>
      </c>
      <c r="I752" s="255" t="s">
        <v>825</v>
      </c>
      <c r="J752" s="255" t="s">
        <v>825</v>
      </c>
      <c r="L752" s="255" t="s">
        <v>825</v>
      </c>
      <c r="M752" s="95"/>
      <c r="N752" s="95"/>
      <c r="O752" s="95"/>
      <c r="T752" s="256" t="s">
        <v>825</v>
      </c>
      <c r="U752" s="257" t="s">
        <v>825</v>
      </c>
      <c r="V752" s="177"/>
      <c r="W752" s="258" t="s">
        <v>825</v>
      </c>
      <c r="X752" s="244">
        <v>8.1049357520792412E-2</v>
      </c>
      <c r="Y752" s="265">
        <f t="shared" si="70"/>
        <v>148</v>
      </c>
      <c r="AA752" s="265">
        <f>IF(COUNTIF($Y$571:$Y752,Y752)=1,Y752,Y752+(COUNTIF($Y$571:Y752,Y752)-1))</f>
        <v>148</v>
      </c>
      <c r="AB752" s="177"/>
      <c r="AC752" s="265">
        <f t="shared" si="66"/>
        <v>182</v>
      </c>
      <c r="AD752" s="266">
        <f t="shared" si="67"/>
        <v>0.1183477291261559</v>
      </c>
      <c r="AE752" s="244">
        <f t="shared" si="65"/>
        <v>0.11616126557759388</v>
      </c>
      <c r="AG752" s="244"/>
      <c r="AH752" s="244"/>
      <c r="AI752" s="244"/>
      <c r="AJ752" s="244"/>
      <c r="AK752" s="244"/>
    </row>
    <row r="753" spans="4:37" x14ac:dyDescent="0.3">
      <c r="D753" s="75">
        <f t="shared" si="71"/>
        <v>25</v>
      </c>
      <c r="E753" s="80">
        <f t="shared" si="71"/>
        <v>6</v>
      </c>
      <c r="F753" s="80">
        <f t="shared" si="71"/>
        <v>6</v>
      </c>
      <c r="H753" s="255" t="s">
        <v>825</v>
      </c>
      <c r="I753" s="255" t="s">
        <v>825</v>
      </c>
      <c r="J753" s="255" t="s">
        <v>825</v>
      </c>
      <c r="L753" s="255" t="s">
        <v>825</v>
      </c>
      <c r="M753" s="95"/>
      <c r="N753" s="95"/>
      <c r="O753" s="95"/>
      <c r="T753" s="256" t="s">
        <v>825</v>
      </c>
      <c r="U753" s="257" t="s">
        <v>825</v>
      </c>
      <c r="V753" s="177"/>
      <c r="W753" s="258" t="s">
        <v>825</v>
      </c>
      <c r="X753" s="244">
        <v>9.8074211639931061E-2</v>
      </c>
      <c r="Y753" s="265">
        <f t="shared" si="70"/>
        <v>164</v>
      </c>
      <c r="AA753" s="265">
        <f>IF(COUNTIF($Y$571:$Y753,Y753)=1,Y753,Y753+(COUNTIF($Y$571:Y753,Y753)-1))</f>
        <v>164</v>
      </c>
      <c r="AB753" s="177"/>
      <c r="AC753" s="265">
        <f t="shared" si="66"/>
        <v>183</v>
      </c>
      <c r="AD753" s="266">
        <f t="shared" si="67"/>
        <v>0.11920060135667322</v>
      </c>
      <c r="AE753" s="244">
        <f t="shared" si="65"/>
        <v>0.11616126557759388</v>
      </c>
      <c r="AG753" s="244"/>
      <c r="AH753" s="244"/>
      <c r="AI753" s="244"/>
      <c r="AJ753" s="244"/>
      <c r="AK753" s="244"/>
    </row>
    <row r="754" spans="4:37" x14ac:dyDescent="0.3">
      <c r="D754" s="75">
        <f t="shared" si="71"/>
        <v>26</v>
      </c>
      <c r="E754" s="80">
        <f t="shared" si="71"/>
        <v>6</v>
      </c>
      <c r="F754" s="80">
        <f t="shared" si="71"/>
        <v>6</v>
      </c>
      <c r="H754" s="255" t="s">
        <v>825</v>
      </c>
      <c r="I754" s="255" t="s">
        <v>825</v>
      </c>
      <c r="J754" s="255" t="s">
        <v>825</v>
      </c>
      <c r="L754" s="255" t="s">
        <v>825</v>
      </c>
      <c r="M754" s="95"/>
      <c r="N754" s="95"/>
      <c r="O754" s="95"/>
      <c r="T754" s="256" t="s">
        <v>825</v>
      </c>
      <c r="U754" s="257" t="s">
        <v>825</v>
      </c>
      <c r="V754" s="177"/>
      <c r="W754" s="258" t="s">
        <v>825</v>
      </c>
      <c r="X754" s="244">
        <v>7.0006671483474434E-2</v>
      </c>
      <c r="Y754" s="265">
        <f t="shared" si="70"/>
        <v>139</v>
      </c>
      <c r="AA754" s="265">
        <f>IF(COUNTIF($Y$571:$Y754,Y754)=1,Y754,Y754+(COUNTIF($Y$571:Y754,Y754)-1))</f>
        <v>139</v>
      </c>
      <c r="AB754" s="177"/>
      <c r="AC754" s="265">
        <f t="shared" si="66"/>
        <v>184</v>
      </c>
      <c r="AD754" s="266">
        <f t="shared" si="67"/>
        <v>0.12152599874119938</v>
      </c>
      <c r="AE754" s="244">
        <f t="shared" si="65"/>
        <v>0.11616126557759388</v>
      </c>
      <c r="AG754" s="244"/>
      <c r="AH754" s="244"/>
      <c r="AI754" s="244"/>
      <c r="AJ754" s="244"/>
      <c r="AK754" s="244"/>
    </row>
    <row r="755" spans="4:37" x14ac:dyDescent="0.3">
      <c r="D755" s="75">
        <f t="shared" si="71"/>
        <v>27</v>
      </c>
      <c r="E755" s="80">
        <f t="shared" si="71"/>
        <v>6</v>
      </c>
      <c r="F755" s="80">
        <f t="shared" si="71"/>
        <v>6</v>
      </c>
      <c r="H755" s="255" t="s">
        <v>825</v>
      </c>
      <c r="I755" s="255" t="s">
        <v>825</v>
      </c>
      <c r="J755" s="255" t="s">
        <v>825</v>
      </c>
      <c r="L755" s="255" t="s">
        <v>825</v>
      </c>
      <c r="M755" s="95"/>
      <c r="N755" s="95"/>
      <c r="O755" s="95"/>
      <c r="T755" s="256" t="s">
        <v>825</v>
      </c>
      <c r="U755" s="257" t="s">
        <v>825</v>
      </c>
      <c r="V755" s="177"/>
      <c r="W755" s="258" t="s">
        <v>825</v>
      </c>
      <c r="X755" s="244">
        <v>7.8541890970325698E-2</v>
      </c>
      <c r="Y755" s="265">
        <f t="shared" si="70"/>
        <v>146</v>
      </c>
      <c r="AA755" s="265">
        <f>IF(COUNTIF($Y$571:$Y755,Y755)=1,Y755,Y755+(COUNTIF($Y$571:Y755,Y755)-1))</f>
        <v>146</v>
      </c>
      <c r="AB755" s="177"/>
      <c r="AC755" s="265">
        <f t="shared" si="66"/>
        <v>185</v>
      </c>
      <c r="AD755" s="266">
        <f t="shared" si="67"/>
        <v>0.1223740276355535</v>
      </c>
      <c r="AE755" s="244">
        <f t="shared" si="65"/>
        <v>0.11616126557759388</v>
      </c>
      <c r="AG755" s="244"/>
      <c r="AH755" s="244"/>
      <c r="AI755" s="244"/>
      <c r="AJ755" s="244"/>
      <c r="AK755" s="244"/>
    </row>
    <row r="756" spans="4:37" x14ac:dyDescent="0.3">
      <c r="D756" s="75">
        <f t="shared" si="71"/>
        <v>28</v>
      </c>
      <c r="E756" s="80">
        <f t="shared" si="71"/>
        <v>6</v>
      </c>
      <c r="F756" s="80">
        <f t="shared" si="71"/>
        <v>6</v>
      </c>
      <c r="H756" s="255" t="s">
        <v>825</v>
      </c>
      <c r="I756" s="255" t="s">
        <v>825</v>
      </c>
      <c r="J756" s="255" t="s">
        <v>825</v>
      </c>
      <c r="L756" s="255" t="s">
        <v>825</v>
      </c>
      <c r="M756" s="95"/>
      <c r="N756" s="95"/>
      <c r="O756" s="95"/>
      <c r="T756" s="256" t="s">
        <v>825</v>
      </c>
      <c r="U756" s="257" t="s">
        <v>825</v>
      </c>
      <c r="V756" s="177"/>
      <c r="W756" s="258" t="s">
        <v>825</v>
      </c>
      <c r="X756" s="244">
        <v>0.13123249751064886</v>
      </c>
      <c r="Y756" s="265">
        <f t="shared" si="70"/>
        <v>188</v>
      </c>
      <c r="AA756" s="265">
        <f>IF(COUNTIF($Y$571:$Y756,Y756)=1,Y756,Y756+(COUNTIF($Y$571:Y756,Y756)-1))</f>
        <v>188</v>
      </c>
      <c r="AB756" s="177"/>
      <c r="AC756" s="265">
        <f t="shared" si="66"/>
        <v>186</v>
      </c>
      <c r="AD756" s="266">
        <f t="shared" si="67"/>
        <v>0.12255590920424046</v>
      </c>
      <c r="AE756" s="244">
        <f t="shared" si="65"/>
        <v>0.11616126557759388</v>
      </c>
      <c r="AG756" s="244"/>
      <c r="AH756" s="244"/>
      <c r="AI756" s="244"/>
      <c r="AJ756" s="244"/>
      <c r="AK756" s="244"/>
    </row>
    <row r="757" spans="4:37" x14ac:dyDescent="0.3">
      <c r="D757" s="75">
        <f t="shared" si="71"/>
        <v>29</v>
      </c>
      <c r="E757" s="80">
        <f t="shared" si="71"/>
        <v>6</v>
      </c>
      <c r="F757" s="80">
        <f t="shared" si="71"/>
        <v>6</v>
      </c>
      <c r="H757" s="255" t="s">
        <v>825</v>
      </c>
      <c r="I757" s="255" t="s">
        <v>825</v>
      </c>
      <c r="J757" s="255" t="s">
        <v>825</v>
      </c>
      <c r="L757" s="255" t="s">
        <v>825</v>
      </c>
      <c r="M757" s="95"/>
      <c r="N757" s="95"/>
      <c r="O757" s="95"/>
      <c r="T757" s="256" t="s">
        <v>825</v>
      </c>
      <c r="U757" s="257" t="s">
        <v>825</v>
      </c>
      <c r="V757" s="177"/>
      <c r="W757" s="258" t="s">
        <v>825</v>
      </c>
      <c r="X757" s="244">
        <v>0.13557722983272869</v>
      </c>
      <c r="Y757" s="265">
        <f t="shared" si="70"/>
        <v>191</v>
      </c>
      <c r="AA757" s="265">
        <f>IF(COUNTIF($Y$571:$Y757,Y757)=1,Y757,Y757+(COUNTIF($Y$571:Y757,Y757)-1))</f>
        <v>191</v>
      </c>
      <c r="AB757" s="177"/>
      <c r="AC757" s="265">
        <f t="shared" si="66"/>
        <v>187</v>
      </c>
      <c r="AD757" s="266">
        <f t="shared" si="67"/>
        <v>0.12779145997458369</v>
      </c>
      <c r="AE757" s="244">
        <f t="shared" si="65"/>
        <v>0.11616126557759388</v>
      </c>
      <c r="AG757" s="244"/>
      <c r="AH757" s="244"/>
      <c r="AI757" s="244"/>
      <c r="AJ757" s="244"/>
      <c r="AK757" s="244"/>
    </row>
    <row r="758" spans="4:37" x14ac:dyDescent="0.3">
      <c r="D758" s="75">
        <f t="shared" si="71"/>
        <v>30</v>
      </c>
      <c r="E758" s="80">
        <f t="shared" si="71"/>
        <v>6</v>
      </c>
      <c r="F758" s="80">
        <f t="shared" si="71"/>
        <v>6</v>
      </c>
      <c r="H758" s="255" t="s">
        <v>825</v>
      </c>
      <c r="I758" s="255" t="s">
        <v>825</v>
      </c>
      <c r="J758" s="255" t="s">
        <v>825</v>
      </c>
      <c r="L758" s="255" t="s">
        <v>825</v>
      </c>
      <c r="M758" s="95"/>
      <c r="N758" s="95"/>
      <c r="O758" s="95"/>
      <c r="T758" s="256" t="s">
        <v>825</v>
      </c>
      <c r="U758" s="257" t="s">
        <v>825</v>
      </c>
      <c r="V758" s="177"/>
      <c r="W758" s="258" t="s">
        <v>825</v>
      </c>
      <c r="X758" s="244">
        <v>9.0664618415056325E-2</v>
      </c>
      <c r="Y758" s="265">
        <f t="shared" si="70"/>
        <v>157</v>
      </c>
      <c r="AA758" s="265">
        <f>IF(COUNTIF($Y$571:$Y758,Y758)=1,Y758,Y758+(COUNTIF($Y$571:Y758,Y758)-1))</f>
        <v>157</v>
      </c>
      <c r="AB758" s="177"/>
      <c r="AC758" s="265">
        <f t="shared" si="66"/>
        <v>188</v>
      </c>
      <c r="AD758" s="266">
        <f t="shared" si="67"/>
        <v>0.13123249751064886</v>
      </c>
      <c r="AE758" s="244">
        <f t="shared" si="65"/>
        <v>0.11616126557759388</v>
      </c>
      <c r="AG758" s="244"/>
      <c r="AH758" s="244"/>
      <c r="AI758" s="244"/>
      <c r="AJ758" s="244"/>
      <c r="AK758" s="244"/>
    </row>
    <row r="759" spans="4:37" x14ac:dyDescent="0.3">
      <c r="D759" s="75">
        <f t="shared" si="71"/>
        <v>31</v>
      </c>
      <c r="E759" s="80">
        <f t="shared" si="71"/>
        <v>6</v>
      </c>
      <c r="F759" s="80">
        <f t="shared" si="71"/>
        <v>6</v>
      </c>
      <c r="H759" s="255" t="s">
        <v>825</v>
      </c>
      <c r="I759" s="255" t="s">
        <v>825</v>
      </c>
      <c r="J759" s="255" t="s">
        <v>825</v>
      </c>
      <c r="L759" s="255" t="s">
        <v>825</v>
      </c>
      <c r="M759" s="95"/>
      <c r="N759" s="95"/>
      <c r="O759" s="95"/>
      <c r="T759" s="256" t="s">
        <v>825</v>
      </c>
      <c r="U759" s="257" t="s">
        <v>825</v>
      </c>
      <c r="V759" s="177"/>
      <c r="W759" s="258" t="s">
        <v>825</v>
      </c>
      <c r="X759" s="244">
        <v>0.11668829175367633</v>
      </c>
      <c r="Y759" s="265">
        <f t="shared" si="70"/>
        <v>181</v>
      </c>
      <c r="AA759" s="265">
        <f>IF(COUNTIF($Y$571:$Y759,Y759)=1,Y759,Y759+(COUNTIF($Y$571:Y759,Y759)-1))</f>
        <v>181</v>
      </c>
      <c r="AB759" s="177"/>
      <c r="AC759" s="265">
        <f t="shared" si="66"/>
        <v>189</v>
      </c>
      <c r="AD759" s="266">
        <f t="shared" si="67"/>
        <v>0.1319577321921396</v>
      </c>
      <c r="AE759" s="244">
        <f t="shared" si="65"/>
        <v>0.11616126557759388</v>
      </c>
      <c r="AG759" s="244"/>
      <c r="AH759" s="244"/>
      <c r="AI759" s="244"/>
      <c r="AJ759" s="244"/>
      <c r="AK759" s="244"/>
    </row>
    <row r="760" spans="4:37" x14ac:dyDescent="0.3">
      <c r="D760" s="75">
        <f t="shared" si="71"/>
        <v>32</v>
      </c>
      <c r="E760" s="80">
        <f t="shared" si="71"/>
        <v>6</v>
      </c>
      <c r="F760" s="80">
        <f t="shared" si="71"/>
        <v>6</v>
      </c>
      <c r="H760" s="255" t="s">
        <v>825</v>
      </c>
      <c r="I760" s="255" t="s">
        <v>825</v>
      </c>
      <c r="J760" s="255" t="s">
        <v>825</v>
      </c>
      <c r="L760" s="255" t="s">
        <v>825</v>
      </c>
      <c r="M760" s="95"/>
      <c r="N760" s="95"/>
      <c r="O760" s="95"/>
      <c r="T760" s="256" t="s">
        <v>825</v>
      </c>
      <c r="U760" s="257" t="s">
        <v>825</v>
      </c>
      <c r="V760" s="177"/>
      <c r="W760" s="258" t="s">
        <v>825</v>
      </c>
      <c r="X760" s="244">
        <v>0.16276845131569817</v>
      </c>
      <c r="Y760" s="265">
        <f t="shared" si="70"/>
        <v>207</v>
      </c>
      <c r="AA760" s="265">
        <f>IF(COUNTIF($Y$571:$Y760,Y760)=1,Y760,Y760+(COUNTIF($Y$571:Y760,Y760)-1))</f>
        <v>207</v>
      </c>
      <c r="AB760" s="177"/>
      <c r="AC760" s="265">
        <f t="shared" si="66"/>
        <v>190</v>
      </c>
      <c r="AD760" s="266">
        <f t="shared" si="67"/>
        <v>0.13212133784513935</v>
      </c>
      <c r="AE760" s="244">
        <f t="shared" si="65"/>
        <v>0.11616126557759388</v>
      </c>
      <c r="AG760" s="244"/>
      <c r="AH760" s="244"/>
      <c r="AI760" s="244"/>
      <c r="AJ760" s="244"/>
      <c r="AK760" s="244"/>
    </row>
    <row r="761" spans="4:37" x14ac:dyDescent="0.3">
      <c r="D761" s="75">
        <f t="shared" si="71"/>
        <v>33</v>
      </c>
      <c r="E761" s="80">
        <f t="shared" si="71"/>
        <v>6</v>
      </c>
      <c r="F761" s="80">
        <f t="shared" si="71"/>
        <v>6</v>
      </c>
      <c r="H761" s="255" t="s">
        <v>825</v>
      </c>
      <c r="I761" s="255" t="s">
        <v>825</v>
      </c>
      <c r="J761" s="255" t="s">
        <v>825</v>
      </c>
      <c r="L761" s="255" t="s">
        <v>825</v>
      </c>
      <c r="M761" s="95"/>
      <c r="N761" s="95"/>
      <c r="O761" s="95"/>
      <c r="T761" s="256" t="s">
        <v>825</v>
      </c>
      <c r="U761" s="257" t="s">
        <v>825</v>
      </c>
      <c r="V761" s="177"/>
      <c r="W761" s="258" t="s">
        <v>825</v>
      </c>
      <c r="X761" s="244">
        <v>0.1462584649204666</v>
      </c>
      <c r="Y761" s="265">
        <f t="shared" si="70"/>
        <v>196</v>
      </c>
      <c r="AA761" s="265">
        <f>IF(COUNTIF($Y$571:$Y761,Y761)=1,Y761,Y761+(COUNTIF($Y$571:Y761,Y761)-1))</f>
        <v>196</v>
      </c>
      <c r="AB761" s="177"/>
      <c r="AC761" s="265">
        <f t="shared" si="66"/>
        <v>191</v>
      </c>
      <c r="AD761" s="266">
        <f t="shared" si="67"/>
        <v>0.13557722983272869</v>
      </c>
      <c r="AE761" s="244">
        <f t="shared" si="65"/>
        <v>0.11616126557759388</v>
      </c>
      <c r="AG761" s="244"/>
      <c r="AH761" s="244"/>
      <c r="AI761" s="244"/>
      <c r="AJ761" s="244"/>
      <c r="AK761" s="244"/>
    </row>
    <row r="762" spans="4:37" x14ac:dyDescent="0.3">
      <c r="D762" s="75">
        <f t="shared" si="71"/>
        <v>34</v>
      </c>
      <c r="E762" s="80">
        <f t="shared" si="71"/>
        <v>6</v>
      </c>
      <c r="F762" s="80">
        <f t="shared" si="71"/>
        <v>6</v>
      </c>
      <c r="H762" s="255" t="s">
        <v>825</v>
      </c>
      <c r="I762" s="255" t="s">
        <v>825</v>
      </c>
      <c r="J762" s="255" t="s">
        <v>825</v>
      </c>
      <c r="L762" s="255" t="s">
        <v>825</v>
      </c>
      <c r="M762" s="95"/>
      <c r="N762" s="95"/>
      <c r="O762" s="95"/>
      <c r="T762" s="256" t="s">
        <v>825</v>
      </c>
      <c r="U762" s="257" t="s">
        <v>825</v>
      </c>
      <c r="V762" s="177"/>
      <c r="W762" s="258" t="s">
        <v>825</v>
      </c>
      <c r="X762" s="244">
        <v>0.1319577321921396</v>
      </c>
      <c r="Y762" s="265">
        <f t="shared" si="70"/>
        <v>189</v>
      </c>
      <c r="AA762" s="265">
        <f>IF(COUNTIF($Y$571:$Y762,Y762)=1,Y762,Y762+(COUNTIF($Y$571:Y762,Y762)-1))</f>
        <v>189</v>
      </c>
      <c r="AB762" s="177"/>
      <c r="AC762" s="265">
        <f t="shared" si="66"/>
        <v>192</v>
      </c>
      <c r="AD762" s="266">
        <f t="shared" si="67"/>
        <v>0.13600207644099793</v>
      </c>
      <c r="AE762" s="244">
        <f t="shared" si="65"/>
        <v>0.11616126557759388</v>
      </c>
      <c r="AG762" s="244"/>
      <c r="AH762" s="244"/>
      <c r="AI762" s="244"/>
      <c r="AJ762" s="244"/>
      <c r="AK762" s="244"/>
    </row>
    <row r="763" spans="4:37" x14ac:dyDescent="0.3">
      <c r="D763" s="75">
        <f t="shared" si="71"/>
        <v>35</v>
      </c>
      <c r="E763" s="80">
        <f t="shared" si="71"/>
        <v>6</v>
      </c>
      <c r="F763" s="80">
        <f t="shared" si="71"/>
        <v>6</v>
      </c>
      <c r="H763" s="255" t="s">
        <v>825</v>
      </c>
      <c r="I763" s="255" t="s">
        <v>825</v>
      </c>
      <c r="J763" s="255" t="s">
        <v>825</v>
      </c>
      <c r="L763" s="255" t="s">
        <v>825</v>
      </c>
      <c r="M763" s="95"/>
      <c r="N763" s="95"/>
      <c r="O763" s="95"/>
      <c r="T763" s="256" t="s">
        <v>825</v>
      </c>
      <c r="U763" s="257" t="s">
        <v>825</v>
      </c>
      <c r="V763" s="177"/>
      <c r="W763" s="258" t="s">
        <v>825</v>
      </c>
      <c r="X763" s="244">
        <v>0.17104299860484973</v>
      </c>
      <c r="Y763" s="265">
        <f t="shared" ref="Y763:Y770" si="72">RANK($X763,$X$571:$X$790,-1)</f>
        <v>209</v>
      </c>
      <c r="AA763" s="265">
        <f>IF(COUNTIF($Y$571:$Y763,Y763)=1,Y763,Y763+(COUNTIF($Y$571:Y763,Y763)-1))</f>
        <v>209</v>
      </c>
      <c r="AB763" s="177"/>
      <c r="AC763" s="265">
        <f t="shared" si="66"/>
        <v>193</v>
      </c>
      <c r="AD763" s="266">
        <f t="shared" si="67"/>
        <v>0.13723414992268385</v>
      </c>
      <c r="AE763" s="244">
        <f t="shared" ref="AE763:AE790" si="73">$AE$568</f>
        <v>0.11616126557759388</v>
      </c>
      <c r="AG763" s="244"/>
      <c r="AH763" s="244"/>
      <c r="AI763" s="244"/>
      <c r="AJ763" s="244"/>
      <c r="AK763" s="244"/>
    </row>
    <row r="764" spans="4:37" x14ac:dyDescent="0.3">
      <c r="D764" s="75">
        <f t="shared" si="71"/>
        <v>36</v>
      </c>
      <c r="E764" s="80">
        <f t="shared" si="71"/>
        <v>6</v>
      </c>
      <c r="F764" s="80">
        <f t="shared" si="71"/>
        <v>6</v>
      </c>
      <c r="H764" s="255" t="s">
        <v>825</v>
      </c>
      <c r="I764" s="255" t="s">
        <v>825</v>
      </c>
      <c r="J764" s="255" t="s">
        <v>825</v>
      </c>
      <c r="L764" s="255" t="s">
        <v>825</v>
      </c>
      <c r="M764" s="95"/>
      <c r="N764" s="95"/>
      <c r="O764" s="95"/>
      <c r="T764" s="256" t="s">
        <v>825</v>
      </c>
      <c r="U764" s="257" t="s">
        <v>825</v>
      </c>
      <c r="V764" s="177"/>
      <c r="W764" s="258" t="s">
        <v>825</v>
      </c>
      <c r="X764" s="244">
        <v>8.2227298766753332E-2</v>
      </c>
      <c r="Y764" s="265">
        <f t="shared" si="72"/>
        <v>149</v>
      </c>
      <c r="AA764" s="265">
        <f>IF(COUNTIF($Y$571:$Y764,Y764)=1,Y764,Y764+(COUNTIF($Y$571:Y764,Y764)-1))</f>
        <v>149</v>
      </c>
      <c r="AB764" s="177"/>
      <c r="AC764" s="265">
        <f t="shared" ref="AC764:AC790" si="74">N(AC763)+1</f>
        <v>194</v>
      </c>
      <c r="AD764" s="266">
        <f t="shared" ref="AD764:AD790" si="75">INDEX($X$571:$X$790,MATCH(AC764,$AA$571:$AA$790,0))</f>
        <v>0.13843169137907832</v>
      </c>
      <c r="AE764" s="244">
        <f t="shared" si="73"/>
        <v>0.11616126557759388</v>
      </c>
      <c r="AG764" s="244"/>
      <c r="AH764" s="244"/>
      <c r="AI764" s="244"/>
      <c r="AJ764" s="244"/>
      <c r="AK764" s="244"/>
    </row>
    <row r="765" spans="4:37" x14ac:dyDescent="0.3">
      <c r="D765" s="75">
        <f t="shared" si="71"/>
        <v>37</v>
      </c>
      <c r="E765" s="80">
        <f t="shared" si="71"/>
        <v>6</v>
      </c>
      <c r="F765" s="80">
        <f t="shared" si="71"/>
        <v>6</v>
      </c>
      <c r="H765" s="255" t="s">
        <v>825</v>
      </c>
      <c r="I765" s="255" t="s">
        <v>825</v>
      </c>
      <c r="J765" s="255" t="s">
        <v>825</v>
      </c>
      <c r="L765" s="255" t="s">
        <v>825</v>
      </c>
      <c r="M765" s="95"/>
      <c r="N765" s="95"/>
      <c r="O765" s="95"/>
      <c r="T765" s="256" t="s">
        <v>825</v>
      </c>
      <c r="U765" s="257" t="s">
        <v>825</v>
      </c>
      <c r="V765" s="177"/>
      <c r="W765" s="258" t="s">
        <v>825</v>
      </c>
      <c r="X765" s="244">
        <v>0.19129431490742066</v>
      </c>
      <c r="Y765" s="265">
        <f t="shared" si="72"/>
        <v>213</v>
      </c>
      <c r="AA765" s="265">
        <f>IF(COUNTIF($Y$571:$Y765,Y765)=1,Y765,Y765+(COUNTIF($Y$571:Y765,Y765)-1))</f>
        <v>213</v>
      </c>
      <c r="AB765" s="177"/>
      <c r="AC765" s="265">
        <f t="shared" si="74"/>
        <v>195</v>
      </c>
      <c r="AD765" s="266">
        <f t="shared" si="75"/>
        <v>0.14267233675040533</v>
      </c>
      <c r="AE765" s="244">
        <f t="shared" si="73"/>
        <v>0.11616126557759388</v>
      </c>
      <c r="AG765" s="244"/>
      <c r="AH765" s="244"/>
      <c r="AI765" s="244"/>
      <c r="AJ765" s="244"/>
      <c r="AK765" s="244"/>
    </row>
    <row r="766" spans="4:37" x14ac:dyDescent="0.3">
      <c r="D766" s="75">
        <f t="shared" si="71"/>
        <v>38</v>
      </c>
      <c r="E766" s="80">
        <f t="shared" si="71"/>
        <v>6</v>
      </c>
      <c r="F766" s="80">
        <f t="shared" si="71"/>
        <v>6</v>
      </c>
      <c r="H766" s="255" t="s">
        <v>825</v>
      </c>
      <c r="I766" s="255" t="s">
        <v>825</v>
      </c>
      <c r="J766" s="255" t="s">
        <v>825</v>
      </c>
      <c r="L766" s="255" t="s">
        <v>825</v>
      </c>
      <c r="M766" s="95"/>
      <c r="N766" s="95"/>
      <c r="O766" s="95"/>
      <c r="T766" s="256" t="s">
        <v>825</v>
      </c>
      <c r="U766" s="257" t="s">
        <v>825</v>
      </c>
      <c r="V766" s="177"/>
      <c r="W766" s="258" t="s">
        <v>825</v>
      </c>
      <c r="X766" s="244">
        <v>0.15401217339063772</v>
      </c>
      <c r="Y766" s="265">
        <f t="shared" si="72"/>
        <v>203</v>
      </c>
      <c r="AA766" s="265">
        <f>IF(COUNTIF($Y$571:$Y766,Y766)=1,Y766,Y766+(COUNTIF($Y$571:Y766,Y766)-1))</f>
        <v>203</v>
      </c>
      <c r="AB766" s="177"/>
      <c r="AC766" s="265">
        <f t="shared" si="74"/>
        <v>196</v>
      </c>
      <c r="AD766" s="266">
        <f t="shared" si="75"/>
        <v>0.1462584649204666</v>
      </c>
      <c r="AE766" s="244">
        <f t="shared" si="73"/>
        <v>0.11616126557759388</v>
      </c>
      <c r="AG766" s="244"/>
      <c r="AH766" s="244"/>
      <c r="AI766" s="244"/>
      <c r="AJ766" s="244"/>
      <c r="AK766" s="244"/>
    </row>
    <row r="767" spans="4:37" x14ac:dyDescent="0.3">
      <c r="D767" s="75">
        <f t="shared" si="71"/>
        <v>39</v>
      </c>
      <c r="E767" s="80">
        <f t="shared" si="71"/>
        <v>6</v>
      </c>
      <c r="F767" s="80">
        <f t="shared" si="71"/>
        <v>6</v>
      </c>
      <c r="H767" s="255" t="s">
        <v>825</v>
      </c>
      <c r="I767" s="255" t="s">
        <v>825</v>
      </c>
      <c r="J767" s="255" t="s">
        <v>825</v>
      </c>
      <c r="L767" s="255" t="s">
        <v>825</v>
      </c>
      <c r="M767" s="95"/>
      <c r="N767" s="95"/>
      <c r="O767" s="95"/>
      <c r="T767" s="256" t="s">
        <v>825</v>
      </c>
      <c r="U767" s="257" t="s">
        <v>825</v>
      </c>
      <c r="V767" s="177"/>
      <c r="W767" s="258" t="s">
        <v>825</v>
      </c>
      <c r="X767" s="244">
        <v>0.17886473555129598</v>
      </c>
      <c r="Y767" s="265">
        <f t="shared" si="72"/>
        <v>212</v>
      </c>
      <c r="AA767" s="265">
        <f>IF(COUNTIF($Y$571:$Y767,Y767)=1,Y767,Y767+(COUNTIF($Y$571:Y767,Y767)-1))</f>
        <v>212</v>
      </c>
      <c r="AB767" s="177"/>
      <c r="AC767" s="265">
        <f t="shared" si="74"/>
        <v>197</v>
      </c>
      <c r="AD767" s="266">
        <f t="shared" si="75"/>
        <v>0.1481098464494946</v>
      </c>
      <c r="AE767" s="244">
        <f t="shared" si="73"/>
        <v>0.11616126557759388</v>
      </c>
      <c r="AG767" s="244"/>
      <c r="AH767" s="244"/>
      <c r="AI767" s="244"/>
      <c r="AJ767" s="244"/>
      <c r="AK767" s="244"/>
    </row>
    <row r="768" spans="4:37" x14ac:dyDescent="0.3">
      <c r="D768" s="75">
        <f t="shared" si="71"/>
        <v>40</v>
      </c>
      <c r="E768" s="80">
        <f t="shared" si="71"/>
        <v>6</v>
      </c>
      <c r="F768" s="80">
        <f t="shared" si="71"/>
        <v>6</v>
      </c>
      <c r="H768" s="255" t="s">
        <v>825</v>
      </c>
      <c r="I768" s="255" t="s">
        <v>825</v>
      </c>
      <c r="J768" s="255" t="s">
        <v>825</v>
      </c>
      <c r="L768" s="255" t="s">
        <v>825</v>
      </c>
      <c r="M768" s="95"/>
      <c r="N768" s="95"/>
      <c r="O768" s="95"/>
      <c r="T768" s="256" t="s">
        <v>825</v>
      </c>
      <c r="U768" s="257" t="s">
        <v>825</v>
      </c>
      <c r="V768" s="177"/>
      <c r="W768" s="258" t="s">
        <v>825</v>
      </c>
      <c r="X768" s="244">
        <v>0.20153812866405096</v>
      </c>
      <c r="Y768" s="265">
        <f t="shared" si="72"/>
        <v>215</v>
      </c>
      <c r="AA768" s="265">
        <f>IF(COUNTIF($Y$571:$Y768,Y768)=1,Y768,Y768+(COUNTIF($Y$571:Y768,Y768)-1))</f>
        <v>215</v>
      </c>
      <c r="AB768" s="177"/>
      <c r="AC768" s="265">
        <f t="shared" si="74"/>
        <v>198</v>
      </c>
      <c r="AD768" s="266">
        <f t="shared" si="75"/>
        <v>0.14905020976594638</v>
      </c>
      <c r="AE768" s="244">
        <f t="shared" si="73"/>
        <v>0.11616126557759388</v>
      </c>
      <c r="AG768" s="244"/>
      <c r="AH768" s="244"/>
      <c r="AI768" s="244"/>
      <c r="AJ768" s="244"/>
      <c r="AK768" s="244"/>
    </row>
    <row r="769" spans="4:37" x14ac:dyDescent="0.3">
      <c r="D769" s="75">
        <f t="shared" ref="D769:F770" si="76">D535</f>
        <v>41</v>
      </c>
      <c r="E769" s="80">
        <f t="shared" si="76"/>
        <v>6</v>
      </c>
      <c r="F769" s="80">
        <f t="shared" si="76"/>
        <v>6</v>
      </c>
      <c r="H769" s="255" t="s">
        <v>825</v>
      </c>
      <c r="I769" s="255" t="s">
        <v>825</v>
      </c>
      <c r="J769" s="255" t="s">
        <v>825</v>
      </c>
      <c r="L769" s="255" t="s">
        <v>825</v>
      </c>
      <c r="M769" s="95"/>
      <c r="N769" s="95"/>
      <c r="O769" s="95"/>
      <c r="T769" s="256" t="s">
        <v>825</v>
      </c>
      <c r="U769" s="257" t="s">
        <v>825</v>
      </c>
      <c r="V769" s="177"/>
      <c r="W769" s="258" t="s">
        <v>825</v>
      </c>
      <c r="X769" s="244">
        <v>0.2002224677091223</v>
      </c>
      <c r="Y769" s="265">
        <f t="shared" si="72"/>
        <v>214</v>
      </c>
      <c r="AA769" s="265">
        <f>IF(COUNTIF($Y$571:$Y769,Y769)=1,Y769,Y769+(COUNTIF($Y$571:Y769,Y769)-1))</f>
        <v>214</v>
      </c>
      <c r="AB769" s="177"/>
      <c r="AC769" s="265">
        <f t="shared" si="74"/>
        <v>199</v>
      </c>
      <c r="AD769" s="266">
        <f t="shared" si="75"/>
        <v>0.15042909044187461</v>
      </c>
      <c r="AE769" s="244">
        <f t="shared" si="73"/>
        <v>0.11616126557759388</v>
      </c>
      <c r="AG769" s="244"/>
      <c r="AH769" s="244"/>
      <c r="AI769" s="244"/>
      <c r="AJ769" s="244"/>
      <c r="AK769" s="244"/>
    </row>
    <row r="770" spans="4:37" x14ac:dyDescent="0.3">
      <c r="D770" s="75">
        <f t="shared" si="76"/>
        <v>42</v>
      </c>
      <c r="E770" s="80">
        <f t="shared" si="76"/>
        <v>6</v>
      </c>
      <c r="F770" s="80">
        <f t="shared" si="76"/>
        <v>6</v>
      </c>
      <c r="H770" s="255" t="s">
        <v>825</v>
      </c>
      <c r="I770" s="255" t="s">
        <v>825</v>
      </c>
      <c r="J770" s="255" t="s">
        <v>825</v>
      </c>
      <c r="L770" s="255" t="s">
        <v>825</v>
      </c>
      <c r="M770" s="95"/>
      <c r="N770" s="95"/>
      <c r="O770" s="95"/>
      <c r="T770" s="256" t="s">
        <v>825</v>
      </c>
      <c r="U770" s="257" t="s">
        <v>825</v>
      </c>
      <c r="V770" s="177"/>
      <c r="W770" s="258" t="s">
        <v>825</v>
      </c>
      <c r="X770" s="244">
        <v>0.20499721568304399</v>
      </c>
      <c r="Y770" s="265">
        <f t="shared" si="72"/>
        <v>216</v>
      </c>
      <c r="AA770" s="265">
        <f>IF(COUNTIF($Y$571:$Y770,Y770)=1,Y770,Y770+(COUNTIF($Y$571:Y770,Y770)-1))</f>
        <v>216</v>
      </c>
      <c r="AB770" s="177"/>
      <c r="AC770" s="265">
        <f t="shared" si="74"/>
        <v>200</v>
      </c>
      <c r="AD770" s="266">
        <f t="shared" si="75"/>
        <v>0.15071772477716794</v>
      </c>
      <c r="AE770" s="244">
        <f t="shared" si="73"/>
        <v>0.11616126557759388</v>
      </c>
      <c r="AG770" s="244"/>
      <c r="AH770" s="244"/>
      <c r="AI770" s="244"/>
      <c r="AJ770" s="244"/>
      <c r="AK770" s="244"/>
    </row>
    <row r="771" spans="4:37" x14ac:dyDescent="0.3">
      <c r="D771" s="75">
        <f t="shared" ref="D771:F776" si="77">D537</f>
        <v>43</v>
      </c>
      <c r="E771" s="80">
        <f t="shared" si="77"/>
        <v>6</v>
      </c>
      <c r="F771" s="80">
        <f t="shared" si="77"/>
        <v>6</v>
      </c>
      <c r="H771" s="255" t="s">
        <v>825</v>
      </c>
      <c r="I771" s="255" t="s">
        <v>825</v>
      </c>
      <c r="J771" s="255" t="s">
        <v>825</v>
      </c>
      <c r="L771" s="255" t="s">
        <v>825</v>
      </c>
      <c r="M771" s="95"/>
      <c r="N771" s="95"/>
      <c r="O771" s="95"/>
      <c r="T771" s="256" t="s">
        <v>825</v>
      </c>
      <c r="U771" s="257" t="s">
        <v>825</v>
      </c>
      <c r="V771" s="177"/>
      <c r="W771" s="258" t="s">
        <v>825</v>
      </c>
      <c r="X771" s="244">
        <v>0.17566236680211295</v>
      </c>
      <c r="Y771" s="265">
        <f t="shared" ref="Y771:Y776" si="78">RANK($X771,$X$571:$X$790,-1)</f>
        <v>211</v>
      </c>
      <c r="AA771" s="265">
        <f>IF(COUNTIF($Y$571:$Y771,Y771)=1,Y771,Y771+(COUNTIF($Y$571:Y771,Y771)-1))</f>
        <v>211</v>
      </c>
      <c r="AB771" s="177"/>
      <c r="AC771" s="265">
        <f t="shared" si="74"/>
        <v>201</v>
      </c>
      <c r="AD771" s="266">
        <f t="shared" si="75"/>
        <v>0.15244057897123928</v>
      </c>
      <c r="AE771" s="244">
        <f t="shared" si="73"/>
        <v>0.11616126557759388</v>
      </c>
      <c r="AG771" s="244"/>
      <c r="AH771" s="244"/>
      <c r="AI771" s="244"/>
      <c r="AJ771" s="244"/>
      <c r="AK771" s="244"/>
    </row>
    <row r="772" spans="4:37" x14ac:dyDescent="0.3">
      <c r="D772" s="75">
        <f t="shared" si="77"/>
        <v>44</v>
      </c>
      <c r="E772" s="80">
        <f t="shared" si="77"/>
        <v>6</v>
      </c>
      <c r="F772" s="80">
        <f t="shared" si="77"/>
        <v>6</v>
      </c>
      <c r="H772" s="255" t="s">
        <v>825</v>
      </c>
      <c r="I772" s="255" t="s">
        <v>825</v>
      </c>
      <c r="J772" s="255" t="s">
        <v>825</v>
      </c>
      <c r="L772" s="255" t="s">
        <v>825</v>
      </c>
      <c r="M772" s="95"/>
      <c r="N772" s="95"/>
      <c r="O772" s="95"/>
      <c r="T772" s="256" t="s">
        <v>825</v>
      </c>
      <c r="U772" s="257" t="s">
        <v>825</v>
      </c>
      <c r="V772" s="177"/>
      <c r="W772" s="258" t="s">
        <v>825</v>
      </c>
      <c r="X772" s="244">
        <v>0.22367933164742496</v>
      </c>
      <c r="Y772" s="265">
        <f t="shared" si="78"/>
        <v>217</v>
      </c>
      <c r="AA772" s="265">
        <f>IF(COUNTIF($Y$571:$Y772,Y772)=1,Y772,Y772+(COUNTIF($Y$571:Y772,Y772)-1))</f>
        <v>217</v>
      </c>
      <c r="AB772" s="177"/>
      <c r="AC772" s="265">
        <f t="shared" si="74"/>
        <v>202</v>
      </c>
      <c r="AD772" s="266">
        <f t="shared" si="75"/>
        <v>0.15285410395298502</v>
      </c>
      <c r="AE772" s="244">
        <f t="shared" si="73"/>
        <v>0.11616126557759388</v>
      </c>
      <c r="AG772" s="244"/>
      <c r="AH772" s="244"/>
      <c r="AI772" s="244"/>
      <c r="AJ772" s="244"/>
      <c r="AK772" s="244"/>
    </row>
    <row r="773" spans="4:37" x14ac:dyDescent="0.3">
      <c r="D773" s="75">
        <f t="shared" si="77"/>
        <v>45</v>
      </c>
      <c r="E773" s="80">
        <f t="shared" si="77"/>
        <v>6</v>
      </c>
      <c r="F773" s="80">
        <f t="shared" si="77"/>
        <v>6</v>
      </c>
      <c r="H773" s="255" t="s">
        <v>825</v>
      </c>
      <c r="I773" s="255" t="s">
        <v>825</v>
      </c>
      <c r="J773" s="255" t="s">
        <v>825</v>
      </c>
      <c r="L773" s="255" t="s">
        <v>825</v>
      </c>
      <c r="M773" s="95"/>
      <c r="N773" s="95"/>
      <c r="O773" s="95"/>
      <c r="T773" s="256" t="s">
        <v>825</v>
      </c>
      <c r="U773" s="257" t="s">
        <v>825</v>
      </c>
      <c r="V773" s="177"/>
      <c r="W773" s="258" t="s">
        <v>825</v>
      </c>
      <c r="X773" s="244">
        <v>0.22367933164742496</v>
      </c>
      <c r="Y773" s="265">
        <f t="shared" si="78"/>
        <v>217</v>
      </c>
      <c r="AA773" s="265">
        <f>IF(COUNTIF($Y$571:$Y773,Y773)=1,Y773,Y773+(COUNTIF($Y$571:Y773,Y773)-1))</f>
        <v>218</v>
      </c>
      <c r="AB773" s="177"/>
      <c r="AC773" s="265">
        <f t="shared" si="74"/>
        <v>203</v>
      </c>
      <c r="AD773" s="266">
        <f t="shared" si="75"/>
        <v>0.15401217339063772</v>
      </c>
      <c r="AE773" s="244">
        <f t="shared" si="73"/>
        <v>0.11616126557759388</v>
      </c>
      <c r="AG773" s="244"/>
      <c r="AH773" s="244"/>
      <c r="AI773" s="244"/>
      <c r="AJ773" s="244"/>
      <c r="AK773" s="244"/>
    </row>
    <row r="774" spans="4:37" x14ac:dyDescent="0.3">
      <c r="D774" s="75">
        <f t="shared" si="77"/>
        <v>46</v>
      </c>
      <c r="E774" s="80">
        <f t="shared" si="77"/>
        <v>6</v>
      </c>
      <c r="F774" s="80">
        <f t="shared" si="77"/>
        <v>6</v>
      </c>
      <c r="H774" s="255" t="s">
        <v>825</v>
      </c>
      <c r="I774" s="255" t="s">
        <v>825</v>
      </c>
      <c r="J774" s="255" t="s">
        <v>825</v>
      </c>
      <c r="L774" s="255" t="s">
        <v>825</v>
      </c>
      <c r="M774" s="95"/>
      <c r="N774" s="95"/>
      <c r="O774" s="95"/>
      <c r="T774" s="256" t="s">
        <v>825</v>
      </c>
      <c r="U774" s="257" t="s">
        <v>825</v>
      </c>
      <c r="V774" s="177"/>
      <c r="W774" s="258" t="s">
        <v>825</v>
      </c>
      <c r="X774" s="244">
        <v>0.22367933164742496</v>
      </c>
      <c r="Y774" s="265">
        <f t="shared" si="78"/>
        <v>217</v>
      </c>
      <c r="AA774" s="265">
        <f>IF(COUNTIF($Y$571:$Y774,Y774)=1,Y774,Y774+(COUNTIF($Y$571:Y774,Y774)-1))</f>
        <v>219</v>
      </c>
      <c r="AB774" s="177"/>
      <c r="AC774" s="265">
        <f t="shared" si="74"/>
        <v>204</v>
      </c>
      <c r="AD774" s="266">
        <f t="shared" si="75"/>
        <v>0.15578734032871708</v>
      </c>
      <c r="AE774" s="244">
        <f t="shared" si="73"/>
        <v>0.11616126557759388</v>
      </c>
      <c r="AG774" s="244"/>
      <c r="AH774" s="244"/>
      <c r="AI774" s="244"/>
      <c r="AJ774" s="244"/>
      <c r="AK774" s="244"/>
    </row>
    <row r="775" spans="4:37" x14ac:dyDescent="0.3">
      <c r="D775" s="75">
        <f t="shared" si="77"/>
        <v>47</v>
      </c>
      <c r="E775" s="80">
        <f t="shared" si="77"/>
        <v>6</v>
      </c>
      <c r="F775" s="80">
        <f t="shared" si="77"/>
        <v>6</v>
      </c>
      <c r="H775" s="255" t="s">
        <v>825</v>
      </c>
      <c r="I775" s="255" t="s">
        <v>825</v>
      </c>
      <c r="J775" s="255" t="s">
        <v>825</v>
      </c>
      <c r="L775" s="255" t="s">
        <v>825</v>
      </c>
      <c r="M775" s="95"/>
      <c r="N775" s="95"/>
      <c r="O775" s="95"/>
      <c r="T775" s="256" t="s">
        <v>825</v>
      </c>
      <c r="U775" s="257" t="s">
        <v>825</v>
      </c>
      <c r="V775" s="177"/>
      <c r="W775" s="258" t="s">
        <v>825</v>
      </c>
      <c r="X775" s="244">
        <v>0.22367933164742496</v>
      </c>
      <c r="Y775" s="265">
        <f t="shared" si="78"/>
        <v>217</v>
      </c>
      <c r="AA775" s="265">
        <f>IF(COUNTIF($Y$571:$Y775,Y775)=1,Y775,Y775+(COUNTIF($Y$571:Y775,Y775)-1))</f>
        <v>220</v>
      </c>
      <c r="AB775" s="177"/>
      <c r="AC775" s="265">
        <f t="shared" si="74"/>
        <v>205</v>
      </c>
      <c r="AD775" s="266">
        <f t="shared" si="75"/>
        <v>0.15817316694797981</v>
      </c>
      <c r="AE775" s="244">
        <f t="shared" si="73"/>
        <v>0.11616126557759388</v>
      </c>
      <c r="AG775" s="244"/>
      <c r="AH775" s="244"/>
      <c r="AI775" s="244"/>
      <c r="AJ775" s="244"/>
      <c r="AK775" s="244"/>
    </row>
    <row r="776" spans="4:37" x14ac:dyDescent="0.3">
      <c r="D776" s="75">
        <f t="shared" si="77"/>
        <v>48</v>
      </c>
      <c r="E776" s="80">
        <f t="shared" si="77"/>
        <v>6</v>
      </c>
      <c r="F776" s="80">
        <f t="shared" si="77"/>
        <v>6</v>
      </c>
      <c r="H776" s="255" t="s">
        <v>825</v>
      </c>
      <c r="I776" s="255" t="s">
        <v>825</v>
      </c>
      <c r="J776" s="255" t="s">
        <v>825</v>
      </c>
      <c r="L776" s="255" t="s">
        <v>825</v>
      </c>
      <c r="M776" s="95"/>
      <c r="N776" s="95"/>
      <c r="O776" s="95"/>
      <c r="T776" s="256" t="s">
        <v>825</v>
      </c>
      <c r="U776" s="257" t="s">
        <v>825</v>
      </c>
      <c r="V776" s="177"/>
      <c r="W776" s="258" t="s">
        <v>825</v>
      </c>
      <c r="X776" s="244">
        <v>0.15071772477716794</v>
      </c>
      <c r="Y776" s="265">
        <f t="shared" si="78"/>
        <v>200</v>
      </c>
      <c r="AA776" s="265">
        <f>IF(COUNTIF($Y$571:$Y776,Y776)=1,Y776,Y776+(COUNTIF($Y$571:Y776,Y776)-1))</f>
        <v>200</v>
      </c>
      <c r="AB776" s="177"/>
      <c r="AC776" s="265">
        <f t="shared" si="74"/>
        <v>206</v>
      </c>
      <c r="AD776" s="266">
        <f t="shared" si="75"/>
        <v>0.1593899967494983</v>
      </c>
      <c r="AE776" s="244">
        <f t="shared" si="73"/>
        <v>0.11616126557759388</v>
      </c>
      <c r="AG776" s="244"/>
      <c r="AH776" s="244"/>
      <c r="AI776" s="244"/>
      <c r="AJ776" s="244"/>
      <c r="AK776" s="244"/>
    </row>
    <row r="777" spans="4:37" x14ac:dyDescent="0.3">
      <c r="D777" s="75">
        <f>D543</f>
        <v>49</v>
      </c>
      <c r="E777" s="80">
        <f>E543</f>
        <v>6</v>
      </c>
      <c r="F777" s="80">
        <f>F543</f>
        <v>6</v>
      </c>
      <c r="H777" s="269" t="s">
        <v>825</v>
      </c>
      <c r="I777" s="255" t="s">
        <v>825</v>
      </c>
      <c r="J777" s="255" t="s">
        <v>825</v>
      </c>
      <c r="L777" s="269" t="s">
        <v>825</v>
      </c>
      <c r="M777" s="95"/>
      <c r="N777" s="95"/>
      <c r="O777" s="95"/>
      <c r="T777" s="256" t="s">
        <v>825</v>
      </c>
      <c r="U777" s="257" t="s">
        <v>825</v>
      </c>
      <c r="V777" s="177"/>
      <c r="W777" s="258" t="s">
        <v>825</v>
      </c>
      <c r="X777" s="244">
        <v>0.1593899967494983</v>
      </c>
      <c r="Y777" s="265">
        <f t="shared" ref="Y777:Y790" si="79">RANK($X777,$X$571:$X$790,-1)</f>
        <v>206</v>
      </c>
      <c r="AA777" s="265">
        <f>IF(COUNTIF($Y$571:$Y777,Y777)=1,Y777,Y777+(COUNTIF($Y$571:Y777,Y777)-1))</f>
        <v>206</v>
      </c>
      <c r="AB777" s="177"/>
      <c r="AC777" s="265">
        <f t="shared" si="74"/>
        <v>207</v>
      </c>
      <c r="AD777" s="266">
        <f t="shared" si="75"/>
        <v>0.16276845131569817</v>
      </c>
      <c r="AE777" s="244">
        <f t="shared" si="73"/>
        <v>0.11616126557759388</v>
      </c>
      <c r="AG777" s="244"/>
      <c r="AH777" s="244"/>
      <c r="AI777" s="244"/>
      <c r="AJ777" s="244"/>
      <c r="AK777" s="244"/>
    </row>
    <row r="778" spans="4:37" x14ac:dyDescent="0.3">
      <c r="D778" s="267">
        <f>D551</f>
        <v>1</v>
      </c>
      <c r="E778" s="268">
        <f t="shared" ref="E778:F778" si="80">E551</f>
        <v>7</v>
      </c>
      <c r="F778" s="268">
        <f t="shared" si="80"/>
        <v>7</v>
      </c>
      <c r="H778" s="270" t="s">
        <v>825</v>
      </c>
      <c r="I778" s="95"/>
      <c r="J778" s="95"/>
      <c r="L778" s="270" t="s">
        <v>825</v>
      </c>
      <c r="M778" s="95"/>
      <c r="N778" s="95"/>
      <c r="O778" s="95"/>
      <c r="T778" s="256" t="s">
        <v>825</v>
      </c>
      <c r="U778" s="257" t="s">
        <v>825</v>
      </c>
      <c r="V778" s="177"/>
      <c r="W778" s="258" t="s">
        <v>825</v>
      </c>
      <c r="X778" s="244">
        <v>-0.23699215777922741</v>
      </c>
      <c r="Y778" s="265">
        <f t="shared" si="79"/>
        <v>1</v>
      </c>
      <c r="AA778" s="265">
        <f>IF(COUNTIF($Y$571:$Y778,Y778)=1,Y778,Y778+(COUNTIF($Y$571:Y778,Y778)-1))</f>
        <v>1</v>
      </c>
      <c r="AB778" s="177"/>
      <c r="AC778" s="265">
        <f t="shared" si="74"/>
        <v>208</v>
      </c>
      <c r="AD778" s="266">
        <f t="shared" si="75"/>
        <v>0.1638476894120138</v>
      </c>
      <c r="AE778" s="244">
        <f t="shared" si="73"/>
        <v>0.11616126557759388</v>
      </c>
      <c r="AG778" s="244"/>
      <c r="AH778" s="244"/>
      <c r="AI778" s="244"/>
      <c r="AJ778" s="244"/>
      <c r="AK778" s="244"/>
    </row>
    <row r="779" spans="4:37" x14ac:dyDescent="0.3">
      <c r="D779" s="75">
        <f t="shared" ref="D779:F779" si="81">D552</f>
        <v>2</v>
      </c>
      <c r="E779" s="80">
        <f t="shared" si="81"/>
        <v>7</v>
      </c>
      <c r="F779" s="80">
        <f t="shared" si="81"/>
        <v>7</v>
      </c>
      <c r="H779" s="255" t="s">
        <v>825</v>
      </c>
      <c r="I779" s="95"/>
      <c r="J779" s="95"/>
      <c r="L779" s="255" t="s">
        <v>825</v>
      </c>
      <c r="M779" s="95"/>
      <c r="N779" s="95"/>
      <c r="O779" s="95"/>
      <c r="T779" s="256" t="s">
        <v>825</v>
      </c>
      <c r="U779" s="257" t="s">
        <v>825</v>
      </c>
      <c r="V779" s="177"/>
      <c r="W779" s="258" t="s">
        <v>825</v>
      </c>
      <c r="X779" s="244">
        <v>-0.19718600326143251</v>
      </c>
      <c r="Y779" s="265">
        <f t="shared" si="79"/>
        <v>3</v>
      </c>
      <c r="AA779" s="265">
        <f>IF(COUNTIF($Y$571:$Y779,Y779)=1,Y779,Y779+(COUNTIF($Y$571:Y779,Y779)-1))</f>
        <v>3</v>
      </c>
      <c r="AB779" s="177"/>
      <c r="AC779" s="265">
        <f t="shared" si="74"/>
        <v>209</v>
      </c>
      <c r="AD779" s="266">
        <f t="shared" si="75"/>
        <v>0.17104299860484973</v>
      </c>
      <c r="AE779" s="244">
        <f t="shared" si="73"/>
        <v>0.11616126557759388</v>
      </c>
      <c r="AG779" s="244"/>
      <c r="AH779" s="244"/>
      <c r="AI779" s="244"/>
      <c r="AJ779" s="244"/>
      <c r="AK779" s="244"/>
    </row>
    <row r="780" spans="4:37" x14ac:dyDescent="0.3">
      <c r="D780" s="75">
        <f t="shared" ref="D780:F780" si="82">D553</f>
        <v>3</v>
      </c>
      <c r="E780" s="80">
        <f t="shared" si="82"/>
        <v>7</v>
      </c>
      <c r="F780" s="80">
        <f t="shared" si="82"/>
        <v>7</v>
      </c>
      <c r="H780" s="255" t="s">
        <v>825</v>
      </c>
      <c r="I780" s="95"/>
      <c r="J780" s="95"/>
      <c r="L780" s="255" t="s">
        <v>825</v>
      </c>
      <c r="M780" s="95"/>
      <c r="N780" s="95"/>
      <c r="O780" s="95"/>
      <c r="T780" s="256" t="s">
        <v>825</v>
      </c>
      <c r="U780" s="257" t="s">
        <v>825</v>
      </c>
      <c r="V780" s="177"/>
      <c r="W780" s="258" t="s">
        <v>825</v>
      </c>
      <c r="X780" s="244">
        <v>-0.1913849067413913</v>
      </c>
      <c r="Y780" s="265">
        <f t="shared" si="79"/>
        <v>5</v>
      </c>
      <c r="AA780" s="265">
        <f>IF(COUNTIF($Y$571:$Y780,Y780)=1,Y780,Y780+(COUNTIF($Y$571:Y780,Y780)-1))</f>
        <v>5</v>
      </c>
      <c r="AB780" s="177"/>
      <c r="AC780" s="265">
        <f t="shared" si="74"/>
        <v>210</v>
      </c>
      <c r="AD780" s="266">
        <f t="shared" si="75"/>
        <v>0.17234468931752367</v>
      </c>
      <c r="AE780" s="244">
        <f t="shared" si="73"/>
        <v>0.11616126557759388</v>
      </c>
      <c r="AG780" s="244"/>
      <c r="AH780" s="244"/>
      <c r="AI780" s="244"/>
      <c r="AJ780" s="244"/>
      <c r="AK780" s="244"/>
    </row>
    <row r="781" spans="4:37" x14ac:dyDescent="0.3">
      <c r="D781" s="75">
        <f t="shared" ref="D781:F781" si="83">D554</f>
        <v>4</v>
      </c>
      <c r="E781" s="80">
        <f t="shared" si="83"/>
        <v>7</v>
      </c>
      <c r="F781" s="80">
        <f t="shared" si="83"/>
        <v>7</v>
      </c>
      <c r="H781" s="255" t="s">
        <v>825</v>
      </c>
      <c r="I781" s="95"/>
      <c r="J781" s="95"/>
      <c r="L781" s="255" t="s">
        <v>825</v>
      </c>
      <c r="M781" s="95"/>
      <c r="N781" s="95"/>
      <c r="O781" s="95"/>
      <c r="T781" s="256" t="s">
        <v>825</v>
      </c>
      <c r="U781" s="257" t="s">
        <v>825</v>
      </c>
      <c r="V781" s="177"/>
      <c r="W781" s="258" t="s">
        <v>825</v>
      </c>
      <c r="X781" s="244">
        <v>-0.10363053284994754</v>
      </c>
      <c r="Y781" s="265">
        <f t="shared" si="79"/>
        <v>25</v>
      </c>
      <c r="AA781" s="265">
        <f>IF(COUNTIF($Y$571:$Y781,Y781)=1,Y781,Y781+(COUNTIF($Y$571:Y781,Y781)-1))</f>
        <v>25</v>
      </c>
      <c r="AB781" s="177"/>
      <c r="AC781" s="265">
        <f t="shared" si="74"/>
        <v>211</v>
      </c>
      <c r="AD781" s="266">
        <f t="shared" si="75"/>
        <v>0.17566236680211295</v>
      </c>
      <c r="AE781" s="244">
        <f t="shared" si="73"/>
        <v>0.11616126557759388</v>
      </c>
      <c r="AG781" s="244"/>
      <c r="AH781" s="244"/>
      <c r="AI781" s="244"/>
      <c r="AJ781" s="244"/>
      <c r="AK781" s="244"/>
    </row>
    <row r="782" spans="4:37" x14ac:dyDescent="0.3">
      <c r="D782" s="75">
        <f t="shared" ref="D782:F782" si="84">D555</f>
        <v>5</v>
      </c>
      <c r="E782" s="80">
        <f t="shared" si="84"/>
        <v>7</v>
      </c>
      <c r="F782" s="80">
        <f t="shared" si="84"/>
        <v>7</v>
      </c>
      <c r="H782" s="255" t="s">
        <v>825</v>
      </c>
      <c r="I782" s="95"/>
      <c r="J782" s="95"/>
      <c r="L782" s="255" t="s">
        <v>825</v>
      </c>
      <c r="M782" s="95"/>
      <c r="N782" s="95"/>
      <c r="O782" s="95"/>
      <c r="T782" s="256" t="s">
        <v>825</v>
      </c>
      <c r="U782" s="257" t="s">
        <v>825</v>
      </c>
      <c r="V782" s="177"/>
      <c r="W782" s="258" t="s">
        <v>825</v>
      </c>
      <c r="X782" s="244">
        <v>-9.5067337146032757E-2</v>
      </c>
      <c r="Y782" s="265">
        <f t="shared" si="79"/>
        <v>28</v>
      </c>
      <c r="AA782" s="265">
        <f>IF(COUNTIF($Y$571:$Y782,Y782)=1,Y782,Y782+(COUNTIF($Y$571:Y782,Y782)-1))</f>
        <v>28</v>
      </c>
      <c r="AB782" s="177"/>
      <c r="AC782" s="265">
        <f t="shared" si="74"/>
        <v>212</v>
      </c>
      <c r="AD782" s="266">
        <f t="shared" si="75"/>
        <v>0.17886473555129598</v>
      </c>
      <c r="AE782" s="244">
        <f t="shared" si="73"/>
        <v>0.11616126557759388</v>
      </c>
      <c r="AG782" s="244"/>
      <c r="AH782" s="244"/>
      <c r="AI782" s="244"/>
      <c r="AJ782" s="244"/>
      <c r="AK782" s="244"/>
    </row>
    <row r="783" spans="4:37" x14ac:dyDescent="0.3">
      <c r="D783" s="75">
        <f t="shared" ref="D783:F783" si="85">D556</f>
        <v>6</v>
      </c>
      <c r="E783" s="80">
        <f t="shared" si="85"/>
        <v>7</v>
      </c>
      <c r="F783" s="80">
        <f t="shared" si="85"/>
        <v>7</v>
      </c>
      <c r="H783" s="255" t="s">
        <v>825</v>
      </c>
      <c r="I783" s="95"/>
      <c r="J783" s="95"/>
      <c r="L783" s="255" t="s">
        <v>825</v>
      </c>
      <c r="M783" s="95"/>
      <c r="N783" s="95"/>
      <c r="O783" s="95"/>
      <c r="T783" s="256" t="s">
        <v>825</v>
      </c>
      <c r="U783" s="257" t="s">
        <v>825</v>
      </c>
      <c r="V783" s="177"/>
      <c r="W783" s="258" t="s">
        <v>825</v>
      </c>
      <c r="X783" s="244">
        <v>-7.2256183232926555E-2</v>
      </c>
      <c r="Y783" s="265">
        <f t="shared" si="79"/>
        <v>38</v>
      </c>
      <c r="AA783" s="265">
        <f>IF(COUNTIF($Y$571:$Y783,Y783)=1,Y783,Y783+(COUNTIF($Y$571:Y783,Y783)-1))</f>
        <v>38</v>
      </c>
      <c r="AB783" s="177"/>
      <c r="AC783" s="265">
        <f t="shared" si="74"/>
        <v>213</v>
      </c>
      <c r="AD783" s="266">
        <f t="shared" si="75"/>
        <v>0.19129431490742066</v>
      </c>
      <c r="AE783" s="244">
        <f t="shared" si="73"/>
        <v>0.11616126557759388</v>
      </c>
      <c r="AG783" s="244"/>
      <c r="AH783" s="244"/>
      <c r="AI783" s="244"/>
      <c r="AJ783" s="244"/>
      <c r="AK783" s="244"/>
    </row>
    <row r="784" spans="4:37" x14ac:dyDescent="0.3">
      <c r="D784" s="75">
        <f t="shared" ref="D784:F784" si="86">D557</f>
        <v>7</v>
      </c>
      <c r="E784" s="80">
        <f t="shared" si="86"/>
        <v>7</v>
      </c>
      <c r="F784" s="80">
        <f t="shared" si="86"/>
        <v>7</v>
      </c>
      <c r="H784" s="255" t="s">
        <v>825</v>
      </c>
      <c r="I784" s="95"/>
      <c r="J784" s="95"/>
      <c r="L784" s="255" t="s">
        <v>825</v>
      </c>
      <c r="M784" s="95"/>
      <c r="N784" s="95"/>
      <c r="O784" s="95"/>
      <c r="T784" s="256" t="s">
        <v>825</v>
      </c>
      <c r="U784" s="257" t="s">
        <v>825</v>
      </c>
      <c r="V784" s="177"/>
      <c r="W784" s="258" t="s">
        <v>825</v>
      </c>
      <c r="X784" s="244">
        <v>-6.4041484173759586E-2</v>
      </c>
      <c r="Y784" s="265">
        <f t="shared" si="79"/>
        <v>43</v>
      </c>
      <c r="AA784" s="265">
        <f>IF(COUNTIF($Y$571:$Y784,Y784)=1,Y784,Y784+(COUNTIF($Y$571:Y784,Y784)-1))</f>
        <v>43</v>
      </c>
      <c r="AB784" s="177"/>
      <c r="AC784" s="265">
        <f t="shared" si="74"/>
        <v>214</v>
      </c>
      <c r="AD784" s="266">
        <f t="shared" si="75"/>
        <v>0.2002224677091223</v>
      </c>
      <c r="AE784" s="244">
        <f t="shared" si="73"/>
        <v>0.11616126557759388</v>
      </c>
      <c r="AG784" s="244"/>
      <c r="AH784" s="244"/>
      <c r="AI784" s="244"/>
      <c r="AJ784" s="244"/>
      <c r="AK784" s="244"/>
    </row>
    <row r="785" spans="2:37" x14ac:dyDescent="0.3">
      <c r="D785" s="75">
        <f t="shared" ref="D785:F785" si="87">D558</f>
        <v>8</v>
      </c>
      <c r="E785" s="80">
        <f t="shared" si="87"/>
        <v>7</v>
      </c>
      <c r="F785" s="80">
        <f t="shared" si="87"/>
        <v>7</v>
      </c>
      <c r="H785" s="255" t="s">
        <v>825</v>
      </c>
      <c r="I785" s="95"/>
      <c r="J785" s="95"/>
      <c r="L785" s="255" t="s">
        <v>825</v>
      </c>
      <c r="M785" s="95"/>
      <c r="N785" s="95"/>
      <c r="O785" s="95"/>
      <c r="T785" s="256" t="s">
        <v>825</v>
      </c>
      <c r="U785" s="257" t="s">
        <v>825</v>
      </c>
      <c r="V785" s="177"/>
      <c r="W785" s="258" t="s">
        <v>825</v>
      </c>
      <c r="X785" s="244">
        <v>-5.3049629031404734E-2</v>
      </c>
      <c r="Y785" s="265">
        <f t="shared" si="79"/>
        <v>49</v>
      </c>
      <c r="AA785" s="265">
        <f>IF(COUNTIF($Y$571:$Y785,Y785)=1,Y785,Y785+(COUNTIF($Y$571:Y785,Y785)-1))</f>
        <v>49</v>
      </c>
      <c r="AB785" s="177"/>
      <c r="AC785" s="265">
        <f t="shared" si="74"/>
        <v>215</v>
      </c>
      <c r="AD785" s="266">
        <f t="shared" si="75"/>
        <v>0.20153812866405096</v>
      </c>
      <c r="AE785" s="244">
        <f t="shared" si="73"/>
        <v>0.11616126557759388</v>
      </c>
      <c r="AG785" s="244"/>
      <c r="AH785" s="244"/>
      <c r="AI785" s="244"/>
      <c r="AJ785" s="244"/>
      <c r="AK785" s="244"/>
    </row>
    <row r="786" spans="2:37" x14ac:dyDescent="0.3">
      <c r="D786" s="75">
        <f t="shared" ref="D786:F786" si="88">D559</f>
        <v>9</v>
      </c>
      <c r="E786" s="80">
        <f t="shared" si="88"/>
        <v>7</v>
      </c>
      <c r="F786" s="80">
        <f t="shared" si="88"/>
        <v>7</v>
      </c>
      <c r="H786" s="255" t="s">
        <v>825</v>
      </c>
      <c r="I786" s="95"/>
      <c r="J786" s="95"/>
      <c r="L786" s="255" t="s">
        <v>825</v>
      </c>
      <c r="M786" s="95"/>
      <c r="N786" s="95"/>
      <c r="O786" s="95"/>
      <c r="T786" s="256" t="s">
        <v>825</v>
      </c>
      <c r="U786" s="257" t="s">
        <v>825</v>
      </c>
      <c r="V786" s="177"/>
      <c r="W786" s="258" t="s">
        <v>825</v>
      </c>
      <c r="X786" s="244">
        <v>-3.9903728512467818E-2</v>
      </c>
      <c r="Y786" s="265">
        <f t="shared" si="79"/>
        <v>58</v>
      </c>
      <c r="AA786" s="265">
        <f>IF(COUNTIF($Y$571:$Y786,Y786)=1,Y786,Y786+(COUNTIF($Y$571:Y786,Y786)-1))</f>
        <v>58</v>
      </c>
      <c r="AB786" s="177"/>
      <c r="AC786" s="265">
        <f t="shared" si="74"/>
        <v>216</v>
      </c>
      <c r="AD786" s="266">
        <f t="shared" si="75"/>
        <v>0.20499721568304399</v>
      </c>
      <c r="AE786" s="244">
        <f t="shared" si="73"/>
        <v>0.11616126557759388</v>
      </c>
      <c r="AG786" s="244"/>
      <c r="AH786" s="244"/>
      <c r="AI786" s="244"/>
      <c r="AJ786" s="244"/>
      <c r="AK786" s="244"/>
    </row>
    <row r="787" spans="2:37" x14ac:dyDescent="0.3">
      <c r="D787" s="75">
        <f t="shared" ref="D787:F787" si="89">D560</f>
        <v>10</v>
      </c>
      <c r="E787" s="80">
        <f t="shared" si="89"/>
        <v>7</v>
      </c>
      <c r="F787" s="80">
        <f t="shared" si="89"/>
        <v>7</v>
      </c>
      <c r="H787" s="255" t="s">
        <v>825</v>
      </c>
      <c r="I787" s="95"/>
      <c r="J787" s="95"/>
      <c r="L787" s="255" t="s">
        <v>825</v>
      </c>
      <c r="M787" s="95"/>
      <c r="N787" s="95"/>
      <c r="O787" s="95"/>
      <c r="T787" s="256" t="s">
        <v>825</v>
      </c>
      <c r="U787" s="257" t="s">
        <v>825</v>
      </c>
      <c r="V787" s="177"/>
      <c r="W787" s="258" t="s">
        <v>825</v>
      </c>
      <c r="X787" s="244">
        <v>1.7542731472315342E-2</v>
      </c>
      <c r="Y787" s="265">
        <f t="shared" si="79"/>
        <v>92</v>
      </c>
      <c r="AA787" s="265">
        <f>IF(COUNTIF($Y$571:$Y787,Y787)=1,Y787,Y787+(COUNTIF($Y$571:Y787,Y787)-1))</f>
        <v>92</v>
      </c>
      <c r="AB787" s="177"/>
      <c r="AC787" s="265">
        <f t="shared" si="74"/>
        <v>217</v>
      </c>
      <c r="AD787" s="266">
        <f t="shared" si="75"/>
        <v>0.22367933164742496</v>
      </c>
      <c r="AE787" s="244">
        <f t="shared" si="73"/>
        <v>0.11616126557759388</v>
      </c>
      <c r="AG787" s="244"/>
      <c r="AH787" s="244"/>
      <c r="AI787" s="244"/>
      <c r="AJ787" s="244"/>
      <c r="AK787" s="244"/>
    </row>
    <row r="788" spans="2:37" x14ac:dyDescent="0.3">
      <c r="D788" s="75">
        <f t="shared" ref="D788:F788" si="90">D561</f>
        <v>11</v>
      </c>
      <c r="E788" s="80">
        <f t="shared" si="90"/>
        <v>7</v>
      </c>
      <c r="F788" s="80">
        <f t="shared" si="90"/>
        <v>7</v>
      </c>
      <c r="H788" s="255" t="s">
        <v>825</v>
      </c>
      <c r="I788" s="95"/>
      <c r="J788" s="95"/>
      <c r="L788" s="255" t="s">
        <v>825</v>
      </c>
      <c r="M788" s="95"/>
      <c r="N788" s="95"/>
      <c r="O788" s="95"/>
      <c r="T788" s="256" t="s">
        <v>825</v>
      </c>
      <c r="U788" s="257" t="s">
        <v>825</v>
      </c>
      <c r="V788" s="177"/>
      <c r="W788" s="258" t="s">
        <v>825</v>
      </c>
      <c r="X788" s="244">
        <v>4.8677934630558022E-2</v>
      </c>
      <c r="Y788" s="265">
        <f t="shared" si="79"/>
        <v>122</v>
      </c>
      <c r="AA788" s="265">
        <f>IF(COUNTIF($Y$571:$Y788,Y788)=1,Y788,Y788+(COUNTIF($Y$571:Y788,Y788)-1))</f>
        <v>122</v>
      </c>
      <c r="AB788" s="177"/>
      <c r="AC788" s="265">
        <f t="shared" si="74"/>
        <v>218</v>
      </c>
      <c r="AD788" s="266">
        <f t="shared" si="75"/>
        <v>0.22367933164742496</v>
      </c>
      <c r="AE788" s="244">
        <f t="shared" si="73"/>
        <v>0.11616126557759388</v>
      </c>
      <c r="AG788" s="244"/>
      <c r="AH788" s="244"/>
      <c r="AI788" s="244"/>
      <c r="AJ788" s="244"/>
      <c r="AK788" s="244"/>
    </row>
    <row r="789" spans="2:37" x14ac:dyDescent="0.3">
      <c r="D789" s="75">
        <f t="shared" ref="D789:F789" si="91">D562</f>
        <v>12</v>
      </c>
      <c r="E789" s="80">
        <f t="shared" si="91"/>
        <v>7</v>
      </c>
      <c r="F789" s="80">
        <f t="shared" si="91"/>
        <v>7</v>
      </c>
      <c r="H789" s="255" t="s">
        <v>825</v>
      </c>
      <c r="I789" s="95"/>
      <c r="J789" s="95"/>
      <c r="L789" s="255" t="s">
        <v>825</v>
      </c>
      <c r="M789" s="95"/>
      <c r="N789" s="95"/>
      <c r="O789" s="95"/>
      <c r="T789" s="256" t="s">
        <v>825</v>
      </c>
      <c r="U789" s="257" t="s">
        <v>825</v>
      </c>
      <c r="V789" s="177"/>
      <c r="W789" s="258" t="s">
        <v>825</v>
      </c>
      <c r="X789" s="244">
        <v>5.4342770110578371E-2</v>
      </c>
      <c r="Y789" s="265">
        <f t="shared" si="79"/>
        <v>128</v>
      </c>
      <c r="AA789" s="265">
        <f>IF(COUNTIF($Y$571:$Y789,Y789)=1,Y789,Y789+(COUNTIF($Y$571:Y789,Y789)-1))</f>
        <v>128</v>
      </c>
      <c r="AB789" s="177"/>
      <c r="AC789" s="265">
        <f t="shared" si="74"/>
        <v>219</v>
      </c>
      <c r="AD789" s="266">
        <f t="shared" si="75"/>
        <v>0.22367933164742496</v>
      </c>
      <c r="AE789" s="244">
        <f t="shared" si="73"/>
        <v>0.11616126557759388</v>
      </c>
      <c r="AG789" s="244"/>
      <c r="AH789" s="244"/>
      <c r="AI789" s="244"/>
      <c r="AJ789" s="244"/>
      <c r="AK789" s="244"/>
    </row>
    <row r="790" spans="2:37" x14ac:dyDescent="0.3">
      <c r="D790" s="75">
        <f t="shared" ref="D790:F790" si="92">D563</f>
        <v>13</v>
      </c>
      <c r="E790" s="80">
        <f t="shared" si="92"/>
        <v>7</v>
      </c>
      <c r="F790" s="80">
        <f t="shared" si="92"/>
        <v>7</v>
      </c>
      <c r="H790" s="255" t="s">
        <v>825</v>
      </c>
      <c r="I790" s="95"/>
      <c r="J790" s="95"/>
      <c r="L790" s="255" t="s">
        <v>825</v>
      </c>
      <c r="M790" s="95"/>
      <c r="N790" s="95"/>
      <c r="O790" s="95"/>
      <c r="T790" s="256" t="s">
        <v>825</v>
      </c>
      <c r="U790" s="257" t="s">
        <v>825</v>
      </c>
      <c r="V790" s="177"/>
      <c r="W790" s="258" t="s">
        <v>825</v>
      </c>
      <c r="X790" s="244">
        <v>0.10520863836039179</v>
      </c>
      <c r="Y790" s="265">
        <f t="shared" si="79"/>
        <v>173</v>
      </c>
      <c r="AA790" s="265">
        <f>IF(COUNTIF($Y$571:$Y790,Y790)=1,Y790,Y790+(COUNTIF($Y$571:Y790,Y790)-1))</f>
        <v>173</v>
      </c>
      <c r="AB790" s="177"/>
      <c r="AC790" s="265">
        <f t="shared" si="74"/>
        <v>220</v>
      </c>
      <c r="AD790" s="266">
        <f t="shared" si="75"/>
        <v>0.22367933164742496</v>
      </c>
      <c r="AE790" s="244">
        <f t="shared" si="73"/>
        <v>0.11616126557759388</v>
      </c>
      <c r="AG790" s="244"/>
      <c r="AH790" s="244"/>
      <c r="AI790" s="244"/>
      <c r="AJ790" s="244"/>
      <c r="AK790" s="244"/>
    </row>
    <row r="793" spans="2:37" s="2" customFormat="1" ht="15" x14ac:dyDescent="0.3">
      <c r="B793" s="2" t="s">
        <v>20</v>
      </c>
    </row>
    <row r="794" spans="2:37" x14ac:dyDescent="0.3">
      <c r="B794" s="132" t="s">
        <v>192</v>
      </c>
    </row>
  </sheetData>
  <mergeCells count="31">
    <mergeCell ref="AA297:AE297"/>
    <mergeCell ref="AG297:AK297"/>
    <mergeCell ref="R159:R160"/>
    <mergeCell ref="H297:J297"/>
    <mergeCell ref="T297:Y297"/>
    <mergeCell ref="L297:O297"/>
    <mergeCell ref="H327:J327"/>
    <mergeCell ref="L327:O327"/>
    <mergeCell ref="W327:X327"/>
    <mergeCell ref="I55:J55"/>
    <mergeCell ref="I28:I29"/>
    <mergeCell ref="I30:I31"/>
    <mergeCell ref="I32:I35"/>
    <mergeCell ref="M317:O317"/>
    <mergeCell ref="I317:J317"/>
    <mergeCell ref="C173:D174"/>
    <mergeCell ref="E173:I173"/>
    <mergeCell ref="I36:I39"/>
    <mergeCell ref="I40:I43"/>
    <mergeCell ref="I45:I48"/>
    <mergeCell ref="I49:I52"/>
    <mergeCell ref="I53:I54"/>
    <mergeCell ref="W493:X493"/>
    <mergeCell ref="W549:X549"/>
    <mergeCell ref="W569:X569"/>
    <mergeCell ref="H549:J549"/>
    <mergeCell ref="L549:O549"/>
    <mergeCell ref="H569:J569"/>
    <mergeCell ref="L569:O569"/>
    <mergeCell ref="H493:J493"/>
    <mergeCell ref="L493:O493"/>
  </mergeCells>
  <conditionalFormatting sqref="B2">
    <cfRule type="cellIs" dxfId="3" priority="2" operator="notEqual">
      <formula>"No Errors Found"</formula>
    </cfRule>
  </conditionalFormatting>
  <hyperlinks>
    <hyperlink ref="B3:D3" location="Cover!A1" display="Go to Cover Sheet" xr:uid="{00000000-0004-0000-0400-000000000000}"/>
  </hyperlink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004D-7EA3-4A2B-84F7-95E3193C40EB}">
  <sheetPr codeName="Sheet19">
    <tabColor theme="4"/>
  </sheetPr>
  <dimension ref="A1:AI181"/>
  <sheetViews>
    <sheetView showGridLines="0" zoomScaleNormal="100" workbookViewId="0">
      <pane xSplit="4" ySplit="9" topLeftCell="E10" activePane="bottomRight" state="frozen"/>
      <selection pane="topRight" activeCell="E1" sqref="E1"/>
      <selection pane="bottomLeft" activeCell="A10" sqref="A10"/>
      <selection pane="bottomRight"/>
    </sheetView>
  </sheetViews>
  <sheetFormatPr defaultColWidth="9.33203125" defaultRowHeight="10.15" outlineLevelRow="1" x14ac:dyDescent="0.3"/>
  <cols>
    <col min="1" max="1" width="2.33203125" bestFit="1" customWidth="1"/>
    <col min="2" max="3" width="2.83203125" customWidth="1"/>
    <col min="4" max="4" width="44.5" customWidth="1"/>
    <col min="5" max="5" width="5" customWidth="1"/>
    <col min="6" max="6" width="14.5" bestFit="1" customWidth="1"/>
    <col min="7" max="7" width="2.5" customWidth="1"/>
    <col min="8" max="8" width="12.33203125" bestFit="1" customWidth="1"/>
    <col min="9" max="9" width="10.83203125" customWidth="1"/>
    <col min="10" max="10" width="12.83203125" customWidth="1"/>
    <col min="11" max="12" width="3.5" customWidth="1"/>
    <col min="13" max="35" width="16.1640625" customWidth="1"/>
  </cols>
  <sheetData>
    <row r="1" spans="1:35" ht="18.75" x14ac:dyDescent="0.3">
      <c r="A1" s="59">
        <f>IF(SUM($A10:$A181)&gt;0,1,0)</f>
        <v>0</v>
      </c>
      <c r="B1" s="3" t="s">
        <v>791</v>
      </c>
    </row>
    <row r="2" spans="1:35" x14ac:dyDescent="0.3">
      <c r="B2" s="13" t="str">
        <f ca="1">Title_Msg</f>
        <v>No Errors Found</v>
      </c>
    </row>
    <row r="3" spans="1:35" x14ac:dyDescent="0.3">
      <c r="B3" s="46" t="str">
        <f>TOC!B1</f>
        <v>Table of contents</v>
      </c>
      <c r="C3" s="42"/>
      <c r="D3" s="42"/>
      <c r="E3" s="42"/>
    </row>
    <row r="4" spans="1:35" ht="13.15" x14ac:dyDescent="0.3">
      <c r="B4" s="40" t="str">
        <f>Model_Name</f>
        <v>Pricing Model - Power and Water Corporation</v>
      </c>
    </row>
    <row r="5" spans="1:35" ht="12.75" hidden="1" outlineLevel="1" x14ac:dyDescent="0.3">
      <c r="B5" s="10"/>
      <c r="J5" s="51"/>
      <c r="K5" s="51"/>
      <c r="L5" s="51"/>
      <c r="M5" s="51"/>
      <c r="N5" s="51"/>
      <c r="O5" s="51"/>
      <c r="P5" s="51"/>
      <c r="Q5" s="51"/>
      <c r="R5" s="51"/>
      <c r="S5" s="51"/>
    </row>
    <row r="6" spans="1:35" ht="12.75" hidden="1" outlineLevel="1" x14ac:dyDescent="0.3">
      <c r="B6" s="10"/>
      <c r="J6" s="51"/>
      <c r="K6" s="51"/>
      <c r="L6" s="51"/>
      <c r="M6" s="51"/>
      <c r="N6" s="51"/>
      <c r="O6" s="51"/>
      <c r="P6" s="51"/>
      <c r="Q6" s="51"/>
      <c r="R6" s="51"/>
      <c r="S6" s="51"/>
    </row>
    <row r="7" spans="1:35" ht="12.75" hidden="1" outlineLevel="1" x14ac:dyDescent="0.3">
      <c r="B7" s="10"/>
      <c r="J7" s="52"/>
      <c r="K7" s="52"/>
      <c r="L7" s="52"/>
      <c r="M7" s="52"/>
      <c r="N7" s="52"/>
      <c r="O7" s="52"/>
      <c r="P7" s="52"/>
      <c r="Q7" s="52"/>
      <c r="R7" s="52"/>
      <c r="S7" s="52"/>
    </row>
    <row r="8" spans="1:35" ht="12.75" hidden="1" outlineLevel="1" x14ac:dyDescent="0.3">
      <c r="B8" s="10"/>
      <c r="J8" s="53"/>
      <c r="K8" s="53"/>
      <c r="L8" s="53"/>
      <c r="M8" s="53"/>
      <c r="N8" s="53"/>
      <c r="O8" s="53"/>
      <c r="P8" s="53"/>
      <c r="Q8" s="53"/>
      <c r="R8" s="53"/>
      <c r="S8" s="53"/>
    </row>
    <row r="9" spans="1:35" ht="13.15" collapsed="1" x14ac:dyDescent="0.3">
      <c r="B9" s="5" t="str">
        <f>Lookup!B19</f>
        <v>FY</v>
      </c>
      <c r="D9" s="260" t="s">
        <v>118</v>
      </c>
      <c r="E9" s="50"/>
      <c r="F9" s="50" t="s">
        <v>62</v>
      </c>
      <c r="H9" s="50" t="str">
        <f>Lookup!E19</f>
        <v>Source</v>
      </c>
      <c r="I9" s="50" t="str">
        <f>Lookup!F19</f>
        <v>Unit</v>
      </c>
      <c r="J9" s="50" t="str">
        <f>Lookup!G19</f>
        <v>Basis</v>
      </c>
      <c r="K9" s="50"/>
      <c r="L9" s="50"/>
      <c r="M9" s="50" t="str">
        <f>Lookup!M19</f>
        <v>FY23</v>
      </c>
      <c r="N9" s="50" t="str">
        <f>Lookup!N19</f>
        <v>FY24</v>
      </c>
      <c r="O9" s="50" t="str">
        <f>Lookup!O19</f>
        <v>FY25</v>
      </c>
      <c r="P9" s="50" t="str">
        <f>Lookup!P19</f>
        <v>FY26</v>
      </c>
      <c r="Q9" s="50" t="str">
        <f>Lookup!Q19</f>
        <v>FY27</v>
      </c>
      <c r="R9" s="50" t="str">
        <f>Lookup!R19</f>
        <v>FY28</v>
      </c>
      <c r="S9" s="50" t="str">
        <f>Lookup!S19</f>
        <v>FY29</v>
      </c>
      <c r="T9" s="50" t="str">
        <f>Lookup!T19</f>
        <v>FY30</v>
      </c>
      <c r="U9" s="50" t="str">
        <f>Lookup!U19</f>
        <v>FY31</v>
      </c>
      <c r="V9" s="50" t="str">
        <f>Lookup!V19</f>
        <v>FY32</v>
      </c>
      <c r="W9" s="50" t="str">
        <f>Lookup!W19</f>
        <v>FY33</v>
      </c>
      <c r="X9" s="50" t="str">
        <f>Lookup!X19</f>
        <v>FY34</v>
      </c>
      <c r="Y9" s="50" t="str">
        <f>Lookup!Y19</f>
        <v>FY35</v>
      </c>
      <c r="Z9" s="50" t="str">
        <f>Lookup!Z19</f>
        <v>FY36</v>
      </c>
      <c r="AA9" s="50" t="str">
        <f>Lookup!AA19</f>
        <v>FY37</v>
      </c>
      <c r="AB9" s="50" t="str">
        <f>Lookup!AB19</f>
        <v>FY38</v>
      </c>
      <c r="AC9" s="50" t="str">
        <f>Lookup!AC19</f>
        <v>FY39</v>
      </c>
      <c r="AD9" s="50" t="str">
        <f>Lookup!AD19</f>
        <v>FY40</v>
      </c>
      <c r="AE9" s="50" t="str">
        <f>Lookup!AE19</f>
        <v>FY41</v>
      </c>
      <c r="AF9" s="50" t="str">
        <f>Lookup!AF19</f>
        <v>FY42</v>
      </c>
      <c r="AG9" s="50" t="str">
        <f>Lookup!AG19</f>
        <v>FY43</v>
      </c>
      <c r="AH9" s="50" t="str">
        <f>Lookup!AH19</f>
        <v>FY44</v>
      </c>
      <c r="AI9" s="50" t="str">
        <f>Lookup!AI19</f>
        <v>FY45</v>
      </c>
    </row>
    <row r="11" spans="1:35" s="2" customFormat="1" ht="15" x14ac:dyDescent="0.3">
      <c r="B11" s="2" t="s">
        <v>511</v>
      </c>
    </row>
    <row r="12" spans="1:35" ht="11.25" customHeight="1" x14ac:dyDescent="0.3"/>
    <row r="13" spans="1:35" ht="11.25" customHeight="1" x14ac:dyDescent="0.3">
      <c r="D13" s="105" t="s">
        <v>551</v>
      </c>
    </row>
    <row r="14" spans="1:35" ht="11.25" customHeight="1" x14ac:dyDescent="0.3"/>
    <row r="15" spans="1:35" ht="11.25" customHeight="1" x14ac:dyDescent="0.3"/>
    <row r="16" spans="1:35" ht="11.25" customHeight="1" x14ac:dyDescent="0.3">
      <c r="D16" s="70" t="s">
        <v>714</v>
      </c>
      <c r="H16" s="54" t="str">
        <f>Lookup!E$19</f>
        <v>Source</v>
      </c>
      <c r="I16" s="54" t="str">
        <f>Lookup!F$19</f>
        <v>Unit</v>
      </c>
      <c r="J16" s="54" t="str">
        <f>Lookup!G$19</f>
        <v>Basis</v>
      </c>
      <c r="M16" s="54" t="str">
        <f t="shared" ref="M16:N16" si="0">M$9</f>
        <v>FY23</v>
      </c>
      <c r="N16" s="54" t="str">
        <f t="shared" si="0"/>
        <v>FY24</v>
      </c>
      <c r="O16" s="54" t="str">
        <f>O$9</f>
        <v>FY25</v>
      </c>
      <c r="P16" s="54" t="str">
        <f>P$9</f>
        <v>FY26</v>
      </c>
      <c r="Q16" s="54" t="str">
        <f>Q$9</f>
        <v>FY27</v>
      </c>
      <c r="R16" s="54" t="str">
        <f>R$9</f>
        <v>FY28</v>
      </c>
      <c r="S16" s="54" t="str">
        <f>S$9</f>
        <v>FY29</v>
      </c>
    </row>
    <row r="17" spans="2:19" ht="11.25" customHeight="1" x14ac:dyDescent="0.3">
      <c r="D17" s="1"/>
    </row>
    <row r="18" spans="2:19" ht="12.75" x14ac:dyDescent="0.3">
      <c r="D18" s="75" t="str">
        <f>Inputs_Other!D34</f>
        <v>Real 2024 (End Period) to Nominal (End Period)</v>
      </c>
      <c r="E18" s="82"/>
      <c r="F18" s="82"/>
      <c r="G18" s="82"/>
      <c r="H18" s="259" t="s">
        <v>52</v>
      </c>
      <c r="I18" s="259" t="s">
        <v>45</v>
      </c>
      <c r="J18" s="259" t="s">
        <v>21</v>
      </c>
      <c r="M18" s="95"/>
      <c r="N18" s="142">
        <f>Inputs_Other!N34</f>
        <v>1</v>
      </c>
      <c r="O18" s="142">
        <f>Inputs_Other!O$34</f>
        <v>1.0291964004986822</v>
      </c>
      <c r="P18" s="142">
        <f>Inputs_Other!P$34</f>
        <v>1.059245230799444</v>
      </c>
      <c r="Q18" s="142">
        <f>Inputs_Other!Q$34</f>
        <v>1.0901713787841836</v>
      </c>
      <c r="R18" s="142">
        <f>Inputs_Other!R$34</f>
        <v>1.1220004589713672</v>
      </c>
      <c r="S18" s="142">
        <f>Inputs_Other!S$34</f>
        <v>1.1547588337312005</v>
      </c>
    </row>
    <row r="19" spans="2:19" ht="12.75" x14ac:dyDescent="0.3">
      <c r="D19" s="75" t="str">
        <f>Inputs_Other!D35</f>
        <v>Real 2024 (End Period) to Nominal (Mid Period)</v>
      </c>
      <c r="H19" s="259" t="s">
        <v>52</v>
      </c>
      <c r="I19" s="259" t="s">
        <v>45</v>
      </c>
      <c r="J19" s="259" t="s">
        <v>21</v>
      </c>
      <c r="M19" s="142">
        <f>Inputs_Other!M35</f>
        <v>0.93081987702078162</v>
      </c>
      <c r="N19" s="142">
        <f>Inputs_Other!N35</f>
        <v>0.97963916738386536</v>
      </c>
      <c r="O19" s="95"/>
      <c r="P19" s="95"/>
      <c r="Q19" s="95"/>
      <c r="R19" s="95"/>
      <c r="S19" s="95"/>
    </row>
    <row r="20" spans="2:19" ht="11.25" customHeight="1" x14ac:dyDescent="0.3"/>
    <row r="21" spans="2:19" ht="11.25" customHeight="1" x14ac:dyDescent="0.3"/>
    <row r="22" spans="2:19" s="2" customFormat="1" ht="15" x14ac:dyDescent="0.3">
      <c r="B22" s="2" t="s">
        <v>792</v>
      </c>
    </row>
    <row r="23" spans="2:19" ht="11.25" customHeight="1" x14ac:dyDescent="0.3"/>
    <row r="24" spans="2:19" s="8" customFormat="1" ht="13.9" x14ac:dyDescent="0.3">
      <c r="C24" s="8" t="s">
        <v>512</v>
      </c>
    </row>
    <row r="25" spans="2:19" ht="11.25" customHeight="1" x14ac:dyDescent="0.3"/>
    <row r="26" spans="2:19" ht="11.25" customHeight="1" x14ac:dyDescent="0.3">
      <c r="D26" s="70" t="s">
        <v>521</v>
      </c>
      <c r="H26" s="54" t="str">
        <f>Lookup!E$19</f>
        <v>Source</v>
      </c>
      <c r="I26" s="54" t="str">
        <f>Lookup!F$19</f>
        <v>Unit</v>
      </c>
      <c r="J26" s="54" t="str">
        <f>Lookup!G$19</f>
        <v>Basis</v>
      </c>
      <c r="M26" s="54" t="str">
        <f t="shared" ref="M26:N26" si="1">M$9</f>
        <v>FY23</v>
      </c>
      <c r="N26" s="54" t="str">
        <f t="shared" si="1"/>
        <v>FY24</v>
      </c>
      <c r="O26" s="54" t="str">
        <f>O$9</f>
        <v>FY25</v>
      </c>
      <c r="P26" s="54" t="str">
        <f>P$9</f>
        <v>FY26</v>
      </c>
      <c r="Q26" s="54" t="str">
        <f>Q$9</f>
        <v>FY27</v>
      </c>
      <c r="R26" s="54" t="str">
        <f>R$9</f>
        <v>FY28</v>
      </c>
      <c r="S26" s="54" t="str">
        <f>S$9</f>
        <v>FY29</v>
      </c>
    </row>
    <row r="28" spans="2:19" ht="12.75" x14ac:dyDescent="0.3">
      <c r="D28" s="7" t="s">
        <v>498</v>
      </c>
      <c r="H28" s="259" t="s">
        <v>52</v>
      </c>
      <c r="I28" s="259" t="s">
        <v>44</v>
      </c>
      <c r="J28" s="259" t="s">
        <v>239</v>
      </c>
      <c r="M28" s="66">
        <f>SUMIF(Inputs_FY23_FY24!$V$25:$V$71,$D28,Inputs_FY23_FY24!S$25:S$71)/Dollars_to_Thousands/M$19</f>
        <v>42227560.567329787</v>
      </c>
      <c r="N28" s="66">
        <f>SUMIF(Inputs_FY23_FY24!$V$25:$V$71,$D28,Inputs_FY23_FY24!T$25:T$71)/Dollars_to_Thousands/N$19</f>
        <v>56267506.990602843</v>
      </c>
      <c r="O28" s="97">
        <f>SUMIF(Calc_Revenue!$U$30:$U$79,$D28,Calc_Revenue!O$30:O$79)/Dollars_to_Thousands/O$18</f>
        <v>80116672.774423614</v>
      </c>
      <c r="P28" s="66">
        <f>SUMIF(Calc_Revenue!$U$30:$U$79,$D28,Calc_Revenue!P$30:P$79)/Dollars_to_Thousands/P$18</f>
        <v>90003045.35378249</v>
      </c>
      <c r="Q28" s="66">
        <f>SUMIF(Calc_Revenue!$U$30:$U$79,$D28,Calc_Revenue!Q$30:Q$79)/Dollars_to_Thousands/Q$18</f>
        <v>98487516.087189883</v>
      </c>
      <c r="R28" s="66">
        <f>SUMIF(Calc_Revenue!$U$30:$U$79,$D28,Calc_Revenue!R$30:R$79)/Dollars_to_Thousands/R$18</f>
        <v>108247891.22617026</v>
      </c>
      <c r="S28" s="66">
        <f>SUMIF(Calc_Revenue!$U$30:$U$79,$D28,Calc_Revenue!S$30:S$79)/Dollars_to_Thousands/S$18</f>
        <v>109583846.6552404</v>
      </c>
    </row>
    <row r="29" spans="2:19" ht="12.75" x14ac:dyDescent="0.3">
      <c r="D29" s="7" t="s">
        <v>499</v>
      </c>
      <c r="H29" s="259" t="s">
        <v>52</v>
      </c>
      <c r="I29" s="259" t="s">
        <v>44</v>
      </c>
      <c r="J29" s="259" t="s">
        <v>239</v>
      </c>
      <c r="M29" s="66">
        <f>SUMIF(Inputs_FY23_FY24!$V$25:$V$71,$D29,Inputs_FY23_FY24!S$25:S$71)/Dollars_to_Thousands/M$19</f>
        <v>68491698.803007036</v>
      </c>
      <c r="N29" s="66">
        <f>SUMIF(Inputs_FY23_FY24!$V$25:$V$71,$D29,Inputs_FY23_FY24!T$25:T$71)/Dollars_to_Thousands/N$19</f>
        <v>52695367.453912139</v>
      </c>
      <c r="O29" s="97">
        <f>SUMIF(Calc_Revenue!$U$30:$U$79,$D29,Calc_Revenue!O$30:O$79)/Dollars_to_Thousands/O$18</f>
        <v>32707135.860193685</v>
      </c>
      <c r="P29" s="66">
        <f>SUMIF(Calc_Revenue!$U$30:$U$79,$D29,Calc_Revenue!P$30:P$79)/Dollars_to_Thousands/P$18</f>
        <v>33228247.622908663</v>
      </c>
      <c r="Q29" s="66">
        <f>SUMIF(Calc_Revenue!$U$30:$U$79,$D29,Calc_Revenue!Q$30:Q$79)/Dollars_to_Thousands/Q$18</f>
        <v>33047280.354578935</v>
      </c>
      <c r="R29" s="66">
        <f>SUMIF(Calc_Revenue!$U$30:$U$79,$D29,Calc_Revenue!R$30:R$79)/Dollars_to_Thousands/R$18</f>
        <v>34199544.119199067</v>
      </c>
      <c r="S29" s="66">
        <f>SUMIF(Calc_Revenue!$U$30:$U$79,$D29,Calc_Revenue!S$30:S$79)/Dollars_to_Thousands/S$18</f>
        <v>33362478.48255365</v>
      </c>
    </row>
    <row r="30" spans="2:19" ht="12.75" x14ac:dyDescent="0.3">
      <c r="D30" s="7" t="s">
        <v>500</v>
      </c>
      <c r="H30" s="259" t="s">
        <v>52</v>
      </c>
      <c r="I30" s="259" t="s">
        <v>44</v>
      </c>
      <c r="J30" s="259" t="s">
        <v>239</v>
      </c>
      <c r="M30" s="66">
        <f>SUMIF(Inputs_FY23_FY24!$V$25:$V$71,$D30,Inputs_FY23_FY24!S$25:S$71)/Dollars_to_Thousands/M$19</f>
        <v>0</v>
      </c>
      <c r="N30" s="66">
        <f>SUMIF(Inputs_FY23_FY24!$V$25:$V$71,$D30,Inputs_FY23_FY24!T$25:T$71)/Dollars_to_Thousands/N$19</f>
        <v>0</v>
      </c>
      <c r="O30" s="97">
        <f>SUMIF(Calc_Revenue!$U$30:$U$79,$D30,Calc_Revenue!O$30:O$79)/Dollars_to_Thousands/O$18</f>
        <v>28209105.976479385</v>
      </c>
      <c r="P30" s="66">
        <f>SUMIF(Calc_Revenue!$U$30:$U$79,$D30,Calc_Revenue!P$30:P$79)/Dollars_to_Thousands/P$18</f>
        <v>30805889.004903875</v>
      </c>
      <c r="Q30" s="66">
        <f>SUMIF(Calc_Revenue!$U$30:$U$79,$D30,Calc_Revenue!Q$30:Q$79)/Dollars_to_Thousands/Q$18</f>
        <v>33229528.478021841</v>
      </c>
      <c r="R30" s="66">
        <f>SUMIF(Calc_Revenue!$U$30:$U$79,$D30,Calc_Revenue!R$30:R$79)/Dollars_to_Thousands/R$18</f>
        <v>34746231.157427713</v>
      </c>
      <c r="S30" s="66">
        <f>SUMIF(Calc_Revenue!$U$30:$U$79,$D30,Calc_Revenue!S$30:S$79)/Dollars_to_Thousands/S$18</f>
        <v>35912307.908027939</v>
      </c>
    </row>
    <row r="31" spans="2:19" ht="12.75" x14ac:dyDescent="0.3">
      <c r="D31" s="7" t="s">
        <v>501</v>
      </c>
      <c r="H31" s="259" t="s">
        <v>52</v>
      </c>
      <c r="I31" s="259" t="s">
        <v>44</v>
      </c>
      <c r="J31" s="259" t="s">
        <v>239</v>
      </c>
      <c r="M31" s="66">
        <f>SUMIF(Inputs_FY23_FY24!$V$25:$V$71,$D31,Inputs_FY23_FY24!S$25:S$71)/Dollars_to_Thousands/M$19</f>
        <v>0</v>
      </c>
      <c r="N31" s="66">
        <f>SUMIF(Inputs_FY23_FY24!$V$25:$V$71,$D31,Inputs_FY23_FY24!T$25:T$71)/Dollars_to_Thousands/N$19</f>
        <v>0</v>
      </c>
      <c r="O31" s="97">
        <f>SUMIF(Calc_Revenue!$U$30:$U$79,$D31,Calc_Revenue!O$30:O$79)/Dollars_to_Thousands/O$18</f>
        <v>18920600.681816749</v>
      </c>
      <c r="P31" s="66">
        <f>SUMIF(Calc_Revenue!$U$30:$U$79,$D31,Calc_Revenue!P$30:P$79)/Dollars_to_Thousands/P$18</f>
        <v>19889404.989821084</v>
      </c>
      <c r="Q31" s="66">
        <f>SUMIF(Calc_Revenue!$U$30:$U$79,$D31,Calc_Revenue!Q$30:Q$79)/Dollars_to_Thousands/Q$18</f>
        <v>24389428.338373229</v>
      </c>
      <c r="R31" s="66">
        <f>SUMIF(Calc_Revenue!$U$30:$U$79,$D31,Calc_Revenue!R$30:R$79)/Dollars_to_Thousands/R$18</f>
        <v>28486083.813872352</v>
      </c>
      <c r="S31" s="66">
        <f>SUMIF(Calc_Revenue!$U$30:$U$79,$D31,Calc_Revenue!S$30:S$79)/Dollars_to_Thousands/S$18</f>
        <v>29087320.549637541</v>
      </c>
    </row>
    <row r="32" spans="2:19" ht="12.75" x14ac:dyDescent="0.3">
      <c r="D32" s="7" t="s">
        <v>502</v>
      </c>
      <c r="H32" s="259" t="s">
        <v>52</v>
      </c>
      <c r="I32" s="259" t="s">
        <v>44</v>
      </c>
      <c r="J32" s="259" t="s">
        <v>239</v>
      </c>
      <c r="M32" s="66">
        <f>SUMIF(Inputs_FY23_FY24!$V$25:$V$71,$D32,Inputs_FY23_FY24!S$25:S$71)/Dollars_to_Thousands/M$19</f>
        <v>0</v>
      </c>
      <c r="N32" s="66">
        <f>SUMIF(Inputs_FY23_FY24!$V$25:$V$71,$D32,Inputs_FY23_FY24!T$25:T$71)/Dollars_to_Thousands/N$19</f>
        <v>0</v>
      </c>
      <c r="O32" s="97">
        <f>SUMIF(Calc_Revenue!$U$30:$U$79,$D32,Calc_Revenue!O$30:O$79)/Dollars_to_Thousands/O$18</f>
        <v>0</v>
      </c>
      <c r="P32" s="66">
        <f>SUMIF(Calc_Revenue!$U$30:$U$79,$D32,Calc_Revenue!P$30:P$79)/Dollars_to_Thousands/P$18</f>
        <v>0</v>
      </c>
      <c r="Q32" s="66">
        <f>SUMIF(Calc_Revenue!$U$30:$U$79,$D32,Calc_Revenue!Q$30:Q$79)/Dollars_to_Thousands/Q$18</f>
        <v>0</v>
      </c>
      <c r="R32" s="66">
        <f>SUMIF(Calc_Revenue!$U$30:$U$79,$D32,Calc_Revenue!R$30:R$79)/Dollars_to_Thousands/R$18</f>
        <v>0</v>
      </c>
      <c r="S32" s="66">
        <f>SUMIF(Calc_Revenue!$U$30:$U$79,$D32,Calc_Revenue!S$30:S$79)/Dollars_to_Thousands/S$18</f>
        <v>0</v>
      </c>
    </row>
    <row r="33" spans="1:19" ht="12.75" x14ac:dyDescent="0.3">
      <c r="D33" s="7" t="s">
        <v>503</v>
      </c>
      <c r="H33" s="259" t="s">
        <v>52</v>
      </c>
      <c r="I33" s="259" t="s">
        <v>44</v>
      </c>
      <c r="J33" s="259" t="s">
        <v>239</v>
      </c>
      <c r="M33" s="66">
        <f>SUMIF(Inputs_FY23_FY24!$V$25:$V$71,$D33,Inputs_FY23_FY24!S$25:S$71)/Dollars_to_Thousands/M$19</f>
        <v>0</v>
      </c>
      <c r="N33" s="66">
        <f>SUMIF(Inputs_FY23_FY24!$V$25:$V$71,$D33,Inputs_FY23_FY24!T$25:T$71)/Dollars_to_Thousands/N$19</f>
        <v>0</v>
      </c>
      <c r="O33" s="97">
        <f>SUMIF(Calc_Revenue!$U$30:$U$79,$D33,Calc_Revenue!O$30:O$79)/Dollars_to_Thousands/O$18</f>
        <v>0</v>
      </c>
      <c r="P33" s="66">
        <f>SUMIF(Calc_Revenue!$U$30:$U$79,$D33,Calc_Revenue!P$30:P$79)/Dollars_to_Thousands/P$18</f>
        <v>0</v>
      </c>
      <c r="Q33" s="66">
        <f>SUMIF(Calc_Revenue!$U$30:$U$79,$D33,Calc_Revenue!Q$30:Q$79)/Dollars_to_Thousands/Q$18</f>
        <v>0</v>
      </c>
      <c r="R33" s="66">
        <f>SUMIF(Calc_Revenue!$U$30:$U$79,$D33,Calc_Revenue!R$30:R$79)/Dollars_to_Thousands/R$18</f>
        <v>0</v>
      </c>
      <c r="S33" s="66">
        <f>SUMIF(Calc_Revenue!$U$30:$U$79,$D33,Calc_Revenue!S$30:S$79)/Dollars_to_Thousands/S$18</f>
        <v>0</v>
      </c>
    </row>
    <row r="34" spans="1:19" ht="12.75" x14ac:dyDescent="0.3">
      <c r="D34" s="7" t="s">
        <v>504</v>
      </c>
      <c r="H34" s="259" t="s">
        <v>52</v>
      </c>
      <c r="I34" s="259" t="s">
        <v>44</v>
      </c>
      <c r="J34" s="259" t="s">
        <v>239</v>
      </c>
      <c r="M34" s="66">
        <f>SUMIF(Inputs_FY23_FY24!$V$25:$V$71,$D34,Inputs_FY23_FY24!S$25:S$71)/Dollars_to_Thousands/M$19</f>
        <v>1031727.000796051</v>
      </c>
      <c r="N34" s="66">
        <f>SUMIF(Inputs_FY23_FY24!$V$25:$V$71,$D34,Inputs_FY23_FY24!T$25:T$71)/Dollars_to_Thousands/N$19</f>
        <v>1127905.8590958074</v>
      </c>
      <c r="O34" s="97">
        <f>SUMIF(Calc_Revenue!$U$30:$U$79,$D34,Calc_Revenue!O$30:O$79)/Dollars_to_Thousands/O$18</f>
        <v>1709765.3875743197</v>
      </c>
      <c r="P34" s="66">
        <f>SUMIF(Calc_Revenue!$U$30:$U$79,$D34,Calc_Revenue!P$30:P$79)/Dollars_to_Thousands/P$18</f>
        <v>1854236.8569410492</v>
      </c>
      <c r="Q34" s="66">
        <f>SUMIF(Calc_Revenue!$U$30:$U$79,$D34,Calc_Revenue!Q$30:Q$79)/Dollars_to_Thousands/Q$18</f>
        <v>2010915.8523301615</v>
      </c>
      <c r="R34" s="66">
        <f>SUMIF(Calc_Revenue!$U$30:$U$79,$D34,Calc_Revenue!R$30:R$79)/Dollars_to_Thousands/R$18</f>
        <v>2180833.8832309716</v>
      </c>
      <c r="S34" s="66">
        <f>SUMIF(Calc_Revenue!$U$30:$U$79,$D34,Calc_Revenue!S$30:S$79)/Dollars_to_Thousands/S$18</f>
        <v>2206387.3678384544</v>
      </c>
    </row>
    <row r="35" spans="1:19" ht="12.75" x14ac:dyDescent="0.3">
      <c r="D35" s="7" t="s">
        <v>505</v>
      </c>
      <c r="H35" s="259" t="s">
        <v>52</v>
      </c>
      <c r="I35" s="259" t="s">
        <v>44</v>
      </c>
      <c r="J35" s="259" t="s">
        <v>239</v>
      </c>
      <c r="M35" s="66">
        <f>SUMIF(Inputs_FY23_FY24!$V$25:$V$71,$D35,Inputs_FY23_FY24!S$25:S$71)/Dollars_to_Thousands/M$19</f>
        <v>0</v>
      </c>
      <c r="N35" s="66">
        <f>SUMIF(Inputs_FY23_FY24!$V$25:$V$71,$D35,Inputs_FY23_FY24!T$25:T$71)/Dollars_to_Thousands/N$19</f>
        <v>0</v>
      </c>
      <c r="O35" s="97">
        <f>SUMIF(Calc_Revenue!$U$30:$U$79,$D35,Calc_Revenue!O$30:O$79)/Dollars_to_Thousands/O$18</f>
        <v>0</v>
      </c>
      <c r="P35" s="66">
        <f>SUMIF(Calc_Revenue!$U$30:$U$79,$D35,Calc_Revenue!P$30:P$79)/Dollars_to_Thousands/P$18</f>
        <v>0</v>
      </c>
      <c r="Q35" s="66">
        <f>SUMIF(Calc_Revenue!$U$30:$U$79,$D35,Calc_Revenue!Q$30:Q$79)/Dollars_to_Thousands/Q$18</f>
        <v>0</v>
      </c>
      <c r="R35" s="66">
        <f>SUMIF(Calc_Revenue!$U$30:$U$79,$D35,Calc_Revenue!R$30:R$79)/Dollars_to_Thousands/R$18</f>
        <v>0</v>
      </c>
      <c r="S35" s="66">
        <f>SUMIF(Calc_Revenue!$U$30:$U$79,$D35,Calc_Revenue!S$30:S$79)/Dollars_to_Thousands/S$18</f>
        <v>0</v>
      </c>
    </row>
    <row r="36" spans="1:19" ht="12.75" x14ac:dyDescent="0.3">
      <c r="D36" s="7" t="s">
        <v>506</v>
      </c>
      <c r="H36" s="259" t="s">
        <v>52</v>
      </c>
      <c r="I36" s="259" t="s">
        <v>44</v>
      </c>
      <c r="J36" s="259" t="s">
        <v>239</v>
      </c>
      <c r="M36" s="66">
        <f>SUMIF(Inputs_FY23_FY24!$V$25:$V$71,$D36,Inputs_FY23_FY24!S$25:S$71)/Dollars_to_Thousands/M$19</f>
        <v>38582846.398754105</v>
      </c>
      <c r="N36" s="66">
        <f>SUMIF(Inputs_FY23_FY24!$V$25:$V$71,$D36,Inputs_FY23_FY24!T$25:T$71)/Dollars_to_Thousands/N$19</f>
        <v>42015715.511569709</v>
      </c>
      <c r="O36" s="97">
        <f>SUMIF(Calc_Revenue!$U$30:$U$79,$D36,Calc_Revenue!O$30:O$79)/Dollars_to_Thousands/O$18</f>
        <v>9313258.0769442003</v>
      </c>
      <c r="P36" s="66">
        <f>SUMIF(Calc_Revenue!$U$30:$U$79,$D36,Calc_Revenue!P$30:P$79)/Dollars_to_Thousands/P$18</f>
        <v>9642861.8657477703</v>
      </c>
      <c r="Q36" s="66">
        <f>SUMIF(Calc_Revenue!$U$30:$U$79,$D36,Calc_Revenue!Q$30:Q$79)/Dollars_to_Thousands/Q$18</f>
        <v>9926916.1225220952</v>
      </c>
      <c r="R36" s="66">
        <f>SUMIF(Calc_Revenue!$U$30:$U$79,$D36,Calc_Revenue!R$30:R$79)/Dollars_to_Thousands/R$18</f>
        <v>10222804.123196743</v>
      </c>
      <c r="S36" s="66">
        <f>SUMIF(Calc_Revenue!$U$30:$U$79,$D36,Calc_Revenue!S$30:S$79)/Dollars_to_Thousands/S$18</f>
        <v>10486395.820547488</v>
      </c>
    </row>
    <row r="37" spans="1:19" ht="12.75" x14ac:dyDescent="0.3">
      <c r="D37" s="7" t="s">
        <v>507</v>
      </c>
      <c r="H37" s="259" t="s">
        <v>52</v>
      </c>
      <c r="I37" s="259" t="s">
        <v>44</v>
      </c>
      <c r="J37" s="259" t="s">
        <v>239</v>
      </c>
      <c r="M37" s="66">
        <f>SUMIF(Inputs_FY23_FY24!$V$25:$V$71,$D37,Inputs_FY23_FY24!S$25:S$71)/Dollars_to_Thousands/M$19</f>
        <v>0</v>
      </c>
      <c r="N37" s="66">
        <f>SUMIF(Inputs_FY23_FY24!$V$25:$V$71,$D37,Inputs_FY23_FY24!T$25:T$71)/Dollars_to_Thousands/N$19</f>
        <v>0</v>
      </c>
      <c r="O37" s="97">
        <f>SUMIF(Calc_Revenue!$U$30:$U$79,$D37,Calc_Revenue!O$30:O$79)/Dollars_to_Thousands/O$18</f>
        <v>0</v>
      </c>
      <c r="P37" s="66">
        <f>SUMIF(Calc_Revenue!$U$30:$U$79,$D37,Calc_Revenue!P$30:P$79)/Dollars_to_Thousands/P$18</f>
        <v>0</v>
      </c>
      <c r="Q37" s="66">
        <f>SUMIF(Calc_Revenue!$U$30:$U$79,$D37,Calc_Revenue!Q$30:Q$79)/Dollars_to_Thousands/Q$18</f>
        <v>0</v>
      </c>
      <c r="R37" s="66">
        <f>SUMIF(Calc_Revenue!$U$30:$U$79,$D37,Calc_Revenue!R$30:R$79)/Dollars_to_Thousands/R$18</f>
        <v>0</v>
      </c>
      <c r="S37" s="66">
        <f>SUMIF(Calc_Revenue!$U$30:$U$79,$D37,Calc_Revenue!S$30:S$79)/Dollars_to_Thousands/S$18</f>
        <v>0</v>
      </c>
    </row>
    <row r="38" spans="1:19" ht="12.75" x14ac:dyDescent="0.3">
      <c r="D38" s="7" t="s">
        <v>508</v>
      </c>
      <c r="H38" s="259" t="s">
        <v>52</v>
      </c>
      <c r="I38" s="259" t="s">
        <v>44</v>
      </c>
      <c r="J38" s="259" t="s">
        <v>239</v>
      </c>
      <c r="M38" s="66">
        <f>SUMIF(Inputs_FY23_FY24!$V$25:$V$71,$D38,Inputs_FY23_FY24!S$25:S$71)/Dollars_to_Thousands/M$19</f>
        <v>0</v>
      </c>
      <c r="N38" s="66">
        <f>SUMIF(Inputs_FY23_FY24!$V$25:$V$71,$D38,Inputs_FY23_FY24!T$25:T$71)/Dollars_to_Thousands/N$19</f>
        <v>0</v>
      </c>
      <c r="O38" s="97">
        <f>SUMIF(Calc_Revenue!$U$30:$U$79,$D38,Calc_Revenue!O$30:O$79)/Dollars_to_Thousands/O$18</f>
        <v>0</v>
      </c>
      <c r="P38" s="66">
        <f>SUMIF(Calc_Revenue!$U$30:$U$79,$D38,Calc_Revenue!P$30:P$79)/Dollars_to_Thousands/P$18</f>
        <v>0</v>
      </c>
      <c r="Q38" s="66">
        <f>SUMIF(Calc_Revenue!$U$30:$U$79,$D38,Calc_Revenue!Q$30:Q$79)/Dollars_to_Thousands/Q$18</f>
        <v>0</v>
      </c>
      <c r="R38" s="66">
        <f>SUMIF(Calc_Revenue!$U$30:$U$79,$D38,Calc_Revenue!R$30:R$79)/Dollars_to_Thousands/R$18</f>
        <v>0</v>
      </c>
      <c r="S38" s="66">
        <f>SUMIF(Calc_Revenue!$U$30:$U$79,$D38,Calc_Revenue!S$30:S$79)/Dollars_to_Thousands/S$18</f>
        <v>0</v>
      </c>
    </row>
    <row r="39" spans="1:19" ht="12.75" x14ac:dyDescent="0.3">
      <c r="D39" s="7" t="s">
        <v>509</v>
      </c>
      <c r="H39" s="259" t="s">
        <v>52</v>
      </c>
      <c r="I39" s="259" t="s">
        <v>44</v>
      </c>
      <c r="J39" s="259" t="s">
        <v>239</v>
      </c>
      <c r="M39" s="66">
        <f>SUMIF(Inputs_FY23_FY24!$V$25:$V$71,$D39,Inputs_FY23_FY24!S$25:S$71)/Dollars_to_Thousands/M$19</f>
        <v>0</v>
      </c>
      <c r="N39" s="66">
        <f>SUMIF(Inputs_FY23_FY24!$V$25:$V$71,$D39,Inputs_FY23_FY24!T$25:T$71)/Dollars_to_Thousands/N$19</f>
        <v>0</v>
      </c>
      <c r="O39" s="97">
        <f>SUMIF(Calc_Revenue!$U$30:$U$79,$D39,Calc_Revenue!O$30:O$79)/Dollars_to_Thousands/O$18</f>
        <v>0</v>
      </c>
      <c r="P39" s="66">
        <f>SUMIF(Calc_Revenue!$U$30:$U$79,$D39,Calc_Revenue!P$30:P$79)/Dollars_to_Thousands/P$18</f>
        <v>0</v>
      </c>
      <c r="Q39" s="66">
        <f>SUMIF(Calc_Revenue!$U$30:$U$79,$D39,Calc_Revenue!Q$30:Q$79)/Dollars_to_Thousands/Q$18</f>
        <v>0</v>
      </c>
      <c r="R39" s="66">
        <f>SUMIF(Calc_Revenue!$U$30:$U$79,$D39,Calc_Revenue!R$30:R$79)/Dollars_to_Thousands/R$18</f>
        <v>0</v>
      </c>
      <c r="S39" s="66">
        <f>SUMIF(Calc_Revenue!$U$30:$U$79,$D39,Calc_Revenue!S$30:S$79)/Dollars_to_Thousands/S$18</f>
        <v>0</v>
      </c>
    </row>
    <row r="40" spans="1:19" ht="12.75" x14ac:dyDescent="0.3">
      <c r="D40" s="7" t="s">
        <v>510</v>
      </c>
      <c r="H40" s="259" t="s">
        <v>52</v>
      </c>
      <c r="I40" s="259" t="s">
        <v>44</v>
      </c>
      <c r="J40" s="259" t="s">
        <v>239</v>
      </c>
      <c r="M40" s="66">
        <f>SUMIF(Inputs_FY23_FY24!$V$25:$V$71,$D40,Inputs_FY23_FY24!S$25:S$71)/Dollars_to_Thousands/M$19</f>
        <v>0</v>
      </c>
      <c r="N40" s="66">
        <f>SUMIF(Inputs_FY23_FY24!$V$25:$V$71,$D40,Inputs_FY23_FY24!T$25:T$71)/Dollars_to_Thousands/N$19</f>
        <v>0</v>
      </c>
      <c r="O40" s="97">
        <f>SUMIF(Calc_Revenue!$U$30:$U$79,$D40,Calc_Revenue!O$30:O$79)/Dollars_to_Thousands/O$18</f>
        <v>0</v>
      </c>
      <c r="P40" s="66">
        <f>SUMIF(Calc_Revenue!$U$30:$U$79,$D40,Calc_Revenue!P$30:P$79)/Dollars_to_Thousands/P$18</f>
        <v>0</v>
      </c>
      <c r="Q40" s="66">
        <f>SUMIF(Calc_Revenue!$U$30:$U$79,$D40,Calc_Revenue!Q$30:Q$79)/Dollars_to_Thousands/Q$18</f>
        <v>0</v>
      </c>
      <c r="R40" s="66">
        <f>SUMIF(Calc_Revenue!$U$30:$U$79,$D40,Calc_Revenue!R$30:R$79)/Dollars_to_Thousands/R$18</f>
        <v>0</v>
      </c>
      <c r="S40" s="66">
        <f>SUMIF(Calc_Revenue!$U$30:$U$79,$D40,Calc_Revenue!S$30:S$79)/Dollars_to_Thousands/S$18</f>
        <v>0</v>
      </c>
    </row>
    <row r="42" spans="1:19" ht="11.25" customHeight="1" x14ac:dyDescent="0.3">
      <c r="D42" s="62" t="s">
        <v>102</v>
      </c>
      <c r="H42" s="56" t="s">
        <v>52</v>
      </c>
      <c r="I42" s="56" t="str">
        <f>I$28</f>
        <v>Dollars</v>
      </c>
      <c r="J42" s="56" t="str">
        <f>J$28</f>
        <v>Real $2024</v>
      </c>
      <c r="M42" s="68">
        <f t="shared" ref="M42:N42" si="2">SUM(M28:M40)</f>
        <v>150333832.76988697</v>
      </c>
      <c r="N42" s="68">
        <f t="shared" si="2"/>
        <v>152106495.81518051</v>
      </c>
      <c r="O42" s="68">
        <f>SUM(O28:O40)</f>
        <v>170976538.75743195</v>
      </c>
      <c r="P42" s="68">
        <f>SUM(P28:P40)</f>
        <v>185423685.69410494</v>
      </c>
      <c r="Q42" s="68">
        <f>SUM(Q28:Q40)</f>
        <v>201091585.2330161</v>
      </c>
      <c r="R42" s="68">
        <f>SUM(R28:R40)</f>
        <v>218083388.32309714</v>
      </c>
      <c r="S42" s="68">
        <f>SUM(S28:S40)</f>
        <v>220638736.78384545</v>
      </c>
    </row>
    <row r="43" spans="1:19" ht="11.25" customHeight="1" x14ac:dyDescent="0.3">
      <c r="P43" s="145"/>
      <c r="Q43" s="145"/>
      <c r="R43" s="145"/>
    </row>
    <row r="44" spans="1:19" ht="12.75" outlineLevel="1" x14ac:dyDescent="0.3">
      <c r="D44" s="10" t="s">
        <v>90</v>
      </c>
      <c r="H44" s="259" t="s">
        <v>52</v>
      </c>
      <c r="I44" s="259" t="s">
        <v>44</v>
      </c>
      <c r="J44" s="259" t="s">
        <v>239</v>
      </c>
      <c r="K44" s="63"/>
      <c r="M44" s="66">
        <f>(Inputs_FY23_FY24!S35+Inputs_FY23_FY24!S54+Inputs_FY23_FY24!S71)/Dollars_to_Thousands/M$19</f>
        <v>150333832.769887</v>
      </c>
      <c r="N44" s="66">
        <f>(Inputs_FY23_FY24!T35+Inputs_FY23_FY24!T54+Inputs_FY23_FY24!T71)/Dollars_to_Thousands/N$19</f>
        <v>152106495.81518051</v>
      </c>
      <c r="O44" s="97">
        <f>Output_Revenue!O26/Dollars_to_Thousands/O$18</f>
        <v>170976538.75743195</v>
      </c>
      <c r="P44" s="66">
        <f>Output_Revenue!P26/Dollars_to_Thousands/P$18</f>
        <v>185423685.69410494</v>
      </c>
      <c r="Q44" s="66">
        <f>Output_Revenue!Q26/Dollars_to_Thousands/Q$18</f>
        <v>201091585.23301616</v>
      </c>
      <c r="R44" s="66">
        <f>Output_Revenue!R26/Dollars_to_Thousands/R$18</f>
        <v>218083388.32309711</v>
      </c>
      <c r="S44" s="66">
        <f>Output_Revenue!S26/Dollars_to_Thousands/S$18</f>
        <v>220638736.78384545</v>
      </c>
    </row>
    <row r="45" spans="1:19" ht="12.75" outlineLevel="1" x14ac:dyDescent="0.3">
      <c r="A45" s="59">
        <f>IF(SUM($M45:$S45)=0,0,1)</f>
        <v>0</v>
      </c>
      <c r="D45" s="10" t="s">
        <v>55</v>
      </c>
      <c r="F45" s="63"/>
      <c r="H45" s="63"/>
      <c r="I45" s="63"/>
      <c r="J45" s="63"/>
      <c r="K45" s="63"/>
      <c r="M45" s="59">
        <f t="shared" ref="M45:N45" si="3">IF(ROUND(M44-M42,2)=0,0,1)</f>
        <v>0</v>
      </c>
      <c r="N45" s="59">
        <f t="shared" si="3"/>
        <v>0</v>
      </c>
      <c r="O45" s="59">
        <f>IF(ROUND(O44-O42,2)=0,0,1)</f>
        <v>0</v>
      </c>
      <c r="P45" s="59">
        <f>IF(ROUND(P44-P42,2)=0,0,1)</f>
        <v>0</v>
      </c>
      <c r="Q45" s="59">
        <f>IF(ROUND(Q44-Q42,2)=0,0,1)</f>
        <v>0</v>
      </c>
      <c r="R45" s="59">
        <f>IF(ROUND(R44-R42,2)=0,0,1)</f>
        <v>0</v>
      </c>
      <c r="S45" s="59">
        <f>IF(ROUND(S44-S42,2)=0,0,1)</f>
        <v>0</v>
      </c>
    </row>
    <row r="46" spans="1:19" x14ac:dyDescent="0.3">
      <c r="P46" s="151"/>
      <c r="Q46" s="151"/>
      <c r="R46" s="151"/>
      <c r="S46" s="145"/>
    </row>
    <row r="47" spans="1:19" s="8" customFormat="1" ht="13.9" x14ac:dyDescent="0.3">
      <c r="C47" s="8" t="s">
        <v>514</v>
      </c>
    </row>
    <row r="48" spans="1:19" ht="11.25" customHeight="1" x14ac:dyDescent="0.3"/>
    <row r="49" spans="1:19" ht="11.25" customHeight="1" x14ac:dyDescent="0.3">
      <c r="D49" s="70" t="s">
        <v>521</v>
      </c>
      <c r="H49" s="54" t="str">
        <f>Lookup!E$19</f>
        <v>Source</v>
      </c>
      <c r="I49" s="54" t="str">
        <f>Lookup!F$19</f>
        <v>Unit</v>
      </c>
      <c r="J49" s="54" t="str">
        <f>Lookup!G$19</f>
        <v>Basis</v>
      </c>
      <c r="M49" s="54" t="str">
        <f t="shared" ref="M49:N49" si="4">M$9</f>
        <v>FY23</v>
      </c>
      <c r="N49" s="54" t="str">
        <f t="shared" si="4"/>
        <v>FY24</v>
      </c>
      <c r="O49" s="54" t="str">
        <f>O$9</f>
        <v>FY25</v>
      </c>
      <c r="P49" s="54" t="str">
        <f>P$9</f>
        <v>FY26</v>
      </c>
      <c r="Q49" s="54" t="str">
        <f>Q$9</f>
        <v>FY27</v>
      </c>
      <c r="R49" s="54" t="str">
        <f>R$9</f>
        <v>FY28</v>
      </c>
      <c r="S49" s="54" t="str">
        <f>S$9</f>
        <v>FY29</v>
      </c>
    </row>
    <row r="51" spans="1:19" ht="12.75" x14ac:dyDescent="0.3">
      <c r="D51" s="7" t="s">
        <v>515</v>
      </c>
      <c r="H51" s="259" t="s">
        <v>52</v>
      </c>
      <c r="I51" s="259" t="s">
        <v>44</v>
      </c>
      <c r="J51" s="259" t="s">
        <v>239</v>
      </c>
      <c r="M51" s="177">
        <f>(SUMIF(Inputs_FY23_FY24!$X$25:$X$71,$D51,Inputs_FY23_FY24!S$25:S$71)+Inputs_FY23_FY24!S$30*Inputs_FY23_FY24!M87+Inputs_FY23_FY24!S$49*Inputs_FY23_FY24!P87+Inputs_FY23_FY24!S$66*Inputs_FY23_FY24!S87)/Dollars_to_Thousands/M$19</f>
        <v>91288458.458546475</v>
      </c>
      <c r="N51" s="96">
        <f>(SUMIF(Inputs_FY23_FY24!$X$25:$X$71,$D51,Inputs_FY23_FY24!T$25:T$71)+Inputs_FY23_FY24!T$30*Inputs_FY23_FY24!N87+Inputs_FY23_FY24!T$49*Inputs_FY23_FY24!Q87+Inputs_FY23_FY24!T$66*Inputs_FY23_FY24!T87)/Dollars_to_Thousands/N$19</f>
        <v>96726646.990485623</v>
      </c>
      <c r="O51" s="97">
        <f>SUMIF(Calc_Revenue!$W$30:$W$79,$D51,Calc_Revenue!O$30:O$79)/Dollars_to_Thousands/O$18</f>
        <v>93233506.584427655</v>
      </c>
      <c r="P51" s="66">
        <f>SUMIF(Calc_Revenue!$W$30:$W$79,$D51,Calc_Revenue!P$30:P$79)/Dollars_to_Thousands/P$18</f>
        <v>100870485.01759309</v>
      </c>
      <c r="Q51" s="66">
        <f>SUMIF(Calc_Revenue!$W$30:$W$79,$D51,Calc_Revenue!Q$30:Q$79)/Dollars_to_Thousands/Q$18</f>
        <v>107785089.68489666</v>
      </c>
      <c r="R51" s="66">
        <f>SUMIF(Calc_Revenue!$W$30:$W$79,$D51,Calc_Revenue!R$30:R$79)/Dollars_to_Thousands/R$18</f>
        <v>115693237.50540303</v>
      </c>
      <c r="S51" s="66">
        <f>SUMIF(Calc_Revenue!$W$30:$W$79,$D51,Calc_Revenue!S$30:S$79)/Dollars_to_Thousands/S$18</f>
        <v>116894402.74808134</v>
      </c>
    </row>
    <row r="52" spans="1:19" ht="12.75" x14ac:dyDescent="0.3">
      <c r="D52" s="7" t="s">
        <v>516</v>
      </c>
      <c r="H52" s="259" t="s">
        <v>52</v>
      </c>
      <c r="I52" s="259" t="s">
        <v>44</v>
      </c>
      <c r="J52" s="259" t="s">
        <v>239</v>
      </c>
      <c r="M52" s="178">
        <f>(SUMIF(Inputs_FY23_FY24!$X$25:$X$71,$D52,Inputs_FY23_FY24!S$25:S$71)+Inputs_FY23_FY24!S$30*Inputs_FY23_FY24!M88+Inputs_FY23_FY24!S$49*Inputs_FY23_FY24!P88+Inputs_FY23_FY24!S$66*Inputs_FY23_FY24!S88)/Dollars_to_Thousands/M$19</f>
        <v>29129311.808810841</v>
      </c>
      <c r="N52" s="179">
        <f>(SUMIF(Inputs_FY23_FY24!$X$25:$X$71,$D52,Inputs_FY23_FY24!T$25:T$71)+Inputs_FY23_FY24!T$30*Inputs_FY23_FY24!N88+Inputs_FY23_FY24!T$49*Inputs_FY23_FY24!Q88+Inputs_FY23_FY24!T$66*Inputs_FY23_FY24!T88)/Dollars_to_Thousands/N$19</f>
        <v>23289788.552589588</v>
      </c>
      <c r="O52" s="97">
        <f>SUMIF(Calc_Revenue!$W$30:$W$79,$D52,Calc_Revenue!O$30:O$79)/Dollars_to_Thousands/O$18</f>
        <v>52011063.090010807</v>
      </c>
      <c r="P52" s="66">
        <f>SUMIF(Calc_Revenue!$W$30:$W$79,$D52,Calc_Revenue!P$30:P$79)/Dollars_to_Thousands/P$18</f>
        <v>56739647.822396107</v>
      </c>
      <c r="Q52" s="66">
        <f>SUMIF(Calc_Revenue!$W$30:$W$79,$D52,Calc_Revenue!Q$30:Q$79)/Dollars_to_Thousands/Q$18</f>
        <v>63142757.763167061</v>
      </c>
      <c r="R52" s="66">
        <f>SUMIF(Calc_Revenue!$W$30:$W$79,$D52,Calc_Revenue!R$30:R$79)/Dollars_to_Thousands/R$18</f>
        <v>69677642.569229528</v>
      </c>
      <c r="S52" s="66">
        <f>SUMIF(Calc_Revenue!$W$30:$W$79,$D52,Calc_Revenue!S$30:S$79)/Dollars_to_Thousands/S$18</f>
        <v>70648523.518187314</v>
      </c>
    </row>
    <row r="53" spans="1:19" ht="12.75" x14ac:dyDescent="0.3">
      <c r="D53" s="7" t="s">
        <v>517</v>
      </c>
      <c r="H53" s="259" t="s">
        <v>52</v>
      </c>
      <c r="I53" s="259" t="s">
        <v>44</v>
      </c>
      <c r="J53" s="259" t="s">
        <v>239</v>
      </c>
      <c r="M53" s="66">
        <f>SUMIF(Inputs_FY23_FY24!$X$25:$X$71,$D53,Inputs_FY23_FY24!S$25:S$71)/Dollars_to_Thousands/M$19</f>
        <v>14703763.759326508</v>
      </c>
      <c r="N53" s="66">
        <f>SUMIF(Inputs_FY23_FY24!$X$25:$X$71,$D53,Inputs_FY23_FY24!T$25:T$71)/Dollars_to_Thousands/N$19</f>
        <v>16142809.311299318</v>
      </c>
      <c r="O53" s="97">
        <f>SUMIF(Calc_Revenue!$W$30:$W$79,$D53,Calc_Revenue!O$30:O$79)/Dollars_to_Thousands/O$18</f>
        <v>16755700.798228335</v>
      </c>
      <c r="P53" s="66">
        <f>SUMIF(Calc_Revenue!$W$30:$W$79,$D53,Calc_Revenue!P$30:P$79)/Dollars_to_Thousands/P$18</f>
        <v>18264233.040869333</v>
      </c>
      <c r="Q53" s="66">
        <f>SUMIF(Calc_Revenue!$W$30:$W$79,$D53,Calc_Revenue!Q$30:Q$79)/Dollars_to_Thousands/Q$18</f>
        <v>19908066.938068599</v>
      </c>
      <c r="R53" s="66">
        <f>SUMIF(Calc_Revenue!$W$30:$W$79,$D53,Calc_Revenue!R$30:R$79)/Dollars_to_Thousands/R$18</f>
        <v>21699297.138148163</v>
      </c>
      <c r="S53" s="66">
        <f>SUMIF(Calc_Revenue!$W$30:$W$79,$D53,Calc_Revenue!S$30:S$79)/Dollars_to_Thousands/S$18</f>
        <v>22063873.678384546</v>
      </c>
    </row>
    <row r="54" spans="1:19" ht="12.75" x14ac:dyDescent="0.3">
      <c r="D54" s="7" t="s">
        <v>518</v>
      </c>
      <c r="H54" s="259" t="s">
        <v>52</v>
      </c>
      <c r="I54" s="259" t="s">
        <v>44</v>
      </c>
      <c r="J54" s="259" t="s">
        <v>239</v>
      </c>
      <c r="M54" s="66">
        <f>SUMIF(Inputs_FY23_FY24!$X$25:$X$71,$D54,Inputs_FY23_FY24!S$25:S$71)/Dollars_to_Thousands/M$19</f>
        <v>14180571.742407091</v>
      </c>
      <c r="N54" s="66">
        <f>SUMIF(Inputs_FY23_FY24!$X$25:$X$71,$D54,Inputs_FY23_FY24!T$25:T$71)/Dollars_to_Thousands/N$19</f>
        <v>14819345.101710157</v>
      </c>
      <c r="O54" s="97">
        <f>SUMIF(Calc_Revenue!$W$30:$W$79,$D54,Calc_Revenue!O$30:O$79)/Dollars_to_Thousands/O$18</f>
        <v>7266502.8971908595</v>
      </c>
      <c r="P54" s="66">
        <f>SUMIF(Calc_Revenue!$W$30:$W$79,$D54,Calc_Revenue!P$30:P$79)/Dollars_to_Thousands/P$18</f>
        <v>7695082.9563053548</v>
      </c>
      <c r="Q54" s="66">
        <f>SUMIF(Calc_Revenue!$W$30:$W$79,$D54,Calc_Revenue!Q$30:Q$79)/Dollars_to_Thousands/Q$18</f>
        <v>8244754.9945536628</v>
      </c>
      <c r="R54" s="66">
        <f>SUMIF(Calc_Revenue!$W$30:$W$79,$D54,Calc_Revenue!R$30:R$79)/Dollars_to_Thousands/R$18</f>
        <v>8832377.227085432</v>
      </c>
      <c r="S54" s="66">
        <f>SUMIF(Calc_Revenue!$W$30:$W$79,$D54,Calc_Revenue!S$30:S$79)/Dollars_to_Thousands/S$18</f>
        <v>8825549.4713538177</v>
      </c>
    </row>
    <row r="55" spans="1:19" ht="12.75" x14ac:dyDescent="0.3">
      <c r="D55" s="7" t="s">
        <v>504</v>
      </c>
      <c r="H55" s="259" t="s">
        <v>52</v>
      </c>
      <c r="I55" s="259" t="s">
        <v>44</v>
      </c>
      <c r="J55" s="259" t="s">
        <v>239</v>
      </c>
      <c r="M55" s="66">
        <f>SUMIF(Inputs_FY23_FY24!$X$25:$X$71,$D55,Inputs_FY23_FY24!S$25:S$71)/Dollars_to_Thousands/M$19</f>
        <v>1031727.000796051</v>
      </c>
      <c r="N55" s="66">
        <f>SUMIF(Inputs_FY23_FY24!$X$25:$X$71,$D55,Inputs_FY23_FY24!T$25:T$71)/Dollars_to_Thousands/N$19</f>
        <v>1127905.8590958074</v>
      </c>
      <c r="O55" s="97">
        <f>SUMIF(Calc_Revenue!$W$30:$W$79,$D55,Calc_Revenue!O$30:O$79)/Dollars_to_Thousands/O$18</f>
        <v>1709765.3875743197</v>
      </c>
      <c r="P55" s="66">
        <f>SUMIF(Calc_Revenue!$W$30:$W$79,$D55,Calc_Revenue!P$30:P$79)/Dollars_to_Thousands/P$18</f>
        <v>1854236.8569410492</v>
      </c>
      <c r="Q55" s="66">
        <f>SUMIF(Calc_Revenue!$W$30:$W$79,$D55,Calc_Revenue!Q$30:Q$79)/Dollars_to_Thousands/Q$18</f>
        <v>2010915.8523301615</v>
      </c>
      <c r="R55" s="66">
        <f>SUMIF(Calc_Revenue!$W$30:$W$79,$D55,Calc_Revenue!R$30:R$79)/Dollars_to_Thousands/R$18</f>
        <v>2180833.8832309716</v>
      </c>
      <c r="S55" s="66">
        <f>SUMIF(Calc_Revenue!$W$30:$W$79,$D55,Calc_Revenue!S$30:S$79)/Dollars_to_Thousands/S$18</f>
        <v>2206387.3678384544</v>
      </c>
    </row>
    <row r="56" spans="1:19" ht="12.75" x14ac:dyDescent="0.3">
      <c r="D56" s="7" t="s">
        <v>519</v>
      </c>
      <c r="H56" s="259" t="s">
        <v>52</v>
      </c>
      <c r="I56" s="259" t="s">
        <v>44</v>
      </c>
      <c r="J56" s="259" t="s">
        <v>239</v>
      </c>
      <c r="M56" s="66">
        <f>SUMIF(Inputs_FY23_FY24!$X$25:$X$71,$D56,Inputs_FY23_FY24!S$25:S$71)/Dollars_to_Thousands/M$19</f>
        <v>0</v>
      </c>
      <c r="N56" s="66">
        <f>SUMIF(Inputs_FY23_FY24!$X$25:$X$71,$D56,Inputs_FY23_FY24!T$25:T$71)/Dollars_to_Thousands/N$19</f>
        <v>0</v>
      </c>
      <c r="O56" s="97">
        <f>SUMIF(Calc_Revenue!$W$30:$W$79,$D56,Calc_Revenue!O$30:O$79)/Dollars_to_Thousands/O$18</f>
        <v>0</v>
      </c>
      <c r="P56" s="66">
        <f>SUMIF(Calc_Revenue!$W$30:$W$79,$D56,Calc_Revenue!P$30:P$79)/Dollars_to_Thousands/P$18</f>
        <v>0</v>
      </c>
      <c r="Q56" s="66">
        <f>SUMIF(Calc_Revenue!$W$30:$W$79,$D56,Calc_Revenue!Q$30:Q$79)/Dollars_to_Thousands/Q$18</f>
        <v>0</v>
      </c>
      <c r="R56" s="66">
        <f>SUMIF(Calc_Revenue!$W$30:$W$79,$D56,Calc_Revenue!R$30:R$79)/Dollars_to_Thousands/R$18</f>
        <v>0</v>
      </c>
      <c r="S56" s="66">
        <f>SUMIF(Calc_Revenue!$W$30:$W$79,$D56,Calc_Revenue!S$30:S$79)/Dollars_to_Thousands/S$18</f>
        <v>0</v>
      </c>
    </row>
    <row r="58" spans="1:19" ht="11.25" customHeight="1" x14ac:dyDescent="0.3">
      <c r="D58" s="62" t="s">
        <v>134</v>
      </c>
      <c r="H58" s="56" t="s">
        <v>52</v>
      </c>
      <c r="I58" s="56" t="str">
        <f>I$28</f>
        <v>Dollars</v>
      </c>
      <c r="J58" s="56" t="str">
        <f>J$28</f>
        <v>Real $2024</v>
      </c>
      <c r="M58" s="68">
        <f t="shared" ref="M58:N58" si="5">SUM(M51:M56)</f>
        <v>150333832.76988697</v>
      </c>
      <c r="N58" s="68">
        <f t="shared" si="5"/>
        <v>152106495.81518051</v>
      </c>
      <c r="O58" s="68">
        <f>SUM(O51:O56)</f>
        <v>170976538.75743198</v>
      </c>
      <c r="P58" s="68">
        <f>SUM(P51:P56)</f>
        <v>185423685.69410491</v>
      </c>
      <c r="Q58" s="68">
        <f>SUM(Q51:Q56)</f>
        <v>201091585.23301613</v>
      </c>
      <c r="R58" s="68">
        <f>SUM(R51:R56)</f>
        <v>218083388.32309714</v>
      </c>
      <c r="S58" s="68">
        <f>SUM(S51:S56)</f>
        <v>220638736.78384548</v>
      </c>
    </row>
    <row r="59" spans="1:19" ht="11.25" customHeight="1" x14ac:dyDescent="0.3">
      <c r="P59" s="145"/>
      <c r="Q59" s="145"/>
      <c r="R59" s="145"/>
    </row>
    <row r="60" spans="1:19" ht="11.25" customHeight="1" outlineLevel="1" x14ac:dyDescent="0.3">
      <c r="D60" s="10" t="s">
        <v>90</v>
      </c>
      <c r="H60" s="259" t="s">
        <v>52</v>
      </c>
      <c r="I60" s="259" t="s">
        <v>44</v>
      </c>
      <c r="J60" s="259" t="s">
        <v>239</v>
      </c>
      <c r="K60" s="63"/>
      <c r="M60" s="66">
        <f t="shared" ref="M60:N60" si="6">M42</f>
        <v>150333832.76988697</v>
      </c>
      <c r="N60" s="66">
        <f t="shared" si="6"/>
        <v>152106495.81518051</v>
      </c>
      <c r="O60" s="66">
        <f>O42</f>
        <v>170976538.75743195</v>
      </c>
      <c r="P60" s="66">
        <f t="shared" ref="P60:S60" si="7">P42</f>
        <v>185423685.69410494</v>
      </c>
      <c r="Q60" s="66">
        <f t="shared" si="7"/>
        <v>201091585.2330161</v>
      </c>
      <c r="R60" s="66">
        <f t="shared" si="7"/>
        <v>218083388.32309714</v>
      </c>
      <c r="S60" s="66">
        <f t="shared" si="7"/>
        <v>220638736.78384545</v>
      </c>
    </row>
    <row r="61" spans="1:19" ht="11.25" customHeight="1" outlineLevel="1" x14ac:dyDescent="0.3">
      <c r="A61" s="59">
        <f>IF(SUM($M61:$S61)=0,0,1)</f>
        <v>0</v>
      </c>
      <c r="D61" s="10" t="s">
        <v>55</v>
      </c>
      <c r="F61" s="63"/>
      <c r="H61" s="63"/>
      <c r="I61" s="63"/>
      <c r="J61" s="63"/>
      <c r="K61" s="63"/>
      <c r="M61" s="59">
        <f t="shared" ref="M61:N61" si="8">IF(ROUND(M60-M58,2)=0,0,1)</f>
        <v>0</v>
      </c>
      <c r="N61" s="59">
        <f t="shared" si="8"/>
        <v>0</v>
      </c>
      <c r="O61" s="59">
        <f>IF(ROUND(O60-O58,2)=0,0,1)</f>
        <v>0</v>
      </c>
      <c r="P61" s="59">
        <f>IF(ROUND(P60-P58,2)=0,0,1)</f>
        <v>0</v>
      </c>
      <c r="Q61" s="59">
        <f>IF(ROUND(Q60-Q58,2)=0,0,1)</f>
        <v>0</v>
      </c>
      <c r="R61" s="59">
        <f>IF(ROUND(R60-R58,2)=0,0,1)</f>
        <v>0</v>
      </c>
      <c r="S61" s="59">
        <f>IF(ROUND(S60-S58,2)=0,0,1)</f>
        <v>0</v>
      </c>
    </row>
    <row r="62" spans="1:19" x14ac:dyDescent="0.3">
      <c r="P62" s="151"/>
      <c r="Q62" s="151"/>
      <c r="R62" s="151"/>
      <c r="S62" s="145"/>
    </row>
    <row r="63" spans="1:19" s="2" customFormat="1" ht="15" x14ac:dyDescent="0.3">
      <c r="B63" s="2" t="s">
        <v>793</v>
      </c>
    </row>
    <row r="64" spans="1:19" ht="11.25" customHeight="1" x14ac:dyDescent="0.3"/>
    <row r="65" spans="1:35" s="8" customFormat="1" ht="13.9" x14ac:dyDescent="0.3">
      <c r="C65" s="8" t="s">
        <v>532</v>
      </c>
    </row>
    <row r="66" spans="1:35" ht="11.25" customHeight="1" x14ac:dyDescent="0.3"/>
    <row r="67" spans="1:35" ht="11.25" customHeight="1" x14ac:dyDescent="0.3">
      <c r="D67" s="70" t="s">
        <v>521</v>
      </c>
      <c r="H67" s="54" t="str">
        <f>Lookup!E$19</f>
        <v>Source</v>
      </c>
      <c r="I67" s="54" t="str">
        <f>Lookup!F$19</f>
        <v>Unit</v>
      </c>
      <c r="J67" s="54" t="str">
        <f>Lookup!G$19</f>
        <v>Basis</v>
      </c>
      <c r="M67" s="54" t="str">
        <f t="shared" ref="M67:N67" si="9">M$9</f>
        <v>FY23</v>
      </c>
      <c r="N67" s="54" t="str">
        <f t="shared" si="9"/>
        <v>FY24</v>
      </c>
      <c r="O67" s="54" t="str">
        <f>O$9</f>
        <v>FY25</v>
      </c>
      <c r="P67" s="54" t="str">
        <f>P$9</f>
        <v>FY26</v>
      </c>
      <c r="Q67" s="54" t="str">
        <f>Q$9</f>
        <v>FY27</v>
      </c>
      <c r="R67" s="54" t="str">
        <f>R$9</f>
        <v>FY28</v>
      </c>
      <c r="S67" s="54" t="str">
        <f>S$9</f>
        <v>FY29</v>
      </c>
    </row>
    <row r="68" spans="1:35" ht="11.25" customHeight="1" x14ac:dyDescent="0.3">
      <c r="D68" s="1"/>
    </row>
    <row r="69" spans="1:35" ht="12.75" x14ac:dyDescent="0.3">
      <c r="D69" s="7" t="s">
        <v>522</v>
      </c>
      <c r="H69" s="259" t="s">
        <v>52</v>
      </c>
      <c r="I69" s="259" t="s">
        <v>528</v>
      </c>
      <c r="J69" s="259" t="s">
        <v>21</v>
      </c>
      <c r="M69" s="180">
        <f>(SUMIF(Inputs_FY23_FY24!$Z$46:$Z$52,$D69,Inputs_FY23_FY24!P$46:P$52)+Inputs_FY23_FY24!P100)/MWh_to_kWh/GWh_to_MWh</f>
        <v>1700.0625107318338</v>
      </c>
      <c r="N69" s="181">
        <f>(SUMIF(Inputs_FY23_FY24!$Z$46:$Z$52,$D69,Inputs_FY23_FY24!Q$46:Q$52)+Inputs_FY23_FY24!Q100)/MWh_to_kWh/GWh_to_MWh</f>
        <v>1722.330755343871</v>
      </c>
      <c r="O69" s="176">
        <f>SUMIF(Inputs_Volumes!$U$35:$U$49,$D69,Inputs_Volumes!O$35:O$49)/MWh_to_kWh/GWh_to_MWh</f>
        <v>1110.24737858667</v>
      </c>
      <c r="P69" s="140">
        <f>SUMIF(Inputs_Volumes!$U$35:$U$49,$D69,Inputs_Volumes!P$35:P$49)/MWh_to_kWh/GWh_to_MWh</f>
        <v>1110.087506262807</v>
      </c>
      <c r="Q69" s="140">
        <f>SUMIF(Inputs_Volumes!$U$35:$U$49,$D69,Inputs_Volumes!Q$35:Q$49)/MWh_to_kWh/GWh_to_MWh</f>
        <v>1101.9643956073696</v>
      </c>
      <c r="R69" s="140">
        <f>SUMIF(Inputs_Volumes!$U$35:$U$49,$D69,Inputs_Volumes!R$35:R$49)/MWh_to_kWh/GWh_to_MWh</f>
        <v>1109.952347511784</v>
      </c>
      <c r="S69" s="140">
        <f>SUMIF(Inputs_Volumes!$U$35:$U$49,$D69,Inputs_Volumes!S$35:S$49)/MWh_to_kWh/GWh_to_MWh</f>
        <v>1123.4201054116265</v>
      </c>
    </row>
    <row r="70" spans="1:35" ht="12.75" x14ac:dyDescent="0.3">
      <c r="D70" s="7" t="s">
        <v>523</v>
      </c>
      <c r="H70" s="259" t="s">
        <v>52</v>
      </c>
      <c r="I70" s="259" t="s">
        <v>528</v>
      </c>
      <c r="J70" s="259" t="s">
        <v>21</v>
      </c>
      <c r="M70" s="140">
        <f>SUMIF(Inputs_FY23_FY24!$Z$46:$Z$52,$D70,Inputs_FY23_FY24!P$46:P$52)/MWh_to_kWh/GWh_to_MWh</f>
        <v>0</v>
      </c>
      <c r="N70" s="140">
        <f>SUMIF(Inputs_FY23_FY24!$Z$46:$Z$52,$D70,Inputs_FY23_FY24!Q$46:Q$52)/MWh_to_kWh/GWh_to_MWh</f>
        <v>0</v>
      </c>
      <c r="O70" s="176">
        <f>SUMIF(Inputs_Volumes!$U$35:$U$49,$D70,Inputs_Volumes!O$35:O$49)/MWh_to_kWh/GWh_to_MWh</f>
        <v>83.981459255047014</v>
      </c>
      <c r="P70" s="140">
        <f>SUMIF(Inputs_Volumes!$U$35:$U$49,$D70,Inputs_Volumes!P$35:P$49)/MWh_to_kWh/GWh_to_MWh</f>
        <v>85.288736831196303</v>
      </c>
      <c r="Q70" s="140">
        <f>SUMIF(Inputs_Volumes!$U$35:$U$49,$D70,Inputs_Volumes!Q$35:Q$49)/MWh_to_kWh/GWh_to_MWh</f>
        <v>86.54115514008123</v>
      </c>
      <c r="R70" s="140">
        <f>SUMIF(Inputs_Volumes!$U$35:$U$49,$D70,Inputs_Volumes!R$35:R$49)/MWh_to_kWh/GWh_to_MWh</f>
        <v>83.751881235770782</v>
      </c>
      <c r="S70" s="140">
        <f>SUMIF(Inputs_Volumes!$U$35:$U$49,$D70,Inputs_Volumes!S$35:S$49)/MWh_to_kWh/GWh_to_MWh</f>
        <v>79.100673300090065</v>
      </c>
    </row>
    <row r="71" spans="1:35" ht="12.75" x14ac:dyDescent="0.3">
      <c r="D71" s="7" t="s">
        <v>524</v>
      </c>
      <c r="H71" s="259" t="s">
        <v>52</v>
      </c>
      <c r="I71" s="259" t="s">
        <v>528</v>
      </c>
      <c r="J71" s="259" t="s">
        <v>21</v>
      </c>
      <c r="M71" s="140">
        <f>SUMIF(Inputs_FY23_FY24!$Z$46:$Z$52,$D71,Inputs_FY23_FY24!P$46:P$52)/MWh_to_kWh/GWh_to_MWh</f>
        <v>0</v>
      </c>
      <c r="N71" s="140">
        <f>SUMIF(Inputs_FY23_FY24!$Z$46:$Z$52,$D71,Inputs_FY23_FY24!Q$46:Q$52)/MWh_to_kWh/GWh_to_MWh</f>
        <v>0</v>
      </c>
      <c r="O71" s="176">
        <f>SUMIF(Inputs_Volumes!$U$35:$U$49,$D71,Inputs_Volumes!O$35:O$49)/MWh_to_kWh/GWh_to_MWh</f>
        <v>376.47038316289786</v>
      </c>
      <c r="P71" s="140">
        <f>SUMIF(Inputs_Volumes!$U$35:$U$49,$D71,Inputs_Volumes!P$35:P$49)/MWh_to_kWh/GWh_to_MWh</f>
        <v>381.46613171072011</v>
      </c>
      <c r="Q71" s="140">
        <f>SUMIF(Inputs_Volumes!$U$35:$U$49,$D71,Inputs_Volumes!Q$35:Q$49)/MWh_to_kWh/GWh_to_MWh</f>
        <v>386.30568973074276</v>
      </c>
      <c r="R71" s="140">
        <f>SUMIF(Inputs_Volumes!$U$35:$U$49,$D71,Inputs_Volumes!R$35:R$49)/MWh_to_kWh/GWh_to_MWh</f>
        <v>374.25420138380764</v>
      </c>
      <c r="S71" s="140">
        <f>SUMIF(Inputs_Volumes!$U$35:$U$49,$D71,Inputs_Volumes!S$35:S$49)/MWh_to_kWh/GWh_to_MWh</f>
        <v>354.02704246627536</v>
      </c>
    </row>
    <row r="72" spans="1:35" ht="12.75" x14ac:dyDescent="0.3">
      <c r="D72" s="7" t="s">
        <v>525</v>
      </c>
      <c r="H72" s="259" t="s">
        <v>52</v>
      </c>
      <c r="I72" s="259" t="s">
        <v>528</v>
      </c>
      <c r="J72" s="259" t="s">
        <v>21</v>
      </c>
      <c r="M72" s="140">
        <f>SUMIF(Inputs_FY23_FY24!$Z$46:$Z$52,$D72,Inputs_FY23_FY24!P$46:P$52)/MWh_to_kWh/GWh_to_MWh</f>
        <v>0</v>
      </c>
      <c r="N72" s="140">
        <f>SUMIF(Inputs_FY23_FY24!$Z$46:$Z$52,$D72,Inputs_FY23_FY24!Q$46:Q$52)/MWh_to_kWh/GWh_to_MWh</f>
        <v>0</v>
      </c>
      <c r="O72" s="176">
        <f>SUMIF(Inputs_Volumes!$U$35:$U$49,$D72,Inputs_Volumes!O$35:O$49)/MWh_to_kWh/GWh_to_MWh</f>
        <v>173.2345877682487</v>
      </c>
      <c r="P72" s="140">
        <f>SUMIF(Inputs_Volumes!$U$35:$U$49,$D72,Inputs_Volumes!P$35:P$49)/MWh_to_kWh/GWh_to_MWh</f>
        <v>176.26698960821884</v>
      </c>
      <c r="Q72" s="140">
        <f>SUMIF(Inputs_Volumes!$U$35:$U$49,$D72,Inputs_Volumes!Q$35:Q$49)/MWh_to_kWh/GWh_to_MWh</f>
        <v>179.14332582383085</v>
      </c>
      <c r="R72" s="140">
        <f>SUMIF(Inputs_Volumes!$U$35:$U$49,$D72,Inputs_Volumes!R$35:R$49)/MWh_to_kWh/GWh_to_MWh</f>
        <v>172.69457908603869</v>
      </c>
      <c r="S72" s="140">
        <f>SUMIF(Inputs_Volumes!$U$35:$U$49,$D72,Inputs_Volumes!S$35:S$49)/MWh_to_kWh/GWh_to_MWh</f>
        <v>162.31935463307755</v>
      </c>
    </row>
    <row r="73" spans="1:35" ht="12.75" x14ac:dyDescent="0.3">
      <c r="D73" s="7" t="s">
        <v>526</v>
      </c>
      <c r="H73" s="259" t="s">
        <v>52</v>
      </c>
      <c r="I73" s="259" t="s">
        <v>528</v>
      </c>
      <c r="J73" s="259" t="s">
        <v>21</v>
      </c>
      <c r="M73" s="140">
        <f>SUMIF(Inputs_FY23_FY24!$Z$46:$Z$52,$D73,Inputs_FY23_FY24!P$46:P$52)/MWh_to_kWh/GWh_to_MWh</f>
        <v>0</v>
      </c>
      <c r="N73" s="140">
        <f>SUMIF(Inputs_FY23_FY24!$Z$46:$Z$52,$D73,Inputs_FY23_FY24!Q$46:Q$52)/MWh_to_kWh/GWh_to_MWh</f>
        <v>0</v>
      </c>
      <c r="O73" s="176">
        <f>SUMIF(Inputs_Volumes!$U$35:$U$49,$D73,Inputs_Volumes!O$35:O$49)/MWh_to_kWh/GWh_to_MWh</f>
        <v>0</v>
      </c>
      <c r="P73" s="140">
        <f>SUMIF(Inputs_Volumes!$U$35:$U$49,$D73,Inputs_Volumes!P$35:P$49)/MWh_to_kWh/GWh_to_MWh</f>
        <v>0</v>
      </c>
      <c r="Q73" s="140">
        <f>SUMIF(Inputs_Volumes!$U$35:$U$49,$D73,Inputs_Volumes!Q$35:Q$49)/MWh_to_kWh/GWh_to_MWh</f>
        <v>0</v>
      </c>
      <c r="R73" s="140">
        <f>SUMIF(Inputs_Volumes!$U$35:$U$49,$D73,Inputs_Volumes!R$35:R$49)/MWh_to_kWh/GWh_to_MWh</f>
        <v>0</v>
      </c>
      <c r="S73" s="140">
        <f>SUMIF(Inputs_Volumes!$U$35:$U$49,$D73,Inputs_Volumes!S$35:S$49)/MWh_to_kWh/GWh_to_MWh</f>
        <v>0</v>
      </c>
    </row>
    <row r="74" spans="1:35" ht="12.75" x14ac:dyDescent="0.3">
      <c r="D74" s="7" t="s">
        <v>527</v>
      </c>
      <c r="H74" s="259" t="s">
        <v>52</v>
      </c>
      <c r="I74" s="259" t="s">
        <v>528</v>
      </c>
      <c r="J74" s="259" t="s">
        <v>21</v>
      </c>
      <c r="M74" s="140">
        <f>SUMIF(Inputs_FY23_FY24!$Z$46:$Z$52,$D74,Inputs_FY23_FY24!P$46:P$52)/MWh_to_kWh/GWh_to_MWh</f>
        <v>16</v>
      </c>
      <c r="N74" s="140">
        <f>SUMIF(Inputs_FY23_FY24!$Z$46:$Z$52,$D74,Inputs_FY23_FY24!Q$46:Q$52)/MWh_to_kWh/GWh_to_MWh</f>
        <v>15.994163</v>
      </c>
      <c r="O74" s="176">
        <f>SUMIF(Inputs_Volumes!$U$35:$U$49,$D74,Inputs_Volumes!O$35:O$49)/MWh_to_kWh/GWh_to_MWh</f>
        <v>16.314046260000001</v>
      </c>
      <c r="P74" s="140">
        <f>SUMIF(Inputs_Volumes!$U$35:$U$49,$D74,Inputs_Volumes!P$35:P$49)/MWh_to_kWh/GWh_to_MWh</f>
        <v>16.6403271852</v>
      </c>
      <c r="Q74" s="140">
        <f>SUMIF(Inputs_Volumes!$U$35:$U$49,$D74,Inputs_Volumes!Q$35:Q$49)/MWh_to_kWh/GWh_to_MWh</f>
        <v>16.973133728903999</v>
      </c>
      <c r="R74" s="140">
        <f>SUMIF(Inputs_Volumes!$U$35:$U$49,$D74,Inputs_Volumes!R$35:R$49)/MWh_to_kWh/GWh_to_MWh</f>
        <v>17.312596403482079</v>
      </c>
      <c r="S74" s="140">
        <f>SUMIF(Inputs_Volumes!$U$35:$U$49,$D74,Inputs_Volumes!S$35:S$49)/MWh_to_kWh/GWh_to_MWh</f>
        <v>17.658848331551724</v>
      </c>
    </row>
    <row r="75" spans="1:35" ht="11.25" customHeight="1" x14ac:dyDescent="0.3">
      <c r="W75" s="153"/>
      <c r="X75" s="153"/>
      <c r="Y75" s="153"/>
      <c r="Z75" s="153"/>
      <c r="AA75" s="153"/>
      <c r="AB75" s="153"/>
      <c r="AC75" s="153"/>
      <c r="AD75" s="153"/>
      <c r="AE75" s="153"/>
      <c r="AF75" s="153"/>
      <c r="AG75" s="153"/>
      <c r="AH75" s="153"/>
      <c r="AI75" s="153"/>
    </row>
    <row r="76" spans="1:35" ht="13.15" x14ac:dyDescent="0.3">
      <c r="D76" s="62" t="s">
        <v>794</v>
      </c>
      <c r="H76" s="56" t="s">
        <v>52</v>
      </c>
      <c r="I76" s="56" t="s">
        <v>528</v>
      </c>
      <c r="J76" s="56" t="s">
        <v>21</v>
      </c>
      <c r="M76" s="175">
        <f t="shared" ref="M76:N76" si="10">SUM(M69:M74)</f>
        <v>1716.0625107318338</v>
      </c>
      <c r="N76" s="175">
        <f t="shared" si="10"/>
        <v>1738.3249183438711</v>
      </c>
      <c r="O76" s="175">
        <f>SUM(O69:O74)</f>
        <v>1760.2478550328635</v>
      </c>
      <c r="P76" s="175">
        <f>SUM(P69:P74)</f>
        <v>1769.7496915981424</v>
      </c>
      <c r="Q76" s="175">
        <f>SUM(Q69:Q74)</f>
        <v>1770.9277000309285</v>
      </c>
      <c r="R76" s="175">
        <f>SUM(R69:R74)</f>
        <v>1757.965605620883</v>
      </c>
      <c r="S76" s="175">
        <f>SUM(S69:S74)</f>
        <v>1736.5260241426213</v>
      </c>
    </row>
    <row r="77" spans="1:35" ht="11.25" customHeight="1" x14ac:dyDescent="0.3">
      <c r="M77" s="151"/>
      <c r="N77" s="151"/>
      <c r="O77" s="151"/>
      <c r="P77" s="151"/>
      <c r="Q77" s="151"/>
      <c r="R77" s="151"/>
      <c r="S77" s="151"/>
    </row>
    <row r="78" spans="1:35" ht="12.75" outlineLevel="1" x14ac:dyDescent="0.3">
      <c r="D78" s="10" t="s">
        <v>90</v>
      </c>
      <c r="H78" s="259" t="s">
        <v>52</v>
      </c>
      <c r="I78" s="259" t="s">
        <v>528</v>
      </c>
      <c r="J78" s="259" t="s">
        <v>21</v>
      </c>
      <c r="K78" s="63"/>
      <c r="M78" s="140">
        <f>(Inputs_FY23_FY24!P54+Inputs_FY23_FY24!P100)/MWh_to_kWh/GWh_to_MWh</f>
        <v>1716.0625107318338</v>
      </c>
      <c r="N78" s="140">
        <f>(Inputs_FY23_FY24!Q54+Inputs_FY23_FY24!Q100)/MWh_to_kWh/GWh_to_MWh</f>
        <v>1738.3249183438709</v>
      </c>
      <c r="O78" s="176">
        <f>SUM(Inputs_Volumes!O35:O49)/MWh_to_kWh/GWh_to_MWh</f>
        <v>1760.2478550328638</v>
      </c>
      <c r="P78" s="140">
        <f>SUM(Inputs_Volumes!P35:P49)/MWh_to_kWh/GWh_to_MWh</f>
        <v>1769.7496915981421</v>
      </c>
      <c r="Q78" s="140">
        <f>SUM(Inputs_Volumes!Q35:Q49)/MWh_to_kWh/GWh_to_MWh</f>
        <v>1770.9277000309287</v>
      </c>
      <c r="R78" s="140">
        <f>SUM(Inputs_Volumes!R35:R49)/MWh_to_kWh/GWh_to_MWh</f>
        <v>1757.965605620883</v>
      </c>
      <c r="S78" s="140">
        <f>SUM(Inputs_Volumes!S35:S49)/MWh_to_kWh/GWh_to_MWh</f>
        <v>1736.5260241426211</v>
      </c>
    </row>
    <row r="79" spans="1:35" ht="12.75" outlineLevel="1" x14ac:dyDescent="0.3">
      <c r="A79" s="59">
        <f>IF(SUM($M79:$S79)=0,0,1)</f>
        <v>0</v>
      </c>
      <c r="D79" s="10" t="s">
        <v>55</v>
      </c>
      <c r="F79" s="63"/>
      <c r="H79" s="63"/>
      <c r="I79" s="63"/>
      <c r="J79" s="63"/>
      <c r="K79" s="63"/>
      <c r="M79" s="59">
        <f t="shared" ref="M79:N79" si="11">IF(ROUND(M78-M76,2)=0,0,1)</f>
        <v>0</v>
      </c>
      <c r="N79" s="59">
        <f t="shared" si="11"/>
        <v>0</v>
      </c>
      <c r="O79" s="59">
        <f>IF(ROUND(O78-O76,2)=0,0,1)</f>
        <v>0</v>
      </c>
      <c r="P79" s="59">
        <f>IF(ROUND(P78-P76,2)=0,0,1)</f>
        <v>0</v>
      </c>
      <c r="Q79" s="59">
        <f>IF(ROUND(Q78-Q76,2)=0,0,1)</f>
        <v>0</v>
      </c>
      <c r="R79" s="59">
        <f>IF(ROUND(R78-R76,2)=0,0,1)</f>
        <v>0</v>
      </c>
      <c r="S79" s="59">
        <f>IF(ROUND(S78-S76,2)=0,0,1)</f>
        <v>0</v>
      </c>
    </row>
    <row r="80" spans="1:35" ht="11.25" customHeight="1" x14ac:dyDescent="0.3">
      <c r="M80" s="152"/>
      <c r="N80" s="152"/>
      <c r="O80" s="152"/>
      <c r="P80" s="152"/>
      <c r="Q80" s="152"/>
      <c r="R80" s="152"/>
      <c r="S80" s="152"/>
    </row>
    <row r="81" spans="1:35" s="8" customFormat="1" ht="13.9" x14ac:dyDescent="0.3">
      <c r="C81" s="8" t="s">
        <v>531</v>
      </c>
    </row>
    <row r="82" spans="1:35" ht="11.25" customHeight="1" x14ac:dyDescent="0.3"/>
    <row r="83" spans="1:35" ht="11.25" customHeight="1" x14ac:dyDescent="0.3">
      <c r="D83" s="70" t="s">
        <v>521</v>
      </c>
      <c r="H83" s="54" t="str">
        <f>Lookup!E$19</f>
        <v>Source</v>
      </c>
      <c r="I83" s="54" t="str">
        <f>Lookup!F$19</f>
        <v>Unit</v>
      </c>
      <c r="J83" s="54" t="str">
        <f>Lookup!G$19</f>
        <v>Basis</v>
      </c>
      <c r="M83" s="54" t="str">
        <f t="shared" ref="M83:N83" si="12">M$9</f>
        <v>FY23</v>
      </c>
      <c r="N83" s="54" t="str">
        <f t="shared" si="12"/>
        <v>FY24</v>
      </c>
      <c r="O83" s="54" t="str">
        <f>O$9</f>
        <v>FY25</v>
      </c>
      <c r="P83" s="54" t="str">
        <f>P$9</f>
        <v>FY26</v>
      </c>
      <c r="Q83" s="54" t="str">
        <f>Q$9</f>
        <v>FY27</v>
      </c>
      <c r="R83" s="54" t="str">
        <f>R$9</f>
        <v>FY28</v>
      </c>
      <c r="S83" s="54" t="str">
        <f>S$9</f>
        <v>FY29</v>
      </c>
    </row>
    <row r="84" spans="1:35" ht="11.25" customHeight="1" x14ac:dyDescent="0.3">
      <c r="D84" s="1"/>
    </row>
    <row r="85" spans="1:35" ht="12.75" x14ac:dyDescent="0.3">
      <c r="D85" s="7" t="s">
        <v>533</v>
      </c>
      <c r="H85" s="259" t="s">
        <v>52</v>
      </c>
      <c r="I85" s="259" t="s">
        <v>528</v>
      </c>
      <c r="J85" s="259" t="s">
        <v>21</v>
      </c>
      <c r="M85" s="180">
        <f>(SUMIF(Inputs_FY23_FY24!$AB$46:$AB$52,$D85,Inputs_FY23_FY24!P$46:P$52)+Inputs_FY23_FY24!P$49*Inputs_FY23_FY24!P87)/MWh_to_kWh/GWh_to_MWh</f>
        <v>664.88465993639284</v>
      </c>
      <c r="N85" s="181">
        <f>(SUMIF(Inputs_FY23_FY24!$AB$46:$AB$52,$D85,Inputs_FY23_FY24!Q$46:Q$52)+Inputs_FY23_FY24!Q$49*Inputs_FY23_FY24!Q87)/MWh_to_kWh/GWh_to_MWh</f>
        <v>636.76752081055997</v>
      </c>
      <c r="O85" s="176">
        <f>SUMIF(Inputs_Volumes!$W$35:$W$49,$D85,Inputs_Volumes!O$35:O$49)/MWh_to_kWh/GWh_to_MWh</f>
        <v>602.85941270374326</v>
      </c>
      <c r="P85" s="140">
        <f>SUMIF(Inputs_Volumes!$W$35:$W$49,$D85,Inputs_Volumes!P$35:P$49)/MWh_to_kWh/GWh_to_MWh</f>
        <v>582.51419263002776</v>
      </c>
      <c r="Q85" s="140">
        <f>SUMIF(Inputs_Volumes!$W$35:$W$49,$D85,Inputs_Volumes!Q$35:Q$49)/MWh_to_kWh/GWh_to_MWh</f>
        <v>562.61676484669954</v>
      </c>
      <c r="R85" s="140">
        <f>SUMIF(Inputs_Volumes!$W$35:$W$49,$D85,Inputs_Volumes!R$35:R$49)/MWh_to_kWh/GWh_to_MWh</f>
        <v>539.67765803829047</v>
      </c>
      <c r="S85" s="140">
        <f>SUMIF(Inputs_Volumes!$W$35:$W$49,$D85,Inputs_Volumes!S$35:S$49)/MWh_to_kWh/GWh_to_MWh</f>
        <v>513.0141323030681</v>
      </c>
    </row>
    <row r="86" spans="1:35" ht="12.75" x14ac:dyDescent="0.3">
      <c r="D86" s="7" t="s">
        <v>534</v>
      </c>
      <c r="H86" s="259" t="s">
        <v>52</v>
      </c>
      <c r="I86" s="259" t="s">
        <v>528</v>
      </c>
      <c r="J86" s="259" t="s">
        <v>21</v>
      </c>
      <c r="M86" s="180">
        <f>SUMIF(Inputs_FY23_FY24!$AB$46:$AB$52,$D86,Inputs_FY23_FY24!P$46:P$52)/MWh_to_kWh/GWh_to_MWh</f>
        <v>102.74439024798203</v>
      </c>
      <c r="N86" s="181">
        <f>SUMIF(Inputs_FY23_FY24!$AB$46:$AB$52,$D86,Inputs_FY23_FY24!Q$46:Q$52)/MWh_to_kWh/GWh_to_MWh</f>
        <v>52.438935115029757</v>
      </c>
      <c r="O86" s="176">
        <f>SUMIF(Inputs_Volumes!$W$35:$W$49,$D86,Inputs_Volumes!O$35:O$49)/MWh_to_kWh/GWh_to_MWh</f>
        <v>35.576298720509286</v>
      </c>
      <c r="P86" s="140">
        <f>SUMIF(Inputs_Volumes!$W$35:$W$49,$D86,Inputs_Volumes!P$35:P$49)/MWh_to_kWh/GWh_to_MWh</f>
        <v>19.042398938580561</v>
      </c>
      <c r="Q86" s="140">
        <f>SUMIF(Inputs_Volumes!$W$35:$W$49,$D86,Inputs_Volumes!Q$35:Q$49)/MWh_to_kWh/GWh_to_MWh</f>
        <v>2.8322951321915495</v>
      </c>
      <c r="R86" s="140">
        <f>SUMIF(Inputs_Volumes!$W$35:$W$49,$D86,Inputs_Volumes!R$35:R$49)/MWh_to_kWh/GWh_to_MWh</f>
        <v>0</v>
      </c>
      <c r="S86" s="140">
        <f>SUMIF(Inputs_Volumes!$W$35:$W$49,$D86,Inputs_Volumes!S$35:S$49)/MWh_to_kWh/GWh_to_MWh</f>
        <v>0</v>
      </c>
    </row>
    <row r="87" spans="1:35" ht="12.75" x14ac:dyDescent="0.3">
      <c r="D87" s="7" t="s">
        <v>535</v>
      </c>
      <c r="H87" s="259" t="s">
        <v>52</v>
      </c>
      <c r="I87" s="259" t="s">
        <v>528</v>
      </c>
      <c r="J87" s="259" t="s">
        <v>21</v>
      </c>
      <c r="M87" s="180">
        <f>(SUMIF(Inputs_FY23_FY24!$AB$46:$AB$52,$D87,Inputs_FY23_FY24!P$46:P$52)+Inputs_FY23_FY24!P$49*Inputs_FY23_FY24!P88)/MWh_to_kWh/GWh_to_MWh</f>
        <v>623.42776199935963</v>
      </c>
      <c r="N87" s="181">
        <f>(SUMIF(Inputs_FY23_FY24!$AB$46:$AB$52,$D87,Inputs_FY23_FY24!Q$46:Q$52)+Inputs_FY23_FY24!Q$49*Inputs_FY23_FY24!Q88)/MWh_to_kWh/GWh_to_MWh</f>
        <v>695.60624611539811</v>
      </c>
      <c r="O87" s="176">
        <f>SUMIF(Inputs_Volumes!$W$35:$W$49,$D87,Inputs_Volumes!O$35:O$49)/MWh_to_kWh/GWh_to_MWh</f>
        <v>677.14542318002555</v>
      </c>
      <c r="P87" s="140">
        <f>SUMIF(Inputs_Volumes!$W$35:$W$49,$D87,Inputs_Volumes!P$35:P$49)/MWh_to_kWh/GWh_to_MWh</f>
        <v>685.82800247457885</v>
      </c>
      <c r="Q87" s="140">
        <f>SUMIF(Inputs_Volumes!$W$35:$W$49,$D87,Inputs_Volumes!Q$35:Q$49)/MWh_to_kWh/GWh_to_MWh</f>
        <v>694.03478619471923</v>
      </c>
      <c r="R87" s="140">
        <f>SUMIF(Inputs_Volumes!$W$35:$W$49,$D87,Inputs_Volumes!R$35:R$49)/MWh_to_kWh/GWh_to_MWh</f>
        <v>675.35971038000662</v>
      </c>
      <c r="S87" s="140">
        <f>SUMIF(Inputs_Volumes!$W$35:$W$49,$D87,Inputs_Volumes!S$35:S$49)/MWh_to_kWh/GWh_to_MWh</f>
        <v>646.77448405263556</v>
      </c>
    </row>
    <row r="88" spans="1:35" ht="12.75" x14ac:dyDescent="0.3">
      <c r="D88" s="7" t="s">
        <v>536</v>
      </c>
      <c r="H88" s="259" t="s">
        <v>52</v>
      </c>
      <c r="I88" s="259" t="s">
        <v>528</v>
      </c>
      <c r="J88" s="259" t="s">
        <v>21</v>
      </c>
      <c r="M88" s="180">
        <f>(SUMIF(Inputs_FY23_FY24!$AB$46:$AB$52,$D88,Inputs_FY23_FY24!P$46:P$52)+Inputs_FY23_FY24!P100)/MWh_to_kWh/GWh_to_MWh</f>
        <v>309.00569854809919</v>
      </c>
      <c r="N88" s="181">
        <f>(SUMIF(Inputs_FY23_FY24!$AB$46:$AB$52,$D88,Inputs_FY23_FY24!Q$46:Q$52)+Inputs_FY23_FY24!Q100)/MWh_to_kWh/GWh_to_MWh</f>
        <v>337.51805330288295</v>
      </c>
      <c r="O88" s="176">
        <f>SUMIF(Inputs_Volumes!$W$35:$W$49,$D88,Inputs_Volumes!O$35:O$49)/MWh_to_kWh/GWh_to_MWh</f>
        <v>428.35267416858557</v>
      </c>
      <c r="P88" s="140">
        <f>SUMIF(Inputs_Volumes!$W$35:$W$49,$D88,Inputs_Volumes!P$35:P$49)/MWh_to_kWh/GWh_to_MWh</f>
        <v>465.72477036975528</v>
      </c>
      <c r="Q88" s="140">
        <f>SUMIF(Inputs_Volumes!$W$35:$W$49,$D88,Inputs_Volumes!Q$35:Q$49)/MWh_to_kWh/GWh_to_MWh</f>
        <v>494.4707201284142</v>
      </c>
      <c r="R88" s="140">
        <f>SUMIF(Inputs_Volumes!$W$35:$W$49,$D88,Inputs_Volumes!R$35:R$49)/MWh_to_kWh/GWh_to_MWh</f>
        <v>525.61564079910397</v>
      </c>
      <c r="S88" s="140">
        <f>SUMIF(Inputs_Volumes!$W$35:$W$49,$D88,Inputs_Volumes!S$35:S$49)/MWh_to_kWh/GWh_to_MWh</f>
        <v>559.07855945536573</v>
      </c>
    </row>
    <row r="89" spans="1:35" ht="12.75" x14ac:dyDescent="0.3">
      <c r="D89" s="7" t="s">
        <v>537</v>
      </c>
      <c r="H89" s="259" t="s">
        <v>52</v>
      </c>
      <c r="I89" s="259" t="s">
        <v>528</v>
      </c>
      <c r="J89" s="259" t="s">
        <v>21</v>
      </c>
      <c r="M89" s="140">
        <f>SUMIF(Inputs_FY23_FY24!$AB$46:$AB$52,$D89,Inputs_FY23_FY24!P$46:P$52)/MWh_to_kWh/GWh_to_MWh</f>
        <v>16</v>
      </c>
      <c r="N89" s="140">
        <f>SUMIF(Inputs_FY23_FY24!$AB$46:$AB$52,$D89,Inputs_FY23_FY24!Q$46:Q$52)/MWh_to_kWh/GWh_to_MWh</f>
        <v>15.994163</v>
      </c>
      <c r="O89" s="176">
        <f>SUMIF(Inputs_Volumes!$W$35:$W$49,$D89,Inputs_Volumes!O$35:O$49)/MWh_to_kWh/GWh_to_MWh</f>
        <v>16.314046260000001</v>
      </c>
      <c r="P89" s="140">
        <f>SUMIF(Inputs_Volumes!$W$35:$W$49,$D89,Inputs_Volumes!P$35:P$49)/MWh_to_kWh/GWh_to_MWh</f>
        <v>16.6403271852</v>
      </c>
      <c r="Q89" s="140">
        <f>SUMIF(Inputs_Volumes!$W$35:$W$49,$D89,Inputs_Volumes!Q$35:Q$49)/MWh_to_kWh/GWh_to_MWh</f>
        <v>16.973133728903999</v>
      </c>
      <c r="R89" s="140">
        <f>SUMIF(Inputs_Volumes!$W$35:$W$49,$D89,Inputs_Volumes!R$35:R$49)/MWh_to_kWh/GWh_to_MWh</f>
        <v>17.312596403482079</v>
      </c>
      <c r="S89" s="140">
        <f>SUMIF(Inputs_Volumes!$W$35:$W$49,$D89,Inputs_Volumes!S$35:S$49)/MWh_to_kWh/GWh_to_MWh</f>
        <v>17.658848331551724</v>
      </c>
    </row>
    <row r="90" spans="1:35" ht="11.25" customHeight="1" x14ac:dyDescent="0.3">
      <c r="W90" s="153"/>
      <c r="X90" s="153"/>
      <c r="Y90" s="153"/>
      <c r="Z90" s="153"/>
      <c r="AA90" s="153"/>
      <c r="AB90" s="153"/>
      <c r="AC90" s="153"/>
      <c r="AD90" s="153"/>
      <c r="AE90" s="153"/>
      <c r="AF90" s="153"/>
      <c r="AG90" s="153"/>
      <c r="AH90" s="153"/>
      <c r="AI90" s="153"/>
    </row>
    <row r="91" spans="1:35" ht="13.15" x14ac:dyDescent="0.3">
      <c r="D91" s="62" t="s">
        <v>794</v>
      </c>
      <c r="H91" s="56" t="s">
        <v>52</v>
      </c>
      <c r="I91" s="56" t="s">
        <v>528</v>
      </c>
      <c r="J91" s="56" t="s">
        <v>21</v>
      </c>
      <c r="M91" s="175">
        <f t="shared" ref="M91:N91" si="13">SUM(M85:M89)</f>
        <v>1716.0625107318338</v>
      </c>
      <c r="N91" s="175">
        <f t="shared" si="13"/>
        <v>1738.3249183438709</v>
      </c>
      <c r="O91" s="175">
        <f>SUM(O85:O89)</f>
        <v>1760.2478550328635</v>
      </c>
      <c r="P91" s="175">
        <f>SUM(P85:P89)</f>
        <v>1769.7496915981426</v>
      </c>
      <c r="Q91" s="175">
        <f>SUM(Q85:Q89)</f>
        <v>1770.9277000309285</v>
      </c>
      <c r="R91" s="175">
        <f>SUM(R85:R89)</f>
        <v>1757.9656056208833</v>
      </c>
      <c r="S91" s="175">
        <f>SUM(S85:S89)</f>
        <v>1736.5260241426213</v>
      </c>
    </row>
    <row r="92" spans="1:35" ht="11.25" customHeight="1" x14ac:dyDescent="0.3">
      <c r="M92" s="151"/>
      <c r="N92" s="151"/>
      <c r="O92" s="151"/>
      <c r="P92" s="151"/>
      <c r="Q92" s="151"/>
      <c r="R92" s="151"/>
      <c r="S92" s="151"/>
    </row>
    <row r="93" spans="1:35" ht="11.25" customHeight="1" outlineLevel="1" x14ac:dyDescent="0.3">
      <c r="D93" s="10" t="s">
        <v>90</v>
      </c>
      <c r="H93" s="259" t="s">
        <v>52</v>
      </c>
      <c r="I93" s="259" t="s">
        <v>528</v>
      </c>
      <c r="J93" s="259" t="s">
        <v>21</v>
      </c>
      <c r="K93" s="63"/>
      <c r="M93" s="140">
        <f t="shared" ref="M93:N93" si="14">M78</f>
        <v>1716.0625107318338</v>
      </c>
      <c r="N93" s="140">
        <f t="shared" si="14"/>
        <v>1738.3249183438709</v>
      </c>
      <c r="O93" s="176">
        <f>O78</f>
        <v>1760.2478550328638</v>
      </c>
      <c r="P93" s="140">
        <f t="shared" ref="P93:S93" si="15">P78</f>
        <v>1769.7496915981421</v>
      </c>
      <c r="Q93" s="140">
        <f t="shared" si="15"/>
        <v>1770.9277000309287</v>
      </c>
      <c r="R93" s="140">
        <f t="shared" si="15"/>
        <v>1757.965605620883</v>
      </c>
      <c r="S93" s="140">
        <f t="shared" si="15"/>
        <v>1736.5260241426211</v>
      </c>
    </row>
    <row r="94" spans="1:35" ht="11.25" customHeight="1" outlineLevel="1" x14ac:dyDescent="0.3">
      <c r="A94" s="59">
        <f>IF(SUM($M94:$S94)=0,0,1)</f>
        <v>0</v>
      </c>
      <c r="D94" s="10" t="s">
        <v>55</v>
      </c>
      <c r="F94" s="63"/>
      <c r="H94" s="63"/>
      <c r="I94" s="63"/>
      <c r="J94" s="63"/>
      <c r="K94" s="63"/>
      <c r="M94" s="59">
        <f t="shared" ref="M94:N94" si="16">IF(ROUND(M93-M91,2)=0,0,1)</f>
        <v>0</v>
      </c>
      <c r="N94" s="59">
        <f t="shared" si="16"/>
        <v>0</v>
      </c>
      <c r="O94" s="59">
        <f>IF(ROUND(O93-O91,2)=0,0,1)</f>
        <v>0</v>
      </c>
      <c r="P94" s="59">
        <f>IF(ROUND(P93-P91,2)=0,0,1)</f>
        <v>0</v>
      </c>
      <c r="Q94" s="59">
        <f>IF(ROUND(Q93-Q91,2)=0,0,1)</f>
        <v>0</v>
      </c>
      <c r="R94" s="59">
        <f>IF(ROUND(R93-R91,2)=0,0,1)</f>
        <v>0</v>
      </c>
      <c r="S94" s="59">
        <f>IF(ROUND(S93-S91,2)=0,0,1)</f>
        <v>0</v>
      </c>
    </row>
    <row r="95" spans="1:35" ht="11.25" customHeight="1" x14ac:dyDescent="0.3">
      <c r="M95" s="152"/>
      <c r="N95" s="152"/>
      <c r="O95" s="152"/>
      <c r="P95" s="152"/>
      <c r="Q95" s="152"/>
      <c r="R95" s="152"/>
      <c r="S95" s="152"/>
    </row>
    <row r="96" spans="1:35" s="2" customFormat="1" ht="15" x14ac:dyDescent="0.3">
      <c r="B96" s="2" t="s">
        <v>795</v>
      </c>
    </row>
    <row r="97" spans="3:35" ht="11.25" customHeight="1" x14ac:dyDescent="0.3"/>
    <row r="98" spans="3:35" s="8" customFormat="1" ht="13.9" x14ac:dyDescent="0.3">
      <c r="C98" s="8" t="s">
        <v>648</v>
      </c>
    </row>
    <row r="99" spans="3:35" ht="11.25" customHeight="1" x14ac:dyDescent="0.3"/>
    <row r="100" spans="3:35" ht="11.25" customHeight="1" x14ac:dyDescent="0.3">
      <c r="D100" s="70" t="s">
        <v>521</v>
      </c>
      <c r="H100" s="54" t="str">
        <f>Lookup!E$19</f>
        <v>Source</v>
      </c>
      <c r="I100" s="54" t="str">
        <f>Lookup!F$19</f>
        <v>Unit</v>
      </c>
      <c r="J100" s="54" t="str">
        <f>Lookup!G$19</f>
        <v>Basis</v>
      </c>
      <c r="M100" s="54" t="str">
        <f t="shared" ref="M100:AI100" si="17">M$9</f>
        <v>FY23</v>
      </c>
      <c r="N100" s="54" t="str">
        <f t="shared" si="17"/>
        <v>FY24</v>
      </c>
      <c r="O100" s="54" t="str">
        <f t="shared" si="17"/>
        <v>FY25</v>
      </c>
      <c r="P100" s="54" t="str">
        <f t="shared" si="17"/>
        <v>FY26</v>
      </c>
      <c r="Q100" s="54" t="str">
        <f t="shared" si="17"/>
        <v>FY27</v>
      </c>
      <c r="R100" s="54" t="str">
        <f t="shared" si="17"/>
        <v>FY28</v>
      </c>
      <c r="S100" s="54" t="str">
        <f t="shared" si="17"/>
        <v>FY29</v>
      </c>
      <c r="T100" s="54" t="str">
        <f t="shared" si="17"/>
        <v>FY30</v>
      </c>
      <c r="U100" s="54" t="str">
        <f t="shared" si="17"/>
        <v>FY31</v>
      </c>
      <c r="V100" s="54" t="str">
        <f t="shared" si="17"/>
        <v>FY32</v>
      </c>
      <c r="W100" s="54" t="str">
        <f t="shared" si="17"/>
        <v>FY33</v>
      </c>
      <c r="X100" s="54" t="str">
        <f t="shared" si="17"/>
        <v>FY34</v>
      </c>
      <c r="Y100" s="54" t="str">
        <f t="shared" si="17"/>
        <v>FY35</v>
      </c>
      <c r="Z100" s="54" t="str">
        <f t="shared" si="17"/>
        <v>FY36</v>
      </c>
      <c r="AA100" s="54" t="str">
        <f t="shared" si="17"/>
        <v>FY37</v>
      </c>
      <c r="AB100" s="54" t="str">
        <f t="shared" si="17"/>
        <v>FY38</v>
      </c>
      <c r="AC100" s="54" t="str">
        <f t="shared" si="17"/>
        <v>FY39</v>
      </c>
      <c r="AD100" s="54" t="str">
        <f t="shared" si="17"/>
        <v>FY40</v>
      </c>
      <c r="AE100" s="54" t="str">
        <f t="shared" si="17"/>
        <v>FY41</v>
      </c>
      <c r="AF100" s="54" t="str">
        <f t="shared" si="17"/>
        <v>FY42</v>
      </c>
      <c r="AG100" s="54" t="str">
        <f t="shared" si="17"/>
        <v>FY43</v>
      </c>
      <c r="AH100" s="54" t="str">
        <f t="shared" si="17"/>
        <v>FY44</v>
      </c>
      <c r="AI100" s="54" t="str">
        <f t="shared" si="17"/>
        <v>FY45</v>
      </c>
    </row>
    <row r="102" spans="3:35" ht="12.75" x14ac:dyDescent="0.3">
      <c r="D102" s="124" t="s">
        <v>659</v>
      </c>
    </row>
    <row r="103" spans="3:35" ht="12.75" x14ac:dyDescent="0.3">
      <c r="D103" s="19" t="s">
        <v>651</v>
      </c>
      <c r="H103" s="259" t="s">
        <v>52</v>
      </c>
      <c r="I103" s="259" t="s">
        <v>44</v>
      </c>
      <c r="J103" s="259" t="s">
        <v>239</v>
      </c>
      <c r="M103" s="66">
        <f>Calc_LRMC!M$142/Dollars_to_Thousands</f>
        <v>4346469.861139914</v>
      </c>
      <c r="N103" s="66">
        <f>Calc_LRMC!N$142/Dollars_to_Thousands</f>
        <v>6568653.1062947959</v>
      </c>
      <c r="O103" s="66">
        <f>Calc_LRMC!O$142/Dollars_to_Thousands</f>
        <v>3973545.7695348249</v>
      </c>
      <c r="P103" s="66">
        <f>Calc_LRMC!P$142/Dollars_to_Thousands</f>
        <v>4362908.5291616367</v>
      </c>
      <c r="Q103" s="66">
        <f>Calc_LRMC!Q$142/Dollars_to_Thousands</f>
        <v>2518051.1755079553</v>
      </c>
      <c r="R103" s="66">
        <f>Calc_LRMC!R$142/Dollars_to_Thousands</f>
        <v>1455943.301960991</v>
      </c>
      <c r="S103" s="66">
        <f>Calc_LRMC!S$142/Dollars_to_Thousands</f>
        <v>1427623.8068821228</v>
      </c>
      <c r="T103" s="66">
        <f>Calc_LRMC!T$142/Dollars_to_Thousands</f>
        <v>3521885.0786403199</v>
      </c>
      <c r="U103" s="66">
        <f>Calc_LRMC!U$142/Dollars_to_Thousands</f>
        <v>3521885.0786403199</v>
      </c>
      <c r="V103" s="66">
        <f>Calc_LRMC!V$142/Dollars_to_Thousands</f>
        <v>2516367.799519551</v>
      </c>
      <c r="W103" s="66">
        <f>Calc_LRMC!W$142/Dollars_to_Thousands</f>
        <v>2519836.7901637591</v>
      </c>
      <c r="X103" s="66">
        <f>Calc_LRMC!X$142/Dollars_to_Thousands</f>
        <v>2519836.7901637591</v>
      </c>
      <c r="Y103" s="66">
        <f>Calc_LRMC!Y$142/Dollars_to_Thousands</f>
        <v>2519836.7901637591</v>
      </c>
      <c r="Z103" s="66">
        <f>Calc_LRMC!Z$142/Dollars_to_Thousands</f>
        <v>2519836.7901637591</v>
      </c>
      <c r="AA103" s="66">
        <f>Calc_LRMC!AA$142/Dollars_to_Thousands</f>
        <v>2519836.7901637498</v>
      </c>
      <c r="AB103" s="66">
        <f>Calc_LRMC!AB$142/Dollars_to_Thousands</f>
        <v>2519836.7901637591</v>
      </c>
      <c r="AC103" s="66">
        <f>Calc_LRMC!AC$142/Dollars_to_Thousands</f>
        <v>2519836.7901637591</v>
      </c>
      <c r="AD103" s="66">
        <f>Calc_LRMC!AD$142/Dollars_to_Thousands</f>
        <v>2519836.7901637787</v>
      </c>
      <c r="AE103" s="66">
        <f>Calc_LRMC!AE$142/Dollars_to_Thousands</f>
        <v>2519836.7901637591</v>
      </c>
      <c r="AF103" s="66">
        <f>Calc_LRMC!AF$142/Dollars_to_Thousands</f>
        <v>2519836.7901637498</v>
      </c>
      <c r="AG103" s="66">
        <f>Calc_LRMC!AG$142/Dollars_to_Thousands</f>
        <v>2519836.7901637591</v>
      </c>
      <c r="AH103" s="66">
        <f>Calc_LRMC!AH$142/Dollars_to_Thousands</f>
        <v>2519836.7901637591</v>
      </c>
      <c r="AI103" s="66">
        <f>Calc_LRMC!AI$142/Dollars_to_Thousands</f>
        <v>2519836.7901637591</v>
      </c>
    </row>
    <row r="104" spans="3:35" ht="12.75" x14ac:dyDescent="0.3">
      <c r="D104" s="19" t="s">
        <v>652</v>
      </c>
      <c r="H104" s="259" t="s">
        <v>52</v>
      </c>
      <c r="I104" s="259" t="s">
        <v>44</v>
      </c>
      <c r="J104" s="259" t="s">
        <v>239</v>
      </c>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row>
    <row r="105" spans="3:35" ht="12.75" x14ac:dyDescent="0.3">
      <c r="D105" s="19" t="s">
        <v>653</v>
      </c>
      <c r="H105" s="259" t="s">
        <v>52</v>
      </c>
      <c r="I105" s="259" t="s">
        <v>44</v>
      </c>
      <c r="J105" s="259" t="s">
        <v>239</v>
      </c>
      <c r="M105" s="66">
        <f>Calc_LRMC!M$91/Dollars_to_Thousands</f>
        <v>1843205.0497427799</v>
      </c>
      <c r="N105" s="66">
        <f>Calc_LRMC!N$91/Dollars_to_Thousands</f>
        <v>3471764.8464598176</v>
      </c>
      <c r="O105" s="66">
        <f>Calc_LRMC!O$91/Dollars_to_Thousands</f>
        <v>1666077.3864603189</v>
      </c>
      <c r="P105" s="66">
        <f>Calc_LRMC!P$91/Dollars_to_Thousands</f>
        <v>1647081.7972659871</v>
      </c>
      <c r="Q105" s="66">
        <f>Calc_LRMC!Q$91/Dollars_to_Thousands</f>
        <v>2281188.571742571</v>
      </c>
      <c r="R105" s="66">
        <f>Calc_LRMC!R$91/Dollars_to_Thousands</f>
        <v>1748559.5332512863</v>
      </c>
      <c r="S105" s="66">
        <f>Calc_LRMC!S$91/Dollars_to_Thousands</f>
        <v>1628570.6405079814</v>
      </c>
      <c r="T105" s="66">
        <f>Calc_LRMC!T$91/Dollars_to_Thousands</f>
        <v>2040921.1179186772</v>
      </c>
      <c r="U105" s="66">
        <f>Calc_LRMC!U$91/Dollars_to_Thousands</f>
        <v>2040921.1179186772</v>
      </c>
      <c r="V105" s="66">
        <f>Calc_LRMC!V$91/Dollars_to_Thousands</f>
        <v>1458227.0766406513</v>
      </c>
      <c r="W105" s="66">
        <f>Calc_LRMC!W$91/Dollars_to_Thousands</f>
        <v>1460237.3456033061</v>
      </c>
      <c r="X105" s="66">
        <f>Calc_LRMC!X$91/Dollars_to_Thousands</f>
        <v>1460237.3456033061</v>
      </c>
      <c r="Y105" s="66">
        <f>Calc_LRMC!Y$91/Dollars_to_Thousands</f>
        <v>1460237.3456033061</v>
      </c>
      <c r="Z105" s="66">
        <f>Calc_LRMC!Z$91/Dollars_to_Thousands</f>
        <v>1460237.3456033061</v>
      </c>
      <c r="AA105" s="66">
        <f>Calc_LRMC!AA$91/Dollars_to_Thousands</f>
        <v>1460237.3456033003</v>
      </c>
      <c r="AB105" s="66">
        <f>Calc_LRMC!AB$91/Dollars_to_Thousands</f>
        <v>1460237.3456033061</v>
      </c>
      <c r="AC105" s="66">
        <f>Calc_LRMC!AC$91/Dollars_to_Thousands</f>
        <v>1460237.3456033061</v>
      </c>
      <c r="AD105" s="66">
        <f>Calc_LRMC!AD$91/Dollars_to_Thousands</f>
        <v>1460237.3456033175</v>
      </c>
      <c r="AE105" s="66">
        <f>Calc_LRMC!AE$91/Dollars_to_Thousands</f>
        <v>1460237.3456033061</v>
      </c>
      <c r="AF105" s="66">
        <f>Calc_LRMC!AF$91/Dollars_to_Thousands</f>
        <v>1460237.3456033003</v>
      </c>
      <c r="AG105" s="66">
        <f>Calc_LRMC!AG$91/Dollars_to_Thousands</f>
        <v>1460237.3456033061</v>
      </c>
      <c r="AH105" s="66">
        <f>Calc_LRMC!AH$91/Dollars_to_Thousands</f>
        <v>1460237.3456033061</v>
      </c>
      <c r="AI105" s="66">
        <f>Calc_LRMC!AI$91/Dollars_to_Thousands</f>
        <v>1460237.3456033061</v>
      </c>
    </row>
    <row r="106" spans="3:35" ht="12.75" x14ac:dyDescent="0.3">
      <c r="D106" s="19" t="s">
        <v>654</v>
      </c>
      <c r="H106" s="259" t="s">
        <v>52</v>
      </c>
      <c r="I106" s="259" t="s">
        <v>44</v>
      </c>
      <c r="J106" s="259" t="s">
        <v>239</v>
      </c>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row>
    <row r="107" spans="3:35" ht="12.75" x14ac:dyDescent="0.3">
      <c r="D107" s="19" t="s">
        <v>655</v>
      </c>
      <c r="H107" s="259" t="s">
        <v>52</v>
      </c>
      <c r="I107" s="259" t="s">
        <v>44</v>
      </c>
      <c r="J107" s="259" t="s">
        <v>239</v>
      </c>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row>
    <row r="108" spans="3:35" ht="12.75" x14ac:dyDescent="0.3">
      <c r="D108" s="19" t="s">
        <v>656</v>
      </c>
      <c r="H108" s="259" t="s">
        <v>52</v>
      </c>
      <c r="I108" s="259" t="s">
        <v>44</v>
      </c>
      <c r="J108" s="259" t="s">
        <v>239</v>
      </c>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row>
    <row r="109" spans="3:35" ht="12.75" x14ac:dyDescent="0.3">
      <c r="D109" s="19" t="s">
        <v>657</v>
      </c>
      <c r="H109" s="259" t="s">
        <v>52</v>
      </c>
      <c r="I109" s="259" t="s">
        <v>44</v>
      </c>
      <c r="J109" s="259" t="s">
        <v>239</v>
      </c>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row>
    <row r="110" spans="3:35" ht="12.75" x14ac:dyDescent="0.3">
      <c r="D110" s="124" t="s">
        <v>658</v>
      </c>
    </row>
    <row r="111" spans="3:35" ht="12.75" x14ac:dyDescent="0.3">
      <c r="D111" s="19" t="s">
        <v>651</v>
      </c>
      <c r="H111" s="259" t="s">
        <v>52</v>
      </c>
      <c r="I111" s="259" t="s">
        <v>44</v>
      </c>
      <c r="J111" s="259" t="s">
        <v>239</v>
      </c>
      <c r="M111" s="66">
        <f>Calc_LRMC!M$143/Dollars_to_Thousands</f>
        <v>4943500.7609208832</v>
      </c>
      <c r="N111" s="66">
        <f>Calc_LRMC!N$143/Dollars_to_Thousands</f>
        <v>5298592.1724469131</v>
      </c>
      <c r="O111" s="66">
        <f>Calc_LRMC!O$143/Dollars_to_Thousands</f>
        <v>6501072.0451937234</v>
      </c>
      <c r="P111" s="66">
        <f>Calc_LRMC!P$143/Dollars_to_Thousands</f>
        <v>5941074.2158907605</v>
      </c>
      <c r="Q111" s="66">
        <f>Calc_LRMC!Q$143/Dollars_to_Thousands</f>
        <v>3712159.6275835945</v>
      </c>
      <c r="R111" s="66">
        <f>Calc_LRMC!R$143/Dollars_to_Thousands</f>
        <v>3702881.2764092679</v>
      </c>
      <c r="S111" s="66">
        <f>Calc_LRMC!S$143/Dollars_to_Thousands</f>
        <v>3655343.9205816099</v>
      </c>
      <c r="T111" s="66">
        <f>Calc_LRMC!T$143/Dollars_to_Thousands</f>
        <v>4822089.1455752496</v>
      </c>
      <c r="U111" s="66">
        <f>Calc_LRMC!U$143/Dollars_to_Thousands</f>
        <v>4822089.1455752496</v>
      </c>
      <c r="V111" s="66">
        <f>Calc_LRMC!V$143/Dollars_to_Thousands</f>
        <v>3445356.5580347916</v>
      </c>
      <c r="W111" s="66">
        <f>Calc_LRMC!W$143/Dollars_to_Thousands</f>
        <v>3450106.2252607299</v>
      </c>
      <c r="X111" s="66">
        <f>Calc_LRMC!X$143/Dollars_to_Thousands</f>
        <v>3450106.2252607299</v>
      </c>
      <c r="Y111" s="66">
        <f>Calc_LRMC!Y$143/Dollars_to_Thousands</f>
        <v>3450106.2252607299</v>
      </c>
      <c r="Z111" s="66">
        <f>Calc_LRMC!Z$143/Dollars_to_Thousands</f>
        <v>3450106.2252607299</v>
      </c>
      <c r="AA111" s="66">
        <f>Calc_LRMC!AA$143/Dollars_to_Thousands</f>
        <v>3450106.2252607164</v>
      </c>
      <c r="AB111" s="66">
        <f>Calc_LRMC!AB$143/Dollars_to_Thousands</f>
        <v>3450106.2252607299</v>
      </c>
      <c r="AC111" s="66">
        <f>Calc_LRMC!AC$143/Dollars_to_Thousands</f>
        <v>3450106.2252607299</v>
      </c>
      <c r="AD111" s="66">
        <f>Calc_LRMC!AD$143/Dollars_to_Thousands</f>
        <v>3450106.2252607564</v>
      </c>
      <c r="AE111" s="66">
        <f>Calc_LRMC!AE$143/Dollars_to_Thousands</f>
        <v>3450106.2252607299</v>
      </c>
      <c r="AF111" s="66">
        <f>Calc_LRMC!AF$143/Dollars_to_Thousands</f>
        <v>3450106.2252607164</v>
      </c>
      <c r="AG111" s="66">
        <f>Calc_LRMC!AG$143/Dollars_to_Thousands</f>
        <v>3450106.2252607299</v>
      </c>
      <c r="AH111" s="66">
        <f>Calc_LRMC!AH$143/Dollars_to_Thousands</f>
        <v>3450106.2252607299</v>
      </c>
      <c r="AI111" s="66">
        <f>Calc_LRMC!AI$143/Dollars_to_Thousands</f>
        <v>3450106.2252607299</v>
      </c>
    </row>
    <row r="112" spans="3:35" ht="12.75" x14ac:dyDescent="0.3">
      <c r="D112" s="19" t="s">
        <v>652</v>
      </c>
      <c r="H112" s="259" t="s">
        <v>52</v>
      </c>
      <c r="I112" s="259" t="s">
        <v>44</v>
      </c>
      <c r="J112" s="259" t="s">
        <v>239</v>
      </c>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row>
    <row r="113" spans="4:35" ht="12.75" x14ac:dyDescent="0.3">
      <c r="D113" s="19" t="s">
        <v>653</v>
      </c>
      <c r="H113" s="259" t="s">
        <v>52</v>
      </c>
      <c r="I113" s="259" t="s">
        <v>44</v>
      </c>
      <c r="J113" s="259" t="s">
        <v>239</v>
      </c>
      <c r="M113" s="66">
        <f>Calc_LRMC!M$92/Dollars_to_Thousands</f>
        <v>3362578.7140164757</v>
      </c>
      <c r="N113" s="66">
        <f>Calc_LRMC!N$92/Dollars_to_Thousands</f>
        <v>8789435.015021665</v>
      </c>
      <c r="O113" s="66">
        <f>Calc_LRMC!O$92/Dollars_to_Thousands</f>
        <v>6364609.8913930831</v>
      </c>
      <c r="P113" s="66">
        <f>Calc_LRMC!P$92/Dollars_to_Thousands</f>
        <v>2978351.5126095684</v>
      </c>
      <c r="Q113" s="66">
        <f>Calc_LRMC!Q$92/Dollars_to_Thousands</f>
        <v>3072889.9440815421</v>
      </c>
      <c r="R113" s="66">
        <f>Calc_LRMC!R$92/Dollars_to_Thousands</f>
        <v>2131173.2158660535</v>
      </c>
      <c r="S113" s="66">
        <f>Calc_LRMC!S$92/Dollars_to_Thousands</f>
        <v>1914421.4725923655</v>
      </c>
      <c r="T113" s="66">
        <f>Calc_LRMC!T$92/Dollars_to_Thousands</f>
        <v>4087637.1093686786</v>
      </c>
      <c r="U113" s="66">
        <f>Calc_LRMC!U$92/Dollars_to_Thousands</f>
        <v>4087637.1093686786</v>
      </c>
      <c r="V113" s="66">
        <f>Calc_LRMC!V$92/Dollars_to_Thousands</f>
        <v>2920594.5590103115</v>
      </c>
      <c r="W113" s="66">
        <f>Calc_LRMC!W$92/Dollars_to_Thousands</f>
        <v>2924620.8047771929</v>
      </c>
      <c r="X113" s="66">
        <f>Calc_LRMC!X$92/Dollars_to_Thousands</f>
        <v>2924620.8047771929</v>
      </c>
      <c r="Y113" s="66">
        <f>Calc_LRMC!Y$92/Dollars_to_Thousands</f>
        <v>2924620.8047771929</v>
      </c>
      <c r="Z113" s="66">
        <f>Calc_LRMC!Z$92/Dollars_to_Thousands</f>
        <v>2924620.8047771929</v>
      </c>
      <c r="AA113" s="66">
        <f>Calc_LRMC!AA$92/Dollars_to_Thousands</f>
        <v>2924620.8047771817</v>
      </c>
      <c r="AB113" s="66">
        <f>Calc_LRMC!AB$92/Dollars_to_Thousands</f>
        <v>2924620.8047771929</v>
      </c>
      <c r="AC113" s="66">
        <f>Calc_LRMC!AC$92/Dollars_to_Thousands</f>
        <v>2924620.8047771929</v>
      </c>
      <c r="AD113" s="66">
        <f>Calc_LRMC!AD$92/Dollars_to_Thousands</f>
        <v>2924620.8047772152</v>
      </c>
      <c r="AE113" s="66">
        <f>Calc_LRMC!AE$92/Dollars_to_Thousands</f>
        <v>2924620.8047771929</v>
      </c>
      <c r="AF113" s="66">
        <f>Calc_LRMC!AF$92/Dollars_to_Thousands</f>
        <v>2924620.8047771817</v>
      </c>
      <c r="AG113" s="66">
        <f>Calc_LRMC!AG$92/Dollars_to_Thousands</f>
        <v>2924620.8047771929</v>
      </c>
      <c r="AH113" s="66">
        <f>Calc_LRMC!AH$92/Dollars_to_Thousands</f>
        <v>2924620.8047771929</v>
      </c>
      <c r="AI113" s="66">
        <f>Calc_LRMC!AI$92/Dollars_to_Thousands</f>
        <v>2924620.8047771929</v>
      </c>
    </row>
    <row r="114" spans="4:35" ht="12.75" x14ac:dyDescent="0.3">
      <c r="D114" s="19" t="s">
        <v>654</v>
      </c>
      <c r="H114" s="259" t="s">
        <v>52</v>
      </c>
      <c r="I114" s="259" t="s">
        <v>44</v>
      </c>
      <c r="J114" s="259" t="s">
        <v>239</v>
      </c>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row>
    <row r="115" spans="4:35" ht="12.75" x14ac:dyDescent="0.3">
      <c r="D115" s="19" t="s">
        <v>655</v>
      </c>
      <c r="H115" s="259" t="s">
        <v>52</v>
      </c>
      <c r="I115" s="259" t="s">
        <v>44</v>
      </c>
      <c r="J115" s="259" t="s">
        <v>239</v>
      </c>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row>
    <row r="116" spans="4:35" ht="12.75" x14ac:dyDescent="0.3">
      <c r="D116" s="19" t="s">
        <v>656</v>
      </c>
      <c r="H116" s="259" t="s">
        <v>52</v>
      </c>
      <c r="I116" s="259" t="s">
        <v>44</v>
      </c>
      <c r="J116" s="259" t="s">
        <v>239</v>
      </c>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row>
    <row r="117" spans="4:35" ht="12.75" x14ac:dyDescent="0.3">
      <c r="D117" s="19" t="s">
        <v>657</v>
      </c>
      <c r="H117" s="259" t="s">
        <v>52</v>
      </c>
      <c r="I117" s="259" t="s">
        <v>44</v>
      </c>
      <c r="J117" s="259" t="s">
        <v>239</v>
      </c>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row>
    <row r="118" spans="4:35" ht="12.75" x14ac:dyDescent="0.3">
      <c r="D118" s="124" t="s">
        <v>660</v>
      </c>
    </row>
    <row r="119" spans="4:35" ht="12.75" x14ac:dyDescent="0.3">
      <c r="D119" s="19" t="s">
        <v>651</v>
      </c>
      <c r="H119" s="259" t="s">
        <v>52</v>
      </c>
      <c r="I119" s="259" t="s">
        <v>44</v>
      </c>
      <c r="J119" s="259" t="s">
        <v>239</v>
      </c>
      <c r="M119" s="66">
        <f>Calc_LRMC!M$144/Dollars_to_Thousands</f>
        <v>4217530.2973773703</v>
      </c>
      <c r="N119" s="66">
        <f>Calc_LRMC!N$144/Dollars_to_Thousands</f>
        <v>4772247.2969695404</v>
      </c>
      <c r="O119" s="66">
        <f>Calc_LRMC!O$144/Dollars_to_Thousands</f>
        <v>6153672.8641252043</v>
      </c>
      <c r="P119" s="66">
        <f>Calc_LRMC!P$144/Dollars_to_Thousands</f>
        <v>5104345.2062654532</v>
      </c>
      <c r="Q119" s="66">
        <f>Calc_LRMC!Q$144/Dollars_to_Thousands</f>
        <v>4420680.8216768689</v>
      </c>
      <c r="R119" s="66">
        <f>Calc_LRMC!R$144/Dollars_to_Thousands</f>
        <v>4448756.1702898862</v>
      </c>
      <c r="S119" s="66">
        <f>Calc_LRMC!S$144/Dollars_to_Thousands</f>
        <v>4441586.7855628058</v>
      </c>
      <c r="T119" s="66">
        <f>Calc_LRMC!T$144/Dollars_to_Thousands</f>
        <v>4794117.0631810194</v>
      </c>
      <c r="U119" s="66">
        <f>Calc_LRMC!U$144/Dollars_to_Thousands</f>
        <v>4794117.0631810194</v>
      </c>
      <c r="V119" s="66">
        <f>Calc_LRMC!V$144/Dollars_to_Thousands</f>
        <v>3425370.6567771873</v>
      </c>
      <c r="W119" s="66">
        <f>Calc_LRMC!W$144/Dollars_to_Thousands</f>
        <v>3430092.7720274115</v>
      </c>
      <c r="X119" s="66">
        <f>Calc_LRMC!X$144/Dollars_to_Thousands</f>
        <v>3430092.7720274115</v>
      </c>
      <c r="Y119" s="66">
        <f>Calc_LRMC!Y$144/Dollars_to_Thousands</f>
        <v>3430092.7720274115</v>
      </c>
      <c r="Z119" s="66">
        <f>Calc_LRMC!Z$144/Dollars_to_Thousands</f>
        <v>3430092.7720274115</v>
      </c>
      <c r="AA119" s="66">
        <f>Calc_LRMC!AA$144/Dollars_to_Thousands</f>
        <v>3430092.7720274115</v>
      </c>
      <c r="AB119" s="66">
        <f>Calc_LRMC!AB$144/Dollars_to_Thousands</f>
        <v>3430092.7720274115</v>
      </c>
      <c r="AC119" s="66">
        <f>Calc_LRMC!AC$144/Dollars_to_Thousands</f>
        <v>3430092.7720274115</v>
      </c>
      <c r="AD119" s="66">
        <f>Calc_LRMC!AD$144/Dollars_to_Thousands</f>
        <v>3430092.7720274492</v>
      </c>
      <c r="AE119" s="66">
        <f>Calc_LRMC!AE$144/Dollars_to_Thousands</f>
        <v>3430092.7720274115</v>
      </c>
      <c r="AF119" s="66">
        <f>Calc_LRMC!AF$144/Dollars_to_Thousands</f>
        <v>3430092.7720274115</v>
      </c>
      <c r="AG119" s="66">
        <f>Calc_LRMC!AG$144/Dollars_to_Thousands</f>
        <v>3430092.7720274115</v>
      </c>
      <c r="AH119" s="66">
        <f>Calc_LRMC!AH$144/Dollars_to_Thousands</f>
        <v>3430092.7720274115</v>
      </c>
      <c r="AI119" s="66">
        <f>Calc_LRMC!AI$144/Dollars_to_Thousands</f>
        <v>3430092.7720274115</v>
      </c>
    </row>
    <row r="120" spans="4:35" ht="12.75" x14ac:dyDescent="0.3">
      <c r="D120" s="19" t="s">
        <v>652</v>
      </c>
      <c r="H120" s="259" t="s">
        <v>52</v>
      </c>
      <c r="I120" s="259" t="s">
        <v>44</v>
      </c>
      <c r="J120" s="259" t="s">
        <v>239</v>
      </c>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row>
    <row r="121" spans="4:35" ht="12.75" x14ac:dyDescent="0.3">
      <c r="D121" s="19" t="s">
        <v>653</v>
      </c>
      <c r="H121" s="259" t="s">
        <v>52</v>
      </c>
      <c r="I121" s="259" t="s">
        <v>44</v>
      </c>
      <c r="J121" s="259" t="s">
        <v>239</v>
      </c>
      <c r="M121" s="66">
        <f>Calc_LRMC!M$93/Dollars_to_Thousands</f>
        <v>1174495.1994622112</v>
      </c>
      <c r="N121" s="66">
        <f>Calc_LRMC!N$93/Dollars_to_Thousands</f>
        <v>1192734.8549754519</v>
      </c>
      <c r="O121" s="66">
        <f>Calc_LRMC!O$93/Dollars_to_Thousands</f>
        <v>1454488.9784571682</v>
      </c>
      <c r="P121" s="66">
        <f>Calc_LRMC!P$93/Dollars_to_Thousands</f>
        <v>1441627.3358619537</v>
      </c>
      <c r="Q121" s="66">
        <f>Calc_LRMC!Q$93/Dollars_to_Thousands</f>
        <v>1934595.7470186171</v>
      </c>
      <c r="R121" s="66">
        <f>Calc_LRMC!R$93/Dollars_to_Thousands</f>
        <v>1521803.3655372181</v>
      </c>
      <c r="S121" s="66">
        <f>Calc_LRMC!S$93/Dollars_to_Thousands</f>
        <v>1429609.9705931765</v>
      </c>
      <c r="T121" s="66">
        <f>Calc_LRMC!T$93/Dollars_to_Thousands</f>
        <v>1449907.9217008282</v>
      </c>
      <c r="U121" s="66">
        <f>Calc_LRMC!U$93/Dollars_to_Thousands</f>
        <v>1449907.9217008282</v>
      </c>
      <c r="V121" s="66">
        <f>Calc_LRMC!V$93/Dollars_to_Thousands</f>
        <v>1035951.3513271265</v>
      </c>
      <c r="W121" s="66">
        <f>Calc_LRMC!W$93/Dollars_to_Thousands</f>
        <v>1037379.4833936265</v>
      </c>
      <c r="X121" s="66">
        <f>Calc_LRMC!X$93/Dollars_to_Thousands</f>
        <v>1037379.4833936265</v>
      </c>
      <c r="Y121" s="66">
        <f>Calc_LRMC!Y$93/Dollars_to_Thousands</f>
        <v>1037379.4833936265</v>
      </c>
      <c r="Z121" s="66">
        <f>Calc_LRMC!Z$93/Dollars_to_Thousands</f>
        <v>1037379.4833936265</v>
      </c>
      <c r="AA121" s="66">
        <f>Calc_LRMC!AA$93/Dollars_to_Thousands</f>
        <v>1037379.4833936265</v>
      </c>
      <c r="AB121" s="66">
        <f>Calc_LRMC!AB$93/Dollars_to_Thousands</f>
        <v>1037379.4833936265</v>
      </c>
      <c r="AC121" s="66">
        <f>Calc_LRMC!AC$93/Dollars_to_Thousands</f>
        <v>1037379.4833936265</v>
      </c>
      <c r="AD121" s="66">
        <f>Calc_LRMC!AD$93/Dollars_to_Thousands</f>
        <v>1037379.4833936378</v>
      </c>
      <c r="AE121" s="66">
        <f>Calc_LRMC!AE$93/Dollars_to_Thousands</f>
        <v>1037379.4833936265</v>
      </c>
      <c r="AF121" s="66">
        <f>Calc_LRMC!AF$93/Dollars_to_Thousands</f>
        <v>1037379.4833936265</v>
      </c>
      <c r="AG121" s="66">
        <f>Calc_LRMC!AG$93/Dollars_to_Thousands</f>
        <v>1037379.4833936265</v>
      </c>
      <c r="AH121" s="66">
        <f>Calc_LRMC!AH$93/Dollars_to_Thousands</f>
        <v>1037379.4833936265</v>
      </c>
      <c r="AI121" s="66">
        <f>Calc_LRMC!AI$93/Dollars_to_Thousands</f>
        <v>1037379.4833936265</v>
      </c>
    </row>
    <row r="122" spans="4:35" ht="12.75" x14ac:dyDescent="0.3">
      <c r="D122" s="19" t="s">
        <v>654</v>
      </c>
      <c r="H122" s="259" t="s">
        <v>52</v>
      </c>
      <c r="I122" s="259" t="s">
        <v>44</v>
      </c>
      <c r="J122" s="259" t="s">
        <v>239</v>
      </c>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row>
    <row r="123" spans="4:35" ht="12.75" x14ac:dyDescent="0.3">
      <c r="D123" s="19" t="s">
        <v>655</v>
      </c>
      <c r="H123" s="259" t="s">
        <v>52</v>
      </c>
      <c r="I123" s="259" t="s">
        <v>44</v>
      </c>
      <c r="J123" s="259" t="s">
        <v>239</v>
      </c>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row>
    <row r="124" spans="4:35" ht="12.75" x14ac:dyDescent="0.3">
      <c r="D124" s="19" t="s">
        <v>656</v>
      </c>
      <c r="H124" s="259" t="s">
        <v>52</v>
      </c>
      <c r="I124" s="259" t="s">
        <v>44</v>
      </c>
      <c r="J124" s="259" t="s">
        <v>239</v>
      </c>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row>
    <row r="125" spans="4:35" ht="12.75" x14ac:dyDescent="0.3">
      <c r="D125" s="19" t="s">
        <v>657</v>
      </c>
      <c r="H125" s="259" t="s">
        <v>52</v>
      </c>
      <c r="I125" s="259" t="s">
        <v>44</v>
      </c>
      <c r="J125" s="259" t="s">
        <v>239</v>
      </c>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row>
    <row r="126" spans="4:35" ht="11.25" customHeight="1" x14ac:dyDescent="0.3">
      <c r="W126" s="153"/>
      <c r="X126" s="153"/>
      <c r="Y126" s="153"/>
      <c r="Z126" s="153"/>
      <c r="AA126" s="153"/>
      <c r="AB126" s="153"/>
      <c r="AC126" s="153"/>
      <c r="AD126" s="153"/>
      <c r="AE126" s="153"/>
      <c r="AF126" s="153"/>
      <c r="AG126" s="153"/>
      <c r="AH126" s="153"/>
      <c r="AI126" s="153"/>
    </row>
    <row r="127" spans="4:35" ht="13.15" x14ac:dyDescent="0.3">
      <c r="D127" s="62" t="s">
        <v>661</v>
      </c>
      <c r="H127" s="56" t="s">
        <v>52</v>
      </c>
      <c r="I127" s="56" t="s">
        <v>44</v>
      </c>
      <c r="J127" s="56" t="s">
        <v>239</v>
      </c>
      <c r="M127" s="68">
        <f>SUM(M103:M125)</f>
        <v>19887779.882659636</v>
      </c>
      <c r="N127" s="68">
        <f t="shared" ref="N127:AF127" si="18">SUM(N103:N125)</f>
        <v>30093427.292168181</v>
      </c>
      <c r="O127" s="68">
        <f t="shared" si="18"/>
        <v>26113466.935164321</v>
      </c>
      <c r="P127" s="68">
        <f t="shared" si="18"/>
        <v>21475388.597055361</v>
      </c>
      <c r="Q127" s="68">
        <f t="shared" si="18"/>
        <v>17939565.887611147</v>
      </c>
      <c r="R127" s="68">
        <f t="shared" si="18"/>
        <v>15009116.863314703</v>
      </c>
      <c r="S127" s="68">
        <f t="shared" si="18"/>
        <v>14497156.596720062</v>
      </c>
      <c r="T127" s="68">
        <f t="shared" si="18"/>
        <v>20716557.436384771</v>
      </c>
      <c r="U127" s="68">
        <f t="shared" si="18"/>
        <v>20716557.436384771</v>
      </c>
      <c r="V127" s="68">
        <f t="shared" si="18"/>
        <v>14801868.00130962</v>
      </c>
      <c r="W127" s="68">
        <f t="shared" si="18"/>
        <v>14822273.421226026</v>
      </c>
      <c r="X127" s="68">
        <f t="shared" si="18"/>
        <v>14822273.421226026</v>
      </c>
      <c r="Y127" s="68">
        <f t="shared" si="18"/>
        <v>14822273.421226026</v>
      </c>
      <c r="Z127" s="68">
        <f t="shared" si="18"/>
        <v>14822273.421226026</v>
      </c>
      <c r="AA127" s="68">
        <f t="shared" si="18"/>
        <v>14822273.421225986</v>
      </c>
      <c r="AB127" s="68">
        <f t="shared" si="18"/>
        <v>14822273.421226026</v>
      </c>
      <c r="AC127" s="68">
        <f t="shared" si="18"/>
        <v>14822273.421226026</v>
      </c>
      <c r="AD127" s="68">
        <f t="shared" si="18"/>
        <v>14822273.421226155</v>
      </c>
      <c r="AE127" s="68">
        <f t="shared" si="18"/>
        <v>14822273.421226026</v>
      </c>
      <c r="AF127" s="68">
        <f t="shared" si="18"/>
        <v>14822273.421225986</v>
      </c>
      <c r="AG127" s="68">
        <f t="shared" ref="AG127:AI127" si="19">SUM(AG103:AG125)</f>
        <v>14822273.421226026</v>
      </c>
      <c r="AH127" s="68">
        <f t="shared" si="19"/>
        <v>14822273.421226026</v>
      </c>
      <c r="AI127" s="68">
        <f t="shared" si="19"/>
        <v>14822273.421226026</v>
      </c>
    </row>
    <row r="128" spans="4:35" ht="11.25" customHeight="1" x14ac:dyDescent="0.3"/>
    <row r="129" spans="1:35" ht="12.75" outlineLevel="1" x14ac:dyDescent="0.3">
      <c r="D129" s="10" t="s">
        <v>90</v>
      </c>
      <c r="H129" s="259" t="s">
        <v>52</v>
      </c>
      <c r="I129" s="259" t="s">
        <v>44</v>
      </c>
      <c r="J129" s="259" t="s">
        <v>239</v>
      </c>
      <c r="K129" s="63"/>
      <c r="M129" s="66">
        <f>(Calc_LRMC!M$95+Calc_LRMC!M$146)/Dollars_to_Thousands</f>
        <v>19887779.882659636</v>
      </c>
      <c r="N129" s="66">
        <f>(Calc_LRMC!N$95+Calc_LRMC!N$146)/Dollars_to_Thousands</f>
        <v>30093427.292168185</v>
      </c>
      <c r="O129" s="66">
        <f>(Calc_LRMC!O$95+Calc_LRMC!O$146)/Dollars_to_Thousands</f>
        <v>26113466.935164325</v>
      </c>
      <c r="P129" s="66">
        <f>(Calc_LRMC!P$95+Calc_LRMC!P$146)/Dollars_to_Thousands</f>
        <v>21475388.597055361</v>
      </c>
      <c r="Q129" s="66">
        <f>(Calc_LRMC!Q$95+Calc_LRMC!Q$146)/Dollars_to_Thousands</f>
        <v>17939565.887611147</v>
      </c>
      <c r="R129" s="66">
        <f>(Calc_LRMC!R$95+Calc_LRMC!R$146)/Dollars_to_Thousands</f>
        <v>15009116.863314703</v>
      </c>
      <c r="S129" s="66">
        <f>(Calc_LRMC!S$95+Calc_LRMC!S$146)/Dollars_to_Thousands</f>
        <v>14497156.596720062</v>
      </c>
      <c r="T129" s="66">
        <f>(Calc_LRMC!T$95+Calc_LRMC!T$146)/Dollars_to_Thousands</f>
        <v>20716557.436384775</v>
      </c>
      <c r="U129" s="66">
        <f>(Calc_LRMC!U$95+Calc_LRMC!U$146)/Dollars_to_Thousands</f>
        <v>20716557.436384775</v>
      </c>
      <c r="V129" s="66">
        <f>(Calc_LRMC!V$95+Calc_LRMC!V$146)/Dollars_to_Thousands</f>
        <v>14801868.00130962</v>
      </c>
      <c r="W129" s="66">
        <f>(Calc_LRMC!W$95+Calc_LRMC!W$146)/Dollars_to_Thousands</f>
        <v>14822273.421226025</v>
      </c>
      <c r="X129" s="66">
        <f>(Calc_LRMC!X$95+Calc_LRMC!X$146)/Dollars_to_Thousands</f>
        <v>14822273.421226025</v>
      </c>
      <c r="Y129" s="66">
        <f>(Calc_LRMC!Y$95+Calc_LRMC!Y$146)/Dollars_to_Thousands</f>
        <v>14822273.421226025</v>
      </c>
      <c r="Z129" s="66">
        <f>(Calc_LRMC!Z$95+Calc_LRMC!Z$146)/Dollars_to_Thousands</f>
        <v>14822273.421226025</v>
      </c>
      <c r="AA129" s="66">
        <f>(Calc_LRMC!AA$95+Calc_LRMC!AA$146)/Dollars_to_Thousands</f>
        <v>14822273.421225986</v>
      </c>
      <c r="AB129" s="66">
        <f>(Calc_LRMC!AB$95+Calc_LRMC!AB$146)/Dollars_to_Thousands</f>
        <v>14822273.421226025</v>
      </c>
      <c r="AC129" s="66">
        <f>(Calc_LRMC!AC$95+Calc_LRMC!AC$146)/Dollars_to_Thousands</f>
        <v>14822273.421226025</v>
      </c>
      <c r="AD129" s="66">
        <f>(Calc_LRMC!AD$95+Calc_LRMC!AD$146)/Dollars_to_Thousands</f>
        <v>14822273.421226157</v>
      </c>
      <c r="AE129" s="66">
        <f>(Calc_LRMC!AE$95+Calc_LRMC!AE$146)/Dollars_to_Thousands</f>
        <v>14822273.421226025</v>
      </c>
      <c r="AF129" s="66">
        <f>(Calc_LRMC!AF$95+Calc_LRMC!AF$146)/Dollars_to_Thousands</f>
        <v>14822273.421225986</v>
      </c>
      <c r="AG129" s="66">
        <f>(Calc_LRMC!AG$95+Calc_LRMC!AG$146)/Dollars_to_Thousands</f>
        <v>14822273.421226025</v>
      </c>
      <c r="AH129" s="66">
        <f>(Calc_LRMC!AH$95+Calc_LRMC!AH$146)/Dollars_to_Thousands</f>
        <v>14822273.421226025</v>
      </c>
      <c r="AI129" s="66">
        <f>(Calc_LRMC!AI$95+Calc_LRMC!AI$146)/Dollars_to_Thousands</f>
        <v>14822273.421226025</v>
      </c>
    </row>
    <row r="130" spans="1:35" ht="12.75" outlineLevel="1" x14ac:dyDescent="0.3">
      <c r="A130" s="59">
        <f>IF(SUM($M130:$S130)=0,0,1)</f>
        <v>0</v>
      </c>
      <c r="D130" s="10" t="s">
        <v>55</v>
      </c>
      <c r="F130" s="63"/>
      <c r="H130" s="63"/>
      <c r="I130" s="63"/>
      <c r="J130" s="63"/>
      <c r="K130" s="63"/>
      <c r="M130" s="59">
        <f t="shared" ref="M130:N130" si="20">IF(ROUND(M129-M127,2)=0,0,1)</f>
        <v>0</v>
      </c>
      <c r="N130" s="59">
        <f t="shared" si="20"/>
        <v>0</v>
      </c>
      <c r="O130" s="59">
        <f>IF(ROUND(O129-O127,2)=0,0,1)</f>
        <v>0</v>
      </c>
      <c r="P130" s="59">
        <f>IF(ROUND(P129-P127,2)=0,0,1)</f>
        <v>0</v>
      </c>
      <c r="Q130" s="59">
        <f>IF(ROUND(Q129-Q127,2)=0,0,1)</f>
        <v>0</v>
      </c>
      <c r="R130" s="59">
        <f>IF(ROUND(R129-R127,2)=0,0,1)</f>
        <v>0</v>
      </c>
      <c r="S130" s="59">
        <f t="shared" ref="S130:AE130" si="21">IF(ROUND(S129-S127,2)=0,0,1)</f>
        <v>0</v>
      </c>
      <c r="T130" s="59">
        <f t="shared" si="21"/>
        <v>0</v>
      </c>
      <c r="U130" s="59">
        <f t="shared" si="21"/>
        <v>0</v>
      </c>
      <c r="V130" s="59">
        <f t="shared" si="21"/>
        <v>0</v>
      </c>
      <c r="W130" s="59">
        <f t="shared" si="21"/>
        <v>0</v>
      </c>
      <c r="X130" s="59">
        <f t="shared" si="21"/>
        <v>0</v>
      </c>
      <c r="Y130" s="59">
        <f t="shared" si="21"/>
        <v>0</v>
      </c>
      <c r="Z130" s="59">
        <f t="shared" si="21"/>
        <v>0</v>
      </c>
      <c r="AA130" s="59">
        <f t="shared" si="21"/>
        <v>0</v>
      </c>
      <c r="AB130" s="59">
        <f t="shared" si="21"/>
        <v>0</v>
      </c>
      <c r="AC130" s="59">
        <f t="shared" si="21"/>
        <v>0</v>
      </c>
      <c r="AD130" s="59">
        <f t="shared" si="21"/>
        <v>0</v>
      </c>
      <c r="AE130" s="59">
        <f t="shared" si="21"/>
        <v>0</v>
      </c>
      <c r="AF130" s="59">
        <f>IF(ROUND(AF129-AF127,2)=0,0,1)</f>
        <v>0</v>
      </c>
      <c r="AG130" s="59">
        <f t="shared" ref="AG130:AI130" si="22">IF(ROUND(AG129-AG127,2)=0,0,1)</f>
        <v>0</v>
      </c>
      <c r="AH130" s="59">
        <f t="shared" si="22"/>
        <v>0</v>
      </c>
      <c r="AI130" s="59">
        <f t="shared" si="22"/>
        <v>0</v>
      </c>
    </row>
    <row r="131" spans="1:35" ht="11.25" customHeight="1" x14ac:dyDescent="0.3"/>
    <row r="132" spans="1:35" s="8" customFormat="1" ht="13.9" x14ac:dyDescent="0.3">
      <c r="C132" s="8" t="s">
        <v>649</v>
      </c>
    </row>
    <row r="133" spans="1:35" ht="11.25" customHeight="1" x14ac:dyDescent="0.3"/>
    <row r="134" spans="1:35" ht="13.15" x14ac:dyDescent="0.3">
      <c r="D134" s="70" t="s">
        <v>521</v>
      </c>
      <c r="H134" s="54" t="str">
        <f>Lookup!E$19</f>
        <v>Source</v>
      </c>
      <c r="I134" s="54" t="str">
        <f>Lookup!F$19</f>
        <v>Unit</v>
      </c>
      <c r="J134" s="54" t="str">
        <f>Lookup!G$19</f>
        <v>Basis</v>
      </c>
      <c r="M134" s="54" t="str">
        <f t="shared" ref="M134:AI134" si="23">M$9</f>
        <v>FY23</v>
      </c>
      <c r="N134" s="54" t="str">
        <f t="shared" si="23"/>
        <v>FY24</v>
      </c>
      <c r="O134" s="54" t="str">
        <f t="shared" si="23"/>
        <v>FY25</v>
      </c>
      <c r="P134" s="54" t="str">
        <f t="shared" si="23"/>
        <v>FY26</v>
      </c>
      <c r="Q134" s="54" t="str">
        <f t="shared" si="23"/>
        <v>FY27</v>
      </c>
      <c r="R134" s="54" t="str">
        <f t="shared" si="23"/>
        <v>FY28</v>
      </c>
      <c r="S134" s="54" t="str">
        <f t="shared" si="23"/>
        <v>FY29</v>
      </c>
      <c r="T134" s="54" t="str">
        <f t="shared" si="23"/>
        <v>FY30</v>
      </c>
      <c r="U134" s="54" t="str">
        <f t="shared" si="23"/>
        <v>FY31</v>
      </c>
      <c r="V134" s="54" t="str">
        <f t="shared" si="23"/>
        <v>FY32</v>
      </c>
      <c r="W134" s="54" t="str">
        <f t="shared" si="23"/>
        <v>FY33</v>
      </c>
      <c r="X134" s="54" t="str">
        <f t="shared" si="23"/>
        <v>FY34</v>
      </c>
      <c r="Y134" s="54" t="str">
        <f t="shared" si="23"/>
        <v>FY35</v>
      </c>
      <c r="Z134" s="54" t="str">
        <f t="shared" si="23"/>
        <v>FY36</v>
      </c>
      <c r="AA134" s="54" t="str">
        <f t="shared" si="23"/>
        <v>FY37</v>
      </c>
      <c r="AB134" s="54" t="str">
        <f t="shared" si="23"/>
        <v>FY38</v>
      </c>
      <c r="AC134" s="54" t="str">
        <f t="shared" si="23"/>
        <v>FY39</v>
      </c>
      <c r="AD134" s="54" t="str">
        <f t="shared" si="23"/>
        <v>FY40</v>
      </c>
      <c r="AE134" s="54" t="str">
        <f t="shared" si="23"/>
        <v>FY41</v>
      </c>
      <c r="AF134" s="54" t="str">
        <f t="shared" si="23"/>
        <v>FY42</v>
      </c>
      <c r="AG134" s="54" t="str">
        <f t="shared" si="23"/>
        <v>FY43</v>
      </c>
      <c r="AH134" s="54" t="str">
        <f t="shared" si="23"/>
        <v>FY44</v>
      </c>
      <c r="AI134" s="54" t="str">
        <f t="shared" si="23"/>
        <v>FY45</v>
      </c>
    </row>
    <row r="136" spans="1:35" ht="12.75" x14ac:dyDescent="0.3">
      <c r="D136" s="75" t="s">
        <v>659</v>
      </c>
      <c r="H136" s="259" t="s">
        <v>52</v>
      </c>
      <c r="I136" s="259" t="s">
        <v>44</v>
      </c>
      <c r="J136" s="259" t="s">
        <v>239</v>
      </c>
      <c r="M136" s="66">
        <f>Calc_LRMC!M52/Dollars_to_Thousands</f>
        <v>142362.52295030197</v>
      </c>
      <c r="N136" s="66">
        <f>Calc_LRMC!N52/Dollars_to_Thousands</f>
        <v>230929.6129133561</v>
      </c>
      <c r="O136" s="66">
        <f>Calc_LRMC!O52/Dollars_to_Thousands</f>
        <v>129711.3325878883</v>
      </c>
      <c r="P136" s="66">
        <f>Calc_LRMC!P52/Dollars_to_Thousands</f>
        <v>138229.77750783533</v>
      </c>
      <c r="Q136" s="66">
        <f>Calc_LRMC!Q52/Dollars_to_Thousands</f>
        <v>110382.51418676211</v>
      </c>
      <c r="R136" s="66">
        <f>Calc_LRMC!R52/Dollars_to_Thousands</f>
        <v>73703.565209882363</v>
      </c>
      <c r="S136" s="66">
        <f>Calc_LRMC!S52/Dollars_to_Thousands</f>
        <v>70292.4722899724</v>
      </c>
      <c r="T136" s="66">
        <f>Calc_LRMC!T52/Dollars_to_Thousands</f>
        <v>127944.54252085692</v>
      </c>
      <c r="U136" s="66">
        <f>Calc_LRMC!U52/Dollars_to_Thousands</f>
        <v>127944.54252085692</v>
      </c>
      <c r="V136" s="66">
        <f>Calc_LRMC!V52/Dollars_to_Thousands</f>
        <v>91415.682151684668</v>
      </c>
      <c r="W136" s="66">
        <f>Calc_LRMC!W52/Dollars_to_Thousands</f>
        <v>91541.705122642496</v>
      </c>
      <c r="X136" s="66">
        <f>Calc_LRMC!X52/Dollars_to_Thousands</f>
        <v>91541.705122642496</v>
      </c>
      <c r="Y136" s="66">
        <f>Calc_LRMC!Y52/Dollars_to_Thousands</f>
        <v>91541.705122642496</v>
      </c>
      <c r="Z136" s="66">
        <f>Calc_LRMC!Z52/Dollars_to_Thousands</f>
        <v>91541.705122642496</v>
      </c>
      <c r="AA136" s="66">
        <f>Calc_LRMC!AA52/Dollars_to_Thousands</f>
        <v>91541.705122642161</v>
      </c>
      <c r="AB136" s="66">
        <f>Calc_LRMC!AB52/Dollars_to_Thousands</f>
        <v>91541.705122642496</v>
      </c>
      <c r="AC136" s="66">
        <f>Calc_LRMC!AC52/Dollars_to_Thousands</f>
        <v>91541.705122642496</v>
      </c>
      <c r="AD136" s="66">
        <f>Calc_LRMC!AD52/Dollars_to_Thousands</f>
        <v>91541.705122643209</v>
      </c>
      <c r="AE136" s="66">
        <f>Calc_LRMC!AE52/Dollars_to_Thousands</f>
        <v>91541.705122642496</v>
      </c>
      <c r="AF136" s="66">
        <f>Calc_LRMC!AF52/Dollars_to_Thousands</f>
        <v>91541.705122642161</v>
      </c>
      <c r="AG136" s="66">
        <f>Calc_LRMC!AG52/Dollars_to_Thousands</f>
        <v>91541.705122642496</v>
      </c>
      <c r="AH136" s="66">
        <f>Calc_LRMC!AH52/Dollars_to_Thousands</f>
        <v>91541.705122642496</v>
      </c>
      <c r="AI136" s="66">
        <f>Calc_LRMC!AI52/Dollars_to_Thousands</f>
        <v>91541.705122642496</v>
      </c>
    </row>
    <row r="137" spans="1:35" ht="12.75" x14ac:dyDescent="0.3">
      <c r="D137" s="75" t="s">
        <v>658</v>
      </c>
      <c r="H137" s="259" t="s">
        <v>52</v>
      </c>
      <c r="I137" s="259" t="s">
        <v>44</v>
      </c>
      <c r="J137" s="259" t="s">
        <v>239</v>
      </c>
      <c r="M137" s="66">
        <f>Calc_LRMC!M53/Dollars_to_Thousands</f>
        <v>191039.82792355926</v>
      </c>
      <c r="N137" s="66">
        <f>Calc_LRMC!N53/Dollars_to_Thousands</f>
        <v>324024.62531177729</v>
      </c>
      <c r="O137" s="66">
        <f>Calc_LRMC!O53/Dollars_to_Thousands</f>
        <v>295910.68454149656</v>
      </c>
      <c r="P137" s="66">
        <f>Calc_LRMC!P53/Dollars_to_Thousands</f>
        <v>205146.79175550755</v>
      </c>
      <c r="Q137" s="66">
        <f>Calc_LRMC!Q53/Dollars_to_Thousands</f>
        <v>156056.14014829815</v>
      </c>
      <c r="R137" s="66">
        <f>Calc_LRMC!R53/Dollars_to_Thousands</f>
        <v>134183.2533223324</v>
      </c>
      <c r="S137" s="66">
        <f>Calc_LRMC!S53/Dollars_to_Thousands</f>
        <v>128104.60404300141</v>
      </c>
      <c r="T137" s="66">
        <f>Calc_LRMC!T53/Dollars_to_Thousands</f>
        <v>204923.70386371034</v>
      </c>
      <c r="U137" s="66">
        <f>Calc_LRMC!U53/Dollars_to_Thousands</f>
        <v>204923.70386371034</v>
      </c>
      <c r="V137" s="66">
        <f>Calc_LRMC!V53/Dollars_to_Thousands</f>
        <v>146416.87569203737</v>
      </c>
      <c r="W137" s="66">
        <f>Calc_LRMC!W53/Dollars_to_Thousands</f>
        <v>146618.72169087219</v>
      </c>
      <c r="X137" s="66">
        <f>Calc_LRMC!X53/Dollars_to_Thousands</f>
        <v>146618.72169087219</v>
      </c>
      <c r="Y137" s="66">
        <f>Calc_LRMC!Y53/Dollars_to_Thousands</f>
        <v>146618.72169087219</v>
      </c>
      <c r="Z137" s="66">
        <f>Calc_LRMC!Z53/Dollars_to_Thousands</f>
        <v>146618.72169087219</v>
      </c>
      <c r="AA137" s="66">
        <f>Calc_LRMC!AA53/Dollars_to_Thousands</f>
        <v>146618.72169087167</v>
      </c>
      <c r="AB137" s="66">
        <f>Calc_LRMC!AB53/Dollars_to_Thousands</f>
        <v>146618.72169087219</v>
      </c>
      <c r="AC137" s="66">
        <f>Calc_LRMC!AC53/Dollars_to_Thousands</f>
        <v>146618.72169087219</v>
      </c>
      <c r="AD137" s="66">
        <f>Calc_LRMC!AD53/Dollars_to_Thousands</f>
        <v>146618.72169087335</v>
      </c>
      <c r="AE137" s="66">
        <f>Calc_LRMC!AE53/Dollars_to_Thousands</f>
        <v>146618.72169087219</v>
      </c>
      <c r="AF137" s="66">
        <f>Calc_LRMC!AF53/Dollars_to_Thousands</f>
        <v>146618.72169087167</v>
      </c>
      <c r="AG137" s="66">
        <f>Calc_LRMC!AG53/Dollars_to_Thousands</f>
        <v>146618.72169087219</v>
      </c>
      <c r="AH137" s="66">
        <f>Calc_LRMC!AH53/Dollars_to_Thousands</f>
        <v>146618.72169087219</v>
      </c>
      <c r="AI137" s="66">
        <f>Calc_LRMC!AI53/Dollars_to_Thousands</f>
        <v>146618.72169087219</v>
      </c>
    </row>
    <row r="138" spans="1:35" ht="12.75" x14ac:dyDescent="0.3">
      <c r="D138" s="75" t="s">
        <v>660</v>
      </c>
      <c r="H138" s="259" t="s">
        <v>52</v>
      </c>
      <c r="I138" s="259" t="s">
        <v>44</v>
      </c>
      <c r="J138" s="259" t="s">
        <v>239</v>
      </c>
      <c r="M138" s="66">
        <f>Calc_LRMC!M54/Dollars_to_Thousands</f>
        <v>124016.58642731038</v>
      </c>
      <c r="N138" s="66">
        <f>Calc_LRMC!N54/Dollars_to_Thousands</f>
        <v>137194.58949473483</v>
      </c>
      <c r="O138" s="66">
        <f>Calc_LRMC!O54/Dollars_to_Thousands</f>
        <v>174987.72237939457</v>
      </c>
      <c r="P138" s="66">
        <f>Calc_LRMC!P54/Dollars_to_Thousands</f>
        <v>150557.36846893033</v>
      </c>
      <c r="Q138" s="66">
        <f>Calc_LRMC!Q54/Dollars_to_Thousands</f>
        <v>146171.36107999619</v>
      </c>
      <c r="R138" s="66">
        <f>Calc_LRMC!R54/Dollars_to_Thousands</f>
        <v>137322.8693240234</v>
      </c>
      <c r="S138" s="66">
        <f>Calc_LRMC!S54/Dollars_to_Thousands</f>
        <v>135037.52539158758</v>
      </c>
      <c r="T138" s="66">
        <f>Calc_LRMC!T54/Dollars_to_Thousands</f>
        <v>143612.57465228249</v>
      </c>
      <c r="U138" s="66">
        <f>Calc_LRMC!U54/Dollars_to_Thousands</f>
        <v>143612.57465228249</v>
      </c>
      <c r="V138" s="66">
        <f>Calc_LRMC!V54/Dollars_to_Thousands</f>
        <v>102610.40618639921</v>
      </c>
      <c r="W138" s="66">
        <f>Calc_LRMC!W54/Dollars_to_Thousands</f>
        <v>102751.86187468388</v>
      </c>
      <c r="X138" s="66">
        <f>Calc_LRMC!X54/Dollars_to_Thousands</f>
        <v>102751.86187468388</v>
      </c>
      <c r="Y138" s="66">
        <f>Calc_LRMC!Y54/Dollars_to_Thousands</f>
        <v>102751.86187468388</v>
      </c>
      <c r="Z138" s="66">
        <f>Calc_LRMC!Z54/Dollars_to_Thousands</f>
        <v>102751.86187468388</v>
      </c>
      <c r="AA138" s="66">
        <f>Calc_LRMC!AA54/Dollars_to_Thousands</f>
        <v>102751.86187468388</v>
      </c>
      <c r="AB138" s="66">
        <f>Calc_LRMC!AB54/Dollars_to_Thousands</f>
        <v>102751.86187468388</v>
      </c>
      <c r="AC138" s="66">
        <f>Calc_LRMC!AC54/Dollars_to_Thousands</f>
        <v>102751.86187468388</v>
      </c>
      <c r="AD138" s="66">
        <f>Calc_LRMC!AD54/Dollars_to_Thousands</f>
        <v>102751.861874685</v>
      </c>
      <c r="AE138" s="66">
        <f>Calc_LRMC!AE54/Dollars_to_Thousands</f>
        <v>102751.86187468388</v>
      </c>
      <c r="AF138" s="66">
        <f>Calc_LRMC!AF54/Dollars_to_Thousands</f>
        <v>102751.86187468388</v>
      </c>
      <c r="AG138" s="66">
        <f>Calc_LRMC!AG54/Dollars_to_Thousands</f>
        <v>102751.86187468388</v>
      </c>
      <c r="AH138" s="66">
        <f>Calc_LRMC!AH54/Dollars_to_Thousands</f>
        <v>102751.86187468388</v>
      </c>
      <c r="AI138" s="66">
        <f>Calc_LRMC!AI54/Dollars_to_Thousands</f>
        <v>102751.86187468388</v>
      </c>
    </row>
    <row r="139" spans="1:35" ht="11.25" customHeight="1" x14ac:dyDescent="0.3">
      <c r="W139" s="153"/>
      <c r="X139" s="153"/>
      <c r="Y139" s="153"/>
      <c r="Z139" s="153"/>
      <c r="AA139" s="153"/>
      <c r="AB139" s="153"/>
      <c r="AC139" s="153"/>
      <c r="AD139" s="153"/>
      <c r="AE139" s="153"/>
      <c r="AF139" s="153"/>
      <c r="AG139" s="153"/>
      <c r="AH139" s="153"/>
      <c r="AI139" s="153"/>
    </row>
    <row r="140" spans="1:35" ht="13.15" x14ac:dyDescent="0.3">
      <c r="D140" s="62" t="s">
        <v>662</v>
      </c>
      <c r="H140" s="56" t="s">
        <v>52</v>
      </c>
      <c r="I140" s="56" t="s">
        <v>44</v>
      </c>
      <c r="J140" s="56" t="s">
        <v>239</v>
      </c>
      <c r="M140" s="68">
        <f>SUM(M136:M138)</f>
        <v>457418.93730117159</v>
      </c>
      <c r="N140" s="68">
        <f t="shared" ref="N140:AF140" si="24">SUM(N136:N138)</f>
        <v>692148.82771986816</v>
      </c>
      <c r="O140" s="68">
        <f t="shared" si="24"/>
        <v>600609.73950877949</v>
      </c>
      <c r="P140" s="68">
        <f t="shared" si="24"/>
        <v>493933.93773227325</v>
      </c>
      <c r="Q140" s="68">
        <f t="shared" si="24"/>
        <v>412610.01541505649</v>
      </c>
      <c r="R140" s="68">
        <f t="shared" si="24"/>
        <v>345209.68785623816</v>
      </c>
      <c r="S140" s="68">
        <f t="shared" si="24"/>
        <v>333434.60172456142</v>
      </c>
      <c r="T140" s="68">
        <f t="shared" si="24"/>
        <v>476480.82103684975</v>
      </c>
      <c r="U140" s="68">
        <f t="shared" si="24"/>
        <v>476480.82103684975</v>
      </c>
      <c r="V140" s="68">
        <f t="shared" si="24"/>
        <v>340442.96403012128</v>
      </c>
      <c r="W140" s="68">
        <f t="shared" si="24"/>
        <v>340912.28868819855</v>
      </c>
      <c r="X140" s="68">
        <f t="shared" si="24"/>
        <v>340912.28868819855</v>
      </c>
      <c r="Y140" s="68">
        <f t="shared" si="24"/>
        <v>340912.28868819855</v>
      </c>
      <c r="Z140" s="68">
        <f t="shared" si="24"/>
        <v>340912.28868819855</v>
      </c>
      <c r="AA140" s="68">
        <f t="shared" si="24"/>
        <v>340912.28868819773</v>
      </c>
      <c r="AB140" s="68">
        <f t="shared" si="24"/>
        <v>340912.28868819855</v>
      </c>
      <c r="AC140" s="68">
        <f t="shared" si="24"/>
        <v>340912.28868819855</v>
      </c>
      <c r="AD140" s="68">
        <f t="shared" si="24"/>
        <v>340912.28868820157</v>
      </c>
      <c r="AE140" s="68">
        <f t="shared" si="24"/>
        <v>340912.28868819855</v>
      </c>
      <c r="AF140" s="68">
        <f t="shared" si="24"/>
        <v>340912.28868819773</v>
      </c>
      <c r="AG140" s="68">
        <f t="shared" ref="AG140:AI140" si="25">SUM(AG136:AG138)</f>
        <v>340912.28868819855</v>
      </c>
      <c r="AH140" s="68">
        <f t="shared" si="25"/>
        <v>340912.28868819855</v>
      </c>
      <c r="AI140" s="68">
        <f t="shared" si="25"/>
        <v>340912.28868819855</v>
      </c>
    </row>
    <row r="141" spans="1:35" ht="11.25" customHeight="1" x14ac:dyDescent="0.3"/>
    <row r="142" spans="1:35" ht="12.75" outlineLevel="1" x14ac:dyDescent="0.3">
      <c r="D142" s="10" t="s">
        <v>90</v>
      </c>
      <c r="H142" s="259" t="s">
        <v>52</v>
      </c>
      <c r="I142" s="259" t="s">
        <v>44</v>
      </c>
      <c r="J142" s="259" t="s">
        <v>239</v>
      </c>
      <c r="K142" s="63"/>
      <c r="M142" s="66">
        <f>Calc_LRMC!M56/Dollars_to_Thousands</f>
        <v>457418.93730117159</v>
      </c>
      <c r="N142" s="66">
        <f>Calc_LRMC!N56/Dollars_to_Thousands</f>
        <v>692148.82771986816</v>
      </c>
      <c r="O142" s="66">
        <f>Calc_LRMC!O56/Dollars_to_Thousands</f>
        <v>600609.73950877937</v>
      </c>
      <c r="P142" s="66">
        <f>Calc_LRMC!P56/Dollars_to_Thousands</f>
        <v>493933.93773227325</v>
      </c>
      <c r="Q142" s="66">
        <f>Calc_LRMC!Q56/Dollars_to_Thousands</f>
        <v>412610.01541505643</v>
      </c>
      <c r="R142" s="66">
        <f>Calc_LRMC!R56/Dollars_to_Thousands</f>
        <v>345209.6878562381</v>
      </c>
      <c r="S142" s="66">
        <f>Calc_LRMC!S56/Dollars_to_Thousands</f>
        <v>333434.60172456136</v>
      </c>
      <c r="T142" s="66">
        <f>Calc_LRMC!T56/Dollars_to_Thousands</f>
        <v>476480.82103684975</v>
      </c>
      <c r="U142" s="66">
        <f>Calc_LRMC!U56/Dollars_to_Thousands</f>
        <v>476480.82103684975</v>
      </c>
      <c r="V142" s="66">
        <f>Calc_LRMC!V56/Dollars_to_Thousands</f>
        <v>340442.96403012128</v>
      </c>
      <c r="W142" s="66">
        <f>Calc_LRMC!W56/Dollars_to_Thousands</f>
        <v>340912.28868819861</v>
      </c>
      <c r="X142" s="66">
        <f>Calc_LRMC!X56/Dollars_to_Thousands</f>
        <v>340912.28868819861</v>
      </c>
      <c r="Y142" s="66">
        <f>Calc_LRMC!Y56/Dollars_to_Thousands</f>
        <v>340912.28868819861</v>
      </c>
      <c r="Z142" s="66">
        <f>Calc_LRMC!Z56/Dollars_to_Thousands</f>
        <v>340912.28868819861</v>
      </c>
      <c r="AA142" s="66">
        <f>Calc_LRMC!AA56/Dollars_to_Thousands</f>
        <v>340912.28868819767</v>
      </c>
      <c r="AB142" s="66">
        <f>Calc_LRMC!AB56/Dollars_to_Thousands</f>
        <v>340912.28868819861</v>
      </c>
      <c r="AC142" s="66">
        <f>Calc_LRMC!AC56/Dollars_to_Thousands</f>
        <v>340912.28868819861</v>
      </c>
      <c r="AD142" s="66">
        <f>Calc_LRMC!AD56/Dollars_to_Thousands</f>
        <v>340912.28868820157</v>
      </c>
      <c r="AE142" s="66">
        <f>Calc_LRMC!AE56/Dollars_to_Thousands</f>
        <v>340912.28868819861</v>
      </c>
      <c r="AF142" s="66">
        <f>Calc_LRMC!AF56/Dollars_to_Thousands</f>
        <v>340912.28868819767</v>
      </c>
      <c r="AG142" s="66">
        <f>Calc_LRMC!AG56/Dollars_to_Thousands</f>
        <v>340912.28868819861</v>
      </c>
      <c r="AH142" s="66">
        <f>Calc_LRMC!AH56/Dollars_to_Thousands</f>
        <v>340912.28868819861</v>
      </c>
      <c r="AI142" s="66">
        <f>Calc_LRMC!AI56/Dollars_to_Thousands</f>
        <v>340912.28868819861</v>
      </c>
    </row>
    <row r="143" spans="1:35" ht="12.75" outlineLevel="1" x14ac:dyDescent="0.3">
      <c r="A143" s="59">
        <f>IF(SUM($M143:$AI143)=0,0,1)</f>
        <v>0</v>
      </c>
      <c r="D143" s="10" t="s">
        <v>55</v>
      </c>
      <c r="F143" s="63"/>
      <c r="H143" s="63"/>
      <c r="I143" s="63"/>
      <c r="J143" s="63"/>
      <c r="K143" s="63"/>
      <c r="M143" s="59">
        <f t="shared" ref="M143:N143" si="26">IF(ROUND(M142-M140,2)=0,0,1)</f>
        <v>0</v>
      </c>
      <c r="N143" s="59">
        <f t="shared" si="26"/>
        <v>0</v>
      </c>
      <c r="O143" s="59">
        <f>IF(ROUND(O142-O140,2)=0,0,1)</f>
        <v>0</v>
      </c>
      <c r="P143" s="59">
        <f>IF(ROUND(P142-P140,2)=0,0,1)</f>
        <v>0</v>
      </c>
      <c r="Q143" s="59">
        <f>IF(ROUND(Q142-Q140,2)=0,0,1)</f>
        <v>0</v>
      </c>
      <c r="R143" s="59">
        <f>IF(ROUND(R142-R140,2)=0,0,1)</f>
        <v>0</v>
      </c>
      <c r="S143" s="59">
        <f t="shared" ref="S143" si="27">IF(ROUND(S142-S140,2)=0,0,1)</f>
        <v>0</v>
      </c>
      <c r="T143" s="59">
        <f t="shared" ref="T143" si="28">IF(ROUND(T142-T140,2)=0,0,1)</f>
        <v>0</v>
      </c>
      <c r="U143" s="59">
        <f t="shared" ref="U143" si="29">IF(ROUND(U142-U140,2)=0,0,1)</f>
        <v>0</v>
      </c>
      <c r="V143" s="59">
        <f t="shared" ref="V143" si="30">IF(ROUND(V142-V140,2)=0,0,1)</f>
        <v>0</v>
      </c>
      <c r="W143" s="59">
        <f t="shared" ref="W143" si="31">IF(ROUND(W142-W140,2)=0,0,1)</f>
        <v>0</v>
      </c>
      <c r="X143" s="59">
        <f t="shared" ref="X143" si="32">IF(ROUND(X142-X140,2)=0,0,1)</f>
        <v>0</v>
      </c>
      <c r="Y143" s="59">
        <f t="shared" ref="Y143" si="33">IF(ROUND(Y142-Y140,2)=0,0,1)</f>
        <v>0</v>
      </c>
      <c r="Z143" s="59">
        <f t="shared" ref="Z143" si="34">IF(ROUND(Z142-Z140,2)=0,0,1)</f>
        <v>0</v>
      </c>
      <c r="AA143" s="59">
        <f t="shared" ref="AA143" si="35">IF(ROUND(AA142-AA140,2)=0,0,1)</f>
        <v>0</v>
      </c>
      <c r="AB143" s="59">
        <f t="shared" ref="AB143" si="36">IF(ROUND(AB142-AB140,2)=0,0,1)</f>
        <v>0</v>
      </c>
      <c r="AC143" s="59">
        <f t="shared" ref="AC143" si="37">IF(ROUND(AC142-AC140,2)=0,0,1)</f>
        <v>0</v>
      </c>
      <c r="AD143" s="59">
        <f t="shared" ref="AD143" si="38">IF(ROUND(AD142-AD140,2)=0,0,1)</f>
        <v>0</v>
      </c>
      <c r="AE143" s="59">
        <f t="shared" ref="AE143" si="39">IF(ROUND(AE142-AE140,2)=0,0,1)</f>
        <v>0</v>
      </c>
      <c r="AF143" s="59">
        <f>IF(ROUND(AF142-AF140,2)=0,0,1)</f>
        <v>0</v>
      </c>
      <c r="AG143" s="59">
        <f t="shared" ref="AG143:AI143" si="40">IF(ROUND(AG142-AG140,2)=0,0,1)</f>
        <v>0</v>
      </c>
      <c r="AH143" s="59">
        <f t="shared" si="40"/>
        <v>0</v>
      </c>
      <c r="AI143" s="59">
        <f t="shared" si="40"/>
        <v>0</v>
      </c>
    </row>
    <row r="144" spans="1:35" ht="11.25" customHeight="1" x14ac:dyDescent="0.3"/>
    <row r="145" spans="1:35" s="8" customFormat="1" ht="13.9" x14ac:dyDescent="0.3">
      <c r="C145" s="8" t="s">
        <v>650</v>
      </c>
    </row>
    <row r="146" spans="1:35" ht="11.25" customHeight="1" x14ac:dyDescent="0.3"/>
    <row r="147" spans="1:35" ht="13.15" x14ac:dyDescent="0.3">
      <c r="D147" s="70" t="s">
        <v>521</v>
      </c>
      <c r="H147" s="54" t="str">
        <f>Lookup!E$19</f>
        <v>Source</v>
      </c>
      <c r="I147" s="54" t="str">
        <f>Lookup!F$19</f>
        <v>Unit</v>
      </c>
      <c r="J147" s="54" t="str">
        <f>Lookup!G$19</f>
        <v>Basis</v>
      </c>
      <c r="M147" s="54" t="str">
        <f t="shared" ref="M147:AI147" si="41">M$9</f>
        <v>FY23</v>
      </c>
      <c r="N147" s="54" t="str">
        <f t="shared" si="41"/>
        <v>FY24</v>
      </c>
      <c r="O147" s="54" t="str">
        <f t="shared" si="41"/>
        <v>FY25</v>
      </c>
      <c r="P147" s="54" t="str">
        <f t="shared" si="41"/>
        <v>FY26</v>
      </c>
      <c r="Q147" s="54" t="str">
        <f t="shared" si="41"/>
        <v>FY27</v>
      </c>
      <c r="R147" s="54" t="str">
        <f t="shared" si="41"/>
        <v>FY28</v>
      </c>
      <c r="S147" s="54" t="str">
        <f t="shared" si="41"/>
        <v>FY29</v>
      </c>
      <c r="T147" s="54" t="str">
        <f t="shared" si="41"/>
        <v>FY30</v>
      </c>
      <c r="U147" s="54" t="str">
        <f t="shared" si="41"/>
        <v>FY31</v>
      </c>
      <c r="V147" s="54" t="str">
        <f t="shared" si="41"/>
        <v>FY32</v>
      </c>
      <c r="W147" s="54" t="str">
        <f t="shared" si="41"/>
        <v>FY33</v>
      </c>
      <c r="X147" s="54" t="str">
        <f t="shared" si="41"/>
        <v>FY34</v>
      </c>
      <c r="Y147" s="54" t="str">
        <f t="shared" si="41"/>
        <v>FY35</v>
      </c>
      <c r="Z147" s="54" t="str">
        <f t="shared" si="41"/>
        <v>FY36</v>
      </c>
      <c r="AA147" s="54" t="str">
        <f t="shared" si="41"/>
        <v>FY37</v>
      </c>
      <c r="AB147" s="54" t="str">
        <f t="shared" si="41"/>
        <v>FY38</v>
      </c>
      <c r="AC147" s="54" t="str">
        <f t="shared" si="41"/>
        <v>FY39</v>
      </c>
      <c r="AD147" s="54" t="str">
        <f t="shared" si="41"/>
        <v>FY40</v>
      </c>
      <c r="AE147" s="54" t="str">
        <f t="shared" si="41"/>
        <v>FY41</v>
      </c>
      <c r="AF147" s="54" t="str">
        <f t="shared" si="41"/>
        <v>FY42</v>
      </c>
      <c r="AG147" s="54" t="str">
        <f t="shared" si="41"/>
        <v>FY43</v>
      </c>
      <c r="AH147" s="54" t="str">
        <f t="shared" si="41"/>
        <v>FY44</v>
      </c>
      <c r="AI147" s="54" t="str">
        <f t="shared" si="41"/>
        <v>FY45</v>
      </c>
    </row>
    <row r="149" spans="1:35" ht="12.75" x14ac:dyDescent="0.3">
      <c r="D149" s="75" t="s">
        <v>659</v>
      </c>
      <c r="H149" s="259" t="s">
        <v>52</v>
      </c>
      <c r="I149" s="259" t="s">
        <v>264</v>
      </c>
      <c r="J149" s="259" t="s">
        <v>21</v>
      </c>
      <c r="M149" s="140">
        <f>Calc_LRMC!M181</f>
        <v>0</v>
      </c>
      <c r="N149" s="140">
        <f>Calc_LRMC!N181</f>
        <v>0</v>
      </c>
      <c r="O149" s="140">
        <f>Calc_LRMC!O181</f>
        <v>0</v>
      </c>
      <c r="P149" s="140">
        <f>Calc_LRMC!P181</f>
        <v>0</v>
      </c>
      <c r="Q149" s="140">
        <f>Calc_LRMC!Q181</f>
        <v>0</v>
      </c>
      <c r="R149" s="140">
        <f>Calc_LRMC!R181</f>
        <v>0</v>
      </c>
      <c r="S149" s="140">
        <f>Calc_LRMC!S181</f>
        <v>0</v>
      </c>
      <c r="T149" s="140">
        <f>Calc_LRMC!T181</f>
        <v>0</v>
      </c>
      <c r="U149" s="140">
        <f>Calc_LRMC!U181</f>
        <v>0</v>
      </c>
      <c r="V149" s="140">
        <f>Calc_LRMC!V181</f>
        <v>0</v>
      </c>
      <c r="W149" s="140">
        <f>Calc_LRMC!W181</f>
        <v>0</v>
      </c>
      <c r="X149" s="140">
        <f>Calc_LRMC!X181</f>
        <v>0</v>
      </c>
      <c r="Y149" s="140">
        <f>Calc_LRMC!Y181</f>
        <v>0</v>
      </c>
      <c r="Z149" s="140">
        <f>Calc_LRMC!Z181</f>
        <v>0</v>
      </c>
      <c r="AA149" s="140">
        <f>Calc_LRMC!AA181</f>
        <v>0</v>
      </c>
      <c r="AB149" s="140">
        <f>Calc_LRMC!AB181</f>
        <v>0</v>
      </c>
      <c r="AC149" s="140">
        <f>Calc_LRMC!AC181</f>
        <v>0</v>
      </c>
      <c r="AD149" s="140">
        <f>Calc_LRMC!AD181</f>
        <v>0</v>
      </c>
      <c r="AE149" s="140">
        <f>Calc_LRMC!AE181</f>
        <v>0</v>
      </c>
      <c r="AF149" s="140">
        <f>Calc_LRMC!AF181</f>
        <v>0</v>
      </c>
      <c r="AG149" s="140">
        <f>Calc_LRMC!AG181</f>
        <v>0</v>
      </c>
      <c r="AH149" s="140">
        <f>Calc_LRMC!AH181</f>
        <v>0</v>
      </c>
      <c r="AI149" s="140">
        <f>Calc_LRMC!AI181</f>
        <v>0</v>
      </c>
    </row>
    <row r="150" spans="1:35" ht="12.75" x14ac:dyDescent="0.3">
      <c r="D150" s="75" t="s">
        <v>658</v>
      </c>
      <c r="H150" s="259" t="s">
        <v>52</v>
      </c>
      <c r="I150" s="259" t="s">
        <v>264</v>
      </c>
      <c r="J150" s="259" t="s">
        <v>21</v>
      </c>
      <c r="M150" s="140">
        <f>Calc_LRMC!M182</f>
        <v>103.45708574202202</v>
      </c>
      <c r="N150" s="140">
        <f>Calc_LRMC!N182</f>
        <v>108.29728244815</v>
      </c>
      <c r="O150" s="140">
        <f>Calc_LRMC!O182</f>
        <v>111.38778852143535</v>
      </c>
      <c r="P150" s="140">
        <f>Calc_LRMC!P182</f>
        <v>115.20332767172945</v>
      </c>
      <c r="Q150" s="140">
        <f>Calc_LRMC!Q182</f>
        <v>118.49595591823483</v>
      </c>
      <c r="R150" s="140">
        <f>Calc_LRMC!R182</f>
        <v>120.90322313439914</v>
      </c>
      <c r="S150" s="140">
        <f>Calc_LRMC!S182</f>
        <v>122.90390410192101</v>
      </c>
      <c r="T150" s="140">
        <f>Calc_LRMC!T182</f>
        <v>125.0465432383868</v>
      </c>
      <c r="U150" s="140">
        <f>Calc_LRMC!U182</f>
        <v>127.25797454534145</v>
      </c>
      <c r="V150" s="140">
        <f>Calc_LRMC!V182</f>
        <v>129.42172739511696</v>
      </c>
      <c r="W150" s="140">
        <f>Calc_LRMC!W182</f>
        <v>131.58846313093707</v>
      </c>
      <c r="X150" s="140">
        <f>Calc_LRMC!X182</f>
        <v>133.75519886675718</v>
      </c>
      <c r="Y150" s="140">
        <f>Calc_LRMC!Y182</f>
        <v>135.92193460257729</v>
      </c>
      <c r="Z150" s="140">
        <f>Calc_LRMC!Z182</f>
        <v>138.08867033839741</v>
      </c>
      <c r="AA150" s="140">
        <f>Calc_LRMC!AA182</f>
        <v>140.25540607421749</v>
      </c>
      <c r="AB150" s="140">
        <f>Calc_LRMC!AB182</f>
        <v>142.4221418100376</v>
      </c>
      <c r="AC150" s="140">
        <f>Calc_LRMC!AC182</f>
        <v>144.58887754585771</v>
      </c>
      <c r="AD150" s="140">
        <f>Calc_LRMC!AD182</f>
        <v>146.75561328167782</v>
      </c>
      <c r="AE150" s="140">
        <f>Calc_LRMC!AE182</f>
        <v>148.92234901749794</v>
      </c>
      <c r="AF150" s="140">
        <f>Calc_LRMC!AF182</f>
        <v>151.08908475331802</v>
      </c>
      <c r="AG150" s="140">
        <f>Calc_LRMC!AG182</f>
        <v>153.25582048913813</v>
      </c>
      <c r="AH150" s="140">
        <f>Calc_LRMC!AH182</f>
        <v>155.42255622495824</v>
      </c>
      <c r="AI150" s="140">
        <f>Calc_LRMC!AI182</f>
        <v>157.58929196077835</v>
      </c>
    </row>
    <row r="151" spans="1:35" ht="12.75" x14ac:dyDescent="0.3">
      <c r="D151" s="75" t="s">
        <v>660</v>
      </c>
      <c r="H151" s="259" t="s">
        <v>52</v>
      </c>
      <c r="I151" s="259" t="s">
        <v>264</v>
      </c>
      <c r="J151" s="259" t="s">
        <v>21</v>
      </c>
      <c r="M151" s="140">
        <f>Calc_LRMC!M183</f>
        <v>248.09517779225632</v>
      </c>
      <c r="N151" s="140">
        <f>Calc_LRMC!N183</f>
        <v>259.70220744850116</v>
      </c>
      <c r="O151" s="140">
        <f>Calc_LRMC!O183</f>
        <v>267.11339294846493</v>
      </c>
      <c r="P151" s="140">
        <f>Calc_LRMC!P183</f>
        <v>276.26324341135143</v>
      </c>
      <c r="Q151" s="140">
        <f>Calc_LRMC!Q183</f>
        <v>284.15912781947708</v>
      </c>
      <c r="R151" s="140">
        <f>Calc_LRMC!R183</f>
        <v>289.93187295050654</v>
      </c>
      <c r="S151" s="140">
        <f>Calc_LRMC!S183</f>
        <v>294.72960426859754</v>
      </c>
      <c r="T151" s="140">
        <f>Calc_LRMC!T183</f>
        <v>299.86775825479873</v>
      </c>
      <c r="U151" s="140">
        <f>Calc_LRMC!U183</f>
        <v>305.17087924780992</v>
      </c>
      <c r="V151" s="140">
        <f>Calc_LRMC!V183</f>
        <v>310.35966495652542</v>
      </c>
      <c r="W151" s="140">
        <f>Calc_LRMC!W183</f>
        <v>315.55560377262123</v>
      </c>
      <c r="X151" s="140">
        <f>Calc_LRMC!X183</f>
        <v>320.75154258871703</v>
      </c>
      <c r="Y151" s="140">
        <f>Calc_LRMC!Y183</f>
        <v>325.94748140481283</v>
      </c>
      <c r="Z151" s="140">
        <f>Calc_LRMC!Z183</f>
        <v>331.14342022090864</v>
      </c>
      <c r="AA151" s="140">
        <f>Calc_LRMC!AA183</f>
        <v>336.33935903700444</v>
      </c>
      <c r="AB151" s="140">
        <f>Calc_LRMC!AB183</f>
        <v>341.53529785310025</v>
      </c>
      <c r="AC151" s="140">
        <f>Calc_LRMC!AC183</f>
        <v>346.73123666919605</v>
      </c>
      <c r="AD151" s="140">
        <f>Calc_LRMC!AD183</f>
        <v>351.92717548529191</v>
      </c>
      <c r="AE151" s="140">
        <f>Calc_LRMC!AE183</f>
        <v>357.12311430138772</v>
      </c>
      <c r="AF151" s="140">
        <f>Calc_LRMC!AF183</f>
        <v>362.31905311748352</v>
      </c>
      <c r="AG151" s="140">
        <f>Calc_LRMC!AG183</f>
        <v>367.51499193357932</v>
      </c>
      <c r="AH151" s="140">
        <f>Calc_LRMC!AH183</f>
        <v>372.71093074967513</v>
      </c>
      <c r="AI151" s="140">
        <f>Calc_LRMC!AI183</f>
        <v>377.90686956577093</v>
      </c>
    </row>
    <row r="152" spans="1:35" ht="11.25" customHeight="1" x14ac:dyDescent="0.3">
      <c r="W152" s="153"/>
      <c r="X152" s="153"/>
      <c r="Y152" s="153"/>
      <c r="Z152" s="153"/>
      <c r="AA152" s="153"/>
      <c r="AB152" s="153"/>
      <c r="AC152" s="153"/>
      <c r="AD152" s="153"/>
      <c r="AE152" s="153"/>
      <c r="AF152" s="153"/>
      <c r="AG152" s="153"/>
      <c r="AH152" s="153"/>
      <c r="AI152" s="153"/>
    </row>
    <row r="153" spans="1:35" ht="13.15" x14ac:dyDescent="0.3">
      <c r="D153" s="62" t="s">
        <v>662</v>
      </c>
      <c r="H153" s="56" t="s">
        <v>52</v>
      </c>
      <c r="I153" s="56" t="s">
        <v>264</v>
      </c>
      <c r="J153" s="56" t="s">
        <v>21</v>
      </c>
      <c r="M153" s="175">
        <f>SUM(M149:M151)</f>
        <v>351.55226353427832</v>
      </c>
      <c r="N153" s="175">
        <f t="shared" ref="N153:AF153" si="42">SUM(N149:N151)</f>
        <v>367.99948989665114</v>
      </c>
      <c r="O153" s="175">
        <f t="shared" si="42"/>
        <v>378.5011814699003</v>
      </c>
      <c r="P153" s="175">
        <f t="shared" si="42"/>
        <v>391.46657108308091</v>
      </c>
      <c r="Q153" s="175">
        <f t="shared" si="42"/>
        <v>402.65508373771189</v>
      </c>
      <c r="R153" s="175">
        <f t="shared" si="42"/>
        <v>410.83509608490567</v>
      </c>
      <c r="S153" s="175">
        <f t="shared" si="42"/>
        <v>417.63350837051854</v>
      </c>
      <c r="T153" s="175">
        <f t="shared" si="42"/>
        <v>424.91430149318552</v>
      </c>
      <c r="U153" s="175">
        <f t="shared" si="42"/>
        <v>432.42885379315135</v>
      </c>
      <c r="V153" s="175">
        <f t="shared" si="42"/>
        <v>439.78139235164235</v>
      </c>
      <c r="W153" s="175">
        <f t="shared" si="42"/>
        <v>447.14406690355827</v>
      </c>
      <c r="X153" s="175">
        <f t="shared" si="42"/>
        <v>454.50674145547418</v>
      </c>
      <c r="Y153" s="175">
        <f t="shared" si="42"/>
        <v>461.8694160073901</v>
      </c>
      <c r="Z153" s="175">
        <f t="shared" si="42"/>
        <v>469.23209055930602</v>
      </c>
      <c r="AA153" s="175">
        <f t="shared" si="42"/>
        <v>476.59476511122193</v>
      </c>
      <c r="AB153" s="175">
        <f t="shared" si="42"/>
        <v>483.95743966313785</v>
      </c>
      <c r="AC153" s="175">
        <f t="shared" si="42"/>
        <v>491.32011421505376</v>
      </c>
      <c r="AD153" s="175">
        <f t="shared" si="42"/>
        <v>498.68278876696974</v>
      </c>
      <c r="AE153" s="175">
        <f t="shared" si="42"/>
        <v>506.04546331888565</v>
      </c>
      <c r="AF153" s="175">
        <f t="shared" si="42"/>
        <v>513.40813787080151</v>
      </c>
      <c r="AG153" s="175">
        <f t="shared" ref="AG153:AI153" si="43">SUM(AG149:AG151)</f>
        <v>520.77081242271743</v>
      </c>
      <c r="AH153" s="175">
        <f t="shared" si="43"/>
        <v>528.13348697463334</v>
      </c>
      <c r="AI153" s="175">
        <f t="shared" si="43"/>
        <v>535.49616152654926</v>
      </c>
    </row>
    <row r="154" spans="1:35" ht="11.25" customHeight="1" x14ac:dyDescent="0.3"/>
    <row r="155" spans="1:35" ht="12.75" outlineLevel="1" x14ac:dyDescent="0.3">
      <c r="D155" s="10" t="s">
        <v>90</v>
      </c>
      <c r="H155" s="259" t="s">
        <v>52</v>
      </c>
      <c r="I155" s="259" t="s">
        <v>264</v>
      </c>
      <c r="J155" s="259" t="s">
        <v>21</v>
      </c>
      <c r="K155" s="63"/>
      <c r="M155" s="140">
        <f>Calc_LRMC!M185</f>
        <v>351.55226353427832</v>
      </c>
      <c r="N155" s="140">
        <f>Calc_LRMC!N185</f>
        <v>367.99948989665114</v>
      </c>
      <c r="O155" s="140">
        <f>Calc_LRMC!O185</f>
        <v>378.5011814699003</v>
      </c>
      <c r="P155" s="140">
        <f>Calc_LRMC!P185</f>
        <v>391.46657108308091</v>
      </c>
      <c r="Q155" s="140">
        <f>Calc_LRMC!Q185</f>
        <v>402.65508373771189</v>
      </c>
      <c r="R155" s="140">
        <f>Calc_LRMC!R185</f>
        <v>410.83509608490567</v>
      </c>
      <c r="S155" s="140">
        <f>Calc_LRMC!S185</f>
        <v>417.63350837051854</v>
      </c>
      <c r="T155" s="140">
        <f>Calc_LRMC!T185</f>
        <v>424.91430149318552</v>
      </c>
      <c r="U155" s="140">
        <f>Calc_LRMC!U185</f>
        <v>432.42885379315135</v>
      </c>
      <c r="V155" s="140">
        <f>Calc_LRMC!V185</f>
        <v>439.78139235164235</v>
      </c>
      <c r="W155" s="140">
        <f>Calc_LRMC!W185</f>
        <v>447.14406690355827</v>
      </c>
      <c r="X155" s="140">
        <f>Calc_LRMC!X185</f>
        <v>454.50674145547418</v>
      </c>
      <c r="Y155" s="140">
        <f>Calc_LRMC!Y185</f>
        <v>461.8694160073901</v>
      </c>
      <c r="Z155" s="140">
        <f>Calc_LRMC!Z185</f>
        <v>469.23209055930602</v>
      </c>
      <c r="AA155" s="140">
        <f>Calc_LRMC!AA185</f>
        <v>476.59476511122193</v>
      </c>
      <c r="AB155" s="140">
        <f>Calc_LRMC!AB185</f>
        <v>483.95743966313785</v>
      </c>
      <c r="AC155" s="140">
        <f>Calc_LRMC!AC185</f>
        <v>491.32011421505376</v>
      </c>
      <c r="AD155" s="140">
        <f>Calc_LRMC!AD185</f>
        <v>498.68278876696974</v>
      </c>
      <c r="AE155" s="140">
        <f>Calc_LRMC!AE185</f>
        <v>506.04546331888565</v>
      </c>
      <c r="AF155" s="140">
        <f>Calc_LRMC!AF185</f>
        <v>513.40813787080151</v>
      </c>
      <c r="AG155" s="140">
        <f>Calc_LRMC!AG185</f>
        <v>520.77081242271743</v>
      </c>
      <c r="AH155" s="140">
        <f>Calc_LRMC!AH185</f>
        <v>528.13348697463334</v>
      </c>
      <c r="AI155" s="140">
        <f>Calc_LRMC!AI185</f>
        <v>535.49616152654926</v>
      </c>
    </row>
    <row r="156" spans="1:35" ht="12.75" outlineLevel="1" x14ac:dyDescent="0.3">
      <c r="A156" s="59">
        <f>IF(SUM($M156:$AI156)=0,0,1)</f>
        <v>0</v>
      </c>
      <c r="D156" s="10" t="s">
        <v>55</v>
      </c>
      <c r="F156" s="63"/>
      <c r="H156" s="63"/>
      <c r="I156" s="63"/>
      <c r="J156" s="63"/>
      <c r="K156" s="63"/>
      <c r="M156" s="59">
        <f t="shared" ref="M156:N156" si="44">IF(ROUND(M155-M153,2)=0,0,1)</f>
        <v>0</v>
      </c>
      <c r="N156" s="59">
        <f t="shared" si="44"/>
        <v>0</v>
      </c>
      <c r="O156" s="59">
        <f>IF(ROUND(O155-O153,2)=0,0,1)</f>
        <v>0</v>
      </c>
      <c r="P156" s="59">
        <f>IF(ROUND(P155-P153,2)=0,0,1)</f>
        <v>0</v>
      </c>
      <c r="Q156" s="59">
        <f>IF(ROUND(Q155-Q153,2)=0,0,1)</f>
        <v>0</v>
      </c>
      <c r="R156" s="59">
        <f>IF(ROUND(R155-R153,2)=0,0,1)</f>
        <v>0</v>
      </c>
      <c r="S156" s="59">
        <f t="shared" ref="S156" si="45">IF(ROUND(S155-S153,2)=0,0,1)</f>
        <v>0</v>
      </c>
      <c r="T156" s="59">
        <f t="shared" ref="T156" si="46">IF(ROUND(T155-T153,2)=0,0,1)</f>
        <v>0</v>
      </c>
      <c r="U156" s="59">
        <f t="shared" ref="U156" si="47">IF(ROUND(U155-U153,2)=0,0,1)</f>
        <v>0</v>
      </c>
      <c r="V156" s="59">
        <f t="shared" ref="V156" si="48">IF(ROUND(V155-V153,2)=0,0,1)</f>
        <v>0</v>
      </c>
      <c r="W156" s="59">
        <f t="shared" ref="W156" si="49">IF(ROUND(W155-W153,2)=0,0,1)</f>
        <v>0</v>
      </c>
      <c r="X156" s="59">
        <f t="shared" ref="X156" si="50">IF(ROUND(X155-X153,2)=0,0,1)</f>
        <v>0</v>
      </c>
      <c r="Y156" s="59">
        <f t="shared" ref="Y156" si="51">IF(ROUND(Y155-Y153,2)=0,0,1)</f>
        <v>0</v>
      </c>
      <c r="Z156" s="59">
        <f t="shared" ref="Z156" si="52">IF(ROUND(Z155-Z153,2)=0,0,1)</f>
        <v>0</v>
      </c>
      <c r="AA156" s="59">
        <f t="shared" ref="AA156" si="53">IF(ROUND(AA155-AA153,2)=0,0,1)</f>
        <v>0</v>
      </c>
      <c r="AB156" s="59">
        <f t="shared" ref="AB156" si="54">IF(ROUND(AB155-AB153,2)=0,0,1)</f>
        <v>0</v>
      </c>
      <c r="AC156" s="59">
        <f t="shared" ref="AC156" si="55">IF(ROUND(AC155-AC153,2)=0,0,1)</f>
        <v>0</v>
      </c>
      <c r="AD156" s="59">
        <f t="shared" ref="AD156" si="56">IF(ROUND(AD155-AD153,2)=0,0,1)</f>
        <v>0</v>
      </c>
      <c r="AE156" s="59">
        <f t="shared" ref="AE156" si="57">IF(ROUND(AE155-AE153,2)=0,0,1)</f>
        <v>0</v>
      </c>
      <c r="AF156" s="59">
        <f>IF(ROUND(AF155-AF153,2)=0,0,1)</f>
        <v>0</v>
      </c>
      <c r="AG156" s="59">
        <f t="shared" ref="AG156:AI156" si="58">IF(ROUND(AG155-AG153,2)=0,0,1)</f>
        <v>0</v>
      </c>
      <c r="AH156" s="59">
        <f t="shared" si="58"/>
        <v>0</v>
      </c>
      <c r="AI156" s="59">
        <f t="shared" si="58"/>
        <v>0</v>
      </c>
    </row>
    <row r="157" spans="1:35" ht="11.25" customHeight="1" x14ac:dyDescent="0.3"/>
    <row r="158" spans="1:35" s="2" customFormat="1" ht="15" x14ac:dyDescent="0.3">
      <c r="B158" s="2" t="s">
        <v>796</v>
      </c>
    </row>
    <row r="159" spans="1:35" ht="11.25" customHeight="1" x14ac:dyDescent="0.3"/>
    <row r="160" spans="1:35" s="8" customFormat="1" ht="13.9" x14ac:dyDescent="0.3">
      <c r="C160" s="8" t="s">
        <v>797</v>
      </c>
    </row>
    <row r="161" spans="4:15" ht="11.25" customHeight="1" x14ac:dyDescent="0.3"/>
    <row r="162" spans="4:15" ht="26.25" x14ac:dyDescent="0.3">
      <c r="D162" s="70" t="s">
        <v>677</v>
      </c>
      <c r="H162" s="54" t="str">
        <f>Lookup!E$19</f>
        <v>Source</v>
      </c>
      <c r="I162" s="54" t="str">
        <f>Lookup!F$19</f>
        <v>Unit</v>
      </c>
      <c r="J162" s="54" t="str">
        <f>Lookup!G$19</f>
        <v>Basis</v>
      </c>
      <c r="M162" s="61" t="s">
        <v>678</v>
      </c>
      <c r="N162" s="61" t="s">
        <v>679</v>
      </c>
    </row>
    <row r="163" spans="4:15" ht="11.25" customHeight="1" x14ac:dyDescent="0.3"/>
    <row r="164" spans="4:15" ht="11.25" customHeight="1" x14ac:dyDescent="0.3">
      <c r="D164" s="75" t="s">
        <v>680</v>
      </c>
      <c r="H164" s="259" t="s">
        <v>52</v>
      </c>
      <c r="I164" s="259" t="s">
        <v>82</v>
      </c>
      <c r="J164" s="259" t="s">
        <v>21</v>
      </c>
      <c r="M164" s="140">
        <f>Typical_Consumption_Residential</f>
        <v>8500</v>
      </c>
      <c r="N164" s="140">
        <f>Typical_Consumption_Residential</f>
        <v>8500</v>
      </c>
    </row>
    <row r="165" spans="4:15" ht="11.25" customHeight="1" x14ac:dyDescent="0.3">
      <c r="D165" s="75" t="s">
        <v>681</v>
      </c>
      <c r="H165" s="259" t="s">
        <v>52</v>
      </c>
      <c r="I165" s="259" t="s">
        <v>82</v>
      </c>
      <c r="J165" s="259" t="s">
        <v>21</v>
      </c>
      <c r="M165" s="140">
        <f>Typical_Consumption_Small_Business</f>
        <v>30000</v>
      </c>
      <c r="N165" s="140">
        <f>Typical_Consumption_Small_Business</f>
        <v>30000</v>
      </c>
    </row>
    <row r="166" spans="4:15" ht="11.25" customHeight="1" x14ac:dyDescent="0.3"/>
    <row r="167" spans="4:15" ht="11.25" customHeight="1" x14ac:dyDescent="0.3"/>
    <row r="168" spans="4:15" ht="11.25" customHeight="1" x14ac:dyDescent="0.3">
      <c r="D168" s="70" t="s">
        <v>682</v>
      </c>
      <c r="H168" s="54" t="str">
        <f>Lookup!E$19</f>
        <v>Source</v>
      </c>
      <c r="I168" s="54" t="str">
        <f>Lookup!F$19</f>
        <v>Unit</v>
      </c>
      <c r="J168" s="54" t="str">
        <f>Lookup!G$19</f>
        <v>Basis</v>
      </c>
      <c r="M168" s="61" t="s">
        <v>678</v>
      </c>
      <c r="N168" s="61" t="s">
        <v>679</v>
      </c>
    </row>
    <row r="169" spans="4:15" ht="11.25" customHeight="1" x14ac:dyDescent="0.3"/>
    <row r="170" spans="4:15" ht="11.25" customHeight="1" x14ac:dyDescent="0.3">
      <c r="D170" s="75" t="s">
        <v>680</v>
      </c>
      <c r="H170" s="259" t="s">
        <v>52</v>
      </c>
      <c r="I170" s="259" t="s">
        <v>44</v>
      </c>
      <c r="J170" s="259" t="s">
        <v>40</v>
      </c>
      <c r="M170" s="66">
        <f>Output_Pricing_Proposal!$I$161/$M$177</f>
        <v>1893.5087719298247</v>
      </c>
      <c r="N170" s="66">
        <f>Output_Pricing_Proposal!$I$163/$N$177</f>
        <v>2207.4561403508774</v>
      </c>
      <c r="O170" s="107" t="s">
        <v>684</v>
      </c>
    </row>
    <row r="171" spans="4:15" ht="11.25" customHeight="1" x14ac:dyDescent="0.3">
      <c r="D171" s="75" t="s">
        <v>681</v>
      </c>
      <c r="H171" s="259" t="s">
        <v>52</v>
      </c>
      <c r="I171" s="259" t="s">
        <v>44</v>
      </c>
      <c r="J171" s="259" t="s">
        <v>40</v>
      </c>
      <c r="M171" s="66">
        <f>Output_Pricing_Proposal!$I$162/$M$178</f>
        <v>7664.1176470588234</v>
      </c>
      <c r="N171" s="66">
        <f>Output_Pricing_Proposal!$I$164/$N$178</f>
        <v>12520.588235294117</v>
      </c>
    </row>
    <row r="172" spans="4:15" ht="11.25" customHeight="1" x14ac:dyDescent="0.3"/>
    <row r="173" spans="4:15" ht="11.25" customHeight="1" x14ac:dyDescent="0.3"/>
    <row r="174" spans="4:15" ht="11.25" customHeight="1" x14ac:dyDescent="0.3"/>
    <row r="175" spans="4:15" ht="11.25" customHeight="1" x14ac:dyDescent="0.3">
      <c r="D175" s="70" t="s">
        <v>683</v>
      </c>
      <c r="H175" s="54" t="str">
        <f>Lookup!E$19</f>
        <v>Source</v>
      </c>
      <c r="I175" s="54" t="str">
        <f>Lookup!F$19</f>
        <v>Unit</v>
      </c>
      <c r="J175" s="54" t="str">
        <f>Lookup!G$19</f>
        <v>Basis</v>
      </c>
      <c r="M175" s="61" t="s">
        <v>678</v>
      </c>
      <c r="N175" s="61" t="s">
        <v>679</v>
      </c>
    </row>
    <row r="176" spans="4:15" ht="11.25" customHeight="1" x14ac:dyDescent="0.3"/>
    <row r="177" spans="2:14" ht="11.25" customHeight="1" x14ac:dyDescent="0.3">
      <c r="D177" s="75" t="s">
        <v>680</v>
      </c>
      <c r="H177" s="259" t="s">
        <v>52</v>
      </c>
      <c r="I177" s="259" t="s">
        <v>43</v>
      </c>
      <c r="J177" s="259" t="s">
        <v>21</v>
      </c>
      <c r="M177" s="126">
        <f>Output_Pricing_Proposal!$R$161</f>
        <v>0.56999999999999995</v>
      </c>
      <c r="N177" s="126">
        <f>Output_Pricing_Proposal!$R$163</f>
        <v>0.56999999999999995</v>
      </c>
    </row>
    <row r="178" spans="2:14" ht="11.25" customHeight="1" x14ac:dyDescent="0.3">
      <c r="D178" s="75" t="s">
        <v>681</v>
      </c>
      <c r="H178" s="259" t="s">
        <v>52</v>
      </c>
      <c r="I178" s="259" t="s">
        <v>43</v>
      </c>
      <c r="J178" s="259" t="s">
        <v>21</v>
      </c>
      <c r="M178" s="126">
        <f>Output_Pricing_Proposal!$R$162</f>
        <v>0.34</v>
      </c>
      <c r="N178" s="126">
        <f>Output_Pricing_Proposal!$R$164</f>
        <v>0.34</v>
      </c>
    </row>
    <row r="179" spans="2:14" ht="11.25" customHeight="1" x14ac:dyDescent="0.3"/>
    <row r="180" spans="2:14" ht="11.25" customHeight="1" x14ac:dyDescent="0.3"/>
    <row r="181" spans="2:14" s="2" customFormat="1" ht="15" x14ac:dyDescent="0.3">
      <c r="B181" s="2" t="s">
        <v>20</v>
      </c>
    </row>
  </sheetData>
  <conditionalFormatting sqref="B2">
    <cfRule type="cellIs" dxfId="2" priority="1" operator="notEqual">
      <formula>"No Errors Found"</formula>
    </cfRule>
  </conditionalFormatting>
  <dataValidations count="3">
    <dataValidation type="list" allowBlank="1" showInputMessage="1" showErrorMessage="1" sqref="K78:K79 K44:K45 K60:K61 K93:K94 K129:K130 K142:K143 K155:K156" xr:uid="{BC423F2C-6043-48F6-816F-7CBB9C39BD9C}">
      <formula1>LU_Timing</formula1>
    </dataValidation>
    <dataValidation type="list" allowBlank="1" showInputMessage="1" showErrorMessage="1" sqref="I85:I89 I78:I79 I28:I40 I18:I19 I44:I45 I51:I56 I69:I74 I93:I94 I60:I61 I103:I109 I111:I117 I119:I125 I129:I130 I136:I138 I142:I143 I149:I151 I155:I156 I164:I165 I170:I171 I177:I178" xr:uid="{236418D0-92D5-4AD6-8B86-8F5F48A3E189}">
      <formula1>LU_Units</formula1>
    </dataValidation>
    <dataValidation type="list" allowBlank="1" showInputMessage="1" showErrorMessage="1" sqref="J85:J89 J78:J79 J28:J40 J18:J19 J44:J45 J51:J56 J69:J74 J93:J94 J60:J61 J103:J109 J111:J117 J119:J125 J129:J130 J136:J138 J142:J143 J149:J151 J155:J156 J164:J165 J170:J171 J177:J178" xr:uid="{6CC6FD45-573B-41B7-9B09-4A7C346FAAB9}">
      <formula1>LU_Basis</formula1>
    </dataValidation>
  </dataValidations>
  <hyperlinks>
    <hyperlink ref="B3:E3" location="TOC!A1" display="TOC!A1" xr:uid="{BFAC9130-57E6-4645-B708-3EE7F1378CC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XFA107"/>
  <sheetViews>
    <sheetView showGridLines="0" zoomScaleNormal="100" workbookViewId="0">
      <pane ySplit="5" topLeftCell="A6" activePane="bottomLeft" state="frozen"/>
      <selection activeCell="V27" sqref="V27"/>
      <selection pane="bottomLeft"/>
    </sheetView>
  </sheetViews>
  <sheetFormatPr defaultColWidth="9.33203125" defaultRowHeight="10.15" outlineLevelRow="1" x14ac:dyDescent="0.3"/>
  <cols>
    <col min="1" max="3" width="2.83203125" customWidth="1"/>
    <col min="4" max="4" width="34" customWidth="1"/>
    <col min="5" max="6" width="30.83203125" customWidth="1"/>
    <col min="7" max="9" width="10.83203125" customWidth="1"/>
    <col min="10" max="35" width="12.83203125" customWidth="1"/>
    <col min="16380" max="16381" width="34.5" bestFit="1" customWidth="1"/>
  </cols>
  <sheetData>
    <row r="1" spans="1:35" ht="18.75" x14ac:dyDescent="0.3">
      <c r="A1" s="59">
        <f>IF(SUM($A6:$A107)&gt;0,1,0)</f>
        <v>0</v>
      </c>
      <c r="B1" s="3" t="s">
        <v>783</v>
      </c>
    </row>
    <row r="2" spans="1:35" x14ac:dyDescent="0.3">
      <c r="B2" s="13" t="str">
        <f ca="1">Title_Msg</f>
        <v>No Errors Found</v>
      </c>
    </row>
    <row r="3" spans="1:35" x14ac:dyDescent="0.3">
      <c r="B3" s="46" t="str">
        <f>TOC!B1</f>
        <v>Table of contents</v>
      </c>
      <c r="C3" s="42"/>
      <c r="D3" s="42"/>
      <c r="E3" s="42"/>
    </row>
    <row r="4" spans="1:35" ht="13.15" x14ac:dyDescent="0.3">
      <c r="B4" s="40" t="str">
        <f>Model_Name</f>
        <v>Pricing Model - Power and Water Corporation</v>
      </c>
    </row>
    <row r="6" spans="1:35" s="2" customFormat="1" ht="15" x14ac:dyDescent="0.3">
      <c r="B6" s="2" t="s">
        <v>784</v>
      </c>
    </row>
    <row r="7" spans="1:35" ht="6.75" customHeight="1" x14ac:dyDescent="0.3"/>
    <row r="8" spans="1:35" s="8" customFormat="1" ht="13.9" x14ac:dyDescent="0.3">
      <c r="C8" s="8" t="s">
        <v>785</v>
      </c>
    </row>
    <row r="9" spans="1:35" x14ac:dyDescent="0.3">
      <c r="D9" s="1"/>
    </row>
    <row r="10" spans="1:35" ht="12.75" x14ac:dyDescent="0.3">
      <c r="D10" s="11" t="s">
        <v>786</v>
      </c>
      <c r="E10" s="47">
        <v>43647</v>
      </c>
    </row>
    <row r="11" spans="1:35" x14ac:dyDescent="0.3">
      <c r="L11" s="17"/>
      <c r="M11" s="18"/>
      <c r="N11" s="18"/>
      <c r="O11" s="18"/>
    </row>
    <row r="12" spans="1:35" s="8" customFormat="1" ht="13.9" x14ac:dyDescent="0.3">
      <c r="C12" s="8" t="s">
        <v>787</v>
      </c>
    </row>
    <row r="13" spans="1:35" x14ac:dyDescent="0.3">
      <c r="L13" s="17"/>
      <c r="M13" s="18"/>
      <c r="N13" s="18"/>
      <c r="O13" s="18"/>
    </row>
    <row r="14" spans="1:35" ht="12.75" hidden="1" outlineLevel="1" x14ac:dyDescent="0.3">
      <c r="B14" s="11" t="s">
        <v>788</v>
      </c>
      <c r="J14" s="48">
        <f t="shared" ref="J14:S14" si="0">IF(J16=1,Model_Start_Date,I15+1)</f>
        <v>43647</v>
      </c>
      <c r="K14" s="48">
        <f t="shared" si="0"/>
        <v>44013</v>
      </c>
      <c r="L14" s="48">
        <f t="shared" si="0"/>
        <v>44378</v>
      </c>
      <c r="M14" s="48">
        <f t="shared" si="0"/>
        <v>44743</v>
      </c>
      <c r="N14" s="48">
        <f t="shared" si="0"/>
        <v>45108</v>
      </c>
      <c r="O14" s="48">
        <f t="shared" si="0"/>
        <v>45474</v>
      </c>
      <c r="P14" s="48">
        <f t="shared" si="0"/>
        <v>45839</v>
      </c>
      <c r="Q14" s="48">
        <f t="shared" si="0"/>
        <v>46204</v>
      </c>
      <c r="R14" s="48">
        <f t="shared" si="0"/>
        <v>46569</v>
      </c>
      <c r="S14" s="48">
        <f t="shared" si="0"/>
        <v>46935</v>
      </c>
      <c r="T14" s="48">
        <f t="shared" ref="T14:AI14" si="1">IF(T16=1,Model_Start_Date,S15+1)</f>
        <v>47300</v>
      </c>
      <c r="U14" s="48">
        <f t="shared" si="1"/>
        <v>47665</v>
      </c>
      <c r="V14" s="48">
        <f t="shared" si="1"/>
        <v>48030</v>
      </c>
      <c r="W14" s="48">
        <f t="shared" si="1"/>
        <v>48396</v>
      </c>
      <c r="X14" s="48">
        <f t="shared" si="1"/>
        <v>48761</v>
      </c>
      <c r="Y14" s="48">
        <f t="shared" si="1"/>
        <v>49126</v>
      </c>
      <c r="Z14" s="48">
        <f t="shared" si="1"/>
        <v>49491</v>
      </c>
      <c r="AA14" s="48">
        <f t="shared" si="1"/>
        <v>49857</v>
      </c>
      <c r="AB14" s="48">
        <f t="shared" si="1"/>
        <v>50222</v>
      </c>
      <c r="AC14" s="48">
        <f t="shared" si="1"/>
        <v>50587</v>
      </c>
      <c r="AD14" s="48">
        <f t="shared" si="1"/>
        <v>50952</v>
      </c>
      <c r="AE14" s="48">
        <f t="shared" si="1"/>
        <v>51318</v>
      </c>
      <c r="AF14" s="48">
        <f t="shared" si="1"/>
        <v>51683</v>
      </c>
      <c r="AG14" s="48">
        <f t="shared" si="1"/>
        <v>52048</v>
      </c>
      <c r="AH14" s="48">
        <f t="shared" si="1"/>
        <v>52413</v>
      </c>
      <c r="AI14" s="48">
        <f t="shared" si="1"/>
        <v>52779</v>
      </c>
    </row>
    <row r="15" spans="1:35" ht="12.75" hidden="1" outlineLevel="1" x14ac:dyDescent="0.3">
      <c r="B15" s="11" t="s">
        <v>789</v>
      </c>
      <c r="J15" s="48">
        <f t="shared" ref="J15:S15" si="2">EOMONTH(J14,Mths_In_Yr-1)</f>
        <v>44012</v>
      </c>
      <c r="K15" s="48">
        <f t="shared" si="2"/>
        <v>44377</v>
      </c>
      <c r="L15" s="48">
        <f t="shared" si="2"/>
        <v>44742</v>
      </c>
      <c r="M15" s="48">
        <f t="shared" si="2"/>
        <v>45107</v>
      </c>
      <c r="N15" s="48">
        <f t="shared" si="2"/>
        <v>45473</v>
      </c>
      <c r="O15" s="48">
        <f t="shared" si="2"/>
        <v>45838</v>
      </c>
      <c r="P15" s="48">
        <f t="shared" si="2"/>
        <v>46203</v>
      </c>
      <c r="Q15" s="48">
        <f t="shared" si="2"/>
        <v>46568</v>
      </c>
      <c r="R15" s="48">
        <f t="shared" si="2"/>
        <v>46934</v>
      </c>
      <c r="S15" s="48">
        <f t="shared" si="2"/>
        <v>47299</v>
      </c>
      <c r="T15" s="48">
        <f t="shared" ref="T15:AI15" si="3">EOMONTH(T14,Mths_In_Yr-1)</f>
        <v>47664</v>
      </c>
      <c r="U15" s="48">
        <f t="shared" si="3"/>
        <v>48029</v>
      </c>
      <c r="V15" s="48">
        <f t="shared" si="3"/>
        <v>48395</v>
      </c>
      <c r="W15" s="48">
        <f t="shared" si="3"/>
        <v>48760</v>
      </c>
      <c r="X15" s="48">
        <f t="shared" si="3"/>
        <v>49125</v>
      </c>
      <c r="Y15" s="48">
        <f t="shared" si="3"/>
        <v>49490</v>
      </c>
      <c r="Z15" s="48">
        <f t="shared" si="3"/>
        <v>49856</v>
      </c>
      <c r="AA15" s="48">
        <f t="shared" si="3"/>
        <v>50221</v>
      </c>
      <c r="AB15" s="48">
        <f t="shared" si="3"/>
        <v>50586</v>
      </c>
      <c r="AC15" s="48">
        <f t="shared" si="3"/>
        <v>50951</v>
      </c>
      <c r="AD15" s="48">
        <f t="shared" si="3"/>
        <v>51317</v>
      </c>
      <c r="AE15" s="48">
        <f t="shared" si="3"/>
        <v>51682</v>
      </c>
      <c r="AF15" s="48">
        <f t="shared" si="3"/>
        <v>52047</v>
      </c>
      <c r="AG15" s="48">
        <f t="shared" si="3"/>
        <v>52412</v>
      </c>
      <c r="AH15" s="48">
        <f t="shared" si="3"/>
        <v>52778</v>
      </c>
      <c r="AI15" s="48">
        <f t="shared" si="3"/>
        <v>53143</v>
      </c>
    </row>
    <row r="16" spans="1:35" ht="12.75" hidden="1" outlineLevel="1" x14ac:dyDescent="0.3">
      <c r="B16" s="11" t="s">
        <v>790</v>
      </c>
      <c r="J16" s="21">
        <f>N(I16)+1</f>
        <v>1</v>
      </c>
      <c r="K16" s="21">
        <f t="shared" ref="K16:S16" si="4">N(J16)+1</f>
        <v>2</v>
      </c>
      <c r="L16" s="21">
        <f t="shared" si="4"/>
        <v>3</v>
      </c>
      <c r="M16" s="21">
        <f t="shared" si="4"/>
        <v>4</v>
      </c>
      <c r="N16" s="21">
        <f t="shared" si="4"/>
        <v>5</v>
      </c>
      <c r="O16" s="21">
        <f t="shared" si="4"/>
        <v>6</v>
      </c>
      <c r="P16" s="21">
        <f t="shared" si="4"/>
        <v>7</v>
      </c>
      <c r="Q16" s="21">
        <f t="shared" si="4"/>
        <v>8</v>
      </c>
      <c r="R16" s="21">
        <f t="shared" si="4"/>
        <v>9</v>
      </c>
      <c r="S16" s="21">
        <f t="shared" si="4"/>
        <v>10</v>
      </c>
      <c r="T16" s="21">
        <f t="shared" ref="T16:AI16" si="5">N(S16)+1</f>
        <v>11</v>
      </c>
      <c r="U16" s="21">
        <f t="shared" si="5"/>
        <v>12</v>
      </c>
      <c r="V16" s="21">
        <f t="shared" si="5"/>
        <v>13</v>
      </c>
      <c r="W16" s="21">
        <f t="shared" si="5"/>
        <v>14</v>
      </c>
      <c r="X16" s="21">
        <f t="shared" si="5"/>
        <v>15</v>
      </c>
      <c r="Y16" s="21">
        <f t="shared" si="5"/>
        <v>16</v>
      </c>
      <c r="Z16" s="21">
        <f t="shared" si="5"/>
        <v>17</v>
      </c>
      <c r="AA16" s="21">
        <f t="shared" si="5"/>
        <v>18</v>
      </c>
      <c r="AB16" s="21">
        <f t="shared" si="5"/>
        <v>19</v>
      </c>
      <c r="AC16" s="21">
        <f t="shared" si="5"/>
        <v>20</v>
      </c>
      <c r="AD16" s="21">
        <f t="shared" si="5"/>
        <v>21</v>
      </c>
      <c r="AE16" s="21">
        <f t="shared" si="5"/>
        <v>22</v>
      </c>
      <c r="AF16" s="21">
        <f t="shared" si="5"/>
        <v>23</v>
      </c>
      <c r="AG16" s="21">
        <f t="shared" si="5"/>
        <v>24</v>
      </c>
      <c r="AH16" s="21">
        <f t="shared" si="5"/>
        <v>25</v>
      </c>
      <c r="AI16" s="21">
        <f t="shared" si="5"/>
        <v>26</v>
      </c>
    </row>
    <row r="17" spans="2:35" ht="12.75" hidden="1" outlineLevel="1" x14ac:dyDescent="0.3">
      <c r="B17" s="11" t="s">
        <v>252</v>
      </c>
      <c r="J17" s="21">
        <f>J15-J14+1</f>
        <v>366</v>
      </c>
      <c r="K17" s="21">
        <f t="shared" ref="K17:S17" si="6">K15-K14+1</f>
        <v>365</v>
      </c>
      <c r="L17" s="21">
        <f t="shared" si="6"/>
        <v>365</v>
      </c>
      <c r="M17" s="21">
        <f t="shared" si="6"/>
        <v>365</v>
      </c>
      <c r="N17" s="21">
        <f t="shared" si="6"/>
        <v>366</v>
      </c>
      <c r="O17" s="21">
        <f t="shared" si="6"/>
        <v>365</v>
      </c>
      <c r="P17" s="21">
        <f t="shared" si="6"/>
        <v>365</v>
      </c>
      <c r="Q17" s="21">
        <f t="shared" si="6"/>
        <v>365</v>
      </c>
      <c r="R17" s="21">
        <f t="shared" si="6"/>
        <v>366</v>
      </c>
      <c r="S17" s="21">
        <f t="shared" si="6"/>
        <v>365</v>
      </c>
      <c r="T17" s="21">
        <f t="shared" ref="T17:AI17" si="7">T15-T14+1</f>
        <v>365</v>
      </c>
      <c r="U17" s="21">
        <f t="shared" si="7"/>
        <v>365</v>
      </c>
      <c r="V17" s="21">
        <f t="shared" si="7"/>
        <v>366</v>
      </c>
      <c r="W17" s="21">
        <f t="shared" si="7"/>
        <v>365</v>
      </c>
      <c r="X17" s="21">
        <f t="shared" si="7"/>
        <v>365</v>
      </c>
      <c r="Y17" s="21">
        <f t="shared" si="7"/>
        <v>365</v>
      </c>
      <c r="Z17" s="21">
        <f t="shared" si="7"/>
        <v>366</v>
      </c>
      <c r="AA17" s="21">
        <f t="shared" si="7"/>
        <v>365</v>
      </c>
      <c r="AB17" s="21">
        <f t="shared" si="7"/>
        <v>365</v>
      </c>
      <c r="AC17" s="21">
        <f t="shared" si="7"/>
        <v>365</v>
      </c>
      <c r="AD17" s="21">
        <f t="shared" si="7"/>
        <v>366</v>
      </c>
      <c r="AE17" s="21">
        <f t="shared" si="7"/>
        <v>365</v>
      </c>
      <c r="AF17" s="21">
        <f t="shared" si="7"/>
        <v>365</v>
      </c>
      <c r="AG17" s="21">
        <f t="shared" si="7"/>
        <v>365</v>
      </c>
      <c r="AH17" s="21">
        <f t="shared" si="7"/>
        <v>366</v>
      </c>
      <c r="AI17" s="21">
        <f t="shared" si="7"/>
        <v>365</v>
      </c>
    </row>
    <row r="18" spans="2:35" ht="12.75" hidden="1" outlineLevel="1" x14ac:dyDescent="0.3">
      <c r="B18" s="11" t="s">
        <v>34</v>
      </c>
      <c r="J18" s="7">
        <f>YEAR(J15)</f>
        <v>2020</v>
      </c>
      <c r="K18" s="7">
        <f t="shared" ref="K18:S18" si="8">YEAR(K15)</f>
        <v>2021</v>
      </c>
      <c r="L18" s="7">
        <f t="shared" si="8"/>
        <v>2022</v>
      </c>
      <c r="M18" s="7">
        <f t="shared" si="8"/>
        <v>2023</v>
      </c>
      <c r="N18" s="7">
        <f t="shared" si="8"/>
        <v>2024</v>
      </c>
      <c r="O18" s="7">
        <f t="shared" si="8"/>
        <v>2025</v>
      </c>
      <c r="P18" s="7">
        <f t="shared" si="8"/>
        <v>2026</v>
      </c>
      <c r="Q18" s="7">
        <f t="shared" si="8"/>
        <v>2027</v>
      </c>
      <c r="R18" s="7">
        <f t="shared" si="8"/>
        <v>2028</v>
      </c>
      <c r="S18" s="7">
        <f t="shared" si="8"/>
        <v>2029</v>
      </c>
      <c r="T18" s="7">
        <f t="shared" ref="T18:AI18" si="9">YEAR(T15)</f>
        <v>2030</v>
      </c>
      <c r="U18" s="7">
        <f t="shared" si="9"/>
        <v>2031</v>
      </c>
      <c r="V18" s="7">
        <f t="shared" si="9"/>
        <v>2032</v>
      </c>
      <c r="W18" s="7">
        <f t="shared" si="9"/>
        <v>2033</v>
      </c>
      <c r="X18" s="7">
        <f t="shared" si="9"/>
        <v>2034</v>
      </c>
      <c r="Y18" s="7">
        <f t="shared" si="9"/>
        <v>2035</v>
      </c>
      <c r="Z18" s="7">
        <f t="shared" si="9"/>
        <v>2036</v>
      </c>
      <c r="AA18" s="7">
        <f t="shared" si="9"/>
        <v>2037</v>
      </c>
      <c r="AB18" s="7">
        <f t="shared" si="9"/>
        <v>2038</v>
      </c>
      <c r="AC18" s="7">
        <f t="shared" si="9"/>
        <v>2039</v>
      </c>
      <c r="AD18" s="7">
        <f t="shared" si="9"/>
        <v>2040</v>
      </c>
      <c r="AE18" s="7">
        <f t="shared" si="9"/>
        <v>2041</v>
      </c>
      <c r="AF18" s="7">
        <f t="shared" si="9"/>
        <v>2042</v>
      </c>
      <c r="AG18" s="7">
        <f t="shared" si="9"/>
        <v>2043</v>
      </c>
      <c r="AH18" s="7">
        <f t="shared" si="9"/>
        <v>2044</v>
      </c>
      <c r="AI18" s="7">
        <f t="shared" si="9"/>
        <v>2045</v>
      </c>
    </row>
    <row r="19" spans="2:35" ht="13.15" collapsed="1" x14ac:dyDescent="0.3">
      <c r="B19" s="9" t="s">
        <v>126</v>
      </c>
      <c r="E19" s="14" t="s">
        <v>36</v>
      </c>
      <c r="F19" s="14" t="s">
        <v>37</v>
      </c>
      <c r="G19" s="14" t="s">
        <v>38</v>
      </c>
      <c r="H19" s="14" t="s">
        <v>39</v>
      </c>
      <c r="J19" s="49" t="str">
        <f>"FY"&amp;RIGHT(J18,2)</f>
        <v>FY20</v>
      </c>
      <c r="K19" s="49" t="str">
        <f t="shared" ref="K19:S19" si="10">"FY"&amp;RIGHT(K18,2)</f>
        <v>FY21</v>
      </c>
      <c r="L19" s="49" t="str">
        <f t="shared" si="10"/>
        <v>FY22</v>
      </c>
      <c r="M19" s="49" t="str">
        <f t="shared" si="10"/>
        <v>FY23</v>
      </c>
      <c r="N19" s="49" t="str">
        <f t="shared" si="10"/>
        <v>FY24</v>
      </c>
      <c r="O19" s="49" t="str">
        <f t="shared" si="10"/>
        <v>FY25</v>
      </c>
      <c r="P19" s="49" t="str">
        <f t="shared" si="10"/>
        <v>FY26</v>
      </c>
      <c r="Q19" s="49" t="str">
        <f t="shared" si="10"/>
        <v>FY27</v>
      </c>
      <c r="R19" s="49" t="str">
        <f t="shared" si="10"/>
        <v>FY28</v>
      </c>
      <c r="S19" s="49" t="str">
        <f t="shared" si="10"/>
        <v>FY29</v>
      </c>
      <c r="T19" s="49" t="str">
        <f t="shared" ref="T19:AI19" si="11">"FY"&amp;RIGHT(T18,2)</f>
        <v>FY30</v>
      </c>
      <c r="U19" s="49" t="str">
        <f t="shared" si="11"/>
        <v>FY31</v>
      </c>
      <c r="V19" s="49" t="str">
        <f t="shared" si="11"/>
        <v>FY32</v>
      </c>
      <c r="W19" s="49" t="str">
        <f t="shared" si="11"/>
        <v>FY33</v>
      </c>
      <c r="X19" s="49" t="str">
        <f t="shared" si="11"/>
        <v>FY34</v>
      </c>
      <c r="Y19" s="49" t="str">
        <f t="shared" si="11"/>
        <v>FY35</v>
      </c>
      <c r="Z19" s="49" t="str">
        <f t="shared" si="11"/>
        <v>FY36</v>
      </c>
      <c r="AA19" s="49" t="str">
        <f t="shared" si="11"/>
        <v>FY37</v>
      </c>
      <c r="AB19" s="49" t="str">
        <f t="shared" si="11"/>
        <v>FY38</v>
      </c>
      <c r="AC19" s="49" t="str">
        <f t="shared" si="11"/>
        <v>FY39</v>
      </c>
      <c r="AD19" s="49" t="str">
        <f t="shared" si="11"/>
        <v>FY40</v>
      </c>
      <c r="AE19" s="49" t="str">
        <f t="shared" si="11"/>
        <v>FY41</v>
      </c>
      <c r="AF19" s="49" t="str">
        <f t="shared" si="11"/>
        <v>FY42</v>
      </c>
      <c r="AG19" s="49" t="str">
        <f t="shared" si="11"/>
        <v>FY43</v>
      </c>
      <c r="AH19" s="49" t="str">
        <f t="shared" si="11"/>
        <v>FY44</v>
      </c>
      <c r="AI19" s="49" t="str">
        <f t="shared" si="11"/>
        <v>FY45</v>
      </c>
    </row>
    <row r="20" spans="2:35" x14ac:dyDescent="0.3">
      <c r="L20" s="17"/>
      <c r="M20" s="18"/>
      <c r="N20" s="18"/>
      <c r="O20" s="18"/>
    </row>
    <row r="21" spans="2:35" s="2" customFormat="1" ht="15" x14ac:dyDescent="0.3">
      <c r="B21" s="2" t="s">
        <v>783</v>
      </c>
    </row>
    <row r="22" spans="2:35" x14ac:dyDescent="0.3">
      <c r="L22" s="17"/>
      <c r="M22" s="18"/>
      <c r="N22" s="18"/>
      <c r="O22" s="18"/>
    </row>
    <row r="23" spans="2:35" ht="13.15" x14ac:dyDescent="0.3">
      <c r="C23" s="4" t="s">
        <v>0</v>
      </c>
      <c r="E23" s="14" t="s">
        <v>1</v>
      </c>
    </row>
    <row r="24" spans="2:35" x14ac:dyDescent="0.3">
      <c r="E24" s="15"/>
    </row>
    <row r="25" spans="2:35" ht="12.75" x14ac:dyDescent="0.3">
      <c r="D25" s="12">
        <v>12</v>
      </c>
      <c r="E25" s="16" t="s">
        <v>2</v>
      </c>
    </row>
    <row r="26" spans="2:35" ht="12.75" x14ac:dyDescent="0.3">
      <c r="D26" s="264">
        <v>0.01</v>
      </c>
      <c r="E26" s="16" t="s">
        <v>94</v>
      </c>
    </row>
    <row r="27" spans="2:35" ht="12.75" x14ac:dyDescent="0.3">
      <c r="D27" s="12">
        <v>1E-3</v>
      </c>
      <c r="E27" s="16" t="s">
        <v>93</v>
      </c>
    </row>
    <row r="28" spans="2:35" ht="12.75" x14ac:dyDescent="0.3">
      <c r="D28" s="12">
        <v>1E-3</v>
      </c>
      <c r="E28" s="16" t="s">
        <v>612</v>
      </c>
    </row>
    <row r="29" spans="2:35" ht="12.75" x14ac:dyDescent="0.3">
      <c r="D29" s="12">
        <v>1000</v>
      </c>
      <c r="E29" s="16" t="s">
        <v>253</v>
      </c>
    </row>
    <row r="30" spans="2:35" ht="12.75" x14ac:dyDescent="0.3">
      <c r="D30" s="12">
        <v>1000</v>
      </c>
      <c r="E30" s="16" t="s">
        <v>529</v>
      </c>
    </row>
    <row r="31" spans="2:35" ht="12.75" x14ac:dyDescent="0.3">
      <c r="D31" s="12">
        <v>1000</v>
      </c>
      <c r="E31" s="16" t="s">
        <v>263</v>
      </c>
    </row>
    <row r="32" spans="2:35" ht="12.75" x14ac:dyDescent="0.3">
      <c r="D32" s="12" t="s">
        <v>21</v>
      </c>
      <c r="E32" s="16" t="s">
        <v>22</v>
      </c>
    </row>
    <row r="33" spans="3:5" x14ac:dyDescent="0.3">
      <c r="E33" s="15"/>
    </row>
    <row r="34" spans="3:5" ht="13.15" x14ac:dyDescent="0.3">
      <c r="C34" s="4" t="s">
        <v>0</v>
      </c>
      <c r="E34" s="14" t="s">
        <v>1</v>
      </c>
    </row>
    <row r="35" spans="3:5" ht="12.75" x14ac:dyDescent="0.3">
      <c r="E35" s="16" t="s">
        <v>6</v>
      </c>
    </row>
    <row r="36" spans="3:5" ht="12.75" x14ac:dyDescent="0.3">
      <c r="D36" s="12" t="s">
        <v>4</v>
      </c>
      <c r="E36" s="16" t="s">
        <v>4</v>
      </c>
    </row>
    <row r="37" spans="3:5" ht="12.75" x14ac:dyDescent="0.3">
      <c r="D37" s="12" t="s">
        <v>5</v>
      </c>
      <c r="E37" s="16" t="s">
        <v>5</v>
      </c>
    </row>
    <row r="38" spans="3:5" x14ac:dyDescent="0.3">
      <c r="E38" s="15"/>
    </row>
    <row r="39" spans="3:5" ht="13.15" x14ac:dyDescent="0.3">
      <c r="C39" s="4" t="s">
        <v>42</v>
      </c>
      <c r="E39" s="14" t="s">
        <v>1</v>
      </c>
    </row>
    <row r="40" spans="3:5" ht="12.75" x14ac:dyDescent="0.3">
      <c r="E40" s="16" t="s">
        <v>50</v>
      </c>
    </row>
    <row r="41" spans="3:5" ht="12.75" x14ac:dyDescent="0.3">
      <c r="D41" s="12" t="s">
        <v>43</v>
      </c>
      <c r="E41" s="16" t="s">
        <v>43</v>
      </c>
    </row>
    <row r="42" spans="3:5" ht="12.75" x14ac:dyDescent="0.3">
      <c r="D42" s="12" t="s">
        <v>44</v>
      </c>
      <c r="E42" s="16" t="s">
        <v>44</v>
      </c>
    </row>
    <row r="43" spans="3:5" ht="12.75" x14ac:dyDescent="0.3">
      <c r="D43" s="264" t="s">
        <v>46</v>
      </c>
      <c r="E43" s="16" t="s">
        <v>48</v>
      </c>
    </row>
    <row r="44" spans="3:5" ht="12.75" x14ac:dyDescent="0.3">
      <c r="D44" s="264" t="s">
        <v>47</v>
      </c>
      <c r="E44" s="16" t="s">
        <v>49</v>
      </c>
    </row>
    <row r="45" spans="3:5" ht="12.75" x14ac:dyDescent="0.3">
      <c r="D45" s="264" t="s">
        <v>45</v>
      </c>
      <c r="E45" s="16" t="s">
        <v>45</v>
      </c>
    </row>
    <row r="46" spans="3:5" ht="12.75" x14ac:dyDescent="0.3">
      <c r="D46" s="264" t="s">
        <v>54</v>
      </c>
      <c r="E46" s="16" t="s">
        <v>54</v>
      </c>
    </row>
    <row r="47" spans="3:5" ht="12.75" x14ac:dyDescent="0.3">
      <c r="D47" s="264" t="s">
        <v>478</v>
      </c>
      <c r="E47" s="58" t="str">
        <f t="shared" ref="E47:E63" si="12">NA</f>
        <v>N/A</v>
      </c>
    </row>
    <row r="48" spans="3:5" ht="12.75" x14ac:dyDescent="0.3">
      <c r="D48" s="264" t="s">
        <v>203</v>
      </c>
      <c r="E48" s="58" t="str">
        <f t="shared" si="12"/>
        <v>N/A</v>
      </c>
    </row>
    <row r="49" spans="4:5" ht="12.75" x14ac:dyDescent="0.3">
      <c r="D49" s="264" t="s">
        <v>497</v>
      </c>
      <c r="E49" s="58" t="str">
        <f t="shared" si="12"/>
        <v>N/A</v>
      </c>
    </row>
    <row r="50" spans="4:5" ht="12.75" x14ac:dyDescent="0.3">
      <c r="D50" s="264" t="s">
        <v>72</v>
      </c>
      <c r="E50" s="58" t="str">
        <f t="shared" si="12"/>
        <v>N/A</v>
      </c>
    </row>
    <row r="51" spans="4:5" ht="12.75" x14ac:dyDescent="0.3">
      <c r="D51" s="264" t="s">
        <v>73</v>
      </c>
      <c r="E51" s="58" t="str">
        <f t="shared" si="12"/>
        <v>N/A</v>
      </c>
    </row>
    <row r="52" spans="4:5" ht="12.75" x14ac:dyDescent="0.3">
      <c r="D52" s="264" t="s">
        <v>75</v>
      </c>
      <c r="E52" s="58" t="str">
        <f t="shared" si="12"/>
        <v>N/A</v>
      </c>
    </row>
    <row r="53" spans="4:5" ht="12.75" x14ac:dyDescent="0.3">
      <c r="D53" s="264" t="s">
        <v>193</v>
      </c>
      <c r="E53" s="58" t="str">
        <f t="shared" si="12"/>
        <v>N/A</v>
      </c>
    </row>
    <row r="54" spans="4:5" ht="12.75" x14ac:dyDescent="0.3">
      <c r="D54" s="264" t="s">
        <v>77</v>
      </c>
      <c r="E54" s="58" t="str">
        <f t="shared" si="12"/>
        <v>N/A</v>
      </c>
    </row>
    <row r="55" spans="4:5" ht="12.75" x14ac:dyDescent="0.3">
      <c r="D55" s="264" t="s">
        <v>255</v>
      </c>
      <c r="E55" s="58" t="str">
        <f t="shared" si="12"/>
        <v>N/A</v>
      </c>
    </row>
    <row r="56" spans="4:5" ht="12.75" x14ac:dyDescent="0.3">
      <c r="D56" s="264" t="s">
        <v>80</v>
      </c>
      <c r="E56" s="58" t="str">
        <f t="shared" si="12"/>
        <v>N/A</v>
      </c>
    </row>
    <row r="57" spans="4:5" ht="12.75" x14ac:dyDescent="0.3">
      <c r="D57" s="264" t="s">
        <v>81</v>
      </c>
      <c r="E57" s="58" t="str">
        <f t="shared" si="12"/>
        <v>N/A</v>
      </c>
    </row>
    <row r="58" spans="4:5" ht="12.75" x14ac:dyDescent="0.3">
      <c r="D58" s="264" t="s">
        <v>82</v>
      </c>
      <c r="E58" s="58" t="str">
        <f t="shared" si="12"/>
        <v>N/A</v>
      </c>
    </row>
    <row r="59" spans="4:5" ht="12.75" x14ac:dyDescent="0.3">
      <c r="D59" s="264" t="s">
        <v>528</v>
      </c>
      <c r="E59" s="58" t="str">
        <f t="shared" si="12"/>
        <v>N/A</v>
      </c>
    </row>
    <row r="60" spans="4:5" ht="12.75" x14ac:dyDescent="0.3">
      <c r="D60" s="264" t="s">
        <v>83</v>
      </c>
      <c r="E60" s="58" t="str">
        <f t="shared" si="12"/>
        <v>N/A</v>
      </c>
    </row>
    <row r="61" spans="4:5" ht="12.75" x14ac:dyDescent="0.3">
      <c r="D61" s="264" t="s">
        <v>254</v>
      </c>
      <c r="E61" s="58" t="str">
        <f t="shared" si="12"/>
        <v>N/A</v>
      </c>
    </row>
    <row r="62" spans="4:5" ht="12.75" x14ac:dyDescent="0.3">
      <c r="D62" s="12" t="s">
        <v>264</v>
      </c>
      <c r="E62" s="58" t="str">
        <f t="shared" si="12"/>
        <v>N/A</v>
      </c>
    </row>
    <row r="63" spans="4:5" ht="12.75" x14ac:dyDescent="0.3">
      <c r="D63" s="12" t="s">
        <v>84</v>
      </c>
      <c r="E63" s="58" t="str">
        <f t="shared" si="12"/>
        <v>N/A</v>
      </c>
    </row>
    <row r="64" spans="4:5" ht="12.75" x14ac:dyDescent="0.3">
      <c r="D64" s="12" t="s">
        <v>56</v>
      </c>
      <c r="E64" s="58" t="s">
        <v>57</v>
      </c>
    </row>
    <row r="65" spans="3:5" ht="12.75" x14ac:dyDescent="0.3">
      <c r="D65" s="12" t="str">
        <f>NA</f>
        <v>N/A</v>
      </c>
      <c r="E65" s="16" t="s">
        <v>53</v>
      </c>
    </row>
    <row r="66" spans="3:5" x14ac:dyDescent="0.3">
      <c r="E66" s="15"/>
    </row>
    <row r="67" spans="3:5" ht="13.15" x14ac:dyDescent="0.3">
      <c r="C67" s="4" t="s">
        <v>38</v>
      </c>
      <c r="E67" s="14" t="s">
        <v>1</v>
      </c>
    </row>
    <row r="68" spans="3:5" ht="12.75" x14ac:dyDescent="0.3">
      <c r="E68" s="16" t="s">
        <v>41</v>
      </c>
    </row>
    <row r="69" spans="3:5" ht="12.75" x14ac:dyDescent="0.3">
      <c r="D69" s="264" t="s">
        <v>237</v>
      </c>
      <c r="E69" s="58" t="s">
        <v>240</v>
      </c>
    </row>
    <row r="70" spans="3:5" ht="12.75" x14ac:dyDescent="0.3">
      <c r="D70" s="264" t="s">
        <v>238</v>
      </c>
      <c r="E70" s="58" t="s">
        <v>241</v>
      </c>
    </row>
    <row r="71" spans="3:5" ht="12.75" x14ac:dyDescent="0.3">
      <c r="D71" s="12" t="s">
        <v>239</v>
      </c>
      <c r="E71" s="16" t="s">
        <v>242</v>
      </c>
    </row>
    <row r="72" spans="3:5" ht="12.75" x14ac:dyDescent="0.3">
      <c r="D72" s="12" t="s">
        <v>204</v>
      </c>
      <c r="E72" s="16"/>
    </row>
    <row r="73" spans="3:5" ht="12.75" x14ac:dyDescent="0.3">
      <c r="D73" s="12" t="str">
        <f>NA</f>
        <v>N/A</v>
      </c>
      <c r="E73" s="16" t="s">
        <v>53</v>
      </c>
    </row>
    <row r="74" spans="3:5" ht="12.75" x14ac:dyDescent="0.3">
      <c r="D74" s="12" t="s">
        <v>40</v>
      </c>
      <c r="E74" s="16" t="s">
        <v>40</v>
      </c>
    </row>
    <row r="75" spans="3:5" x14ac:dyDescent="0.3">
      <c r="E75" s="15"/>
    </row>
    <row r="76" spans="3:5" ht="13.15" x14ac:dyDescent="0.3">
      <c r="C76" s="4" t="s">
        <v>782</v>
      </c>
      <c r="E76" s="14" t="s">
        <v>1</v>
      </c>
    </row>
    <row r="77" spans="3:5" ht="12.75" x14ac:dyDescent="0.3">
      <c r="E77" s="16" t="s">
        <v>221</v>
      </c>
    </row>
    <row r="78" spans="3:5" ht="12.75" x14ac:dyDescent="0.3">
      <c r="D78" s="12" t="s">
        <v>35</v>
      </c>
      <c r="E78" s="16"/>
    </row>
    <row r="79" spans="3:5" ht="12.75" x14ac:dyDescent="0.3">
      <c r="D79" s="12" t="s">
        <v>220</v>
      </c>
      <c r="E79" s="16"/>
    </row>
    <row r="80" spans="3:5" ht="12.75" x14ac:dyDescent="0.3">
      <c r="D80" s="12" t="s">
        <v>222</v>
      </c>
      <c r="E80" s="16" t="s">
        <v>223</v>
      </c>
    </row>
    <row r="81" spans="3:5 16380:16381" x14ac:dyDescent="0.3">
      <c r="E81" s="15"/>
    </row>
    <row r="82" spans="3:5 16380:16381" ht="13.15" x14ac:dyDescent="0.3">
      <c r="C82" s="4" t="s">
        <v>781</v>
      </c>
      <c r="E82" s="14" t="s">
        <v>1</v>
      </c>
    </row>
    <row r="83" spans="3:5 16380:16381" ht="12.75" x14ac:dyDescent="0.3">
      <c r="E83" s="16" t="s">
        <v>85</v>
      </c>
    </row>
    <row r="84" spans="3:5 16380:16381" ht="12.75" x14ac:dyDescent="0.3">
      <c r="D84" s="12" t="s">
        <v>64</v>
      </c>
    </row>
    <row r="85" spans="3:5 16380:16381" ht="12.75" x14ac:dyDescent="0.3">
      <c r="D85" s="12" t="s">
        <v>70</v>
      </c>
    </row>
    <row r="86" spans="3:5 16380:16381" ht="12.75" x14ac:dyDescent="0.3">
      <c r="D86" s="12" t="s">
        <v>69</v>
      </c>
    </row>
    <row r="88" spans="3:5 16380:16381" ht="13.15" x14ac:dyDescent="0.3">
      <c r="C88" s="4" t="s">
        <v>780</v>
      </c>
      <c r="E88" s="14" t="s">
        <v>1</v>
      </c>
    </row>
    <row r="89" spans="3:5 16380:16381" ht="12.75" x14ac:dyDescent="0.3">
      <c r="E89" s="16" t="s">
        <v>271</v>
      </c>
      <c r="XEZ89" s="16" t="s">
        <v>89</v>
      </c>
      <c r="XFA89" s="16" t="s">
        <v>100</v>
      </c>
    </row>
    <row r="90" spans="3:5 16380:16381" ht="12.75" x14ac:dyDescent="0.3">
      <c r="D90" s="12" t="s">
        <v>243</v>
      </c>
      <c r="XEZ90" s="12" t="s">
        <v>63</v>
      </c>
      <c r="XFA90" s="12" t="s">
        <v>63</v>
      </c>
    </row>
    <row r="91" spans="3:5 16380:16381" ht="12.75" x14ac:dyDescent="0.3">
      <c r="D91" s="12" t="s">
        <v>244</v>
      </c>
      <c r="XEZ91" s="12" t="s">
        <v>65</v>
      </c>
      <c r="XFA91" s="12" t="s">
        <v>65</v>
      </c>
    </row>
    <row r="92" spans="3:5 16380:16381" ht="12.75" x14ac:dyDescent="0.3">
      <c r="D92" s="12" t="s">
        <v>245</v>
      </c>
      <c r="XEZ92" s="12" t="s">
        <v>86</v>
      </c>
      <c r="XFA92" s="12" t="s">
        <v>66</v>
      </c>
    </row>
    <row r="93" spans="3:5 16380:16381" ht="12.75" x14ac:dyDescent="0.3">
      <c r="D93" s="12" t="s">
        <v>246</v>
      </c>
      <c r="XEZ93" s="12" t="s">
        <v>87</v>
      </c>
      <c r="XFA93" s="12" t="s">
        <v>66</v>
      </c>
    </row>
    <row r="94" spans="3:5 16380:16381" ht="12.75" x14ac:dyDescent="0.3">
      <c r="D94" s="12" t="s">
        <v>247</v>
      </c>
      <c r="XEZ94" s="12" t="s">
        <v>88</v>
      </c>
      <c r="XFA94" s="12" t="s">
        <v>101</v>
      </c>
    </row>
    <row r="95" spans="3:5 16380:16381" ht="12.75" x14ac:dyDescent="0.3">
      <c r="D95" s="12" t="s">
        <v>248</v>
      </c>
      <c r="XEZ95" s="12" t="s">
        <v>78</v>
      </c>
      <c r="XFA95" s="12" t="s">
        <v>101</v>
      </c>
    </row>
    <row r="96" spans="3:5 16380:16381" ht="12.75" x14ac:dyDescent="0.3">
      <c r="D96" s="12" t="s">
        <v>249</v>
      </c>
      <c r="XEZ96" s="12" t="s">
        <v>68</v>
      </c>
      <c r="XFA96" s="12" t="s">
        <v>68</v>
      </c>
    </row>
    <row r="97" spans="2:5 16380:16381" ht="12.75" x14ac:dyDescent="0.3">
      <c r="D97" s="12" t="s">
        <v>250</v>
      </c>
      <c r="XEZ97" s="12" t="s">
        <v>70</v>
      </c>
      <c r="XFA97" s="12" t="s">
        <v>70</v>
      </c>
    </row>
    <row r="98" spans="2:5 16380:16381" ht="12.75" x14ac:dyDescent="0.3">
      <c r="D98" s="12" t="s">
        <v>251</v>
      </c>
      <c r="XEZ98" s="12" t="s">
        <v>71</v>
      </c>
      <c r="XFA98" s="12" t="s">
        <v>71</v>
      </c>
    </row>
    <row r="100" spans="2:5 16380:16381" ht="13.15" x14ac:dyDescent="0.3">
      <c r="C100" s="4" t="s">
        <v>741</v>
      </c>
      <c r="E100" s="14" t="s">
        <v>1</v>
      </c>
    </row>
    <row r="101" spans="2:5 16380:16381" ht="12.75" x14ac:dyDescent="0.3">
      <c r="E101" s="16" t="s">
        <v>259</v>
      </c>
    </row>
    <row r="102" spans="2:5 16380:16381" ht="12.75" x14ac:dyDescent="0.3">
      <c r="D102" s="12" t="s">
        <v>257</v>
      </c>
    </row>
    <row r="103" spans="2:5 16380:16381" ht="12.75" x14ac:dyDescent="0.3">
      <c r="D103" s="12" t="s">
        <v>69</v>
      </c>
    </row>
    <row r="104" spans="2:5 16380:16381" ht="12.75" x14ac:dyDescent="0.3">
      <c r="D104" s="12" t="s">
        <v>258</v>
      </c>
    </row>
    <row r="107" spans="2:5 16380:16381" s="2" customFormat="1" ht="15" x14ac:dyDescent="0.3">
      <c r="B107" s="2" t="s">
        <v>20</v>
      </c>
    </row>
  </sheetData>
  <conditionalFormatting sqref="B2">
    <cfRule type="cellIs" dxfId="1" priority="1"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1:H3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10.15" x14ac:dyDescent="0.3"/>
  <cols>
    <col min="1" max="3" width="2.83203125" customWidth="1"/>
    <col min="4" max="4" width="36.83203125" customWidth="1"/>
    <col min="5" max="7" width="3.83203125" customWidth="1"/>
  </cols>
  <sheetData>
    <row r="1" spans="2:8" ht="18.75" x14ac:dyDescent="0.3">
      <c r="B1" s="3" t="s">
        <v>9</v>
      </c>
    </row>
    <row r="2" spans="2:8" x14ac:dyDescent="0.3">
      <c r="B2" s="13" t="str">
        <f ca="1">Title_Msg</f>
        <v>No Errors Found</v>
      </c>
    </row>
    <row r="3" spans="2:8" x14ac:dyDescent="0.3">
      <c r="B3" s="46" t="str">
        <f>TOC!B1</f>
        <v>Table of contents</v>
      </c>
      <c r="C3" s="42"/>
      <c r="D3" s="42"/>
      <c r="E3" s="42"/>
    </row>
    <row r="4" spans="2:8" ht="13.15" x14ac:dyDescent="0.3">
      <c r="B4" s="40" t="str">
        <f>Model_Name</f>
        <v>Pricing Model - Power and Water Corporation</v>
      </c>
    </row>
    <row r="6" spans="2:8" s="2" customFormat="1" ht="15" x14ac:dyDescent="0.3">
      <c r="B6" s="2" t="s">
        <v>773</v>
      </c>
    </row>
    <row r="8" spans="2:8" ht="12.75" x14ac:dyDescent="0.3">
      <c r="D8" s="6" t="s">
        <v>774</v>
      </c>
      <c r="H8" s="7" t="str">
        <f ca="1">IF(H32=0,"No Errors Found","Errors Found")</f>
        <v>No Errors Found</v>
      </c>
    </row>
    <row r="9" spans="2:8" ht="12.75" x14ac:dyDescent="0.3">
      <c r="D9" s="6" t="s">
        <v>775</v>
      </c>
      <c r="H9" s="6"/>
    </row>
    <row r="10" spans="2:8" ht="12.75" x14ac:dyDescent="0.3">
      <c r="D10" s="6" t="s">
        <v>776</v>
      </c>
      <c r="H10" s="24" t="str">
        <f ca="1">H8&amp;IF(H9="","",", " &amp;H9)</f>
        <v>No Errors Found</v>
      </c>
    </row>
    <row r="12" spans="2:8" s="2" customFormat="1" ht="15" x14ac:dyDescent="0.3">
      <c r="B12" s="2" t="s">
        <v>777</v>
      </c>
    </row>
    <row r="14" spans="2:8" s="8" customFormat="1" ht="13.9" x14ac:dyDescent="0.3">
      <c r="C14" s="8" t="s">
        <v>778</v>
      </c>
    </row>
    <row r="16" spans="2:8" ht="12.75" x14ac:dyDescent="0.3">
      <c r="D16" s="6" t="str">
        <f>Inputs_Prices!$B$1</f>
        <v>Inputs - Prices</v>
      </c>
      <c r="H16" s="59">
        <f>Inputs_Prices!$A$1</f>
        <v>0</v>
      </c>
    </row>
    <row r="17" spans="2:8" ht="12.75" x14ac:dyDescent="0.3">
      <c r="D17" s="6" t="str">
        <f>Inputs_Volumes!$B$1</f>
        <v>Inputs - Volumes</v>
      </c>
      <c r="H17" s="59">
        <f>Inputs_Volumes!$A$1</f>
        <v>0</v>
      </c>
    </row>
    <row r="18" spans="2:8" ht="12.75" x14ac:dyDescent="0.3">
      <c r="D18" s="6" t="str">
        <f>Inputs_LRMC!$B$1</f>
        <v>Inputs - LRMC</v>
      </c>
      <c r="H18" s="59">
        <f>Inputs_LRMC!$A$1</f>
        <v>0</v>
      </c>
    </row>
    <row r="19" spans="2:8" ht="12.75" x14ac:dyDescent="0.3">
      <c r="D19" s="6" t="str">
        <f>Inputs_FY23_FY24!$B$1</f>
        <v>Inputs - FY23 and FY24</v>
      </c>
      <c r="H19" s="59">
        <f>Inputs_FY23_FY24!$A$1</f>
        <v>0</v>
      </c>
    </row>
    <row r="20" spans="2:8" ht="12.75" x14ac:dyDescent="0.3">
      <c r="D20" s="6" t="str">
        <f>Inputs_Other!$B$1</f>
        <v>Inputs - Other</v>
      </c>
      <c r="H20" s="59">
        <f>Inputs_Other!$A$1</f>
        <v>0</v>
      </c>
    </row>
    <row r="21" spans="2:8" ht="12.75" x14ac:dyDescent="0.3">
      <c r="B21" s="19"/>
      <c r="D21" s="6" t="str">
        <f>Calc_Revenue!$B$1</f>
        <v>Calculation - Cost of supply - Revenue</v>
      </c>
      <c r="H21" s="59">
        <f>Calc_Revenue!$A$1</f>
        <v>0</v>
      </c>
    </row>
    <row r="22" spans="2:8" ht="13.15" x14ac:dyDescent="0.3">
      <c r="C22" s="9"/>
      <c r="D22" s="6" t="str">
        <f>Calc_A_SA_Cost!$B$1</f>
        <v>Calculation - Avoidable and stand-alone cost</v>
      </c>
      <c r="H22" s="59">
        <f ca="1">Calc_A_SA_Cost!$A$1</f>
        <v>0</v>
      </c>
    </row>
    <row r="23" spans="2:8" ht="13.15" x14ac:dyDescent="0.3">
      <c r="C23" s="9"/>
      <c r="D23" s="6" t="str">
        <f>Calc_LRMC!$B$1</f>
        <v>Calculation - Long run marginal cost (LRMC)</v>
      </c>
      <c r="H23" s="59">
        <f ca="1">Calc_LRMC!$A$1</f>
        <v>0</v>
      </c>
    </row>
    <row r="24" spans="2:8" ht="12.75" x14ac:dyDescent="0.3">
      <c r="B24" s="19"/>
      <c r="D24" s="6" t="str">
        <f>Calc_LRMC_Tariff!$B$1</f>
        <v>Calculation - LRMC by tariff</v>
      </c>
      <c r="H24" s="59">
        <f ca="1">Calc_LRMC_Tariff!$A$1</f>
        <v>0</v>
      </c>
    </row>
    <row r="25" spans="2:8" ht="12.75" x14ac:dyDescent="0.3">
      <c r="B25" s="19"/>
      <c r="D25" s="6" t="str">
        <f>Calc_Residual_Tariff!$B$1</f>
        <v>Calculation - Residual cost</v>
      </c>
      <c r="H25" s="59">
        <f ca="1">Calc_Residual_Tariff!$A$1</f>
        <v>0</v>
      </c>
    </row>
    <row r="26" spans="2:8" ht="12.75" x14ac:dyDescent="0.3">
      <c r="D26" s="6" t="str">
        <f>Output_Revenue!$B$1</f>
        <v>Output - Forecast revenue</v>
      </c>
      <c r="H26" s="59">
        <f>Output_Revenue!$A$1</f>
        <v>0</v>
      </c>
    </row>
    <row r="27" spans="2:8" ht="12.75" x14ac:dyDescent="0.3">
      <c r="D27" s="11" t="str">
        <f>Output_AER_Compliance!$B$1</f>
        <v>Output - AER compliance</v>
      </c>
      <c r="H27" s="59">
        <f ca="1">Output_AER_Compliance!$A$1</f>
        <v>0</v>
      </c>
    </row>
    <row r="28" spans="2:8" ht="12.75" x14ac:dyDescent="0.3">
      <c r="D28" s="11" t="str">
        <f>Output_Charts!$B$1</f>
        <v>Output - Charts</v>
      </c>
      <c r="H28" s="59">
        <f>Output_Charts!$A$1</f>
        <v>0</v>
      </c>
    </row>
    <row r="29" spans="2:8" ht="12.75" x14ac:dyDescent="0.3">
      <c r="D29" s="11" t="str">
        <f>Output_Pricing_Proposal!$B$1</f>
        <v>Output - Pricing components of Regulatory Proposal</v>
      </c>
      <c r="H29" s="59">
        <f>Output_Pricing_Proposal!$A$1</f>
        <v>0</v>
      </c>
    </row>
    <row r="30" spans="2:8" ht="12.75" x14ac:dyDescent="0.3">
      <c r="D30" s="11" t="str">
        <f>Output_RIN!$B$1</f>
        <v>Output - Reset RIN</v>
      </c>
      <c r="H30" s="59">
        <f>Output_RIN!$A$1</f>
        <v>0</v>
      </c>
    </row>
    <row r="31" spans="2:8" ht="12.75" x14ac:dyDescent="0.3">
      <c r="C31" s="20"/>
      <c r="H31" s="22"/>
    </row>
    <row r="32" spans="2:8" ht="13.15" x14ac:dyDescent="0.3">
      <c r="C32" s="9" t="s">
        <v>779</v>
      </c>
      <c r="H32" s="23">
        <f ca="1">IF(SUM($H$16:$H$30)&gt;0,1,0)</f>
        <v>0</v>
      </c>
    </row>
    <row r="34" spans="2:2" s="2" customFormat="1" ht="15" x14ac:dyDescent="0.3">
      <c r="B34" s="2" t="s">
        <v>20</v>
      </c>
    </row>
  </sheetData>
  <conditionalFormatting sqref="B2">
    <cfRule type="cellIs" dxfId="0" priority="3" operator="notEqual">
      <formula>"No Errors Found"</formula>
    </cfRule>
  </conditionalFormatting>
  <hyperlinks>
    <hyperlink ref="B3:E3" location="TOC!A1" display="TOC!A1" xr:uid="{00000000-0004-0000-11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9930B7-FF09-44B0-B2D6-7AB20BAE38C7}">
  <ds:schemaRefs>
    <ds:schemaRef ds:uri="http://schemas.microsoft.com/sharepoint/v3/contenttype/forms"/>
  </ds:schemaRefs>
</ds:datastoreItem>
</file>

<file path=customXml/itemProps2.xml><?xml version="1.0" encoding="utf-8"?>
<ds:datastoreItem xmlns:ds="http://schemas.openxmlformats.org/officeDocument/2006/customXml" ds:itemID="{D6946AC3-FBA1-4F15-AC51-8E02DD7E22C3}"/>
</file>

<file path=customXml/itemProps3.xml><?xml version="1.0" encoding="utf-8"?>
<ds:datastoreItem xmlns:ds="http://schemas.openxmlformats.org/officeDocument/2006/customXml" ds:itemID="{C88D96C7-4ED0-4DE7-8CDA-AE28CBF240FF}">
  <ds:schemaRefs>
    <ds:schemaRef ds:uri="http://schemas.microsoft.com/PowerBIAddIn"/>
  </ds:schemaRefs>
</ds:datastoreItem>
</file>

<file path=customXml/itemProps4.xml><?xml version="1.0" encoding="utf-8"?>
<ds:datastoreItem xmlns:ds="http://schemas.openxmlformats.org/officeDocument/2006/customXml" ds:itemID="{4150D141-EA43-4C22-B987-F759E1B563FC}">
  <ds:schemaRefs>
    <ds:schemaRef ds:uri="http://purl.org/dc/dcmitype/"/>
    <ds:schemaRef ds:uri="d47eef4c-2025-4143-bb08-348a407e1d53"/>
    <ds:schemaRef ds:uri="http://schemas.microsoft.com/office/2006/metadata/properties"/>
    <ds:schemaRef ds:uri="http://www.w3.org/XML/1998/namespace"/>
    <ds:schemaRef ds:uri="4eb6023d-658b-4527-be73-24b0518f0bf9"/>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36</vt:i4>
      </vt:variant>
    </vt:vector>
  </HeadingPairs>
  <TitlesOfParts>
    <vt:vector size="55" baseType="lpstr">
      <vt:lpstr>Cover</vt:lpstr>
      <vt:lpstr>TOC</vt:lpstr>
      <vt:lpstr>Inputs_Prices</vt:lpstr>
      <vt:lpstr>Inputs_Volumes</vt:lpstr>
      <vt:lpstr>Inputs_LRMC</vt:lpstr>
      <vt:lpstr>Inputs_FY23_FY24</vt:lpstr>
      <vt:lpstr>Inputs_Other</vt:lpstr>
      <vt:lpstr>Calc_Revenue</vt:lpstr>
      <vt:lpstr>Calc_A_SA_Cost</vt:lpstr>
      <vt:lpstr>Calc_LRMC</vt:lpstr>
      <vt:lpstr>Calc_LRMC_Tariff</vt:lpstr>
      <vt:lpstr>Calc_Residual_Tariff</vt:lpstr>
      <vt:lpstr>Output_Revenue</vt:lpstr>
      <vt:lpstr>Output_AER_Compliance</vt:lpstr>
      <vt:lpstr>Output_Charts</vt:lpstr>
      <vt:lpstr>Output_Pricing_Proposal</vt:lpstr>
      <vt:lpstr>Output_RIN</vt:lpstr>
      <vt:lpstr>Lookup</vt:lpstr>
      <vt:lpstr>Checks</vt:lpstr>
      <vt:lpstr>Cents_to_Dollars</vt:lpstr>
      <vt:lpstr>Dollars</vt:lpstr>
      <vt:lpstr>Dollars_to_Thousands</vt:lpstr>
      <vt:lpstr>Factor</vt:lpstr>
      <vt:lpstr>GWh_to_MWh</vt:lpstr>
      <vt:lpstr>Kilometres</vt:lpstr>
      <vt:lpstr>LU_Basis</vt:lpstr>
      <vt:lpstr>LU_Revenue_Input</vt:lpstr>
      <vt:lpstr>LU_Tariff_Classes</vt:lpstr>
      <vt:lpstr>LU_Tariffs</vt:lpstr>
      <vt:lpstr>LU_Units</vt:lpstr>
      <vt:lpstr>LU_Voltage_Level</vt:lpstr>
      <vt:lpstr>Millions</vt:lpstr>
      <vt:lpstr>Model_Name</vt:lpstr>
      <vt:lpstr>Model_Start_Date</vt:lpstr>
      <vt:lpstr>Mths_In_Yr</vt:lpstr>
      <vt:lpstr>MW_to_kW</vt:lpstr>
      <vt:lpstr>MWh_to_kWh</vt:lpstr>
      <vt:lpstr>NA</vt:lpstr>
      <vt:lpstr>No</vt:lpstr>
      <vt:lpstr>No_Input</vt:lpstr>
      <vt:lpstr>Nominal</vt:lpstr>
      <vt:lpstr>Number</vt:lpstr>
      <vt:lpstr>Percent</vt:lpstr>
      <vt:lpstr>Power_Factor</vt:lpstr>
      <vt:lpstr>Real2022</vt:lpstr>
      <vt:lpstr>Real2023</vt:lpstr>
      <vt:lpstr>Real2024</vt:lpstr>
      <vt:lpstr>Thousands</vt:lpstr>
      <vt:lpstr>Thousands_to_Millions</vt:lpstr>
      <vt:lpstr>Title_Msg</vt:lpstr>
      <vt:lpstr>Typical_Consumption_Residential</vt:lpstr>
      <vt:lpstr>Typical_Consumption_Small_Business</vt:lpstr>
      <vt:lpstr>Voltage_Level_Mapping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2019-05-17T00:55:10Z</cp:lastPrinted>
  <dcterms:created xsi:type="dcterms:W3CDTF">2012-02-19T06:14:59Z</dcterms:created>
  <dcterms:modified xsi:type="dcterms:W3CDTF">2023-01-29T00:05:58Z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0x010100A213386B98CA9D47B153354AC72DA840</vt:lpwstr>
  </property>
</Properties>
</file>