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827"/>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C:\Users\eligr\SharePoint\Farrier Swier Consulting\FSC - 484-17 PWC Modelling WACC\03. Working\Revenue Scenarios\IP12\Submission\"/>
    </mc:Choice>
  </mc:AlternateContent>
  <xr:revisionPtr revIDLastSave="33" documentId="EF220FAF140C67C816555B7A5C0507224B8B4451" xr6:coauthVersionLast="26" xr6:coauthVersionMax="26" xr10:uidLastSave="{AAFA7FF4-D99F-4306-A6DC-321157D3F902}"/>
  <bookViews>
    <workbookView xWindow="0" yWindow="0" windowWidth="23040" windowHeight="7943" tabRatio="847" xr2:uid="{00000000-000D-0000-FFFF-FFFF00000000}"/>
  </bookViews>
  <sheets>
    <sheet name="Cover" sheetId="27" r:id="rId1"/>
    <sheet name="TOC" sheetId="28" r:id="rId2"/>
    <sheet name="Input_Data" sheetId="34" r:id="rId3"/>
    <sheet name="Calc_Returns" sheetId="49" r:id="rId4"/>
    <sheet name="Output_PTRM" sheetId="78" r:id="rId5"/>
    <sheet name="Lookup" sheetId="4" r:id="rId6"/>
    <sheet name="Checks" sheetId="25" r:id="rId7"/>
  </sheets>
  <definedNames>
    <definedName name="Base_Year">Lookup!$E$11</definedName>
    <definedName name="Beta">Input_Data!$J$130</definedName>
    <definedName name="Days_In_Wk">Lookup!$D$30</definedName>
    <definedName name="Days_In_Yr">Lookup!$D$31</definedName>
    <definedName name="Dollars">Lookup!$D$45</definedName>
    <definedName name="End_year">Lookup!$F$66</definedName>
    <definedName name="Error">Lookup!$D$35</definedName>
    <definedName name="Factor">Lookup!$D$48</definedName>
    <definedName name="Gamma">Input_Data!$J$131</definedName>
    <definedName name="Half">Lookup!$D$32</definedName>
    <definedName name="Inflation">Calc_Returns!$O$134</definedName>
    <definedName name="Kilometres">Lookup!$D$52</definedName>
    <definedName name="Leverage">Input_Data!$J$132</definedName>
    <definedName name="LU_Basis">Lookup!$D$57:$D$60</definedName>
    <definedName name="LU_Non_Network">Lookup!$D$91:$D$94</definedName>
    <definedName name="LU_Opex_View_1">Lookup!$D$105:$D$114</definedName>
    <definedName name="LU_Opex_View_2">Lookup!$D$118:$D$135</definedName>
    <definedName name="LU_Opex_View_2_Names">Lookup!$D$139:$D$153</definedName>
    <definedName name="LU_Overheads">Lookup!$D$98:$D$101</definedName>
    <definedName name="LU_Service_Long">Lookup!$D$82:$D$87</definedName>
    <definedName name="LU_Service_Short">Lookup!$E$82:$E$87</definedName>
    <definedName name="LU_Timing">Lookup!$D$64:$D$67</definedName>
    <definedName name="LU_Timing_Value">Lookup!$E$64:$E$67</definedName>
    <definedName name="LU_Units">Lookup!$D$44:$D$53</definedName>
    <definedName name="Method">Input_Data!$J$122</definedName>
    <definedName name="Mid_year">Lookup!$D$65</definedName>
    <definedName name="Millions">Lookup!$D$46</definedName>
    <definedName name="Model_Name">Cover!$B$3</definedName>
    <definedName name="Model_Start_Date">Lookup!$E$10</definedName>
    <definedName name="MRP">Input_Data!$J$129</definedName>
    <definedName name="Mths_In_Mth">Lookup!$D$26</definedName>
    <definedName name="Mths_In_Qtr">Lookup!$D$27</definedName>
    <definedName name="Mths_In_Yr">Lookup!$D$29</definedName>
    <definedName name="NA">Lookup!$D$34</definedName>
    <definedName name="No">Lookup!$D$40</definedName>
    <definedName name="Nominal">Lookup!$D$60</definedName>
    <definedName name="Number">Lookup!$D$49</definedName>
    <definedName name="Ok">Lookup!$D$33</definedName>
    <definedName name="Percent">Lookup!$D$44</definedName>
    <definedName name="Qtrs_In_Yr">Lookup!$D$28</definedName>
    <definedName name="Real2018">Lookup!$D$57</definedName>
    <definedName name="Real2019">Lookup!$D$58</definedName>
    <definedName name="RFR">Calc_Returns!$R$42</definedName>
    <definedName name="ROD">Calc_Returns!$O$136</definedName>
    <definedName name="ROE">Calc_Returns!$O$135</definedName>
    <definedName name="Start_year">Lookup!$D$64</definedName>
    <definedName name="Thousands">Lookup!$D$47</definedName>
    <definedName name="Title_Msg">Checks!$H$10</definedName>
    <definedName name="Yes">Lookup!$D$39</definedName>
    <definedName name="Yes_No">Lookup!$D$39:$D$40</definedName>
  </definedNames>
  <calcPr calcId="171027"/>
</workbook>
</file>

<file path=xl/calcChain.xml><?xml version="1.0" encoding="utf-8"?>
<calcChain xmlns="http://schemas.openxmlformats.org/spreadsheetml/2006/main">
  <c r="G33" i="34" l="1"/>
  <c r="G32" i="34"/>
  <c r="O134" i="49" l="1" a="1"/>
  <c r="O134" i="49" s="1"/>
  <c r="J118" i="49" l="1"/>
  <c r="J119" i="49"/>
  <c r="J120" i="49"/>
  <c r="J121" i="49"/>
  <c r="J122" i="49"/>
  <c r="J123" i="49"/>
  <c r="J124" i="49"/>
  <c r="J125" i="49"/>
  <c r="J117" i="49"/>
  <c r="G122" i="34" l="1"/>
  <c r="H122" i="34"/>
  <c r="H120" i="34"/>
  <c r="D95" i="34"/>
  <c r="D94" i="34"/>
  <c r="J80" i="49"/>
  <c r="J81" i="49"/>
  <c r="J82" i="49"/>
  <c r="J83" i="49"/>
  <c r="J84" i="49"/>
  <c r="J85" i="49"/>
  <c r="J86" i="49"/>
  <c r="J87" i="49"/>
  <c r="J88" i="49"/>
  <c r="J89" i="49"/>
  <c r="J90" i="49"/>
  <c r="J91" i="49"/>
  <c r="J92" i="49"/>
  <c r="J93" i="49"/>
  <c r="J94" i="49"/>
  <c r="J95" i="49"/>
  <c r="J96" i="49"/>
  <c r="J97" i="49"/>
  <c r="J98" i="49"/>
  <c r="J99" i="49"/>
  <c r="H136" i="49" l="1"/>
  <c r="K80" i="49"/>
  <c r="K81" i="49"/>
  <c r="K82" i="49"/>
  <c r="K83" i="49"/>
  <c r="K84" i="49"/>
  <c r="K85" i="49"/>
  <c r="K86" i="49"/>
  <c r="K87" i="49"/>
  <c r="K88" i="49"/>
  <c r="K89" i="49"/>
  <c r="K90" i="49"/>
  <c r="K91" i="49"/>
  <c r="K92" i="49"/>
  <c r="K93" i="49"/>
  <c r="K94" i="49"/>
  <c r="K95" i="49"/>
  <c r="K96" i="49"/>
  <c r="K97" i="49"/>
  <c r="K98" i="49"/>
  <c r="K99" i="49"/>
  <c r="F80" i="49"/>
  <c r="H80" i="49"/>
  <c r="F81" i="49"/>
  <c r="H81" i="49"/>
  <c r="D80" i="49"/>
  <c r="D81" i="49"/>
  <c r="D82" i="49"/>
  <c r="D83" i="49"/>
  <c r="D84" i="49"/>
  <c r="D85" i="49"/>
  <c r="D86" i="49"/>
  <c r="D87" i="49"/>
  <c r="D88" i="49"/>
  <c r="D89" i="49"/>
  <c r="D90" i="49"/>
  <c r="D91" i="49"/>
  <c r="D92" i="49"/>
  <c r="D93" i="49"/>
  <c r="D94" i="49"/>
  <c r="D95" i="49"/>
  <c r="D96" i="49"/>
  <c r="D97" i="49"/>
  <c r="D98" i="49"/>
  <c r="D99" i="49"/>
  <c r="H68" i="34"/>
  <c r="F68" i="34"/>
  <c r="H67" i="34"/>
  <c r="F67" i="34"/>
  <c r="F50" i="49"/>
  <c r="H50" i="49"/>
  <c r="F51" i="49"/>
  <c r="H51" i="49"/>
  <c r="F52" i="49"/>
  <c r="H52" i="49"/>
  <c r="N20" i="49"/>
  <c r="K20" i="49"/>
  <c r="F20" i="49"/>
  <c r="H20" i="49"/>
  <c r="D20" i="49"/>
  <c r="D50" i="49" s="1"/>
  <c r="H39" i="34"/>
  <c r="F39" i="34"/>
  <c r="H41" i="34"/>
  <c r="F41" i="34"/>
  <c r="H40" i="34"/>
  <c r="F40" i="34"/>
  <c r="K21" i="49"/>
  <c r="N21" i="49"/>
  <c r="K22" i="49"/>
  <c r="N22" i="49"/>
  <c r="H22" i="49"/>
  <c r="F22" i="49"/>
  <c r="H21" i="49"/>
  <c r="F21" i="49"/>
  <c r="D21" i="49"/>
  <c r="P21" i="49" s="1"/>
  <c r="D22" i="49"/>
  <c r="P22" i="49" s="1"/>
  <c r="D23" i="49"/>
  <c r="D53" i="49" s="1"/>
  <c r="D24" i="49"/>
  <c r="D54" i="49" s="1"/>
  <c r="D25" i="49"/>
  <c r="D55" i="49" s="1"/>
  <c r="D26" i="49"/>
  <c r="D56" i="49" s="1"/>
  <c r="D27" i="49"/>
  <c r="D57" i="49" s="1"/>
  <c r="D28" i="49"/>
  <c r="D58" i="49" s="1"/>
  <c r="D29" i="49"/>
  <c r="D59" i="49" s="1"/>
  <c r="D30" i="49"/>
  <c r="D60" i="49" s="1"/>
  <c r="D31" i="49"/>
  <c r="D61" i="49" s="1"/>
  <c r="D32" i="49"/>
  <c r="D62" i="49" s="1"/>
  <c r="D33" i="49"/>
  <c r="D63" i="49" s="1"/>
  <c r="D34" i="49"/>
  <c r="D64" i="49" s="1"/>
  <c r="D35" i="49"/>
  <c r="D65" i="49" s="1"/>
  <c r="D36" i="49"/>
  <c r="D66" i="49" s="1"/>
  <c r="D37" i="49"/>
  <c r="D67" i="49" s="1"/>
  <c r="D38" i="49"/>
  <c r="D68" i="49" s="1"/>
  <c r="D39" i="49"/>
  <c r="D69" i="49" s="1"/>
  <c r="D40" i="49"/>
  <c r="D70" i="49" s="1"/>
  <c r="D19" i="49"/>
  <c r="D49" i="49" s="1"/>
  <c r="D51" i="49" l="1"/>
  <c r="P20" i="49"/>
  <c r="D52" i="49"/>
  <c r="J18" i="34"/>
  <c r="K18" i="34"/>
  <c r="L18" i="34"/>
  <c r="D18" i="25" l="1"/>
  <c r="D26" i="25"/>
  <c r="H26" i="25"/>
  <c r="O18" i="78"/>
  <c r="H134" i="49"/>
  <c r="F134" i="49"/>
  <c r="W5" i="34"/>
  <c r="X5" i="34"/>
  <c r="W6" i="34"/>
  <c r="X6" i="34"/>
  <c r="W7" i="34"/>
  <c r="X7" i="34"/>
  <c r="W8" i="34"/>
  <c r="X8" i="34"/>
  <c r="W9" i="34"/>
  <c r="X9" i="34"/>
  <c r="W10" i="34"/>
  <c r="W16" i="34" s="1"/>
  <c r="X10" i="34"/>
  <c r="X16" i="34" s="1"/>
  <c r="U5" i="34"/>
  <c r="V5" i="34"/>
  <c r="U6" i="34"/>
  <c r="V6" i="34"/>
  <c r="U7" i="34"/>
  <c r="V7" i="34"/>
  <c r="U8" i="34"/>
  <c r="V8" i="34"/>
  <c r="U9" i="34"/>
  <c r="V9" i="34"/>
  <c r="U10" i="34"/>
  <c r="U16" i="34" s="1"/>
  <c r="V10" i="34"/>
  <c r="V16" i="34" s="1"/>
  <c r="T10" i="34"/>
  <c r="T16" i="34" s="1"/>
  <c r="T9" i="34"/>
  <c r="T8" i="34"/>
  <c r="T7" i="34"/>
  <c r="T6" i="34"/>
  <c r="T5" i="34"/>
  <c r="H20" i="34"/>
  <c r="G20" i="34"/>
  <c r="F20" i="34"/>
  <c r="H19" i="34"/>
  <c r="G19" i="34"/>
  <c r="F19" i="34"/>
  <c r="L70" i="49"/>
  <c r="L49" i="49"/>
  <c r="K70" i="49"/>
  <c r="K49" i="49"/>
  <c r="J70" i="49"/>
  <c r="J49" i="49"/>
  <c r="H72" i="49"/>
  <c r="H70" i="49"/>
  <c r="F70" i="49"/>
  <c r="H69" i="49"/>
  <c r="F69" i="49"/>
  <c r="H68" i="49"/>
  <c r="F68" i="49"/>
  <c r="H67" i="49"/>
  <c r="F67" i="49"/>
  <c r="H66" i="49"/>
  <c r="F66" i="49"/>
  <c r="H65" i="49"/>
  <c r="F65" i="49"/>
  <c r="H64" i="49"/>
  <c r="F64" i="49"/>
  <c r="H63" i="49"/>
  <c r="F63" i="49"/>
  <c r="H62" i="49"/>
  <c r="F62" i="49"/>
  <c r="H61" i="49"/>
  <c r="F61" i="49"/>
  <c r="H60" i="49"/>
  <c r="F60" i="49"/>
  <c r="H59" i="49"/>
  <c r="F59" i="49"/>
  <c r="H58" i="49"/>
  <c r="F58" i="49"/>
  <c r="H57" i="49"/>
  <c r="F57" i="49"/>
  <c r="H56" i="49"/>
  <c r="F56" i="49"/>
  <c r="H55" i="49"/>
  <c r="F55" i="49"/>
  <c r="H54" i="49"/>
  <c r="F54" i="49"/>
  <c r="H53" i="49"/>
  <c r="F53" i="49"/>
  <c r="H49" i="49"/>
  <c r="F49" i="49"/>
  <c r="H127" i="49"/>
  <c r="F127" i="49"/>
  <c r="D118" i="49"/>
  <c r="D119" i="49"/>
  <c r="D120" i="49"/>
  <c r="D121" i="49"/>
  <c r="D122" i="49"/>
  <c r="D123" i="49"/>
  <c r="D124" i="49"/>
  <c r="D125" i="49"/>
  <c r="D117" i="49"/>
  <c r="H125" i="49"/>
  <c r="F125" i="49"/>
  <c r="H124" i="49"/>
  <c r="F124" i="49"/>
  <c r="H123" i="49"/>
  <c r="F123" i="49"/>
  <c r="H122" i="49"/>
  <c r="F122" i="49"/>
  <c r="H121" i="49"/>
  <c r="F121" i="49"/>
  <c r="H120" i="49"/>
  <c r="F120" i="49"/>
  <c r="H119" i="49"/>
  <c r="F119" i="49"/>
  <c r="H118" i="49"/>
  <c r="F118" i="49"/>
  <c r="H117" i="49"/>
  <c r="F117" i="49"/>
  <c r="H115" i="49"/>
  <c r="G115" i="49"/>
  <c r="F115" i="49"/>
  <c r="E115" i="49"/>
  <c r="E105" i="49"/>
  <c r="F105" i="49"/>
  <c r="G105" i="49"/>
  <c r="H105" i="49"/>
  <c r="F107" i="49"/>
  <c r="H107" i="49"/>
  <c r="F108" i="49"/>
  <c r="H108" i="49"/>
  <c r="F110" i="49"/>
  <c r="H110" i="49"/>
  <c r="F42" i="49"/>
  <c r="J79" i="49"/>
  <c r="K79" i="49" s="1"/>
  <c r="D79" i="49"/>
  <c r="H101" i="49"/>
  <c r="H99" i="49"/>
  <c r="F99" i="49"/>
  <c r="H98" i="49"/>
  <c r="F98" i="49"/>
  <c r="H97" i="49"/>
  <c r="F97" i="49"/>
  <c r="H96" i="49"/>
  <c r="F96" i="49"/>
  <c r="H95" i="49"/>
  <c r="F95" i="49"/>
  <c r="H94" i="49"/>
  <c r="F94" i="49"/>
  <c r="H93" i="49"/>
  <c r="F93" i="49"/>
  <c r="H92" i="49"/>
  <c r="F92" i="49"/>
  <c r="H91" i="49"/>
  <c r="F91" i="49"/>
  <c r="H90" i="49"/>
  <c r="F90" i="49"/>
  <c r="H89" i="49"/>
  <c r="F89" i="49"/>
  <c r="H88" i="49"/>
  <c r="F88" i="49"/>
  <c r="H87" i="49"/>
  <c r="F87" i="49"/>
  <c r="H86" i="49"/>
  <c r="F86" i="49"/>
  <c r="H85" i="49"/>
  <c r="F85" i="49"/>
  <c r="H84" i="49"/>
  <c r="F84" i="49"/>
  <c r="H83" i="49"/>
  <c r="F83" i="49"/>
  <c r="H82" i="49"/>
  <c r="F82" i="49"/>
  <c r="H79" i="49"/>
  <c r="F79" i="49"/>
  <c r="H77" i="49"/>
  <c r="G77" i="49"/>
  <c r="F77" i="49"/>
  <c r="E77" i="49"/>
  <c r="H135" i="49"/>
  <c r="F135" i="49"/>
  <c r="F136" i="49"/>
  <c r="H132" i="49"/>
  <c r="G132" i="49"/>
  <c r="F132" i="49"/>
  <c r="E132" i="49"/>
  <c r="P23" i="49"/>
  <c r="P24" i="49"/>
  <c r="P25" i="49"/>
  <c r="P26" i="49"/>
  <c r="P27" i="49"/>
  <c r="P28" i="49"/>
  <c r="P29" i="49"/>
  <c r="P30" i="49"/>
  <c r="P31" i="49"/>
  <c r="P32" i="49"/>
  <c r="P33" i="49"/>
  <c r="P34" i="49"/>
  <c r="P35" i="49"/>
  <c r="P36" i="49"/>
  <c r="P37" i="49"/>
  <c r="P38" i="49"/>
  <c r="P39" i="49"/>
  <c r="P40" i="49"/>
  <c r="P19" i="49"/>
  <c r="N23" i="49"/>
  <c r="N24" i="49"/>
  <c r="N25" i="49"/>
  <c r="N26" i="49"/>
  <c r="N27" i="49"/>
  <c r="N28" i="49"/>
  <c r="N29" i="49"/>
  <c r="N30" i="49"/>
  <c r="N31" i="49"/>
  <c r="N32" i="49"/>
  <c r="N33" i="49"/>
  <c r="N34" i="49"/>
  <c r="N35" i="49"/>
  <c r="N36" i="49"/>
  <c r="N37" i="49"/>
  <c r="N38" i="49"/>
  <c r="N39" i="49"/>
  <c r="N40" i="49"/>
  <c r="N19" i="49"/>
  <c r="M19" i="49"/>
  <c r="M20" i="49" s="1"/>
  <c r="M21" i="49" s="1"/>
  <c r="J19" i="49"/>
  <c r="J20" i="49" s="1"/>
  <c r="K23" i="49"/>
  <c r="K24" i="49"/>
  <c r="K25" i="49"/>
  <c r="K26" i="49"/>
  <c r="K27" i="49"/>
  <c r="K28" i="49"/>
  <c r="K29" i="49"/>
  <c r="K30" i="49"/>
  <c r="K31" i="49"/>
  <c r="K32" i="49"/>
  <c r="K33" i="49"/>
  <c r="K34" i="49"/>
  <c r="K35" i="49"/>
  <c r="K36" i="49"/>
  <c r="K37" i="49"/>
  <c r="K38" i="49"/>
  <c r="K39" i="49"/>
  <c r="K40" i="49"/>
  <c r="K19" i="49"/>
  <c r="H42" i="49"/>
  <c r="H17" i="49"/>
  <c r="G17" i="49"/>
  <c r="F17" i="49"/>
  <c r="E17" i="49"/>
  <c r="H40" i="49"/>
  <c r="F40" i="49"/>
  <c r="H39" i="49"/>
  <c r="F39" i="49"/>
  <c r="H38" i="49"/>
  <c r="F38" i="49"/>
  <c r="H37" i="49"/>
  <c r="F37" i="49"/>
  <c r="H36" i="49"/>
  <c r="F36" i="49"/>
  <c r="H35" i="49"/>
  <c r="F35" i="49"/>
  <c r="H34" i="49"/>
  <c r="F34" i="49"/>
  <c r="H33" i="49"/>
  <c r="F33" i="49"/>
  <c r="H32" i="49"/>
  <c r="F32" i="49"/>
  <c r="H31" i="49"/>
  <c r="F31" i="49"/>
  <c r="H30" i="49"/>
  <c r="F30" i="49"/>
  <c r="H29" i="49"/>
  <c r="F29" i="49"/>
  <c r="H28" i="49"/>
  <c r="F28" i="49"/>
  <c r="H27" i="49"/>
  <c r="F27" i="49"/>
  <c r="H26" i="49"/>
  <c r="F26" i="49"/>
  <c r="H25" i="49"/>
  <c r="F25" i="49"/>
  <c r="H24" i="49"/>
  <c r="F24" i="49"/>
  <c r="H23" i="49"/>
  <c r="F23" i="49"/>
  <c r="H19" i="49"/>
  <c r="F19" i="49"/>
  <c r="M16" i="49"/>
  <c r="J16" i="49"/>
  <c r="S5" i="78"/>
  <c r="S6" i="78"/>
  <c r="S7" i="78"/>
  <c r="S8" i="78"/>
  <c r="S9" i="78"/>
  <c r="S23" i="78"/>
  <c r="H25" i="78"/>
  <c r="G25" i="78"/>
  <c r="F25" i="78"/>
  <c r="H23" i="78"/>
  <c r="G23" i="78"/>
  <c r="F23" i="78"/>
  <c r="E23" i="78"/>
  <c r="O21" i="78"/>
  <c r="O20" i="78"/>
  <c r="H21" i="78"/>
  <c r="G21" i="78"/>
  <c r="F21" i="78"/>
  <c r="H20" i="78"/>
  <c r="G20" i="78"/>
  <c r="F20" i="78"/>
  <c r="H19" i="78"/>
  <c r="G19" i="78"/>
  <c r="F19" i="78"/>
  <c r="H18" i="78"/>
  <c r="G18" i="78"/>
  <c r="F18" i="78"/>
  <c r="S10" i="78"/>
  <c r="O33" i="78"/>
  <c r="O34" i="78"/>
  <c r="O35" i="78"/>
  <c r="O36" i="78"/>
  <c r="O32" i="78"/>
  <c r="H36" i="78"/>
  <c r="G36" i="78"/>
  <c r="F36" i="78"/>
  <c r="H35" i="78"/>
  <c r="G35" i="78"/>
  <c r="F35" i="78"/>
  <c r="H34" i="78"/>
  <c r="G34" i="78"/>
  <c r="F34" i="78"/>
  <c r="H33" i="78"/>
  <c r="G33" i="78"/>
  <c r="F33" i="78"/>
  <c r="H32" i="78"/>
  <c r="G32" i="78"/>
  <c r="F32" i="78"/>
  <c r="H30" i="78"/>
  <c r="G30" i="78"/>
  <c r="F30" i="78"/>
  <c r="E30" i="78"/>
  <c r="H16" i="78"/>
  <c r="G16" i="78"/>
  <c r="F16" i="78"/>
  <c r="E16" i="78"/>
  <c r="T17" i="4"/>
  <c r="T15" i="4"/>
  <c r="T16" i="4"/>
  <c r="T18" i="4"/>
  <c r="T20" i="4"/>
  <c r="U17" i="4"/>
  <c r="V17" i="4"/>
  <c r="H112" i="34"/>
  <c r="F112" i="34"/>
  <c r="H111" i="34"/>
  <c r="F111" i="34"/>
  <c r="H110" i="34"/>
  <c r="F110" i="34"/>
  <c r="H109" i="34"/>
  <c r="F109" i="34"/>
  <c r="H108" i="34"/>
  <c r="F108" i="34"/>
  <c r="H107" i="34"/>
  <c r="F107" i="34"/>
  <c r="H106" i="34"/>
  <c r="F106" i="34"/>
  <c r="H105" i="34"/>
  <c r="F105" i="34"/>
  <c r="H113" i="34"/>
  <c r="F113" i="34"/>
  <c r="H103" i="34"/>
  <c r="H38" i="34"/>
  <c r="F38" i="34"/>
  <c r="H131" i="34"/>
  <c r="F131" i="34"/>
  <c r="H143" i="34"/>
  <c r="F143" i="34"/>
  <c r="H142" i="34"/>
  <c r="F142" i="34"/>
  <c r="H141" i="34"/>
  <c r="F141" i="34"/>
  <c r="H140" i="34"/>
  <c r="F140" i="34"/>
  <c r="H137" i="34"/>
  <c r="W17" i="4"/>
  <c r="U15" i="4"/>
  <c r="U16" i="4"/>
  <c r="U18" i="4"/>
  <c r="U20" i="4"/>
  <c r="H139" i="34"/>
  <c r="F139" i="34"/>
  <c r="H132" i="34"/>
  <c r="F132" i="34"/>
  <c r="H130" i="34"/>
  <c r="F130" i="34"/>
  <c r="H129" i="34"/>
  <c r="F129" i="34"/>
  <c r="H127" i="34"/>
  <c r="H95" i="34"/>
  <c r="H94" i="34"/>
  <c r="H92" i="34"/>
  <c r="H86" i="34"/>
  <c r="H85" i="34"/>
  <c r="H84" i="34"/>
  <c r="H83" i="34"/>
  <c r="H82" i="34"/>
  <c r="H81" i="34"/>
  <c r="H80" i="34"/>
  <c r="H79" i="34"/>
  <c r="H78" i="34"/>
  <c r="H77" i="34"/>
  <c r="H76" i="34"/>
  <c r="H75" i="34"/>
  <c r="H74" i="34"/>
  <c r="H73" i="34"/>
  <c r="H72" i="34"/>
  <c r="H71" i="34"/>
  <c r="H70" i="34"/>
  <c r="H69" i="34"/>
  <c r="H66" i="34"/>
  <c r="H59" i="34"/>
  <c r="H58" i="34"/>
  <c r="H57" i="34"/>
  <c r="H56" i="34"/>
  <c r="H55" i="34"/>
  <c r="H54" i="34"/>
  <c r="H53" i="34"/>
  <c r="H52" i="34"/>
  <c r="H51" i="34"/>
  <c r="H50" i="34"/>
  <c r="H49" i="34"/>
  <c r="H48" i="34"/>
  <c r="H47" i="34"/>
  <c r="H46" i="34"/>
  <c r="H45" i="34"/>
  <c r="H44" i="34"/>
  <c r="H43" i="34"/>
  <c r="H42" i="34"/>
  <c r="H33" i="34"/>
  <c r="H64" i="34"/>
  <c r="F95" i="34"/>
  <c r="F94" i="34"/>
  <c r="F86" i="34"/>
  <c r="F85" i="34"/>
  <c r="F84" i="34"/>
  <c r="F83" i="34"/>
  <c r="F82" i="34"/>
  <c r="F81" i="34"/>
  <c r="F80" i="34"/>
  <c r="F79" i="34"/>
  <c r="F78" i="34"/>
  <c r="F77" i="34"/>
  <c r="F76" i="34"/>
  <c r="F75" i="34"/>
  <c r="F74" i="34"/>
  <c r="F73" i="34"/>
  <c r="F72" i="34"/>
  <c r="F71" i="34"/>
  <c r="F70" i="34"/>
  <c r="F69" i="34"/>
  <c r="F66" i="34"/>
  <c r="H32" i="34"/>
  <c r="H30" i="34"/>
  <c r="F59" i="34"/>
  <c r="F58" i="34"/>
  <c r="F57" i="34"/>
  <c r="F56" i="34"/>
  <c r="F55" i="34"/>
  <c r="F54" i="34"/>
  <c r="F53" i="34"/>
  <c r="F52" i="34"/>
  <c r="F51" i="34"/>
  <c r="F50" i="34"/>
  <c r="F49" i="34"/>
  <c r="F48" i="34"/>
  <c r="F47" i="34"/>
  <c r="F46" i="34"/>
  <c r="F45" i="34"/>
  <c r="F44" i="34"/>
  <c r="F43" i="34"/>
  <c r="F42" i="34"/>
  <c r="V15" i="4"/>
  <c r="V16" i="4"/>
  <c r="V18" i="4"/>
  <c r="V20" i="4"/>
  <c r="X17" i="4"/>
  <c r="W15" i="4"/>
  <c r="W16" i="4"/>
  <c r="W18" i="4"/>
  <c r="W20" i="4"/>
  <c r="X15" i="4"/>
  <c r="X16" i="4"/>
  <c r="X18" i="4"/>
  <c r="X20" i="4"/>
  <c r="L9" i="49"/>
  <c r="K9" i="49"/>
  <c r="J9" i="49"/>
  <c r="D11" i="28"/>
  <c r="C8" i="28"/>
  <c r="M9" i="49"/>
  <c r="N9" i="49"/>
  <c r="H10" i="78"/>
  <c r="G10" i="78"/>
  <c r="F10" i="78"/>
  <c r="E10" i="78"/>
  <c r="B10" i="78"/>
  <c r="R9" i="78"/>
  <c r="Q9" i="78"/>
  <c r="P9" i="78"/>
  <c r="O9" i="78"/>
  <c r="N9" i="78"/>
  <c r="M9" i="78"/>
  <c r="L9" i="78"/>
  <c r="K9" i="78"/>
  <c r="J9" i="78"/>
  <c r="B9" i="78"/>
  <c r="B8" i="78"/>
  <c r="B7" i="78"/>
  <c r="B6" i="78"/>
  <c r="B5" i="78"/>
  <c r="B4" i="78"/>
  <c r="B3" i="78"/>
  <c r="D12" i="28"/>
  <c r="D21" i="25"/>
  <c r="D152" i="4"/>
  <c r="D149" i="4"/>
  <c r="D150" i="4"/>
  <c r="D151" i="4"/>
  <c r="D148" i="4"/>
  <c r="D146" i="4"/>
  <c r="D147" i="4"/>
  <c r="D145" i="4"/>
  <c r="D144" i="4"/>
  <c r="D143" i="4"/>
  <c r="D140" i="4"/>
  <c r="D141" i="4"/>
  <c r="D142" i="4"/>
  <c r="D139" i="4"/>
  <c r="H47" i="49"/>
  <c r="G47" i="49"/>
  <c r="F47" i="49"/>
  <c r="E47" i="49"/>
  <c r="H10" i="49"/>
  <c r="G10" i="49"/>
  <c r="F10" i="49"/>
  <c r="E10" i="49"/>
  <c r="B10" i="49"/>
  <c r="S9" i="49"/>
  <c r="R9" i="49"/>
  <c r="Q9" i="49"/>
  <c r="P9" i="49"/>
  <c r="O9" i="49"/>
  <c r="B9" i="49"/>
  <c r="B8" i="49"/>
  <c r="B7" i="49"/>
  <c r="B6" i="49"/>
  <c r="B5" i="49"/>
  <c r="B4" i="49"/>
  <c r="B3" i="49"/>
  <c r="A1" i="49"/>
  <c r="D10" i="28"/>
  <c r="H18" i="34"/>
  <c r="G18" i="34"/>
  <c r="F18" i="34"/>
  <c r="H16" i="34"/>
  <c r="G16" i="34"/>
  <c r="F16" i="34"/>
  <c r="E16" i="34"/>
  <c r="H10" i="34"/>
  <c r="G10" i="34"/>
  <c r="F10" i="34"/>
  <c r="E10" i="34"/>
  <c r="B10" i="34"/>
  <c r="S9" i="34"/>
  <c r="R9" i="34"/>
  <c r="Q9" i="34"/>
  <c r="P9" i="34"/>
  <c r="O9" i="34"/>
  <c r="N9" i="34"/>
  <c r="M9" i="34"/>
  <c r="L9" i="34"/>
  <c r="K9" i="34"/>
  <c r="J9" i="34"/>
  <c r="B9" i="34"/>
  <c r="B8" i="34"/>
  <c r="B7" i="34"/>
  <c r="B6" i="34"/>
  <c r="B5" i="34"/>
  <c r="B4" i="34"/>
  <c r="B3" i="34"/>
  <c r="D59" i="4"/>
  <c r="E67" i="4"/>
  <c r="D67" i="4"/>
  <c r="D53" i="4"/>
  <c r="J17" i="4"/>
  <c r="B3" i="25"/>
  <c r="B3" i="4"/>
  <c r="D17" i="28"/>
  <c r="D16" i="28"/>
  <c r="B6" i="28"/>
  <c r="B4" i="28"/>
  <c r="J7" i="49"/>
  <c r="J7" i="78"/>
  <c r="J7" i="34"/>
  <c r="J15" i="4"/>
  <c r="K17" i="4"/>
  <c r="K7" i="49"/>
  <c r="K7" i="78"/>
  <c r="J5" i="49"/>
  <c r="J5" i="78"/>
  <c r="J16" i="4"/>
  <c r="K7" i="34"/>
  <c r="J5" i="34"/>
  <c r="L17" i="4"/>
  <c r="L7" i="49"/>
  <c r="L7" i="78"/>
  <c r="J6" i="49"/>
  <c r="J6" i="78"/>
  <c r="K15" i="4"/>
  <c r="J18" i="4"/>
  <c r="J6" i="34"/>
  <c r="L7" i="34"/>
  <c r="M17" i="4"/>
  <c r="B4" i="25"/>
  <c r="M7" i="49"/>
  <c r="M7" i="78"/>
  <c r="K5" i="49"/>
  <c r="J8" i="49"/>
  <c r="J8" i="78"/>
  <c r="K5" i="78"/>
  <c r="K16" i="4"/>
  <c r="J8" i="34"/>
  <c r="J20" i="4"/>
  <c r="K5" i="34"/>
  <c r="M7" i="34"/>
  <c r="N17" i="4"/>
  <c r="B4" i="4"/>
  <c r="K6" i="49"/>
  <c r="N7" i="49"/>
  <c r="N7" i="78"/>
  <c r="J10" i="49"/>
  <c r="J10" i="78"/>
  <c r="K6" i="78"/>
  <c r="K18" i="4"/>
  <c r="L15" i="4"/>
  <c r="K6" i="34"/>
  <c r="J10" i="34"/>
  <c r="N7" i="34"/>
  <c r="O17" i="4"/>
  <c r="L5" i="49"/>
  <c r="O7" i="78"/>
  <c r="K8" i="49"/>
  <c r="L5" i="78"/>
  <c r="K8" i="78"/>
  <c r="O7" i="49"/>
  <c r="K8" i="34"/>
  <c r="K20" i="4"/>
  <c r="L16" i="4"/>
  <c r="L5" i="34"/>
  <c r="J16" i="34"/>
  <c r="O7" i="34"/>
  <c r="P17" i="4"/>
  <c r="P7" i="78"/>
  <c r="L6" i="49"/>
  <c r="K10" i="49"/>
  <c r="L6" i="78"/>
  <c r="K10" i="78"/>
  <c r="P7" i="49"/>
  <c r="K10" i="34"/>
  <c r="K16" i="34" s="1"/>
  <c r="L6" i="34"/>
  <c r="L18" i="4"/>
  <c r="M15" i="4"/>
  <c r="P7" i="34"/>
  <c r="Q17" i="4"/>
  <c r="L8" i="49"/>
  <c r="Q7" i="78"/>
  <c r="M5" i="49"/>
  <c r="M5" i="78"/>
  <c r="L8" i="78"/>
  <c r="Q7" i="49"/>
  <c r="L8" i="34"/>
  <c r="M16" i="4"/>
  <c r="L20" i="4"/>
  <c r="M5" i="34"/>
  <c r="Q7" i="34"/>
  <c r="R17" i="4"/>
  <c r="L10" i="49"/>
  <c r="M6" i="49"/>
  <c r="R7" i="78"/>
  <c r="A1" i="78"/>
  <c r="H21" i="25"/>
  <c r="L10" i="78"/>
  <c r="M6" i="78"/>
  <c r="R7" i="49"/>
  <c r="L10" i="34"/>
  <c r="L16" i="34" s="1"/>
  <c r="M6" i="34"/>
  <c r="M18" i="4"/>
  <c r="N15" i="4"/>
  <c r="R7" i="34"/>
  <c r="S17" i="4"/>
  <c r="M8" i="49"/>
  <c r="N5" i="49"/>
  <c r="N5" i="78"/>
  <c r="M8" i="78"/>
  <c r="S7" i="49"/>
  <c r="M20" i="4"/>
  <c r="N16" i="4"/>
  <c r="M8" i="34"/>
  <c r="N5" i="34"/>
  <c r="S7" i="34"/>
  <c r="N6" i="49"/>
  <c r="M10" i="49"/>
  <c r="N6" i="78"/>
  <c r="M10" i="78"/>
  <c r="M10" i="34"/>
  <c r="M16" i="34" s="1"/>
  <c r="N18" i="4"/>
  <c r="N6" i="34"/>
  <c r="O15" i="4"/>
  <c r="N8" i="49"/>
  <c r="O5" i="78"/>
  <c r="N8" i="78"/>
  <c r="O16" i="4"/>
  <c r="O5" i="49"/>
  <c r="N20" i="4"/>
  <c r="O5" i="34"/>
  <c r="N8" i="34"/>
  <c r="N10" i="49"/>
  <c r="N10" i="78"/>
  <c r="O6" i="78"/>
  <c r="O6" i="34"/>
  <c r="P15" i="4"/>
  <c r="O6" i="49"/>
  <c r="O18" i="4"/>
  <c r="N10" i="34"/>
  <c r="N16" i="34" s="1"/>
  <c r="P16" i="4"/>
  <c r="P5" i="78"/>
  <c r="O8" i="78"/>
  <c r="P5" i="49"/>
  <c r="O20" i="4"/>
  <c r="P5" i="34"/>
  <c r="O8" i="34"/>
  <c r="O8" i="49"/>
  <c r="P6" i="49"/>
  <c r="P18" i="4"/>
  <c r="Q15" i="4"/>
  <c r="P6" i="78"/>
  <c r="P6" i="34"/>
  <c r="Q5" i="78"/>
  <c r="O10" i="78"/>
  <c r="P8" i="78"/>
  <c r="O10" i="34"/>
  <c r="O16" i="34" s="1"/>
  <c r="O10" i="49"/>
  <c r="O132" i="49" s="1"/>
  <c r="P8" i="49"/>
  <c r="Q5" i="49"/>
  <c r="Q5" i="34"/>
  <c r="P8" i="34"/>
  <c r="P20" i="4"/>
  <c r="Q16" i="4"/>
  <c r="O16" i="78"/>
  <c r="O23" i="78"/>
  <c r="P10" i="78"/>
  <c r="P23" i="78"/>
  <c r="Q6" i="78"/>
  <c r="Q6" i="49"/>
  <c r="P10" i="49"/>
  <c r="Q6" i="34"/>
  <c r="P10" i="34"/>
  <c r="P16" i="34" s="1"/>
  <c r="Q18" i="4"/>
  <c r="R15" i="4"/>
  <c r="Q8" i="78"/>
  <c r="R5" i="78"/>
  <c r="R5" i="49"/>
  <c r="Q8" i="49"/>
  <c r="Q8" i="34"/>
  <c r="R5" i="34"/>
  <c r="R16" i="4"/>
  <c r="Q20" i="4"/>
  <c r="Q10" i="78"/>
  <c r="Q23" i="78"/>
  <c r="R6" i="78"/>
  <c r="Q10" i="49"/>
  <c r="R6" i="49"/>
  <c r="Q10" i="34"/>
  <c r="Q16" i="34" s="1"/>
  <c r="R6" i="34"/>
  <c r="R18" i="4"/>
  <c r="S15" i="4"/>
  <c r="R8" i="78"/>
  <c r="R8" i="49"/>
  <c r="S5" i="49"/>
  <c r="S5" i="34"/>
  <c r="R8" i="34"/>
  <c r="S16" i="4"/>
  <c r="R20" i="4"/>
  <c r="R10" i="78"/>
  <c r="R10" i="49"/>
  <c r="S6" i="49"/>
  <c r="R10" i="34"/>
  <c r="R16" i="34" s="1"/>
  <c r="S6" i="34"/>
  <c r="S18" i="4"/>
  <c r="O30" i="78"/>
  <c r="R23" i="78"/>
  <c r="S8" i="49"/>
  <c r="S8" i="34"/>
  <c r="S20" i="4"/>
  <c r="S10" i="49"/>
  <c r="S10" i="34"/>
  <c r="S16" i="34" s="1"/>
  <c r="A1" i="34"/>
  <c r="H18" i="25" s="1"/>
  <c r="H28" i="25" l="1"/>
  <c r="H8" i="25" s="1"/>
  <c r="H10" i="25" s="1"/>
  <c r="J21" i="49"/>
  <c r="J22" i="49" s="1"/>
  <c r="Q20" i="49"/>
  <c r="R20" i="49" s="1"/>
  <c r="M70" i="49"/>
  <c r="M22" i="49"/>
  <c r="M23" i="49" s="1"/>
  <c r="M24" i="49" s="1"/>
  <c r="M25" i="49" s="1"/>
  <c r="M26" i="49" s="1"/>
  <c r="M27" i="49" s="1"/>
  <c r="M28" i="49" s="1"/>
  <c r="M29" i="49" s="1"/>
  <c r="M30" i="49" s="1"/>
  <c r="M31" i="49" s="1"/>
  <c r="M32" i="49" s="1"/>
  <c r="M33" i="49" s="1"/>
  <c r="M34" i="49" s="1"/>
  <c r="M35" i="49" s="1"/>
  <c r="M36" i="49" s="1"/>
  <c r="M37" i="49" s="1"/>
  <c r="M38" i="49" s="1"/>
  <c r="M39" i="49" s="1"/>
  <c r="M40" i="49" s="1"/>
  <c r="Q19" i="49"/>
  <c r="R19" i="49" s="1"/>
  <c r="M49" i="49"/>
  <c r="J127" i="49"/>
  <c r="K101" i="49"/>
  <c r="J108" i="49" s="1"/>
  <c r="B2" i="28" l="1"/>
  <c r="B2" i="49"/>
  <c r="B2" i="34"/>
  <c r="B2" i="78"/>
  <c r="B2" i="4"/>
  <c r="B2" i="25"/>
  <c r="Q21" i="49"/>
  <c r="R21" i="49" s="1"/>
  <c r="Q22" i="49"/>
  <c r="R22" i="49" s="1"/>
  <c r="J23" i="49"/>
  <c r="N49" i="49"/>
  <c r="Q23" i="49" l="1"/>
  <c r="R23" i="49" s="1"/>
  <c r="J24" i="49"/>
  <c r="J25" i="49" l="1"/>
  <c r="Q24" i="49"/>
  <c r="R24" i="49" s="1"/>
  <c r="Q25" i="49" l="1"/>
  <c r="R25" i="49" s="1"/>
  <c r="J26" i="49"/>
  <c r="J27" i="49" l="1"/>
  <c r="Q26" i="49"/>
  <c r="R26" i="49" s="1"/>
  <c r="Q27" i="49" l="1"/>
  <c r="R27" i="49" s="1"/>
  <c r="J28" i="49"/>
  <c r="J29" i="49" l="1"/>
  <c r="Q28" i="49"/>
  <c r="R28" i="49" s="1"/>
  <c r="J30" i="49" l="1"/>
  <c r="Q29" i="49"/>
  <c r="R29" i="49" s="1"/>
  <c r="J31" i="49" l="1"/>
  <c r="Q30" i="49"/>
  <c r="R30" i="49" s="1"/>
  <c r="Q31" i="49" l="1"/>
  <c r="R31" i="49" s="1"/>
  <c r="J32" i="49"/>
  <c r="Q32" i="49" l="1"/>
  <c r="R32" i="49" s="1"/>
  <c r="J33" i="49"/>
  <c r="Q33" i="49" l="1"/>
  <c r="R33" i="49" s="1"/>
  <c r="J34" i="49"/>
  <c r="Q34" i="49" l="1"/>
  <c r="R34" i="49" s="1"/>
  <c r="J35" i="49"/>
  <c r="Q35" i="49" l="1"/>
  <c r="R35" i="49" s="1"/>
  <c r="J36" i="49"/>
  <c r="Q36" i="49" l="1"/>
  <c r="R36" i="49" s="1"/>
  <c r="J37" i="49"/>
  <c r="Q37" i="49" l="1"/>
  <c r="R37" i="49" s="1"/>
  <c r="J38" i="49"/>
  <c r="Q38" i="49" l="1"/>
  <c r="R38" i="49" s="1"/>
  <c r="J39" i="49"/>
  <c r="Q39" i="49" l="1"/>
  <c r="R39" i="49" s="1"/>
  <c r="J40" i="49"/>
  <c r="Q40" i="49" l="1"/>
  <c r="R40" i="49" l="1"/>
  <c r="R42" i="49" s="1"/>
  <c r="O135" i="49" s="1"/>
  <c r="O19" i="78" s="1"/>
  <c r="N70" i="49"/>
  <c r="P52" i="49" s="1"/>
  <c r="P55" i="49"/>
  <c r="P70" i="49"/>
  <c r="P53" i="49"/>
  <c r="P54" i="49"/>
  <c r="P58" i="49"/>
  <c r="P61" i="49" l="1"/>
  <c r="P68" i="49"/>
  <c r="P57" i="49"/>
  <c r="P49" i="49"/>
  <c r="Q49" i="49" s="1"/>
  <c r="R49" i="49" s="1"/>
  <c r="P64" i="49"/>
  <c r="P60" i="49"/>
  <c r="Q60" i="49" s="1"/>
  <c r="R60" i="49" s="1"/>
  <c r="P69" i="49"/>
  <c r="P62" i="49"/>
  <c r="P59" i="49"/>
  <c r="Q59" i="49" s="1"/>
  <c r="R59" i="49" s="1"/>
  <c r="P66" i="49"/>
  <c r="Q66" i="49" s="1"/>
  <c r="R66" i="49" s="1"/>
  <c r="P51" i="49"/>
  <c r="Q51" i="49" s="1"/>
  <c r="R51" i="49" s="1"/>
  <c r="P67" i="49"/>
  <c r="Q67" i="49" s="1"/>
  <c r="R67" i="49" s="1"/>
  <c r="P65" i="49"/>
  <c r="Q65" i="49" s="1"/>
  <c r="R65" i="49" s="1"/>
  <c r="P56" i="49"/>
  <c r="Q56" i="49" s="1"/>
  <c r="R56" i="49" s="1"/>
  <c r="P50" i="49"/>
  <c r="Q50" i="49" s="1"/>
  <c r="R50" i="49" s="1"/>
  <c r="P63" i="49"/>
  <c r="Q63" i="49" s="1"/>
  <c r="R63" i="49" s="1"/>
  <c r="Q70" i="49"/>
  <c r="R70" i="49" s="1"/>
  <c r="Q64" i="49"/>
  <c r="R64" i="49" s="1"/>
  <c r="Q58" i="49"/>
  <c r="R58" i="49" s="1"/>
  <c r="Q61" i="49"/>
  <c r="R61" i="49" s="1"/>
  <c r="Q54" i="49"/>
  <c r="R54" i="49" s="1"/>
  <c r="Q68" i="49"/>
  <c r="R68" i="49" s="1"/>
  <c r="Q69" i="49"/>
  <c r="R69" i="49" s="1"/>
  <c r="Q62" i="49"/>
  <c r="R62" i="49" s="1"/>
  <c r="Q55" i="49"/>
  <c r="R55" i="49" s="1"/>
  <c r="Q52" i="49"/>
  <c r="R52" i="49" s="1"/>
  <c r="Q53" i="49"/>
  <c r="R53" i="49" s="1"/>
  <c r="Q57" i="49"/>
  <c r="R57" i="49" s="1"/>
  <c r="R72" i="49" l="1"/>
  <c r="J107" i="49" s="1"/>
  <c r="J110" i="49" s="1"/>
  <c r="O136" i="49" l="1"/>
  <c r="O25" i="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Q17" authorId="0" shapeId="0" xr:uid="{00000000-0006-0000-0500-000001000000}">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 ref="J77" authorId="0" shapeId="0" xr:uid="{00000000-0006-0000-0500-000002000000}">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List>
</comments>
</file>

<file path=xl/sharedStrings.xml><?xml version="1.0" encoding="utf-8"?>
<sst xmlns="http://schemas.openxmlformats.org/spreadsheetml/2006/main" count="694" uniqueCount="275">
  <si>
    <t>General Model Constant</t>
  </si>
  <si>
    <t>Name</t>
  </si>
  <si>
    <t>Mths_In_Mth</t>
  </si>
  <si>
    <t>Mths_In_Qtr</t>
  </si>
  <si>
    <t>Mths_In_Yr</t>
  </si>
  <si>
    <t>Heading 1</t>
  </si>
  <si>
    <t>Ok</t>
  </si>
  <si>
    <t>Error</t>
  </si>
  <si>
    <t>Half</t>
  </si>
  <si>
    <t>Yes</t>
  </si>
  <si>
    <t>No</t>
  </si>
  <si>
    <t>Yes_No</t>
  </si>
  <si>
    <t>Error Checks</t>
  </si>
  <si>
    <t>Days_In_Wk</t>
  </si>
  <si>
    <t>Assumptions</t>
  </si>
  <si>
    <t>Checks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</si>
  <si>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</si>
  <si>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</si>
  <si>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</si>
  <si>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</si>
  <si>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</si>
  <si>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</si>
  <si>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</si>
  <si>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</si>
  <si>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</si>
  <si>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</si>
  <si>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</si>
  <si>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</si>
  <si>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</si>
  <si>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</si>
  <si>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</si>
  <si>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[Insert]</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</si>
  <si>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</si>
  <si>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</si>
  <si>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</si>
  <si>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</si>
  <si>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</si>
  <si>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</si>
  <si>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</si>
  <si>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</si>
  <si>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</si>
  <si>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</si>
  <si>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</si>
  <si>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</si>
  <si>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</si>
  <si>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</si>
  <si>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</si>
  <si>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</si>
  <si>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Client Lookups</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</si>
  <si>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</si>
  <si>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</si>
  <si>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</si>
  <si>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</si>
  <si>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</si>
  <si>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</si>
  <si>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</si>
  <si>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</si>
  <si>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</si>
  <si>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</si>
  <si>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</si>
  <si>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</si>
  <si>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</si>
  <si>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</si>
  <si>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</si>
  <si>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</si>
  <si>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</si>
  <si>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</si>
  <si>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</si>
  <si>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</si>
  <si>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</si>
  <si>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</si>
  <si>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</si>
  <si>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</si>
  <si>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</si>
  <si>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</si>
  <si>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</si>
  <si>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</si>
  <si>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</si>
  <si>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</si>
  <si>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</si>
  <si>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</si>
  <si>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</si>
  <si>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</si>
  <si>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</si>
  <si>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</si>
  <si>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</si>
  <si>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</si>
  <si>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</si>
  <si>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</si>
  <si>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</si>
  <si>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Service Classification</t>
  </si>
  <si>
    <t>Standard control services</t>
  </si>
  <si>
    <t>Alternative control services</t>
  </si>
  <si>
    <t>Negotiated services</t>
  </si>
  <si>
    <t>Unregulated services</t>
  </si>
  <si>
    <t>Advanced metering infrastructure</t>
  </si>
  <si>
    <t>LU_Service_Long</t>
  </si>
  <si>
    <t>LU_Service_Short</t>
  </si>
  <si>
    <t>SCS</t>
  </si>
  <si>
    <t>ACS</t>
  </si>
  <si>
    <t>NEG</t>
  </si>
  <si>
    <t>UNR</t>
  </si>
  <si>
    <t>Opex View 2</t>
  </si>
  <si>
    <t>Network maintenance</t>
  </si>
  <si>
    <t>Routine maintenance</t>
  </si>
  <si>
    <t>Non-routine maintenance</t>
  </si>
  <si>
    <t>Emergency response</t>
  </si>
  <si>
    <t>Vegetation management</t>
  </si>
  <si>
    <t>Network operating</t>
  </si>
  <si>
    <t>Network overheads</t>
  </si>
  <si>
    <t>Corporate overheads (excl. IT)</t>
  </si>
  <si>
    <t>Non-network</t>
  </si>
  <si>
    <t>Information technology</t>
  </si>
  <si>
    <t>Motor vehicles</t>
  </si>
  <si>
    <t>Buildings and property (incl. tools, fleet &amp; equipment)</t>
  </si>
  <si>
    <t>Other</t>
  </si>
  <si>
    <t>Levies (incl. license fees)</t>
  </si>
  <si>
    <t>GSL payments</t>
  </si>
  <si>
    <t>Demand side management</t>
  </si>
  <si>
    <t>Self insurance</t>
  </si>
  <si>
    <t>Debt raising costs</t>
  </si>
  <si>
    <t>LU_Opex_View_2</t>
  </si>
  <si>
    <t>Metering</t>
  </si>
  <si>
    <t>Public Lighting</t>
  </si>
  <si>
    <t>Connections</t>
  </si>
  <si>
    <t>Fee and Quoted</t>
  </si>
  <si>
    <t>Non Network</t>
  </si>
  <si>
    <t>IT and Communications</t>
  </si>
  <si>
    <t>Motor Vehicles</t>
  </si>
  <si>
    <t>Buildings and Property</t>
  </si>
  <si>
    <t>LU_Non_Network</t>
  </si>
  <si>
    <t>Category Heading</t>
  </si>
  <si>
    <t>Calculated</t>
  </si>
  <si>
    <t>Not Applicable</t>
  </si>
  <si>
    <t>GWh</t>
  </si>
  <si>
    <t>MWh</t>
  </si>
  <si>
    <t>Number</t>
  </si>
  <si>
    <t>Insert</t>
  </si>
  <si>
    <t>LU_Insert</t>
  </si>
  <si>
    <t>AER / RIN Lookups</t>
  </si>
  <si>
    <t>Km</t>
  </si>
  <si>
    <t>Kilometres</t>
  </si>
  <si>
    <t>Disclaimer:</t>
  </si>
  <si>
    <t>CPI Assumptions</t>
  </si>
  <si>
    <t>RBA</t>
  </si>
  <si>
    <t>Overheads</t>
  </si>
  <si>
    <t>Corporate Overheads</t>
  </si>
  <si>
    <t>Network Overheads</t>
  </si>
  <si>
    <t>LU_Overheads</t>
  </si>
  <si>
    <t>[Spare 1]</t>
  </si>
  <si>
    <t>[Spare 2]</t>
  </si>
  <si>
    <t>Opex View 1</t>
  </si>
  <si>
    <t>LU_Opex_View_1</t>
  </si>
  <si>
    <t>Vegetation Management</t>
  </si>
  <si>
    <t>Maintenance</t>
  </si>
  <si>
    <t>Emergency Response</t>
  </si>
  <si>
    <t>Opex View 2 Names</t>
  </si>
  <si>
    <t>LU_Opex_View_2_Names</t>
  </si>
  <si>
    <t>Real $2019</t>
  </si>
  <si>
    <t>Real$2019</t>
  </si>
  <si>
    <t>Unallocated</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</si>
  <si>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</si>
  <si>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Duel Service Function</t>
  </si>
  <si>
    <t>DSF</t>
  </si>
  <si>
    <t>Debt Raising Costs</t>
  </si>
  <si>
    <t>Rate of Return Model - Power and Water Corporation (PWC)</t>
  </si>
  <si>
    <t>The purpose of this model is to provide rate of return outputs which are required as part of the Power and Water Corporation - Determination 2019-24.</t>
  </si>
  <si>
    <t>Inflation</t>
  </si>
  <si>
    <t>Commonwealth Government Securities</t>
  </si>
  <si>
    <t>Bond details</t>
  </si>
  <si>
    <t>Bond 1</t>
  </si>
  <si>
    <t>Bond 2</t>
  </si>
  <si>
    <t>Issue ID</t>
  </si>
  <si>
    <t>Maturity</t>
  </si>
  <si>
    <t>Date</t>
  </si>
  <si>
    <t>Yields by date</t>
  </si>
  <si>
    <t>Bloomberg</t>
  </si>
  <si>
    <t>Bloomberg BVAL</t>
  </si>
  <si>
    <t>Yield</t>
  </si>
  <si>
    <t>Parameter assumptions</t>
  </si>
  <si>
    <t>Value</t>
  </si>
  <si>
    <t>Parameter</t>
  </si>
  <si>
    <t>Market risk premium</t>
  </si>
  <si>
    <t>AER</t>
  </si>
  <si>
    <t>Equity beta</t>
  </si>
  <si>
    <t>Leverage</t>
  </si>
  <si>
    <t>Return on equity</t>
  </si>
  <si>
    <t>Return on equity and debt</t>
  </si>
  <si>
    <t>Debt and equity raising costs</t>
  </si>
  <si>
    <t>Imputation Credit Payout Ratio</t>
  </si>
  <si>
    <t>Subsequent Equity Raising Costs</t>
  </si>
  <si>
    <t>Dividend Reinvestment Plan Costs</t>
  </si>
  <si>
    <t>Dividend Reinvestment Plan Take Up</t>
  </si>
  <si>
    <t>Value of imputation credits</t>
  </si>
  <si>
    <t>RBA Aggregate Measures of Australian Corporate Bond Spreads and Yields (Table F3)</t>
  </si>
  <si>
    <t>7 Year RBA Corp BBB Series</t>
  </si>
  <si>
    <t>10 Year RBA Corp BBB Series</t>
  </si>
  <si>
    <t>TB136</t>
  </si>
  <si>
    <t>Prevailing market data</t>
  </si>
  <si>
    <t>Historical market data</t>
  </si>
  <si>
    <t>Return on debt observations</t>
  </si>
  <si>
    <t>FY2018-2019</t>
  </si>
  <si>
    <t>FY2017-2018</t>
  </si>
  <si>
    <t>FY2016-2017</t>
  </si>
  <si>
    <t>FY2015-2016</t>
  </si>
  <si>
    <t>FY2014-2015</t>
  </si>
  <si>
    <t>FY2013-2014</t>
  </si>
  <si>
    <t>FY2012-2013</t>
  </si>
  <si>
    <t>FY2011-2012</t>
  </si>
  <si>
    <t>FY2010-2011</t>
  </si>
  <si>
    <t>Start date</t>
  </si>
  <si>
    <t>End date</t>
  </si>
  <si>
    <t>Averaging period</t>
  </si>
  <si>
    <t>Note: this data is a placeholder until a more complete dataset is available</t>
  </si>
  <si>
    <t>Yields by period</t>
  </si>
  <si>
    <t>Forecast inflation</t>
  </si>
  <si>
    <t>PTRM inputs</t>
  </si>
  <si>
    <t>Cost of Capital</t>
  </si>
  <si>
    <t>Debt and Equity Raising Costs – Transaction Costs (per cent)</t>
  </si>
  <si>
    <t>Inflation Rate</t>
  </si>
  <si>
    <t>Return on Equity</t>
  </si>
  <si>
    <t>Value of Imputation Credits (gamma)</t>
  </si>
  <si>
    <t>Proportion of Debt Funding</t>
  </si>
  <si>
    <t>Prevailing rate of return parameters</t>
  </si>
  <si>
    <t>Risk-free rate</t>
  </si>
  <si>
    <t>Return on debt | RBA data</t>
  </si>
  <si>
    <t>Return on debt | Bloomberg data</t>
  </si>
  <si>
    <t>Return on debt | RBA and Bloomberg data combined</t>
  </si>
  <si>
    <t>Interpolated</t>
  </si>
  <si>
    <t>Bond yield</t>
  </si>
  <si>
    <t>Annualised</t>
  </si>
  <si>
    <t>Per cent</t>
  </si>
  <si>
    <t>Risk-free rate estimate</t>
  </si>
  <si>
    <t>Rate of return estimates</t>
  </si>
  <si>
    <t>Return on debt</t>
  </si>
  <si>
    <t>Trailing Average Portfolio Return on Debt</t>
  </si>
  <si>
    <t>RBA estimate</t>
  </si>
  <si>
    <t>Bloomberg BVAL estimate</t>
  </si>
  <si>
    <t>Average</t>
  </si>
  <si>
    <t>Annualised yield</t>
  </si>
  <si>
    <t>Estimate</t>
  </si>
  <si>
    <t>Historical return on debt</t>
  </si>
  <si>
    <t>Yields by year</t>
  </si>
  <si>
    <t>Bond yields by date</t>
  </si>
  <si>
    <t xml:space="preserve"> Spread</t>
  </si>
  <si>
    <t>10yr BBB</t>
  </si>
  <si>
    <t>Calculations</t>
  </si>
  <si>
    <t>Spread to swaps</t>
  </si>
  <si>
    <t>Effective tenor</t>
  </si>
  <si>
    <t>Extra years needed</t>
  </si>
  <si>
    <t>Spread per year</t>
  </si>
  <si>
    <t>Adjusted 10 year yield</t>
  </si>
  <si>
    <t>Adjusted 10 year spread</t>
  </si>
  <si>
    <t>Base 10 year yield</t>
  </si>
  <si>
    <t>Actual inflation</t>
  </si>
  <si>
    <t>ABS</t>
  </si>
  <si>
    <t>Mid-point of inflation target range</t>
  </si>
  <si>
    <t>Actual and forecasts</t>
  </si>
  <si>
    <t>Model Inputs</t>
  </si>
  <si>
    <t>Model Calculations</t>
  </si>
  <si>
    <t>Model Outputs</t>
  </si>
  <si>
    <t>Rate of return inputs</t>
  </si>
  <si>
    <t>Rate of return calculations</t>
  </si>
  <si>
    <t>Inputs to PTRM</t>
  </si>
  <si>
    <r>
      <rPr>
        <b/>
        <sz val="10"/>
        <color theme="1"/>
        <rFont val="Helvetica"/>
      </rPr>
      <t>Note</t>
    </r>
    <r>
      <rPr>
        <sz val="10"/>
        <color theme="1"/>
        <rFont val="Helvetica"/>
        <family val="2"/>
      </rPr>
      <t>: Actual inflation based on movement in CPI from June to June quarter</t>
    </r>
  </si>
  <si>
    <t>TB148</t>
  </si>
  <si>
    <t>&lt;- Does not include 31 May 2017 as outside averaging period</t>
  </si>
  <si>
    <t>Return on debt method</t>
  </si>
  <si>
    <t>Option</t>
  </si>
  <si>
    <t>PWC</t>
  </si>
  <si>
    <t>Immediate</t>
  </si>
  <si>
    <t>Annual yield</t>
  </si>
  <si>
    <t>30/06/2018*</t>
  </si>
  <si>
    <t>&lt;- Averaging period includes data up to 31 August 2017 (i.e. the most recent RBA data point at the time of preparing the model)</t>
  </si>
  <si>
    <r>
      <rPr>
        <b/>
        <sz val="10"/>
        <color theme="1"/>
        <rFont val="Helvetica"/>
      </rPr>
      <t>Source</t>
    </r>
    <r>
      <rPr>
        <sz val="10"/>
        <color theme="1"/>
        <rFont val="Helvetica"/>
        <family val="2"/>
      </rPr>
      <t>: RBA statement on monetary policy, November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</si>
</sst>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0_);\(#,##0.000\);_(&quot;-&quot;_)"/>
    <numFmt numFmtId="176" formatCode="_(#,##0.00%_);\(#,##0.00%\);_(&quot;-&quot;_)"/>
    <numFmt numFmtId="177" formatCode="_-* #,##0_-;\-* #,##0_-;_-* &quot;-&quot;??_-;_-@_-"/>
  </numFmts>
  <fonts count="46" x14ac:knownFonts="1">
    <font>
      <sz val="8"/>
      <color rgb="FFFF0066"/>
      <name val="Helvetica"/>
      <family val="2"/>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color theme="4"/>
      <name val="Helvetica"/>
    </font>
    <font>
      <b/>
      <sz val="10"/>
      <color theme="1"/>
      <name val="Helvetica"/>
    </font>
    <font>
      <b/>
      <sz val="10"/>
      <name val="Helvetica"/>
      <family val="2"/>
    </font>
    <font>
      <sz val="10"/>
      <color theme="1"/>
      <name val="Helvetica"/>
    </font>
    <font>
      <sz val="8"/>
      <color rgb="FFFF0066"/>
      <name val="Helvetica"/>
      <family val="2"/>
    </font>
    <font>
      <b/>
      <sz val="8"/>
      <color indexed="8"/>
      <name val="Arial"/>
      <family val="2"/>
    </font>
    <font>
      <i/>
      <sz val="8"/>
      <color indexed="8"/>
      <name val="Arial"/>
      <family val="2"/>
    </font>
    <font>
      <sz val="8"/>
      <color indexed="8"/>
      <name val="Arial"/>
      <family val="2"/>
    </font>
    <font>
      <b/>
      <sz val="9"/>
      <color indexed="81"/>
      <name val="Tahoma"/>
      <family val="2"/>
    </font>
    <font>
      <sz val="9"/>
      <color indexed="81"/>
      <name val="Tahoma"/>
      <family val="2"/>
    </font>
    <font>
      <sz val="10"/>
      <color rgb="FFFF0000"/>
      <name val="Helvetica"/>
      <family val="2"/>
    </font>
  </fonts>
  <fills count="20">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auto="1"/>
      </right>
      <top/>
      <bottom/>
      <diagonal/>
    </border>
    <border>
      <left/>
      <right style="dotted">
        <color auto="1"/>
      </right>
      <top/>
      <bottom style="thin">
        <color auto="1"/>
      </bottom>
      <diagonal/>
    </border>
    <border>
      <left/>
      <right style="hair">
        <color auto="1"/>
      </right>
      <top/>
      <bottom style="thin">
        <color auto="1"/>
      </bottom>
      <diagonal/>
    </border>
    <border>
      <left/>
      <right/>
      <top style="thin">
        <color auto="1"/>
      </top>
      <bottom style="thin">
        <color auto="1"/>
      </bottom>
      <diagonal/>
    </border>
  </borders>
  <cellStyleXfs count="57">
    <xf numFmtId="0" fontId="0" fillId="0" borderId="0"/>
    <xf numFmtId="168" fontId="2" fillId="0" borderId="0" applyFill="0" applyBorder="0" applyProtection="0">
      <alignment vertical="center"/>
    </xf>
    <xf numFmtId="0" fontId="6" fillId="0" borderId="0" applyNumberFormat="0" applyFill="0" applyBorder="0" applyAlignment="0" applyProtection="0"/>
    <xf numFmtId="0" fontId="32" fillId="12" borderId="0" applyBorder="0">
      <alignment horizontal="left" vertical="center"/>
    </xf>
    <xf numFmtId="0" fontId="1" fillId="3" borderId="0" applyProtection="0">
      <alignment vertical="center"/>
    </xf>
    <xf numFmtId="0" fontId="3" fillId="0" borderId="0" applyFill="0" applyProtection="0">
      <alignment vertical="center"/>
    </xf>
    <xf numFmtId="0" fontId="2" fillId="0" borderId="0" applyFill="0" applyBorder="0" applyProtection="0">
      <alignment vertical="center"/>
    </xf>
    <xf numFmtId="0" fontId="4" fillId="0" borderId="5" applyNumberFormat="0" applyFill="0" applyAlignment="0" applyProtection="0"/>
    <xf numFmtId="0" fontId="28" fillId="13" borderId="4">
      <alignment horizontal="left" vertical="center"/>
      <protection locked="0"/>
    </xf>
    <xf numFmtId="164" fontId="27" fillId="0" borderId="0" applyFill="0" applyBorder="0">
      <alignment horizontal="center" vertical="center"/>
    </xf>
    <xf numFmtId="164" fontId="28" fillId="2" borderId="4">
      <alignment horizontal="center" vertical="center"/>
      <protection locked="0"/>
    </xf>
    <xf numFmtId="170" fontId="27" fillId="0" borderId="0" applyFill="0" applyBorder="0">
      <alignment horizontal="center" vertical="center"/>
    </xf>
    <xf numFmtId="170" fontId="28" fillId="13" borderId="4">
      <alignment horizontal="center" vertical="center"/>
      <protection locked="0"/>
    </xf>
    <xf numFmtId="165" fontId="27" fillId="0" borderId="0" applyFill="0" applyBorder="0">
      <alignment horizontal="right" vertical="center"/>
    </xf>
    <xf numFmtId="165" fontId="28" fillId="13" borderId="4">
      <alignment horizontal="right" vertical="center"/>
      <protection locked="0"/>
    </xf>
    <xf numFmtId="167" fontId="27" fillId="0" borderId="0" applyFill="0" applyBorder="0">
      <alignment horizontal="right" vertical="center"/>
    </xf>
    <xf numFmtId="167" fontId="28" fillId="13" borderId="4">
      <alignment horizontal="right" vertical="center"/>
      <protection locked="0"/>
    </xf>
    <xf numFmtId="166" fontId="27" fillId="0" borderId="0" applyFill="0" applyBorder="0">
      <alignment horizontal="right" vertical="center"/>
    </xf>
    <xf numFmtId="166" fontId="28" fillId="13" borderId="4">
      <alignment horizontal="right" vertical="center"/>
      <protection locked="0"/>
    </xf>
    <xf numFmtId="168" fontId="28" fillId="13" borderId="4">
      <alignment horizontal="right" vertical="center"/>
      <protection locked="0"/>
    </xf>
    <xf numFmtId="0" fontId="24" fillId="0" borderId="0" applyFill="0" applyBorder="0">
      <alignment horizontal="left" vertical="center"/>
    </xf>
    <xf numFmtId="0" fontId="7" fillId="5"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6" applyNumberFormat="0" applyAlignment="0" applyProtection="0"/>
    <xf numFmtId="0" fontId="11" fillId="9" borderId="7" applyNumberFormat="0" applyAlignment="0" applyProtection="0"/>
    <xf numFmtId="0" fontId="12" fillId="9" borderId="6" applyNumberFormat="0" applyAlignment="0" applyProtection="0"/>
    <xf numFmtId="0" fontId="13" fillId="0" borderId="8" applyNumberFormat="0" applyFill="0" applyAlignment="0" applyProtection="0"/>
    <xf numFmtId="0" fontId="14" fillId="10" borderId="9" applyNumberFormat="0" applyAlignment="0" applyProtection="0"/>
    <xf numFmtId="0" fontId="15" fillId="0" borderId="0" applyNumberFormat="0" applyFill="0" applyBorder="0" applyAlignment="0" applyProtection="0"/>
    <xf numFmtId="0" fontId="2" fillId="11" borderId="10" applyNumberFormat="0" applyFont="0" applyAlignment="0" applyProtection="0"/>
    <xf numFmtId="0" fontId="16" fillId="0" borderId="0" applyNumberFormat="0" applyFill="0" applyBorder="0" applyAlignment="0" applyProtection="0"/>
    <xf numFmtId="0" fontId="17" fillId="0" borderId="0" applyNumberFormat="0" applyFill="0" applyBorder="0">
      <alignment horizontal="left" vertical="center"/>
    </xf>
    <xf numFmtId="0" fontId="18" fillId="0" borderId="0" applyFill="0" applyBorder="0">
      <alignment vertical="center"/>
    </xf>
    <xf numFmtId="0" fontId="29" fillId="0" borderId="0" applyFill="0" applyBorder="0">
      <alignment horizontal="left" vertical="center"/>
    </xf>
    <xf numFmtId="0" fontId="37" fillId="0" borderId="0" applyFill="0" applyBorder="0">
      <alignment horizontal="left" vertical="center"/>
    </xf>
    <xf numFmtId="0" fontId="28" fillId="0" borderId="0" applyFill="0" applyBorder="0">
      <alignment horizontal="left" vertical="center"/>
    </xf>
    <xf numFmtId="0" fontId="27" fillId="0" borderId="0" applyFill="0" applyBorder="0">
      <alignment vertical="center"/>
    </xf>
    <xf numFmtId="0" fontId="31" fillId="16" borderId="0" applyBorder="0">
      <alignment horizontal="left" vertical="center"/>
    </xf>
    <xf numFmtId="0" fontId="30" fillId="16" borderId="0" applyBorder="0">
      <alignment horizontal="left" vertical="center"/>
    </xf>
    <xf numFmtId="171" fontId="27" fillId="0" borderId="0" applyFill="0" applyBorder="0">
      <alignment horizontal="right" vertical="center"/>
    </xf>
    <xf numFmtId="0" fontId="23" fillId="0" borderId="0">
      <alignment horizontal="right" vertical="center"/>
    </xf>
    <xf numFmtId="0" fontId="20" fillId="14" borderId="0">
      <alignment horizontal="left" indent="3"/>
    </xf>
    <xf numFmtId="0" fontId="20" fillId="15" borderId="0">
      <alignment horizontal="left" indent="3"/>
    </xf>
    <xf numFmtId="173" fontId="5" fillId="0" borderId="0">
      <alignment horizontal="center" vertical="center"/>
    </xf>
    <xf numFmtId="174" fontId="22" fillId="13" borderId="4">
      <alignment horizontal="center" vertical="center"/>
      <protection locked="0"/>
    </xf>
    <xf numFmtId="174" fontId="5" fillId="0" borderId="0"/>
    <xf numFmtId="165" fontId="28" fillId="0" borderId="0" applyFill="0" applyBorder="0">
      <alignment horizontal="right" vertical="center"/>
    </xf>
    <xf numFmtId="170" fontId="28" fillId="0" borderId="0" applyFill="0" applyBorder="0">
      <alignment horizontal="center" vertical="center"/>
    </xf>
    <xf numFmtId="171" fontId="28" fillId="0" borderId="0" applyFill="0" applyBorder="0">
      <alignment horizontal="right" vertical="center"/>
    </xf>
    <xf numFmtId="166" fontId="28" fillId="0" borderId="0" applyFill="0" applyBorder="0">
      <alignment horizontal="right" vertical="center"/>
    </xf>
    <xf numFmtId="167" fontId="28" fillId="0" borderId="0" applyFill="0" applyBorder="0">
      <alignment horizontal="right" vertical="center"/>
    </xf>
    <xf numFmtId="164" fontId="28" fillId="0" borderId="0" applyFill="0" applyBorder="0">
      <alignment horizontal="center" vertical="center"/>
    </xf>
    <xf numFmtId="0" fontId="28" fillId="17" borderId="4">
      <alignment horizontal="center" vertical="center"/>
      <protection locked="0"/>
    </xf>
    <xf numFmtId="0" fontId="5" fillId="18" borderId="0"/>
    <xf numFmtId="165" fontId="34" fillId="3" borderId="4">
      <alignment horizontal="right" vertical="center"/>
      <protection locked="0"/>
    </xf>
    <xf numFmtId="9" fontId="39" fillId="0" borderId="0" applyFont="0" applyFill="0" applyBorder="0" applyAlignment="0" applyProtection="0"/>
  </cellStyleXfs>
  <cellXfs count="117">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2" fillId="12" borderId="0" xfId="3">
      <alignment horizontal="left" vertical="center"/>
    </xf>
    <xf numFmtId="0" fontId="24" fillId="0" borderId="0" xfId="20">
      <alignment horizontal="left" vertical="center"/>
    </xf>
    <xf numFmtId="0" fontId="0" fillId="0" borderId="0" xfId="0" applyFont="1" applyFill="1"/>
    <xf numFmtId="0" fontId="0" fillId="0" borderId="0" xfId="0" applyFont="1"/>
    <xf numFmtId="0" fontId="29" fillId="0" borderId="0" xfId="34">
      <alignment horizontal="left" vertical="center"/>
    </xf>
    <xf numFmtId="0" fontId="0" fillId="0" borderId="0" xfId="0"/>
    <xf numFmtId="0" fontId="37" fillId="0" borderId="0" xfId="35" applyFill="1">
      <alignment horizontal="left" vertical="center"/>
    </xf>
    <xf numFmtId="0" fontId="28" fillId="0" borderId="0" xfId="36">
      <alignment horizontal="left" vertical="center"/>
    </xf>
    <xf numFmtId="0" fontId="27" fillId="0" borderId="0" xfId="37">
      <alignment vertical="center"/>
    </xf>
    <xf numFmtId="0" fontId="31" fillId="16" borderId="0" xfId="38">
      <alignment horizontal="left" vertical="center"/>
    </xf>
    <xf numFmtId="0" fontId="29" fillId="0" borderId="0" xfId="34" applyFill="1">
      <alignment horizontal="left" vertical="center"/>
    </xf>
    <xf numFmtId="0" fontId="27" fillId="0" borderId="0" xfId="37" applyFill="1">
      <alignment vertical="center"/>
    </xf>
    <xf numFmtId="0" fontId="28" fillId="0" borderId="0" xfId="36" applyFill="1">
      <alignment horizontal="left" vertical="center"/>
    </xf>
    <xf numFmtId="0" fontId="28" fillId="0" borderId="1" xfId="36" applyBorder="1" applyAlignment="1">
      <alignment horizontal="center" vertical="center"/>
    </xf>
    <xf numFmtId="0" fontId="19" fillId="0" borderId="0" xfId="37" applyFont="1" applyFill="1">
      <alignment vertical="center"/>
    </xf>
    <xf numFmtId="0" fontId="28" fillId="0" borderId="0" xfId="36" applyAlignment="1">
      <alignment horizontal="right" vertical="center"/>
    </xf>
    <xf numFmtId="0" fontId="29" fillId="0" borderId="0" xfId="34" applyAlignment="1">
      <alignment horizontal="center" vertical="center"/>
    </xf>
    <xf numFmtId="0" fontId="0" fillId="0" borderId="0" xfId="0" applyFont="1" applyAlignment="1">
      <alignment horizontal="center"/>
    </xf>
    <xf numFmtId="0" fontId="28" fillId="0" borderId="0" xfId="36" applyAlignment="1">
      <alignment horizontal="center" vertical="center"/>
    </xf>
    <xf numFmtId="4" fontId="0" fillId="0" borderId="0" xfId="0" applyNumberFormat="1" applyFont="1"/>
    <xf numFmtId="172" fontId="0" fillId="0" borderId="0" xfId="0" applyNumberFormat="1" applyFont="1"/>
    <xf numFmtId="0" fontId="32" fillId="12" borderId="0" xfId="3" applyFill="1">
      <alignment horizontal="left" vertical="center"/>
    </xf>
    <xf numFmtId="0" fontId="25" fillId="0" borderId="0" xfId="37" applyFont="1" applyFill="1">
      <alignment vertical="center"/>
    </xf>
    <xf numFmtId="169" fontId="27" fillId="0" borderId="0" xfId="13" applyNumberFormat="1">
      <alignment horizontal="right" vertical="center"/>
    </xf>
    <xf numFmtId="173" fontId="5" fillId="0" borderId="3" xfId="44" applyBorder="1" applyAlignment="1">
      <alignment horizontal="center"/>
    </xf>
    <xf numFmtId="0" fontId="27"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8" fillId="0" borderId="0" xfId="36" applyBorder="1">
      <alignment horizontal="left" vertical="center"/>
    </xf>
    <xf numFmtId="0" fontId="29" fillId="0" borderId="0" xfId="34" applyBorder="1" applyAlignment="1">
      <alignment horizontal="center" vertical="center"/>
    </xf>
    <xf numFmtId="0" fontId="37" fillId="0" borderId="0" xfId="35" applyBorder="1" applyAlignment="1">
      <alignment horizontal="center" vertical="center"/>
    </xf>
    <xf numFmtId="0" fontId="20" fillId="12" borderId="0" xfId="3" applyFont="1" applyBorder="1" applyAlignment="1">
      <alignment horizontal="center" vertical="center"/>
    </xf>
    <xf numFmtId="0" fontId="21" fillId="16"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8" fillId="13" borderId="4" xfId="8" applyBorder="1" applyAlignment="1">
      <alignment horizontal="center" vertical="center"/>
      <protection locked="0"/>
    </xf>
    <xf numFmtId="0" fontId="29" fillId="0" borderId="0" xfId="34" applyFill="1" applyBorder="1" applyAlignment="1">
      <alignment vertical="center"/>
    </xf>
    <xf numFmtId="0" fontId="26" fillId="0" borderId="0" xfId="3" applyFont="1" applyFill="1">
      <alignment horizontal="left" vertical="center"/>
    </xf>
    <xf numFmtId="0" fontId="33" fillId="0" borderId="0" xfId="0" applyFont="1" applyFill="1" applyAlignment="1">
      <alignment horizontal="center"/>
    </xf>
    <xf numFmtId="0" fontId="17" fillId="0" borderId="0" xfId="32" applyBorder="1">
      <alignment horizontal="left" vertical="center"/>
    </xf>
    <xf numFmtId="0" fontId="17" fillId="0" borderId="0" xfId="32">
      <alignment horizontal="left" vertical="center"/>
    </xf>
    <xf numFmtId="0" fontId="17" fillId="0" borderId="0" xfId="32" applyAlignment="1">
      <alignment horizontal="center" vertical="center"/>
    </xf>
    <xf numFmtId="0" fontId="5" fillId="18" borderId="0" xfId="54"/>
    <xf numFmtId="0" fontId="28" fillId="17" borderId="4" xfId="53">
      <alignment horizontal="center" vertical="center"/>
      <protection locked="0"/>
    </xf>
    <xf numFmtId="165" fontId="28" fillId="3" borderId="4" xfId="14" applyFill="1">
      <alignment horizontal="right" vertical="center"/>
      <protection locked="0"/>
    </xf>
    <xf numFmtId="0" fontId="0" fillId="0" borderId="0" xfId="0" applyFill="1"/>
    <xf numFmtId="0" fontId="17" fillId="0" borderId="0" xfId="32" applyFill="1">
      <alignment horizontal="left" vertical="center"/>
    </xf>
    <xf numFmtId="170" fontId="28" fillId="0" borderId="1" xfId="48" applyBorder="1">
      <alignment horizontal="center" vertical="center"/>
    </xf>
    <xf numFmtId="170" fontId="27" fillId="0" borderId="0" xfId="11" applyAlignment="1">
      <alignment horizontal="right" vertical="center"/>
    </xf>
    <xf numFmtId="0" fontId="37" fillId="0" borderId="0" xfId="35" applyAlignment="1">
      <alignment horizontal="right" vertical="center"/>
    </xf>
    <xf numFmtId="0" fontId="37" fillId="0" borderId="0" xfId="35" applyAlignment="1">
      <alignment horizontal="center" vertical="center"/>
    </xf>
    <xf numFmtId="0" fontId="35" fillId="0" borderId="1" xfId="36" applyFont="1" applyBorder="1" applyAlignment="1">
      <alignment horizontal="center" vertical="center"/>
    </xf>
    <xf numFmtId="170" fontId="27" fillId="0" borderId="0" xfId="11" applyAlignment="1">
      <alignment horizontal="center" vertical="center"/>
    </xf>
    <xf numFmtId="169" fontId="27" fillId="0" borderId="0" xfId="13" applyNumberFormat="1" applyAlignment="1">
      <alignment horizontal="center" vertical="center"/>
    </xf>
    <xf numFmtId="0" fontId="27" fillId="0" borderId="0" xfId="37" applyAlignment="1">
      <alignment horizontal="center" vertical="center"/>
    </xf>
    <xf numFmtId="0" fontId="37" fillId="0" borderId="2" xfId="35" applyBorder="1" applyAlignment="1">
      <alignment horizontal="center" vertical="center"/>
    </xf>
    <xf numFmtId="165" fontId="27" fillId="0" borderId="0" xfId="13" applyFill="1" applyAlignment="1">
      <alignment horizontal="center" vertical="center"/>
    </xf>
    <xf numFmtId="0" fontId="37" fillId="0" borderId="3" xfId="35" applyFill="1" applyBorder="1" applyAlignment="1">
      <alignment horizontal="center" vertical="center"/>
    </xf>
    <xf numFmtId="0" fontId="28" fillId="0" borderId="0" xfId="36" applyFill="1" applyAlignment="1">
      <alignment horizontal="center" vertical="center"/>
    </xf>
    <xf numFmtId="0" fontId="28" fillId="4" borderId="0" xfId="36" applyFill="1" applyAlignment="1">
      <alignment horizontal="center" vertical="center"/>
    </xf>
    <xf numFmtId="173" fontId="5" fillId="0" borderId="0" xfId="44" applyBorder="1" applyAlignment="1">
      <alignment horizontal="center" vertical="center"/>
    </xf>
    <xf numFmtId="0" fontId="37" fillId="0" borderId="0" xfId="35" applyAlignment="1">
      <alignment horizontal="center" vertical="center" wrapText="1"/>
    </xf>
    <xf numFmtId="0" fontId="37" fillId="0" borderId="2" xfId="35" applyBorder="1" applyAlignment="1">
      <alignment horizontal="center" vertical="center" wrapText="1"/>
    </xf>
    <xf numFmtId="0" fontId="37" fillId="0" borderId="2" xfId="35" applyBorder="1">
      <alignment horizontal="left" vertical="center"/>
    </xf>
    <xf numFmtId="0" fontId="37" fillId="0" borderId="3" xfId="35" applyFill="1" applyBorder="1">
      <alignment horizontal="left" vertical="center"/>
    </xf>
    <xf numFmtId="0" fontId="27" fillId="0" borderId="0" xfId="37" applyFill="1" applyAlignment="1">
      <alignment horizontal="center" vertical="center"/>
    </xf>
    <xf numFmtId="173" fontId="5" fillId="0" borderId="0" xfId="44" applyFill="1" applyBorder="1" applyAlignment="1">
      <alignment horizontal="center" vertical="center"/>
    </xf>
    <xf numFmtId="0" fontId="38" fillId="0" borderId="0" xfId="37" applyFont="1">
      <alignment vertical="center"/>
    </xf>
    <xf numFmtId="20" fontId="0" fillId="0" borderId="0" xfId="0" quotePrefix="1" applyNumberFormat="1"/>
    <xf numFmtId="0" fontId="0" fillId="4" borderId="0" xfId="0" applyFont="1" applyFill="1"/>
    <xf numFmtId="0" fontId="28" fillId="0" borderId="0" xfId="36" applyBorder="1" applyAlignment="1">
      <alignment horizontal="center" vertical="center"/>
    </xf>
    <xf numFmtId="0" fontId="0" fillId="0" borderId="17" xfId="0" applyFont="1" applyBorder="1"/>
    <xf numFmtId="0" fontId="37" fillId="0" borderId="18" xfId="35" applyBorder="1" applyAlignment="1">
      <alignment horizontal="center" vertical="center" wrapText="1"/>
    </xf>
    <xf numFmtId="0" fontId="0" fillId="0" borderId="0" xfId="0" applyFont="1" applyBorder="1"/>
    <xf numFmtId="176" fontId="28" fillId="3" borderId="4" xfId="16" applyNumberFormat="1" applyFill="1" applyBorder="1" applyAlignment="1">
      <alignment horizontal="center" vertical="center"/>
      <protection locked="0"/>
    </xf>
    <xf numFmtId="165" fontId="27" fillId="0" borderId="0" xfId="13" applyFill="1" applyBorder="1" applyAlignment="1">
      <alignment horizontal="center" vertical="center"/>
    </xf>
    <xf numFmtId="177" fontId="40" fillId="0" borderId="0" xfId="0" applyNumberFormat="1" applyFont="1"/>
    <xf numFmtId="177" fontId="41" fillId="0" borderId="0" xfId="0" applyNumberFormat="1" applyFont="1" applyAlignment="1">
      <alignment horizontal="center"/>
    </xf>
    <xf numFmtId="177" fontId="42" fillId="0" borderId="0" xfId="0" applyNumberFormat="1" applyFont="1"/>
    <xf numFmtId="177" fontId="41" fillId="0" borderId="0" xfId="0" applyNumberFormat="1" applyFont="1" applyAlignment="1">
      <alignment horizontal="left"/>
    </xf>
    <xf numFmtId="14" fontId="27" fillId="0" borderId="0" xfId="37" applyNumberFormat="1" applyAlignment="1">
      <alignment horizontal="left" vertical="center"/>
    </xf>
    <xf numFmtId="14" fontId="28" fillId="3" borderId="4" xfId="16" applyNumberFormat="1" applyFill="1" applyBorder="1" applyAlignment="1">
      <alignment horizontal="center" vertical="center"/>
      <protection locked="0"/>
    </xf>
    <xf numFmtId="0" fontId="27" fillId="0" borderId="0" xfId="37" applyAlignment="1">
      <alignment horizontal="left" vertical="center"/>
    </xf>
    <xf numFmtId="0" fontId="37" fillId="0" borderId="0" xfId="35" applyBorder="1">
      <alignment horizontal="left" vertical="center"/>
    </xf>
    <xf numFmtId="0" fontId="37" fillId="0" borderId="0" xfId="35" applyBorder="1" applyAlignment="1">
      <alignment horizontal="center" vertical="center" wrapText="1"/>
    </xf>
    <xf numFmtId="0" fontId="37" fillId="0" borderId="19" xfId="35" applyBorder="1" applyAlignment="1">
      <alignment horizontal="center" vertical="center" wrapText="1"/>
    </xf>
    <xf numFmtId="0" fontId="27" fillId="4" borderId="0" xfId="37" applyFill="1" applyAlignment="1">
      <alignment horizontal="left" vertical="center"/>
    </xf>
    <xf numFmtId="10" fontId="27" fillId="0" borderId="0" xfId="56" applyNumberFormat="1" applyFont="1" applyFill="1" applyAlignment="1">
      <alignment horizontal="center" vertical="center"/>
    </xf>
    <xf numFmtId="177" fontId="42" fillId="0" borderId="0" xfId="0" applyNumberFormat="1" applyFont="1" applyAlignment="1">
      <alignment horizontal="center"/>
    </xf>
    <xf numFmtId="177" fontId="42" fillId="0" borderId="0" xfId="0" applyNumberFormat="1" applyFont="1" applyBorder="1" applyAlignment="1">
      <alignment horizontal="center"/>
    </xf>
    <xf numFmtId="10" fontId="42" fillId="0" borderId="0" xfId="56" applyNumberFormat="1" applyFont="1"/>
    <xf numFmtId="10" fontId="27" fillId="0" borderId="0" xfId="56" applyNumberFormat="1" applyFont="1" applyFill="1" applyBorder="1" applyAlignment="1">
      <alignment horizontal="center" vertical="center"/>
    </xf>
    <xf numFmtId="14" fontId="27" fillId="0" borderId="0" xfId="13" applyNumberFormat="1" applyFill="1" applyBorder="1" applyAlignment="1">
      <alignment horizontal="center" vertical="center"/>
    </xf>
    <xf numFmtId="0" fontId="27" fillId="0" borderId="0" xfId="37" applyFill="1" applyAlignment="1">
      <alignment horizontal="left" vertical="center"/>
    </xf>
    <xf numFmtId="10" fontId="36" fillId="0" borderId="3" xfId="56" applyNumberFormat="1" applyFont="1" applyFill="1" applyBorder="1" applyAlignment="1">
      <alignment horizontal="center" vertical="center"/>
    </xf>
    <xf numFmtId="175" fontId="28" fillId="19" borderId="4" xfId="14" applyNumberFormat="1" applyFill="1" applyAlignment="1">
      <alignment horizontal="center" vertical="center"/>
      <protection locked="0"/>
    </xf>
    <xf numFmtId="0" fontId="27" fillId="0" borderId="0" xfId="56" applyNumberFormat="1" applyFont="1" applyFill="1" applyBorder="1" applyAlignment="1">
      <alignment horizontal="center" vertical="center"/>
    </xf>
    <xf numFmtId="0" fontId="37" fillId="0" borderId="2" xfId="35" applyBorder="1" applyAlignment="1">
      <alignment horizontal="center" vertical="center" wrapText="1"/>
    </xf>
    <xf numFmtId="0" fontId="28" fillId="3" borderId="4" xfId="16" applyNumberFormat="1" applyFill="1" applyBorder="1" applyAlignment="1">
      <alignment horizontal="center" vertical="center"/>
      <protection locked="0"/>
    </xf>
    <xf numFmtId="10" fontId="0" fillId="0" borderId="0" xfId="56" applyNumberFormat="1" applyFont="1"/>
    <xf numFmtId="10" fontId="0" fillId="0" borderId="0" xfId="56" applyNumberFormat="1" applyFont="1" applyFill="1"/>
    <xf numFmtId="0" fontId="45" fillId="0" borderId="0" xfId="36" applyFont="1" applyFill="1" applyBorder="1">
      <alignment horizontal="left" vertical="center"/>
    </xf>
    <xf numFmtId="0" fontId="37" fillId="0" borderId="20" xfId="35" applyBorder="1" applyAlignment="1">
      <alignment horizontal="center" vertical="center" wrapText="1"/>
    </xf>
    <xf numFmtId="0" fontId="28" fillId="0" borderId="0" xfId="36" applyFill="1" applyAlignment="1">
      <alignment horizontal="left" vertical="center" wrapText="1"/>
    </xf>
    <xf numFmtId="0" fontId="37" fillId="0" borderId="2" xfId="35" applyBorder="1" applyAlignment="1">
      <alignment horizontal="center" vertical="center" wrapText="1"/>
    </xf>
    <xf numFmtId="0" fontId="37" fillId="0" borderId="19" xfId="35" applyBorder="1" applyAlignment="1">
      <alignment horizontal="center" vertical="center" wrapText="1"/>
    </xf>
    <xf numFmtId="0" fontId="37" fillId="0" borderId="0" xfId="35" applyBorder="1" applyAlignment="1">
      <alignment horizontal="center" vertical="center" wrapText="1"/>
    </xf>
    <xf numFmtId="0" fontId="37" fillId="0" borderId="2" xfId="35" applyBorder="1" applyAlignment="1">
      <alignment horizontal="center" vertical="center"/>
    </xf>
  </cellXfs>
  <cellStyles count="57">
    <cellStyle name="Bad" xfId="22" builtinId="27" hidden="1"/>
    <cellStyle name="Calculation" xfId="26" builtinId="22" hidden="1"/>
    <cellStyle name="Check Cell" xfId="28" builtinId="23" hidden="1"/>
    <cellStyle name="Check RedRedGreen" xfId="44" xr:uid="{00000000-0005-0000-0000-000003000000}"/>
    <cellStyle name="Currency" xfId="1" builtinId="4" hidden="1" customBuiltin="1"/>
    <cellStyle name="Currency" xfId="40" xr:uid="{00000000-0005-0000-0000-000005000000}"/>
    <cellStyle name="Currency Assumptions" xfId="19" xr:uid="{00000000-0005-0000-0000-000006000000}"/>
    <cellStyle name="Currency Input" xfId="49" xr:uid="{00000000-0005-0000-0000-000007000000}"/>
    <cellStyle name="Date" xfId="11" xr:uid="{00000000-0005-0000-0000-000008000000}"/>
    <cellStyle name="Date Assumptions" xfId="12" xr:uid="{00000000-0005-0000-0000-000009000000}"/>
    <cellStyle name="Date Input" xfId="48" xr:uid="{00000000-0005-0000-0000-00000A000000}"/>
    <cellStyle name="Dropdown" xfId="53" xr:uid="{00000000-0005-0000-0000-00000B000000}"/>
    <cellStyle name="Explanatory Text" xfId="31" builtinId="53" hidden="1"/>
    <cellStyle name="External Link" xfId="55" xr:uid="{00000000-0005-0000-0000-00000D000000}"/>
    <cellStyle name="Good" xfId="21" builtinId="26" hidden="1"/>
    <cellStyle name="Heading 1" xfId="3" builtinId="16" customBuiltin="1"/>
    <cellStyle name="Heading 2" xfId="4" builtinId="17" hidden="1" customBuiltin="1"/>
    <cellStyle name="Heading 2 Input" xfId="38" xr:uid="{00000000-0005-0000-0000-000011000000}"/>
    <cellStyle name="Heading 2 Output" xfId="39" xr:uid="{00000000-0005-0000-0000-000012000000}"/>
    <cellStyle name="Heading 3" xfId="5" builtinId="18" hidden="1" customBuiltin="1"/>
    <cellStyle name="Heading 3 Input" xfId="34" xr:uid="{00000000-0005-0000-0000-000014000000}"/>
    <cellStyle name="Heading 3 Output" xfId="35" xr:uid="{00000000-0005-0000-0000-000015000000}"/>
    <cellStyle name="Heading 4" xfId="6" builtinId="19" hidden="1" customBuiltin="1"/>
    <cellStyle name="Heading 4 Assumptions" xfId="8" xr:uid="{00000000-0005-0000-0000-000017000000}"/>
    <cellStyle name="Heading 4 Input" xfId="36" xr:uid="{00000000-0005-0000-0000-000018000000}"/>
    <cellStyle name="Heading 4 Output" xfId="37" xr:uid="{00000000-0005-0000-0000-000019000000}"/>
    <cellStyle name="Hyperlink" xfId="32" builtinId="8" customBuiltin="1"/>
    <cellStyle name="Input" xfId="24" builtinId="20" hidden="1"/>
    <cellStyle name="Line Item Modifier" xfId="41" xr:uid="{00000000-0005-0000-0000-00001C000000}"/>
    <cellStyle name="Linked Cell" xfId="27" builtinId="24" hidden="1"/>
    <cellStyle name="Multiple" xfId="17" xr:uid="{00000000-0005-0000-0000-00001E000000}"/>
    <cellStyle name="Multiple Assumptions" xfId="18" xr:uid="{00000000-0005-0000-0000-00001F000000}"/>
    <cellStyle name="Multiple Input" xfId="50" xr:uid="{00000000-0005-0000-0000-000020000000}"/>
    <cellStyle name="Neutral" xfId="23" builtinId="28" hidden="1"/>
    <cellStyle name="Normal" xfId="0" builtinId="0" customBuiltin="1"/>
    <cellStyle name="Not Applicable" xfId="54" xr:uid="{00000000-0005-0000-0000-000023000000}"/>
    <cellStyle name="Note" xfId="30" builtinId="10" hidden="1"/>
    <cellStyle name="Number" xfId="13" xr:uid="{00000000-0005-0000-0000-000025000000}"/>
    <cellStyle name="Number Assumptions" xfId="14" xr:uid="{00000000-0005-0000-0000-000026000000}"/>
    <cellStyle name="Number Input" xfId="47" xr:uid="{00000000-0005-0000-0000-000027000000}"/>
    <cellStyle name="Output" xfId="25" builtinId="21" hidden="1"/>
    <cellStyle name="Percent" xfId="56" builtinId="5"/>
    <cellStyle name="Percentage" xfId="15" xr:uid="{00000000-0005-0000-0000-00002A000000}"/>
    <cellStyle name="Percentage Assumptions" xfId="16" xr:uid="{00000000-0005-0000-0000-00002B000000}"/>
    <cellStyle name="Percentage Input" xfId="51" xr:uid="{00000000-0005-0000-0000-00002C000000}"/>
    <cellStyle name="Sheet Title Input" xfId="20" xr:uid="{00000000-0005-0000-0000-00002D000000}"/>
    <cellStyle name="Sheet Title Output" xfId="33" xr:uid="{00000000-0005-0000-0000-00002E000000}"/>
    <cellStyle name="Table Header 1" xfId="42" xr:uid="{00000000-0005-0000-0000-00002F000000}"/>
    <cellStyle name="Table Header 2" xfId="43" xr:uid="{00000000-0005-0000-0000-000030000000}"/>
    <cellStyle name="Title" xfId="2" builtinId="15" hidden="1"/>
    <cellStyle name="Total" xfId="7" builtinId="25" hidden="1"/>
    <cellStyle name="Trigger Assumption GreenRedGrey" xfId="45" xr:uid="{00000000-0005-0000-0000-000033000000}"/>
    <cellStyle name="Trigger GreenRedGrey" xfId="46" xr:uid="{00000000-0005-0000-0000-000034000000}"/>
    <cellStyle name="Warning Text" xfId="29" builtinId="11" hidden="1"/>
    <cellStyle name="Year" xfId="9" xr:uid="{00000000-0005-0000-0000-000036000000}"/>
    <cellStyle name="Year Assumptions" xfId="10" xr:uid="{00000000-0005-0000-0000-000037000000}"/>
    <cellStyle name="Year Input" xfId="52" xr:uid="{00000000-0005-0000-0000-000038000000}"/>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FF0066"/>
      <color rgb="FF139C00"/>
      <color rgb="FF426286"/>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showGridLines="0" tabSelected="1" zoomScaleNormal="100" workbookViewId="0">
      <selection activeCell="J12" sqref="J12"/>
    </sheetView>
  </sheetViews>
  <sheetFormatPr defaultColWidth="9.33203125" defaultRowHeight="10.15" x14ac:dyDescent="0.3"/>
  <cols>
    <col min="1" max="1" width="9.33203125" style="9"/>
    <col min="2" max="3" width="5.83203125" style="9" customWidth="1"/>
    <col min="4" max="4" width="12.83203125" style="9" customWidth="1"/>
    <col min="5" max="5" width="9.33203125" style="9"/>
    <col min="6" max="13" width="10.83203125" style="9" customWidth="1"/>
    <col min="14" max="16384" width="9.33203125" style="9"/>
  </cols>
  <sheetData>
    <row r="1" spans="2:15" ht="11.25" customHeight="1" x14ac:dyDescent="0.3"/>
    <row r="2" spans="2:15" ht="11.25" customHeight="1" x14ac:dyDescent="0.3"/>
    <row r="3" spans="2:15" s="7" customFormat="1" ht="18.75" x14ac:dyDescent="0.3">
      <c r="B3" s="5" t="s">
        <v>165</v>
      </c>
    </row>
    <row r="4" spans="2:15" ht="11.25" customHeight="1" x14ac:dyDescent="0.3"/>
    <row r="5" spans="2:15" ht="11.25" customHeight="1" x14ac:dyDescent="0.3">
      <c r="N5" s="77"/>
      <c r="O5" s="77"/>
    </row>
    <row r="6" spans="2:15" ht="11.25" customHeight="1" x14ac:dyDescent="0.3">
      <c r="C6" s="54"/>
      <c r="D6" s="54"/>
      <c r="E6" s="54"/>
      <c r="F6" s="54"/>
      <c r="G6" s="54"/>
      <c r="N6" s="77"/>
      <c r="O6" s="77"/>
    </row>
    <row r="7" spans="2:15" ht="11.25" customHeight="1" x14ac:dyDescent="0.3">
      <c r="C7" s="54"/>
      <c r="D7" s="54"/>
      <c r="E7" s="54"/>
      <c r="F7" s="54"/>
      <c r="G7" s="54"/>
      <c r="N7" s="77"/>
      <c r="O7" s="77"/>
    </row>
    <row r="8" spans="2:15" ht="11.25" customHeight="1" x14ac:dyDescent="0.3">
      <c r="C8" s="54"/>
      <c r="D8" s="54"/>
      <c r="E8" s="54"/>
      <c r="F8" s="54"/>
      <c r="G8" s="54"/>
    </row>
    <row r="9" spans="2:15" x14ac:dyDescent="0.3">
      <c r="C9" s="54"/>
      <c r="D9" s="54"/>
      <c r="E9" s="54"/>
      <c r="F9" s="54"/>
      <c r="G9" s="54"/>
    </row>
    <row r="11" spans="2:15" ht="13.15" x14ac:dyDescent="0.3">
      <c r="C11" s="45" t="s">
        <v>28</v>
      </c>
      <c r="E11" s="110"/>
      <c r="F11" s="16" t="s">
        <v>269</v>
      </c>
    </row>
    <row r="13" spans="2:15" ht="13.15" x14ac:dyDescent="0.3">
      <c r="C13" s="14" t="s">
        <v>29</v>
      </c>
    </row>
    <row r="14" spans="2:15" ht="12.75" x14ac:dyDescent="0.3">
      <c r="C14" s="16" t="s">
        <v>166</v>
      </c>
    </row>
    <row r="16" spans="2:15" ht="13.15" x14ac:dyDescent="0.3">
      <c r="C16" s="14" t="s">
        <v>37</v>
      </c>
    </row>
    <row r="18" spans="3:13" x14ac:dyDescent="0.3">
      <c r="C18" s="30"/>
      <c r="D18" s="31"/>
      <c r="E18" s="31"/>
      <c r="F18" s="31"/>
      <c r="G18" s="31"/>
      <c r="H18" s="31"/>
      <c r="I18" s="31"/>
      <c r="J18" s="31"/>
      <c r="K18" s="31"/>
      <c r="L18" s="31"/>
      <c r="M18" s="32"/>
    </row>
    <row r="19" spans="3:13" ht="12.75" x14ac:dyDescent="0.3">
      <c r="C19" s="33"/>
      <c r="D19" s="44" t="s">
        <v>14</v>
      </c>
      <c r="E19" s="34"/>
      <c r="F19" s="36" t="s">
        <v>25</v>
      </c>
      <c r="G19" s="34"/>
      <c r="H19" s="34"/>
      <c r="I19" s="34"/>
      <c r="J19" s="34"/>
      <c r="K19" s="34"/>
      <c r="L19" s="34"/>
      <c r="M19" s="35"/>
    </row>
    <row r="20" spans="3:13" ht="12.75" x14ac:dyDescent="0.3">
      <c r="C20" s="33"/>
      <c r="D20" s="52" t="s">
        <v>44</v>
      </c>
      <c r="E20" s="34"/>
      <c r="F20" s="36" t="s">
        <v>39</v>
      </c>
      <c r="G20" s="34"/>
      <c r="H20" s="34"/>
      <c r="I20" s="34"/>
      <c r="J20" s="34"/>
      <c r="K20" s="34"/>
      <c r="L20" s="34"/>
      <c r="M20" s="35"/>
    </row>
    <row r="21" spans="3:13" ht="13.15" x14ac:dyDescent="0.3">
      <c r="C21" s="33"/>
      <c r="D21" s="37" t="s">
        <v>20</v>
      </c>
      <c r="E21" s="34"/>
      <c r="F21" s="36" t="s">
        <v>22</v>
      </c>
      <c r="G21" s="34"/>
      <c r="H21" s="34"/>
      <c r="I21" s="34"/>
      <c r="J21" s="34"/>
      <c r="K21" s="34"/>
      <c r="L21" s="34"/>
      <c r="M21" s="35"/>
    </row>
    <row r="22" spans="3:13" ht="13.15" x14ac:dyDescent="0.3">
      <c r="C22" s="33"/>
      <c r="D22" s="38" t="s">
        <v>21</v>
      </c>
      <c r="E22" s="34"/>
      <c r="F22" s="36" t="s">
        <v>23</v>
      </c>
      <c r="G22" s="34"/>
      <c r="H22" s="34"/>
      <c r="I22" s="34"/>
      <c r="J22" s="34"/>
      <c r="K22" s="34"/>
      <c r="L22" s="34"/>
      <c r="M22" s="35"/>
    </row>
    <row r="23" spans="3:13" ht="12.75" x14ac:dyDescent="0.3">
      <c r="C23" s="33"/>
      <c r="D23" s="39" t="s">
        <v>5</v>
      </c>
      <c r="E23" s="34"/>
      <c r="F23" s="36" t="s">
        <v>26</v>
      </c>
      <c r="G23" s="34"/>
      <c r="H23" s="34"/>
      <c r="I23" s="34"/>
      <c r="J23" s="34"/>
      <c r="K23" s="34"/>
      <c r="L23" s="34"/>
      <c r="M23" s="35"/>
    </row>
    <row r="24" spans="3:13" ht="12.75" x14ac:dyDescent="0.3">
      <c r="C24" s="33"/>
      <c r="D24" s="40" t="s">
        <v>24</v>
      </c>
      <c r="E24" s="34"/>
      <c r="F24" s="36" t="s">
        <v>27</v>
      </c>
      <c r="G24" s="34"/>
      <c r="H24" s="34"/>
      <c r="I24" s="34"/>
      <c r="J24" s="34"/>
      <c r="K24" s="34"/>
      <c r="L24" s="34"/>
      <c r="M24" s="35"/>
    </row>
    <row r="25" spans="3:13" ht="12.75" x14ac:dyDescent="0.3">
      <c r="C25" s="33"/>
      <c r="D25" s="51"/>
      <c r="E25" s="34"/>
      <c r="F25" s="36" t="s">
        <v>38</v>
      </c>
      <c r="G25" s="34"/>
      <c r="H25" s="34"/>
      <c r="I25" s="34"/>
      <c r="J25" s="34"/>
      <c r="K25" s="34"/>
      <c r="L25" s="34"/>
      <c r="M25" s="35"/>
    </row>
    <row r="26" spans="3:13" ht="12.75" x14ac:dyDescent="0.3">
      <c r="C26" s="33"/>
      <c r="D26" s="50" t="s">
        <v>45</v>
      </c>
      <c r="E26" s="34"/>
      <c r="F26" s="36" t="s">
        <v>40</v>
      </c>
      <c r="G26" s="34"/>
      <c r="H26" s="34"/>
      <c r="I26" s="34"/>
      <c r="J26" s="34"/>
      <c r="K26" s="34"/>
      <c r="L26" s="34"/>
      <c r="M26" s="35"/>
    </row>
    <row r="27" spans="3:13" ht="13.15" x14ac:dyDescent="0.4">
      <c r="C27" s="33"/>
      <c r="D27" s="47" t="s">
        <v>7</v>
      </c>
      <c r="E27" s="34"/>
      <c r="F27" s="36" t="s">
        <v>41</v>
      </c>
      <c r="G27" s="34"/>
      <c r="H27" s="34"/>
      <c r="I27" s="34"/>
      <c r="J27" s="34"/>
      <c r="K27" s="34"/>
      <c r="L27" s="34"/>
      <c r="M27" s="35"/>
    </row>
    <row r="28" spans="3:13" ht="13.15" x14ac:dyDescent="0.4">
      <c r="C28" s="33"/>
      <c r="D28" s="47" t="s">
        <v>6</v>
      </c>
      <c r="E28" s="34"/>
      <c r="F28" s="36" t="s">
        <v>42</v>
      </c>
      <c r="G28" s="34"/>
      <c r="H28" s="34"/>
      <c r="I28" s="34"/>
      <c r="J28" s="34"/>
      <c r="K28" s="34"/>
      <c r="L28" s="34"/>
      <c r="M28" s="35"/>
    </row>
    <row r="29" spans="3:13" ht="12.75" x14ac:dyDescent="0.3">
      <c r="C29" s="33"/>
      <c r="D29" s="53"/>
      <c r="E29" s="34"/>
      <c r="F29" s="36" t="s">
        <v>43</v>
      </c>
      <c r="G29" s="34"/>
      <c r="H29" s="34"/>
      <c r="I29" s="34"/>
      <c r="J29" s="34"/>
      <c r="K29" s="34"/>
      <c r="L29" s="34"/>
      <c r="M29" s="35"/>
    </row>
    <row r="30" spans="3:13" x14ac:dyDescent="0.3">
      <c r="C30" s="41"/>
      <c r="D30" s="42"/>
      <c r="E30" s="42"/>
      <c r="F30" s="42"/>
      <c r="G30" s="42"/>
      <c r="H30" s="42"/>
      <c r="I30" s="42"/>
      <c r="J30" s="42"/>
      <c r="K30" s="42"/>
      <c r="L30" s="42"/>
      <c r="M30" s="43"/>
    </row>
    <row r="32" spans="3:13" ht="13.15" x14ac:dyDescent="0.3">
      <c r="C32" s="14" t="s">
        <v>142</v>
      </c>
      <c r="D32" s="48"/>
    </row>
    <row r="33" spans="3:24" ht="81" customHeight="1" x14ac:dyDescent="0.3">
      <c r="C33" s="112" t="s">
        <v>161</v>
      </c>
      <c r="D33" s="112"/>
      <c r="E33" s="112"/>
      <c r="F33" s="112"/>
      <c r="G33" s="112"/>
      <c r="H33" s="112"/>
      <c r="I33" s="112"/>
      <c r="J33" s="112"/>
      <c r="K33" s="112"/>
      <c r="L33" s="112"/>
      <c r="M33" s="112"/>
      <c r="N33" s="112"/>
      <c r="O33" s="112"/>
      <c r="P33" s="112"/>
      <c r="Q33" s="112"/>
      <c r="R33" s="112"/>
      <c r="S33" s="112"/>
      <c r="T33" s="112"/>
      <c r="U33" s="112"/>
      <c r="V33" s="112"/>
      <c r="W33" s="112"/>
      <c r="X33" s="112"/>
    </row>
  </sheetData>
  <mergeCells count="1">
    <mergeCell ref="C33:X33"/>
  </mergeCells>
  <conditionalFormatting sqref="D28">
    <cfRule type="cellIs" dxfId="16" priority="2" operator="equal">
      <formula>"Ok"</formula>
    </cfRule>
  </conditionalFormatting>
  <conditionalFormatting sqref="D27">
    <cfRule type="cellIs" dxfId="15"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showGridLines="0" zoomScaleNormal="100" workbookViewId="0">
      <pane xSplit="1" ySplit="4" topLeftCell="B5" activePane="bottomRight" state="frozen"/>
      <selection activeCell="D17" sqref="D17"/>
      <selection pane="topRight" activeCell="D17" sqref="D17"/>
      <selection pane="bottomLeft" activeCell="D17" sqref="D17"/>
      <selection pane="bottomRight" activeCell="D28" sqref="D28"/>
    </sheetView>
  </sheetViews>
  <sheetFormatPr defaultColWidth="0" defaultRowHeight="10.15" x14ac:dyDescent="0.3"/>
  <cols>
    <col min="1" max="3" width="2.83203125" style="7" customWidth="1"/>
    <col min="4" max="4" width="43.83203125" style="7" customWidth="1"/>
    <col min="5" max="9" width="10.83203125" style="7" customWidth="1"/>
    <col min="10" max="15" width="10.83203125" style="7" hidden="1" customWidth="1"/>
    <col min="16" max="16384" width="9.33203125" style="7" hidden="1"/>
  </cols>
  <sheetData>
    <row r="1" spans="2:5" ht="18.75" x14ac:dyDescent="0.3">
      <c r="B1" s="5" t="s">
        <v>50</v>
      </c>
    </row>
    <row r="2" spans="2:5" x14ac:dyDescent="0.3">
      <c r="B2" s="18" t="str">
        <f>Title_Msg</f>
        <v>No Errors Found</v>
      </c>
    </row>
    <row r="3" spans="2:5" ht="12.75" x14ac:dyDescent="0.3">
      <c r="B3" s="55" t="s">
        <v>52</v>
      </c>
      <c r="C3" s="55"/>
      <c r="D3" s="55"/>
      <c r="E3" s="16"/>
    </row>
    <row r="4" spans="2:5" ht="13.15" x14ac:dyDescent="0.3">
      <c r="B4" s="46" t="str">
        <f>Model_Name</f>
        <v>Rate of Return Model - Power and Water Corporation (PWC)</v>
      </c>
    </row>
    <row r="6" spans="2:5" s="4" customFormat="1" ht="15" x14ac:dyDescent="0.3">
      <c r="B6" s="4" t="str">
        <f>B1</f>
        <v>Table of Contents</v>
      </c>
    </row>
    <row r="7" spans="2:5" s="6" customFormat="1" ht="4.5" customHeight="1" x14ac:dyDescent="0.3"/>
    <row r="8" spans="2:5" s="13" customFormat="1" ht="13.9" x14ac:dyDescent="0.3">
      <c r="C8" s="13" t="e">
        <f>#REF!</f>
        <v>#REF!</v>
      </c>
    </row>
    <row r="9" spans="2:5" s="6" customFormat="1" ht="4.5" customHeight="1" x14ac:dyDescent="0.3"/>
    <row r="10" spans="2:5" s="6" customFormat="1" ht="11.25" customHeight="1" x14ac:dyDescent="0.3">
      <c r="D10" s="55" t="str">
        <f>Input_Data!B1</f>
        <v>Rate of return inputs</v>
      </c>
    </row>
    <row r="11" spans="2:5" s="6" customFormat="1" ht="11.25" customHeight="1" x14ac:dyDescent="0.3">
      <c r="D11" s="55" t="str">
        <f>Calc_Returns!B1</f>
        <v>Rate of return calculations</v>
      </c>
    </row>
    <row r="12" spans="2:5" x14ac:dyDescent="0.3">
      <c r="D12" s="55" t="str">
        <f>Output_PTRM!$B$1</f>
        <v>Inputs to PTRM</v>
      </c>
    </row>
    <row r="13" spans="2:5" s="6" customFormat="1" ht="4.5" customHeight="1" x14ac:dyDescent="0.3"/>
    <row r="14" spans="2:5" s="13" customFormat="1" ht="13.9" x14ac:dyDescent="0.3">
      <c r="C14" s="13" t="s">
        <v>51</v>
      </c>
    </row>
    <row r="15" spans="2:5" s="6" customFormat="1" ht="4.5" customHeight="1" x14ac:dyDescent="0.3"/>
    <row r="16" spans="2:5" x14ac:dyDescent="0.3">
      <c r="D16" s="55" t="str">
        <f>Lookup!B1</f>
        <v>Model Lookups</v>
      </c>
    </row>
    <row r="17" spans="2:4" x14ac:dyDescent="0.3">
      <c r="D17" s="55" t="str">
        <f>Checks!B1</f>
        <v>Checks</v>
      </c>
    </row>
    <row r="18" spans="2:4" s="6" customFormat="1" ht="4.5" customHeight="1" x14ac:dyDescent="0.3"/>
    <row r="19" spans="2:4" s="4" customFormat="1" ht="15" x14ac:dyDescent="0.3">
      <c r="B19" s="4" t="s">
        <v>33</v>
      </c>
    </row>
  </sheetData>
  <conditionalFormatting sqref="B2">
    <cfRule type="cellIs" dxfId="14" priority="1" operator="notEqual">
      <formula>"No Errors Found"</formula>
    </cfRule>
  </conditionalFormatting>
  <hyperlinks>
    <hyperlink ref="D16" location="Lookup!A1" display="Lookup!A1" xr:uid="{00000000-0004-0000-0100-000000000000}"/>
    <hyperlink ref="D17" location="Checks!A1" display="Checks!A1" xr:uid="{00000000-0004-0000-0100-000001000000}"/>
    <hyperlink ref="B3:D3" location="Cover!A1" display="Go to Cover Sheet" xr:uid="{00000000-0004-0000-0100-000002000000}"/>
    <hyperlink ref="D10" location="Input_Data!A1" display="Input_Data!A1" xr:uid="{00000000-0004-0000-0100-000003000000}"/>
    <hyperlink ref="D12" location="Output_PTRM!A1" display="Output_PTRM!A1" xr:uid="{00000000-0004-0000-0100-000004000000}"/>
    <hyperlink ref="C8" location="SC_General!A1" display="SC_General!A1" xr:uid="{00000000-0004-0000-0100-000007000000}"/>
    <hyperlink ref="D11" location="Calc_Returns!A1" display="Calc_Returns!A1"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X146"/>
  <sheetViews>
    <sheetView showGridLines="0" zoomScaleNormal="100" workbookViewId="0">
      <pane xSplit="1" ySplit="10" topLeftCell="B46" activePane="bottomRight" state="frozen"/>
      <selection activeCell="D17" sqref="D17"/>
      <selection pane="topRight" activeCell="D17" sqref="D17"/>
      <selection pane="bottomLeft" activeCell="D17" sqref="D17"/>
      <selection pane="bottomRight" activeCell="K54" sqref="K54"/>
    </sheetView>
  </sheetViews>
  <sheetFormatPr defaultColWidth="9.33203125" defaultRowHeight="10.15" outlineLevelRow="1" x14ac:dyDescent="0.3"/>
  <cols>
    <col min="1" max="1" width="3.33203125" style="7" customWidth="1"/>
    <col min="2" max="2" width="2.83203125" style="7" customWidth="1"/>
    <col min="3" max="3" width="5" style="7" customWidth="1"/>
    <col min="4" max="4" width="37.1640625" style="7" customWidth="1"/>
    <col min="5" max="5" width="11.83203125" style="7" customWidth="1"/>
    <col min="6" max="6" width="9.1640625" style="7" customWidth="1"/>
    <col min="7" max="7" width="12" style="7" customWidth="1"/>
    <col min="8" max="8" width="10" style="7" customWidth="1"/>
    <col min="9" max="9" width="10.83203125" style="7" customWidth="1"/>
    <col min="10" max="20" width="12.83203125" style="7" customWidth="1"/>
    <col min="21" max="24" width="12.5" style="7" bestFit="1" customWidth="1"/>
    <col min="25" max="16384" width="9.33203125" style="7"/>
  </cols>
  <sheetData>
    <row r="1" spans="1:24" ht="18.75" x14ac:dyDescent="0.3">
      <c r="A1" s="69">
        <f>IF(SUM($A11:$A146)&gt;0,1,0)</f>
        <v>0</v>
      </c>
      <c r="B1" s="5" t="s">
        <v>261</v>
      </c>
    </row>
    <row r="2" spans="1:24" x14ac:dyDescent="0.3">
      <c r="B2" s="18" t="str">
        <f>Title_Msg</f>
        <v>No Errors Found</v>
      </c>
    </row>
    <row r="3" spans="1:24" x14ac:dyDescent="0.3">
      <c r="B3" s="55" t="str">
        <f>TOC!B1</f>
        <v>Table of Contents</v>
      </c>
      <c r="C3" s="49"/>
      <c r="D3" s="49"/>
      <c r="E3" s="49"/>
    </row>
    <row r="4" spans="1:24" ht="13.15" x14ac:dyDescent="0.3">
      <c r="B4" s="46" t="str">
        <f>Model_Name</f>
        <v>Rate of Return Model - Power and Water Corporation (PWC)</v>
      </c>
    </row>
    <row r="5" spans="1:24"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c r="T5" s="61">
        <f>Lookup!T15</f>
        <v>45474</v>
      </c>
      <c r="U5" s="61">
        <f>Lookup!U15</f>
        <v>45839</v>
      </c>
      <c r="V5" s="61">
        <f>Lookup!V15</f>
        <v>46204</v>
      </c>
      <c r="W5" s="61">
        <f>Lookup!W15</f>
        <v>46569</v>
      </c>
      <c r="X5" s="61">
        <f>Lookup!X15</f>
        <v>46935</v>
      </c>
    </row>
    <row r="6" spans="1:24"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c r="T6" s="61">
        <f>Lookup!T16</f>
        <v>45838</v>
      </c>
      <c r="U6" s="61">
        <f>Lookup!U16</f>
        <v>46203</v>
      </c>
      <c r="V6" s="61">
        <f>Lookup!V16</f>
        <v>46568</v>
      </c>
      <c r="W6" s="61">
        <f>Lookup!W16</f>
        <v>46934</v>
      </c>
      <c r="X6" s="61">
        <f>Lookup!X16</f>
        <v>47299</v>
      </c>
    </row>
    <row r="7" spans="1:24"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c r="T7" s="62">
        <f>Lookup!T17</f>
        <v>11</v>
      </c>
      <c r="U7" s="62">
        <f>Lookup!U17</f>
        <v>12</v>
      </c>
      <c r="V7" s="62">
        <f>Lookup!V17</f>
        <v>13</v>
      </c>
      <c r="W7" s="62">
        <f>Lookup!W17</f>
        <v>14</v>
      </c>
      <c r="X7" s="62">
        <f>Lookup!X17</f>
        <v>15</v>
      </c>
    </row>
    <row r="8" spans="1:24"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c r="T8" s="63">
        <f>Lookup!T18</f>
        <v>2025</v>
      </c>
      <c r="U8" s="63">
        <f>Lookup!U18</f>
        <v>2026</v>
      </c>
      <c r="V8" s="63">
        <f>Lookup!V18</f>
        <v>2027</v>
      </c>
      <c r="W8" s="63">
        <f>Lookup!W18</f>
        <v>2028</v>
      </c>
      <c r="X8" s="63">
        <f>Lookup!X18</f>
        <v>2029</v>
      </c>
    </row>
    <row r="9" spans="1:24" ht="12.75" hidden="1" outlineLevel="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c r="T9" s="63" t="str">
        <f>Lookup!T19</f>
        <v>Forecast</v>
      </c>
      <c r="U9" s="63" t="str">
        <f>Lookup!U19</f>
        <v>Forecast</v>
      </c>
      <c r="V9" s="63" t="str">
        <f>Lookup!V19</f>
        <v>Forecast</v>
      </c>
      <c r="W9" s="63" t="str">
        <f>Lookup!W19</f>
        <v>Forecast</v>
      </c>
      <c r="X9" s="63" t="str">
        <f>Lookup!X19</f>
        <v>Forecast</v>
      </c>
    </row>
    <row r="10" spans="1:24" ht="13.15" collapsed="1" x14ac:dyDescent="0.3">
      <c r="B10" s="10" t="str">
        <f>Lookup!B20</f>
        <v>Regulatory Year</v>
      </c>
      <c r="E10" s="59" t="str">
        <f>Lookup!E20</f>
        <v>Source</v>
      </c>
      <c r="F10" s="59" t="str">
        <f>Lookup!F20</f>
        <v>Unit</v>
      </c>
      <c r="G10" s="59" t="str">
        <f>Lookup!G20</f>
        <v>Basis</v>
      </c>
      <c r="H10" s="59" t="str">
        <f>Lookup!H20</f>
        <v>Timing</v>
      </c>
      <c r="I10" s="70"/>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c r="T10" s="59" t="str">
        <f>Lookup!T20</f>
        <v>RY25</v>
      </c>
      <c r="U10" s="59" t="str">
        <f>Lookup!U20</f>
        <v>RY26</v>
      </c>
      <c r="V10" s="59" t="str">
        <f>Lookup!V20</f>
        <v>RY27</v>
      </c>
      <c r="W10" s="59" t="str">
        <f>Lookup!W20</f>
        <v>RY28</v>
      </c>
      <c r="X10" s="59" t="str">
        <f>Lookup!X20</f>
        <v>RY29</v>
      </c>
    </row>
    <row r="12" spans="1:24" s="4" customFormat="1" ht="15" x14ac:dyDescent="0.3">
      <c r="B12" s="4" t="s">
        <v>143</v>
      </c>
    </row>
    <row r="13" spans="1:24" s="6" customFormat="1" ht="4.5" customHeight="1" x14ac:dyDescent="0.3"/>
    <row r="14" spans="1:24" s="13" customFormat="1" ht="13.9" x14ac:dyDescent="0.3">
      <c r="C14" s="13" t="s">
        <v>257</v>
      </c>
    </row>
    <row r="16" spans="1:24" ht="13.15" x14ac:dyDescent="0.3">
      <c r="D16" s="72" t="s">
        <v>167</v>
      </c>
      <c r="E16" s="71" t="str">
        <f>Lookup!E$20</f>
        <v>Source</v>
      </c>
      <c r="F16" s="71" t="str">
        <f>Lookup!F$20</f>
        <v>Unit</v>
      </c>
      <c r="G16" s="71" t="str">
        <f>Lookup!G$20</f>
        <v>Basis</v>
      </c>
      <c r="H16" s="71" t="str">
        <f>Lookup!H$20</f>
        <v>Timing</v>
      </c>
      <c r="I16" s="71"/>
      <c r="J16" s="71" t="str">
        <f>J$10</f>
        <v>RY15</v>
      </c>
      <c r="K16" s="71" t="str">
        <f t="shared" ref="K16:X16" si="0">K$10</f>
        <v>RY16</v>
      </c>
      <c r="L16" s="71" t="str">
        <f t="shared" si="0"/>
        <v>RY17</v>
      </c>
      <c r="M16" s="71" t="str">
        <f t="shared" si="0"/>
        <v>RY18</v>
      </c>
      <c r="N16" s="81" t="str">
        <f t="shared" si="0"/>
        <v>RY19</v>
      </c>
      <c r="O16" s="71" t="str">
        <f t="shared" si="0"/>
        <v>RY20</v>
      </c>
      <c r="P16" s="71" t="str">
        <f t="shared" si="0"/>
        <v>RY21</v>
      </c>
      <c r="Q16" s="71" t="str">
        <f t="shared" si="0"/>
        <v>RY22</v>
      </c>
      <c r="R16" s="71" t="str">
        <f t="shared" si="0"/>
        <v>RY23</v>
      </c>
      <c r="S16" s="71" t="str">
        <f t="shared" si="0"/>
        <v>RY24</v>
      </c>
      <c r="T16" s="71" t="str">
        <f t="shared" si="0"/>
        <v>RY25</v>
      </c>
      <c r="U16" s="71" t="str">
        <f t="shared" si="0"/>
        <v>RY26</v>
      </c>
      <c r="V16" s="71" t="str">
        <f t="shared" si="0"/>
        <v>RY27</v>
      </c>
      <c r="W16" s="71" t="str">
        <f t="shared" si="0"/>
        <v>RY28</v>
      </c>
      <c r="X16" s="71" t="str">
        <f t="shared" si="0"/>
        <v>RY29</v>
      </c>
    </row>
    <row r="17" spans="2:24" x14ac:dyDescent="0.3">
      <c r="J17" s="82"/>
      <c r="K17" s="82"/>
      <c r="L17" s="82"/>
      <c r="M17" s="82"/>
      <c r="N17" s="80"/>
    </row>
    <row r="18" spans="2:24" ht="12.75" x14ac:dyDescent="0.3">
      <c r="D18" s="12" t="s">
        <v>254</v>
      </c>
      <c r="E18" s="74" t="s">
        <v>255</v>
      </c>
      <c r="F18" s="63" t="str">
        <f t="shared" ref="F18:F20" si="1">Percent</f>
        <v>Percent</v>
      </c>
      <c r="G18" s="63" t="str">
        <f t="shared" ref="G18:H20" si="2">NA</f>
        <v>N/A</v>
      </c>
      <c r="H18" s="63" t="str">
        <f t="shared" si="2"/>
        <v>N/A</v>
      </c>
      <c r="J18" s="83">
        <f>107.5/105.9-1</f>
        <v>1.5108593012275628E-2</v>
      </c>
      <c r="K18" s="83">
        <f>108.6/107.5-1</f>
        <v>1.0232558139534831E-2</v>
      </c>
      <c r="L18" s="83">
        <f>110.7/108.6-1</f>
        <v>1.9337016574585641E-2</v>
      </c>
    </row>
    <row r="19" spans="2:24" ht="12.75" x14ac:dyDescent="0.3">
      <c r="D19" s="12" t="s">
        <v>215</v>
      </c>
      <c r="E19" s="74" t="s">
        <v>144</v>
      </c>
      <c r="F19" s="63" t="str">
        <f t="shared" si="1"/>
        <v>Percent</v>
      </c>
      <c r="G19" s="63" t="str">
        <f t="shared" si="2"/>
        <v>N/A</v>
      </c>
      <c r="H19" s="63" t="str">
        <f t="shared" si="2"/>
        <v>N/A</v>
      </c>
      <c r="M19" s="83">
        <v>0.02</v>
      </c>
      <c r="N19" s="83">
        <v>2.2499999999999999E-2</v>
      </c>
    </row>
    <row r="20" spans="2:24" ht="12.75" x14ac:dyDescent="0.3">
      <c r="D20" s="12" t="s">
        <v>256</v>
      </c>
      <c r="E20" s="74" t="s">
        <v>144</v>
      </c>
      <c r="F20" s="63" t="str">
        <f t="shared" si="1"/>
        <v>Percent</v>
      </c>
      <c r="G20" s="63" t="str">
        <f t="shared" si="2"/>
        <v>N/A</v>
      </c>
      <c r="H20" s="63" t="str">
        <f t="shared" si="2"/>
        <v>N/A</v>
      </c>
      <c r="O20" s="83">
        <v>2.5000000000000001E-2</v>
      </c>
      <c r="P20" s="83">
        <v>2.5000000000000001E-2</v>
      </c>
      <c r="Q20" s="83">
        <v>2.5000000000000001E-2</v>
      </c>
      <c r="R20" s="83">
        <v>2.5000000000000001E-2</v>
      </c>
      <c r="S20" s="83">
        <v>2.5000000000000001E-2</v>
      </c>
      <c r="T20" s="83">
        <v>2.5000000000000001E-2</v>
      </c>
      <c r="U20" s="83">
        <v>2.5000000000000001E-2</v>
      </c>
      <c r="V20" s="83">
        <v>2.5000000000000001E-2</v>
      </c>
      <c r="W20" s="83">
        <v>2.5000000000000001E-2</v>
      </c>
      <c r="X20" s="83">
        <v>2.5000000000000001E-2</v>
      </c>
    </row>
    <row r="22" spans="2:24" ht="13.15" x14ac:dyDescent="0.3">
      <c r="C22" s="76" t="s">
        <v>264</v>
      </c>
    </row>
    <row r="23" spans="2:24" ht="13.15" x14ac:dyDescent="0.3">
      <c r="C23" s="76" t="s">
        <v>274</v>
      </c>
    </row>
    <row r="26" spans="2:24" s="4" customFormat="1" ht="15" x14ac:dyDescent="0.3">
      <c r="B26" s="4" t="s">
        <v>198</v>
      </c>
    </row>
    <row r="27" spans="2:24" s="6" customFormat="1" ht="4.5" customHeight="1" x14ac:dyDescent="0.3"/>
    <row r="28" spans="2:24" s="13" customFormat="1" ht="13.9" x14ac:dyDescent="0.3">
      <c r="C28" s="13" t="s">
        <v>168</v>
      </c>
    </row>
    <row r="30" spans="2:24" s="6" customFormat="1" ht="26.35" customHeight="1" x14ac:dyDescent="0.3">
      <c r="D30" s="72" t="s">
        <v>169</v>
      </c>
      <c r="E30" s="71" t="s">
        <v>65</v>
      </c>
      <c r="F30" s="71" t="s">
        <v>66</v>
      </c>
      <c r="G30" s="71" t="s">
        <v>67</v>
      </c>
      <c r="H30" s="71" t="str">
        <f>Lookup!H$20</f>
        <v>Timing</v>
      </c>
      <c r="I30" s="86"/>
      <c r="J30" s="71" t="s">
        <v>170</v>
      </c>
      <c r="K30" s="87"/>
      <c r="L30" s="71" t="s">
        <v>171</v>
      </c>
    </row>
    <row r="31" spans="2:24" s="6" customFormat="1" ht="11.25" customHeight="1" x14ac:dyDescent="0.3">
      <c r="D31" s="88"/>
      <c r="E31" s="86"/>
      <c r="F31" s="86"/>
      <c r="G31" s="86"/>
      <c r="H31" s="7"/>
      <c r="I31" s="86"/>
      <c r="J31" s="87"/>
      <c r="K31" s="87"/>
      <c r="L31" s="87"/>
    </row>
    <row r="32" spans="2:24" ht="12.75" x14ac:dyDescent="0.3">
      <c r="D32" s="12" t="s">
        <v>172</v>
      </c>
      <c r="E32" s="74" t="s">
        <v>144</v>
      </c>
      <c r="F32" s="63" t="s">
        <v>1</v>
      </c>
      <c r="G32" s="63" t="str">
        <f t="shared" ref="G32:H33" si="3">NA</f>
        <v>N/A</v>
      </c>
      <c r="H32" s="63" t="str">
        <f t="shared" si="3"/>
        <v>N/A</v>
      </c>
      <c r="I32" s="86"/>
      <c r="J32" s="83" t="s">
        <v>197</v>
      </c>
      <c r="L32" s="83" t="s">
        <v>265</v>
      </c>
    </row>
    <row r="33" spans="4:12" ht="12.75" x14ac:dyDescent="0.3">
      <c r="D33" s="12" t="s">
        <v>173</v>
      </c>
      <c r="E33" s="74" t="s">
        <v>144</v>
      </c>
      <c r="F33" s="63" t="s">
        <v>174</v>
      </c>
      <c r="G33" s="63" t="str">
        <f t="shared" si="3"/>
        <v>N/A</v>
      </c>
      <c r="H33" s="63" t="str">
        <f t="shared" si="3"/>
        <v>N/A</v>
      </c>
      <c r="I33" s="86"/>
      <c r="J33" s="90">
        <v>46498</v>
      </c>
      <c r="L33" s="90">
        <v>46712</v>
      </c>
    </row>
    <row r="36" spans="4:12" s="6" customFormat="1" ht="26.35" customHeight="1" x14ac:dyDescent="0.3">
      <c r="D36" s="72" t="s">
        <v>175</v>
      </c>
      <c r="E36" s="71"/>
      <c r="F36" s="71"/>
      <c r="G36" s="71"/>
      <c r="H36" s="71"/>
      <c r="I36" s="86"/>
      <c r="J36" s="71" t="s">
        <v>229</v>
      </c>
      <c r="K36" s="87"/>
      <c r="L36" s="71" t="s">
        <v>229</v>
      </c>
    </row>
    <row r="38" spans="4:12" ht="12.75" x14ac:dyDescent="0.3">
      <c r="D38" s="89">
        <v>42886</v>
      </c>
      <c r="E38" s="74" t="s">
        <v>144</v>
      </c>
      <c r="F38" s="63" t="str">
        <f t="shared" ref="F38:F59" si="4">Percent</f>
        <v>Percent</v>
      </c>
      <c r="G38" s="63" t="s">
        <v>70</v>
      </c>
      <c r="H38" s="63" t="str">
        <f t="shared" ref="H38:H59" si="5">NA</f>
        <v>N/A</v>
      </c>
      <c r="I38" s="86"/>
      <c r="J38" s="83">
        <v>2.3849999999999996E-2</v>
      </c>
      <c r="K38" s="87"/>
      <c r="L38" s="83">
        <v>2.4500000000000001E-2</v>
      </c>
    </row>
    <row r="39" spans="4:12" ht="12.75" x14ac:dyDescent="0.3">
      <c r="D39" s="89">
        <v>42887</v>
      </c>
      <c r="E39" s="74" t="s">
        <v>144</v>
      </c>
      <c r="F39" s="63" t="str">
        <f t="shared" si="4"/>
        <v>Percent</v>
      </c>
      <c r="G39" s="63" t="s">
        <v>70</v>
      </c>
      <c r="H39" s="63" t="str">
        <f t="shared" si="5"/>
        <v>N/A</v>
      </c>
      <c r="I39" s="86"/>
      <c r="J39" s="83">
        <v>2.3949999999999999E-2</v>
      </c>
      <c r="K39" s="87"/>
      <c r="L39" s="83">
        <v>2.46E-2</v>
      </c>
    </row>
    <row r="40" spans="4:12" ht="12.75" x14ac:dyDescent="0.3">
      <c r="D40" s="89">
        <v>42888</v>
      </c>
      <c r="E40" s="74" t="s">
        <v>144</v>
      </c>
      <c r="F40" s="63" t="str">
        <f t="shared" si="4"/>
        <v>Percent</v>
      </c>
      <c r="G40" s="63" t="s">
        <v>70</v>
      </c>
      <c r="H40" s="63" t="str">
        <f t="shared" si="5"/>
        <v>N/A</v>
      </c>
      <c r="I40" s="86"/>
      <c r="J40" s="83">
        <v>2.41E-2</v>
      </c>
      <c r="K40" s="87"/>
      <c r="L40" s="83">
        <v>2.4750000000000001E-2</v>
      </c>
    </row>
    <row r="41" spans="4:12" ht="12.75" x14ac:dyDescent="0.3">
      <c r="D41" s="89">
        <v>42891</v>
      </c>
      <c r="E41" s="74" t="s">
        <v>144</v>
      </c>
      <c r="F41" s="63" t="str">
        <f t="shared" si="4"/>
        <v>Percent</v>
      </c>
      <c r="G41" s="63" t="s">
        <v>70</v>
      </c>
      <c r="H41" s="63" t="str">
        <f t="shared" si="5"/>
        <v>N/A</v>
      </c>
      <c r="I41" s="86"/>
      <c r="J41" s="83">
        <v>2.3900000000000001E-2</v>
      </c>
      <c r="K41" s="87"/>
      <c r="L41" s="83">
        <v>2.4550000000000002E-2</v>
      </c>
    </row>
    <row r="42" spans="4:12" ht="12.75" x14ac:dyDescent="0.3">
      <c r="D42" s="89">
        <v>42892</v>
      </c>
      <c r="E42" s="74" t="s">
        <v>144</v>
      </c>
      <c r="F42" s="63" t="str">
        <f t="shared" si="4"/>
        <v>Percent</v>
      </c>
      <c r="G42" s="63" t="s">
        <v>70</v>
      </c>
      <c r="H42" s="63" t="str">
        <f t="shared" si="5"/>
        <v>N/A</v>
      </c>
      <c r="I42" s="86"/>
      <c r="J42" s="83">
        <v>2.3700000000000002E-2</v>
      </c>
      <c r="K42" s="87"/>
      <c r="L42" s="83">
        <v>2.435E-2</v>
      </c>
    </row>
    <row r="43" spans="4:12" ht="12.75" x14ac:dyDescent="0.3">
      <c r="D43" s="89">
        <v>42893</v>
      </c>
      <c r="E43" s="74" t="s">
        <v>144</v>
      </c>
      <c r="F43" s="63" t="str">
        <f t="shared" si="4"/>
        <v>Percent</v>
      </c>
      <c r="G43" s="63" t="s">
        <v>70</v>
      </c>
      <c r="H43" s="63" t="str">
        <f t="shared" si="5"/>
        <v>N/A</v>
      </c>
      <c r="I43" s="86"/>
      <c r="J43" s="83">
        <v>2.3849999999999996E-2</v>
      </c>
      <c r="K43" s="87"/>
      <c r="L43" s="83">
        <v>2.445E-2</v>
      </c>
    </row>
    <row r="44" spans="4:12" ht="12.75" x14ac:dyDescent="0.3">
      <c r="D44" s="89">
        <v>42894</v>
      </c>
      <c r="E44" s="74" t="s">
        <v>144</v>
      </c>
      <c r="F44" s="63" t="str">
        <f t="shared" si="4"/>
        <v>Percent</v>
      </c>
      <c r="G44" s="63" t="s">
        <v>70</v>
      </c>
      <c r="H44" s="63" t="str">
        <f t="shared" si="5"/>
        <v>N/A</v>
      </c>
      <c r="I44" s="86"/>
      <c r="J44" s="83">
        <v>2.4049999999999998E-2</v>
      </c>
      <c r="K44" s="87"/>
      <c r="L44" s="83">
        <v>2.4649999999999998E-2</v>
      </c>
    </row>
    <row r="45" spans="4:12" ht="12.75" x14ac:dyDescent="0.3">
      <c r="D45" s="89">
        <v>42895</v>
      </c>
      <c r="E45" s="74" t="s">
        <v>144</v>
      </c>
      <c r="F45" s="63" t="str">
        <f t="shared" si="4"/>
        <v>Percent</v>
      </c>
      <c r="G45" s="63" t="s">
        <v>70</v>
      </c>
      <c r="H45" s="63" t="str">
        <f t="shared" si="5"/>
        <v>N/A</v>
      </c>
      <c r="I45" s="86"/>
      <c r="J45" s="83">
        <v>2.4E-2</v>
      </c>
      <c r="K45" s="87"/>
      <c r="L45" s="83">
        <v>2.46E-2</v>
      </c>
    </row>
    <row r="46" spans="4:12" ht="12.75" x14ac:dyDescent="0.3">
      <c r="D46" s="89">
        <v>42899</v>
      </c>
      <c r="E46" s="74" t="s">
        <v>144</v>
      </c>
      <c r="F46" s="63" t="str">
        <f t="shared" si="4"/>
        <v>Percent</v>
      </c>
      <c r="G46" s="63" t="s">
        <v>70</v>
      </c>
      <c r="H46" s="63" t="str">
        <f t="shared" si="5"/>
        <v>N/A</v>
      </c>
      <c r="I46" s="86"/>
      <c r="J46" s="83">
        <v>2.4E-2</v>
      </c>
      <c r="K46" s="87"/>
      <c r="L46" s="83">
        <v>2.4550000000000002E-2</v>
      </c>
    </row>
    <row r="47" spans="4:12" ht="12.75" x14ac:dyDescent="0.3">
      <c r="D47" s="89">
        <v>42900</v>
      </c>
      <c r="E47" s="74" t="s">
        <v>144</v>
      </c>
      <c r="F47" s="63" t="str">
        <f t="shared" si="4"/>
        <v>Percent</v>
      </c>
      <c r="G47" s="63" t="s">
        <v>70</v>
      </c>
      <c r="H47" s="63" t="str">
        <f t="shared" si="5"/>
        <v>N/A</v>
      </c>
      <c r="I47" s="86"/>
      <c r="J47" s="83">
        <v>2.4E-2</v>
      </c>
      <c r="K47" s="87"/>
      <c r="L47" s="83">
        <v>2.46E-2</v>
      </c>
    </row>
    <row r="48" spans="4:12" ht="12.75" x14ac:dyDescent="0.3">
      <c r="D48" s="89">
        <v>42901</v>
      </c>
      <c r="E48" s="74" t="s">
        <v>144</v>
      </c>
      <c r="F48" s="63" t="str">
        <f t="shared" si="4"/>
        <v>Percent</v>
      </c>
      <c r="G48" s="63" t="s">
        <v>70</v>
      </c>
      <c r="H48" s="63" t="str">
        <f t="shared" si="5"/>
        <v>N/A</v>
      </c>
      <c r="I48" s="86"/>
      <c r="J48" s="83">
        <v>2.3599999999999999E-2</v>
      </c>
      <c r="K48" s="87"/>
      <c r="L48" s="83">
        <v>2.4150000000000001E-2</v>
      </c>
    </row>
    <row r="49" spans="3:12" ht="12.75" x14ac:dyDescent="0.3">
      <c r="D49" s="89">
        <v>42902</v>
      </c>
      <c r="E49" s="74" t="s">
        <v>144</v>
      </c>
      <c r="F49" s="63" t="str">
        <f t="shared" si="4"/>
        <v>Percent</v>
      </c>
      <c r="G49" s="63" t="s">
        <v>70</v>
      </c>
      <c r="H49" s="63" t="str">
        <f t="shared" si="5"/>
        <v>N/A</v>
      </c>
      <c r="I49" s="86"/>
      <c r="J49" s="83">
        <v>2.4049999999999998E-2</v>
      </c>
      <c r="K49" s="87"/>
      <c r="L49" s="83">
        <v>2.46E-2</v>
      </c>
    </row>
    <row r="50" spans="3:12" ht="12.75" x14ac:dyDescent="0.3">
      <c r="D50" s="89">
        <v>42905</v>
      </c>
      <c r="E50" s="74" t="s">
        <v>144</v>
      </c>
      <c r="F50" s="63" t="str">
        <f t="shared" si="4"/>
        <v>Percent</v>
      </c>
      <c r="G50" s="63" t="s">
        <v>70</v>
      </c>
      <c r="H50" s="63" t="str">
        <f t="shared" si="5"/>
        <v>N/A</v>
      </c>
      <c r="I50" s="86"/>
      <c r="J50" s="83">
        <v>2.4049999999999998E-2</v>
      </c>
      <c r="K50" s="87"/>
      <c r="L50" s="83">
        <v>2.46E-2</v>
      </c>
    </row>
    <row r="51" spans="3:12" ht="12.75" x14ac:dyDescent="0.3">
      <c r="D51" s="89">
        <v>42906</v>
      </c>
      <c r="E51" s="74" t="s">
        <v>144</v>
      </c>
      <c r="F51" s="63" t="str">
        <f t="shared" si="4"/>
        <v>Percent</v>
      </c>
      <c r="G51" s="63" t="s">
        <v>70</v>
      </c>
      <c r="H51" s="63" t="str">
        <f t="shared" si="5"/>
        <v>N/A</v>
      </c>
      <c r="I51" s="86"/>
      <c r="J51" s="83">
        <v>2.4150000000000001E-2</v>
      </c>
      <c r="K51" s="87"/>
      <c r="L51" s="83">
        <v>2.4700000000000003E-2</v>
      </c>
    </row>
    <row r="52" spans="3:12" ht="12.75" x14ac:dyDescent="0.3">
      <c r="D52" s="89">
        <v>42907</v>
      </c>
      <c r="E52" s="74" t="s">
        <v>144</v>
      </c>
      <c r="F52" s="63" t="str">
        <f t="shared" si="4"/>
        <v>Percent</v>
      </c>
      <c r="G52" s="63" t="s">
        <v>70</v>
      </c>
      <c r="H52" s="63" t="str">
        <f t="shared" si="5"/>
        <v>N/A</v>
      </c>
      <c r="I52" s="86"/>
      <c r="J52" s="83">
        <v>2.3900000000000001E-2</v>
      </c>
      <c r="K52" s="87"/>
      <c r="L52" s="83">
        <v>2.445E-2</v>
      </c>
    </row>
    <row r="53" spans="3:12" ht="12.75" x14ac:dyDescent="0.3">
      <c r="D53" s="89">
        <v>42908</v>
      </c>
      <c r="E53" s="74" t="s">
        <v>144</v>
      </c>
      <c r="F53" s="63" t="str">
        <f t="shared" si="4"/>
        <v>Percent</v>
      </c>
      <c r="G53" s="63" t="s">
        <v>70</v>
      </c>
      <c r="H53" s="63" t="str">
        <f t="shared" si="5"/>
        <v>N/A</v>
      </c>
      <c r="I53" s="86"/>
      <c r="J53" s="83">
        <v>2.375E-2</v>
      </c>
      <c r="K53" s="87"/>
      <c r="L53" s="83">
        <v>2.4249999999999997E-2</v>
      </c>
    </row>
    <row r="54" spans="3:12" ht="12.75" x14ac:dyDescent="0.3">
      <c r="D54" s="89">
        <v>42909</v>
      </c>
      <c r="E54" s="74" t="s">
        <v>144</v>
      </c>
      <c r="F54" s="63" t="str">
        <f t="shared" si="4"/>
        <v>Percent</v>
      </c>
      <c r="G54" s="63" t="s">
        <v>70</v>
      </c>
      <c r="H54" s="63" t="str">
        <f t="shared" si="5"/>
        <v>N/A</v>
      </c>
      <c r="I54" s="86"/>
      <c r="J54" s="83">
        <v>2.3700000000000002E-2</v>
      </c>
      <c r="K54" s="87"/>
      <c r="L54" s="83">
        <v>2.4199999999999999E-2</v>
      </c>
    </row>
    <row r="55" spans="3:12" ht="12.75" x14ac:dyDescent="0.3">
      <c r="D55" s="89">
        <v>42912</v>
      </c>
      <c r="E55" s="74" t="s">
        <v>144</v>
      </c>
      <c r="F55" s="63" t="str">
        <f t="shared" si="4"/>
        <v>Percent</v>
      </c>
      <c r="G55" s="63" t="s">
        <v>70</v>
      </c>
      <c r="H55" s="63" t="str">
        <f t="shared" si="5"/>
        <v>N/A</v>
      </c>
      <c r="I55" s="86"/>
      <c r="J55" s="83">
        <v>2.375E-2</v>
      </c>
      <c r="K55" s="87"/>
      <c r="L55" s="83">
        <v>2.4300000000000002E-2</v>
      </c>
    </row>
    <row r="56" spans="3:12" ht="12.75" x14ac:dyDescent="0.3">
      <c r="D56" s="89">
        <v>42913</v>
      </c>
      <c r="E56" s="74" t="s">
        <v>144</v>
      </c>
      <c r="F56" s="63" t="str">
        <f t="shared" si="4"/>
        <v>Percent</v>
      </c>
      <c r="G56" s="63" t="s">
        <v>70</v>
      </c>
      <c r="H56" s="63" t="str">
        <f t="shared" si="5"/>
        <v>N/A</v>
      </c>
      <c r="I56" s="86"/>
      <c r="J56" s="83">
        <v>2.3550000000000001E-2</v>
      </c>
      <c r="K56" s="87"/>
      <c r="L56" s="83">
        <v>2.4049999999999998E-2</v>
      </c>
    </row>
    <row r="57" spans="3:12" ht="12.75" x14ac:dyDescent="0.3">
      <c r="D57" s="89">
        <v>42914</v>
      </c>
      <c r="E57" s="74" t="s">
        <v>144</v>
      </c>
      <c r="F57" s="63" t="str">
        <f t="shared" si="4"/>
        <v>Percent</v>
      </c>
      <c r="G57" s="63" t="s">
        <v>70</v>
      </c>
      <c r="H57" s="63" t="str">
        <f t="shared" si="5"/>
        <v>N/A</v>
      </c>
      <c r="I57" s="86"/>
      <c r="J57" s="83">
        <v>2.4550000000000002E-2</v>
      </c>
      <c r="K57" s="87"/>
      <c r="L57" s="83">
        <v>2.5099999999999997E-2</v>
      </c>
    </row>
    <row r="58" spans="3:12" ht="12.75" x14ac:dyDescent="0.3">
      <c r="D58" s="89">
        <v>42915</v>
      </c>
      <c r="E58" s="74" t="s">
        <v>144</v>
      </c>
      <c r="F58" s="63" t="str">
        <f t="shared" si="4"/>
        <v>Percent</v>
      </c>
      <c r="G58" s="63" t="s">
        <v>70</v>
      </c>
      <c r="H58" s="63" t="str">
        <f t="shared" si="5"/>
        <v>N/A</v>
      </c>
      <c r="I58" s="86"/>
      <c r="J58" s="83">
        <v>2.5049999999999999E-2</v>
      </c>
      <c r="K58" s="87"/>
      <c r="L58" s="83">
        <v>2.5600000000000001E-2</v>
      </c>
    </row>
    <row r="59" spans="3:12" ht="12.75" x14ac:dyDescent="0.3">
      <c r="D59" s="89">
        <v>42916</v>
      </c>
      <c r="E59" s="74" t="s">
        <v>144</v>
      </c>
      <c r="F59" s="63" t="str">
        <f t="shared" si="4"/>
        <v>Percent</v>
      </c>
      <c r="G59" s="63" t="s">
        <v>70</v>
      </c>
      <c r="H59" s="63" t="str">
        <f t="shared" si="5"/>
        <v>N/A</v>
      </c>
      <c r="I59" s="86"/>
      <c r="J59" s="83">
        <v>2.5950000000000001E-2</v>
      </c>
      <c r="K59" s="87"/>
      <c r="L59" s="83">
        <v>2.6549999999999997E-2</v>
      </c>
    </row>
    <row r="60" spans="3:12" s="6" customFormat="1" ht="11.25" customHeight="1" x14ac:dyDescent="0.3">
      <c r="J60" s="86"/>
      <c r="L60" s="87"/>
    </row>
    <row r="61" spans="3:12" s="6" customFormat="1" ht="11.25" customHeight="1" x14ac:dyDescent="0.3"/>
    <row r="62" spans="3:12" s="13" customFormat="1" ht="13.9" x14ac:dyDescent="0.3">
      <c r="C62" s="13" t="s">
        <v>177</v>
      </c>
    </row>
    <row r="64" spans="3:12" s="6" customFormat="1" ht="26.35" customHeight="1" x14ac:dyDescent="0.3">
      <c r="D64" s="72" t="s">
        <v>175</v>
      </c>
      <c r="E64" s="71" t="s">
        <v>65</v>
      </c>
      <c r="F64" s="71" t="s">
        <v>66</v>
      </c>
      <c r="G64" s="71" t="s">
        <v>67</v>
      </c>
      <c r="H64" s="71" t="str">
        <f>Lookup!H$20</f>
        <v>Timing</v>
      </c>
      <c r="I64" s="86"/>
      <c r="J64" s="71" t="s">
        <v>229</v>
      </c>
      <c r="K64" s="87"/>
    </row>
    <row r="65" spans="4:10" s="6" customFormat="1" ht="11.25" customHeight="1" x14ac:dyDescent="0.3">
      <c r="D65" s="7"/>
      <c r="E65" s="7"/>
      <c r="F65" s="7"/>
      <c r="G65" s="7"/>
      <c r="H65" s="7"/>
      <c r="I65" s="7"/>
      <c r="J65" s="7"/>
    </row>
    <row r="66" spans="4:10" s="6" customFormat="1" ht="12.75" x14ac:dyDescent="0.3">
      <c r="D66" s="89">
        <v>42887</v>
      </c>
      <c r="E66" s="74" t="s">
        <v>176</v>
      </c>
      <c r="F66" s="63" t="str">
        <f t="shared" ref="F66:F86" si="6">Percent</f>
        <v>Percent</v>
      </c>
      <c r="G66" s="63" t="s">
        <v>70</v>
      </c>
      <c r="H66" s="63" t="str">
        <f t="shared" ref="H66:H86" si="7">NA</f>
        <v>N/A</v>
      </c>
      <c r="I66" s="86"/>
      <c r="J66" s="83">
        <v>4.7779999999999996E-2</v>
      </c>
    </row>
    <row r="67" spans="4:10" s="6" customFormat="1" ht="12.75" x14ac:dyDescent="0.3">
      <c r="D67" s="89">
        <v>42888</v>
      </c>
      <c r="E67" s="74" t="s">
        <v>176</v>
      </c>
      <c r="F67" s="63" t="str">
        <f t="shared" si="6"/>
        <v>Percent</v>
      </c>
      <c r="G67" s="63" t="s">
        <v>70</v>
      </c>
      <c r="H67" s="63" t="str">
        <f t="shared" si="7"/>
        <v>N/A</v>
      </c>
      <c r="I67" s="86"/>
      <c r="J67" s="83">
        <v>4.7889999999999995E-2</v>
      </c>
    </row>
    <row r="68" spans="4:10" s="6" customFormat="1" ht="12.75" x14ac:dyDescent="0.3">
      <c r="D68" s="89">
        <v>42891</v>
      </c>
      <c r="E68" s="74" t="s">
        <v>176</v>
      </c>
      <c r="F68" s="63" t="str">
        <f t="shared" si="6"/>
        <v>Percent</v>
      </c>
      <c r="G68" s="63" t="s">
        <v>70</v>
      </c>
      <c r="H68" s="63" t="str">
        <f t="shared" si="7"/>
        <v>N/A</v>
      </c>
      <c r="I68" s="86"/>
      <c r="J68" s="83">
        <v>4.7640000000000002E-2</v>
      </c>
    </row>
    <row r="69" spans="4:10" s="6" customFormat="1" ht="12.75" x14ac:dyDescent="0.3">
      <c r="D69" s="89">
        <v>42892</v>
      </c>
      <c r="E69" s="74" t="s">
        <v>176</v>
      </c>
      <c r="F69" s="63" t="str">
        <f t="shared" si="6"/>
        <v>Percent</v>
      </c>
      <c r="G69" s="63" t="s">
        <v>70</v>
      </c>
      <c r="H69" s="63" t="str">
        <f t="shared" si="7"/>
        <v>N/A</v>
      </c>
      <c r="I69" s="86"/>
      <c r="J69" s="83">
        <v>4.7320000000000001E-2</v>
      </c>
    </row>
    <row r="70" spans="4:10" s="6" customFormat="1" ht="12.75" x14ac:dyDescent="0.3">
      <c r="D70" s="89">
        <v>42893</v>
      </c>
      <c r="E70" s="74" t="s">
        <v>176</v>
      </c>
      <c r="F70" s="63" t="str">
        <f t="shared" si="6"/>
        <v>Percent</v>
      </c>
      <c r="G70" s="63" t="s">
        <v>70</v>
      </c>
      <c r="H70" s="63" t="str">
        <f t="shared" si="7"/>
        <v>N/A</v>
      </c>
      <c r="I70" s="86"/>
      <c r="J70" s="83">
        <v>4.7160000000000001E-2</v>
      </c>
    </row>
    <row r="71" spans="4:10" s="6" customFormat="1" ht="12.75" x14ac:dyDescent="0.3">
      <c r="D71" s="89">
        <v>42894</v>
      </c>
      <c r="E71" s="74" t="s">
        <v>176</v>
      </c>
      <c r="F71" s="63" t="str">
        <f t="shared" si="6"/>
        <v>Percent</v>
      </c>
      <c r="G71" s="63" t="s">
        <v>70</v>
      </c>
      <c r="H71" s="63" t="str">
        <f t="shared" si="7"/>
        <v>N/A</v>
      </c>
      <c r="I71" s="86"/>
      <c r="J71" s="83">
        <v>4.7359999999999999E-2</v>
      </c>
    </row>
    <row r="72" spans="4:10" s="6" customFormat="1" ht="12.75" x14ac:dyDescent="0.3">
      <c r="D72" s="89">
        <v>42895</v>
      </c>
      <c r="E72" s="74" t="s">
        <v>176</v>
      </c>
      <c r="F72" s="63" t="str">
        <f t="shared" si="6"/>
        <v>Percent</v>
      </c>
      <c r="G72" s="63" t="s">
        <v>70</v>
      </c>
      <c r="H72" s="63" t="str">
        <f t="shared" si="7"/>
        <v>N/A</v>
      </c>
      <c r="I72" s="86"/>
      <c r="J72" s="83">
        <v>4.7380000000000005E-2</v>
      </c>
    </row>
    <row r="73" spans="4:10" s="6" customFormat="1" ht="12.75" x14ac:dyDescent="0.3">
      <c r="D73" s="89">
        <v>42899</v>
      </c>
      <c r="E73" s="74" t="s">
        <v>176</v>
      </c>
      <c r="F73" s="63" t="str">
        <f t="shared" si="6"/>
        <v>Percent</v>
      </c>
      <c r="G73" s="63" t="s">
        <v>70</v>
      </c>
      <c r="H73" s="63" t="str">
        <f t="shared" si="7"/>
        <v>N/A</v>
      </c>
      <c r="I73" s="86"/>
      <c r="J73" s="83">
        <v>4.7270000000000006E-2</v>
      </c>
    </row>
    <row r="74" spans="4:10" s="6" customFormat="1" ht="12.75" x14ac:dyDescent="0.3">
      <c r="D74" s="89">
        <v>42900</v>
      </c>
      <c r="E74" s="74" t="s">
        <v>176</v>
      </c>
      <c r="F74" s="63" t="str">
        <f t="shared" si="6"/>
        <v>Percent</v>
      </c>
      <c r="G74" s="63" t="s">
        <v>70</v>
      </c>
      <c r="H74" s="63" t="str">
        <f t="shared" si="7"/>
        <v>N/A</v>
      </c>
      <c r="I74" s="86"/>
      <c r="J74" s="83">
        <v>4.7550000000000002E-2</v>
      </c>
    </row>
    <row r="75" spans="4:10" s="6" customFormat="1" ht="12.75" x14ac:dyDescent="0.3">
      <c r="D75" s="89">
        <v>42901</v>
      </c>
      <c r="E75" s="74" t="s">
        <v>176</v>
      </c>
      <c r="F75" s="63" t="str">
        <f t="shared" si="6"/>
        <v>Percent</v>
      </c>
      <c r="G75" s="63" t="s">
        <v>70</v>
      </c>
      <c r="H75" s="63" t="str">
        <f t="shared" si="7"/>
        <v>N/A</v>
      </c>
      <c r="I75" s="86"/>
      <c r="J75" s="83">
        <v>4.6929999999999999E-2</v>
      </c>
    </row>
    <row r="76" spans="4:10" s="6" customFormat="1" ht="12.75" x14ac:dyDescent="0.3">
      <c r="D76" s="89">
        <v>42902</v>
      </c>
      <c r="E76" s="74" t="s">
        <v>176</v>
      </c>
      <c r="F76" s="63" t="str">
        <f t="shared" si="6"/>
        <v>Percent</v>
      </c>
      <c r="G76" s="63" t="s">
        <v>70</v>
      </c>
      <c r="H76" s="63" t="str">
        <f t="shared" si="7"/>
        <v>N/A</v>
      </c>
      <c r="I76" s="86"/>
      <c r="J76" s="83">
        <v>4.7380000000000005E-2</v>
      </c>
    </row>
    <row r="77" spans="4:10" s="6" customFormat="1" ht="12.75" x14ac:dyDescent="0.3">
      <c r="D77" s="89">
        <v>42905</v>
      </c>
      <c r="E77" s="74" t="s">
        <v>176</v>
      </c>
      <c r="F77" s="63" t="str">
        <f t="shared" si="6"/>
        <v>Percent</v>
      </c>
      <c r="G77" s="63" t="s">
        <v>70</v>
      </c>
      <c r="H77" s="63" t="str">
        <f t="shared" si="7"/>
        <v>N/A</v>
      </c>
      <c r="I77" s="86"/>
      <c r="J77" s="83">
        <v>4.7030000000000002E-2</v>
      </c>
    </row>
    <row r="78" spans="4:10" s="6" customFormat="1" ht="12.75" x14ac:dyDescent="0.3">
      <c r="D78" s="89">
        <v>42906</v>
      </c>
      <c r="E78" s="74" t="s">
        <v>176</v>
      </c>
      <c r="F78" s="63" t="str">
        <f t="shared" si="6"/>
        <v>Percent</v>
      </c>
      <c r="G78" s="63" t="s">
        <v>70</v>
      </c>
      <c r="H78" s="63" t="str">
        <f t="shared" si="7"/>
        <v>N/A</v>
      </c>
      <c r="I78" s="86"/>
      <c r="J78" s="83">
        <v>4.7169999999999997E-2</v>
      </c>
    </row>
    <row r="79" spans="4:10" s="6" customFormat="1" ht="12.75" x14ac:dyDescent="0.3">
      <c r="D79" s="89">
        <v>42907</v>
      </c>
      <c r="E79" s="74" t="s">
        <v>176</v>
      </c>
      <c r="F79" s="63" t="str">
        <f t="shared" si="6"/>
        <v>Percent</v>
      </c>
      <c r="G79" s="63" t="s">
        <v>70</v>
      </c>
      <c r="H79" s="63" t="str">
        <f t="shared" si="7"/>
        <v>N/A</v>
      </c>
      <c r="I79" s="86"/>
      <c r="J79" s="83">
        <v>4.6820000000000001E-2</v>
      </c>
    </row>
    <row r="80" spans="4:10" s="6" customFormat="1" ht="12.75" x14ac:dyDescent="0.3">
      <c r="D80" s="89">
        <v>42908</v>
      </c>
      <c r="E80" s="74" t="s">
        <v>176</v>
      </c>
      <c r="F80" s="63" t="str">
        <f t="shared" si="6"/>
        <v>Percent</v>
      </c>
      <c r="G80" s="63" t="s">
        <v>70</v>
      </c>
      <c r="H80" s="63" t="str">
        <f t="shared" si="7"/>
        <v>N/A</v>
      </c>
      <c r="I80" s="86"/>
      <c r="J80" s="83">
        <v>4.6420000000000003E-2</v>
      </c>
    </row>
    <row r="81" spans="3:15" s="6" customFormat="1" ht="12.75" x14ac:dyDescent="0.3">
      <c r="D81" s="89">
        <v>42909</v>
      </c>
      <c r="E81" s="74" t="s">
        <v>176</v>
      </c>
      <c r="F81" s="63" t="str">
        <f t="shared" si="6"/>
        <v>Percent</v>
      </c>
      <c r="G81" s="63" t="s">
        <v>70</v>
      </c>
      <c r="H81" s="63" t="str">
        <f t="shared" si="7"/>
        <v>N/A</v>
      </c>
      <c r="I81" s="86"/>
      <c r="J81" s="83">
        <v>4.6849999999999996E-2</v>
      </c>
    </row>
    <row r="82" spans="3:15" s="6" customFormat="1" ht="12.75" x14ac:dyDescent="0.3">
      <c r="D82" s="89">
        <v>42912</v>
      </c>
      <c r="E82" s="74" t="s">
        <v>176</v>
      </c>
      <c r="F82" s="63" t="str">
        <f t="shared" si="6"/>
        <v>Percent</v>
      </c>
      <c r="G82" s="63" t="s">
        <v>70</v>
      </c>
      <c r="H82" s="63" t="str">
        <f t="shared" si="7"/>
        <v>N/A</v>
      </c>
      <c r="I82" s="86"/>
      <c r="J82" s="83">
        <v>4.6470000000000004E-2</v>
      </c>
    </row>
    <row r="83" spans="3:15" s="6" customFormat="1" ht="12.75" x14ac:dyDescent="0.3">
      <c r="D83" s="89">
        <v>42913</v>
      </c>
      <c r="E83" s="74" t="s">
        <v>176</v>
      </c>
      <c r="F83" s="63" t="str">
        <f t="shared" si="6"/>
        <v>Percent</v>
      </c>
      <c r="G83" s="63" t="s">
        <v>70</v>
      </c>
      <c r="H83" s="63" t="str">
        <f t="shared" si="7"/>
        <v>N/A</v>
      </c>
      <c r="I83" s="86"/>
      <c r="J83" s="83">
        <v>4.6100000000000002E-2</v>
      </c>
    </row>
    <row r="84" spans="3:15" s="6" customFormat="1" ht="12.75" x14ac:dyDescent="0.3">
      <c r="D84" s="89">
        <v>42914</v>
      </c>
      <c r="E84" s="74" t="s">
        <v>176</v>
      </c>
      <c r="F84" s="63" t="str">
        <f t="shared" si="6"/>
        <v>Percent</v>
      </c>
      <c r="G84" s="63" t="s">
        <v>70</v>
      </c>
      <c r="H84" s="63" t="str">
        <f t="shared" si="7"/>
        <v>N/A</v>
      </c>
      <c r="I84" s="86"/>
      <c r="J84" s="83">
        <v>4.7129999999999998E-2</v>
      </c>
    </row>
    <row r="85" spans="3:15" s="6" customFormat="1" ht="12.75" x14ac:dyDescent="0.3">
      <c r="D85" s="89">
        <v>42915</v>
      </c>
      <c r="E85" s="74" t="s">
        <v>176</v>
      </c>
      <c r="F85" s="63" t="str">
        <f t="shared" si="6"/>
        <v>Percent</v>
      </c>
      <c r="G85" s="63" t="s">
        <v>70</v>
      </c>
      <c r="H85" s="63" t="str">
        <f t="shared" si="7"/>
        <v>N/A</v>
      </c>
      <c r="I85" s="86"/>
      <c r="J85" s="83">
        <v>4.7690000000000003E-2</v>
      </c>
    </row>
    <row r="86" spans="3:15" s="6" customFormat="1" ht="12.75" x14ac:dyDescent="0.3">
      <c r="D86" s="89">
        <v>42916</v>
      </c>
      <c r="E86" s="74" t="s">
        <v>176</v>
      </c>
      <c r="F86" s="63" t="str">
        <f t="shared" si="6"/>
        <v>Percent</v>
      </c>
      <c r="G86" s="63" t="s">
        <v>70</v>
      </c>
      <c r="H86" s="63" t="str">
        <f t="shared" si="7"/>
        <v>N/A</v>
      </c>
      <c r="I86" s="86"/>
      <c r="J86" s="83">
        <v>4.8570000000000002E-2</v>
      </c>
    </row>
    <row r="87" spans="3:15" s="6" customFormat="1" ht="11.25" customHeight="1" x14ac:dyDescent="0.3"/>
    <row r="88" spans="3:15" s="6" customFormat="1" ht="11.25" customHeight="1" x14ac:dyDescent="0.3"/>
    <row r="89" spans="3:15" s="13" customFormat="1" ht="13.9" x14ac:dyDescent="0.3">
      <c r="C89" s="13" t="s">
        <v>194</v>
      </c>
    </row>
    <row r="91" spans="3:15" s="6" customFormat="1" ht="26.35" customHeight="1" x14ac:dyDescent="0.3">
      <c r="D91" s="92"/>
      <c r="E91" s="93"/>
      <c r="F91" s="93"/>
      <c r="G91" s="93"/>
      <c r="H91" s="93"/>
      <c r="I91" s="86"/>
      <c r="J91" s="113" t="s">
        <v>195</v>
      </c>
      <c r="K91" s="113"/>
      <c r="L91" s="114"/>
      <c r="M91" s="113" t="s">
        <v>196</v>
      </c>
      <c r="N91" s="113"/>
      <c r="O91" s="113"/>
    </row>
    <row r="92" spans="3:15" s="6" customFormat="1" ht="26.35" customHeight="1" x14ac:dyDescent="0.3">
      <c r="D92" s="72" t="s">
        <v>243</v>
      </c>
      <c r="E92" s="71" t="s">
        <v>65</v>
      </c>
      <c r="F92" s="71" t="s">
        <v>66</v>
      </c>
      <c r="G92" s="71" t="s">
        <v>67</v>
      </c>
      <c r="H92" s="71" t="str">
        <f>Lookup!H$20</f>
        <v>Timing</v>
      </c>
      <c r="I92" s="86"/>
      <c r="J92" s="71" t="s">
        <v>178</v>
      </c>
      <c r="K92" s="71" t="s">
        <v>247</v>
      </c>
      <c r="L92" s="94" t="s">
        <v>248</v>
      </c>
      <c r="M92" s="71" t="s">
        <v>178</v>
      </c>
      <c r="N92" s="71" t="s">
        <v>247</v>
      </c>
      <c r="O92" s="111" t="s">
        <v>248</v>
      </c>
    </row>
    <row r="93" spans="3:15" s="6" customFormat="1" ht="11.25" customHeight="1" x14ac:dyDescent="0.3">
      <c r="D93" s="7"/>
      <c r="E93" s="7"/>
      <c r="F93" s="7"/>
      <c r="G93" s="7"/>
      <c r="H93" s="7"/>
      <c r="I93" s="7"/>
    </row>
    <row r="94" spans="3:15" s="6" customFormat="1" ht="11.25" customHeight="1" x14ac:dyDescent="0.3">
      <c r="D94" s="89">
        <f>D38</f>
        <v>42886</v>
      </c>
      <c r="E94" s="74" t="s">
        <v>144</v>
      </c>
      <c r="F94" s="63" t="str">
        <f t="shared" ref="F94:F95" si="8">Percent</f>
        <v>Percent</v>
      </c>
      <c r="G94" s="63" t="s">
        <v>70</v>
      </c>
      <c r="H94" s="63" t="str">
        <f t="shared" ref="H94:H95" si="9">NA</f>
        <v>N/A</v>
      </c>
      <c r="I94" s="86"/>
      <c r="J94" s="83">
        <v>3.8599999999999995E-2</v>
      </c>
      <c r="K94" s="83">
        <v>1.4341E-2</v>
      </c>
      <c r="L94" s="104">
        <v>6.81</v>
      </c>
      <c r="M94" s="83">
        <v>4.3400000000000001E-2</v>
      </c>
      <c r="N94" s="83">
        <v>1.6715999999999998E-2</v>
      </c>
      <c r="O94" s="104">
        <v>8.7899999999999991</v>
      </c>
    </row>
    <row r="95" spans="3:15" s="6" customFormat="1" ht="11.25" customHeight="1" x14ac:dyDescent="0.3">
      <c r="D95" s="89">
        <f>D59</f>
        <v>42916</v>
      </c>
      <c r="E95" s="74" t="s">
        <v>144</v>
      </c>
      <c r="F95" s="63" t="str">
        <f t="shared" si="8"/>
        <v>Percent</v>
      </c>
      <c r="G95" s="63" t="s">
        <v>70</v>
      </c>
      <c r="H95" s="63" t="str">
        <f t="shared" si="9"/>
        <v>N/A</v>
      </c>
      <c r="I95" s="86"/>
      <c r="J95" s="83">
        <v>4.0999999999999995E-2</v>
      </c>
      <c r="K95" s="83">
        <v>1.4369E-2</v>
      </c>
      <c r="L95" s="104">
        <v>6.8</v>
      </c>
      <c r="M95" s="83">
        <v>4.4999999999999998E-2</v>
      </c>
      <c r="N95" s="83">
        <v>1.6234000000000002E-2</v>
      </c>
      <c r="O95" s="104">
        <v>8.73</v>
      </c>
    </row>
    <row r="96" spans="3:15" s="6" customFormat="1" ht="11.25" customHeight="1" x14ac:dyDescent="0.3"/>
    <row r="97" spans="2:21" s="6" customFormat="1" ht="11.25" customHeight="1" x14ac:dyDescent="0.3"/>
    <row r="98" spans="2:21" s="4" customFormat="1" ht="15" x14ac:dyDescent="0.3">
      <c r="B98" s="4" t="s">
        <v>199</v>
      </c>
    </row>
    <row r="99" spans="2:21" s="6" customFormat="1" ht="4.5" customHeight="1" x14ac:dyDescent="0.3"/>
    <row r="100" spans="2:21" s="13" customFormat="1" ht="13.9" x14ac:dyDescent="0.3">
      <c r="C100" s="13" t="s">
        <v>200</v>
      </c>
    </row>
    <row r="102" spans="2:21" ht="26.25" customHeight="1" x14ac:dyDescent="0.3">
      <c r="L102" s="115" t="s">
        <v>212</v>
      </c>
      <c r="M102" s="115"/>
      <c r="O102" s="95" t="s">
        <v>213</v>
      </c>
      <c r="P102" s="78"/>
      <c r="Q102" s="78"/>
      <c r="R102" s="78"/>
      <c r="S102" s="78"/>
      <c r="T102" s="78"/>
      <c r="U102" s="78"/>
    </row>
    <row r="103" spans="2:21" s="6" customFormat="1" ht="26.35" customHeight="1" x14ac:dyDescent="0.3">
      <c r="D103" s="72" t="s">
        <v>214</v>
      </c>
      <c r="E103" s="71" t="s">
        <v>65</v>
      </c>
      <c r="F103" s="71" t="s">
        <v>66</v>
      </c>
      <c r="G103" s="71" t="s">
        <v>67</v>
      </c>
      <c r="H103" s="71" t="str">
        <f>Lookup!H$20</f>
        <v>Timing</v>
      </c>
      <c r="I103" s="86"/>
      <c r="J103" s="71" t="s">
        <v>271</v>
      </c>
      <c r="K103" s="87"/>
      <c r="L103" s="71" t="s">
        <v>210</v>
      </c>
      <c r="M103" s="71" t="s">
        <v>211</v>
      </c>
    </row>
    <row r="104" spans="2:21" s="6" customFormat="1" ht="11.25" customHeight="1" x14ac:dyDescent="0.3">
      <c r="D104" s="7"/>
      <c r="E104" s="7"/>
      <c r="F104" s="7"/>
      <c r="G104" s="7"/>
      <c r="H104" s="7"/>
      <c r="I104" s="7"/>
      <c r="J104" s="7"/>
      <c r="L104" s="7"/>
    </row>
    <row r="105" spans="2:21" ht="12.75" x14ac:dyDescent="0.3">
      <c r="D105" s="91" t="s">
        <v>209</v>
      </c>
      <c r="E105" s="63" t="s">
        <v>144</v>
      </c>
      <c r="F105" s="63" t="str">
        <f t="shared" ref="F105:F112" si="10">Percent</f>
        <v>Percent</v>
      </c>
      <c r="G105" s="63" t="s">
        <v>70</v>
      </c>
      <c r="H105" s="63" t="str">
        <f t="shared" ref="H105:H112" si="11">NA</f>
        <v>N/A</v>
      </c>
      <c r="J105" s="83">
        <v>8.742984535779906E-2</v>
      </c>
      <c r="L105" s="90">
        <v>39995</v>
      </c>
      <c r="M105" s="90">
        <v>40359</v>
      </c>
    </row>
    <row r="106" spans="2:21" ht="12.75" x14ac:dyDescent="0.3">
      <c r="D106" s="91" t="s">
        <v>208</v>
      </c>
      <c r="E106" s="63" t="s">
        <v>144</v>
      </c>
      <c r="F106" s="63" t="str">
        <f t="shared" si="10"/>
        <v>Percent</v>
      </c>
      <c r="G106" s="63" t="s">
        <v>70</v>
      </c>
      <c r="H106" s="63" t="str">
        <f t="shared" si="11"/>
        <v>N/A</v>
      </c>
      <c r="J106" s="83">
        <v>7.9916565178935681E-2</v>
      </c>
      <c r="L106" s="90">
        <v>40360</v>
      </c>
      <c r="M106" s="90">
        <v>40724</v>
      </c>
    </row>
    <row r="107" spans="2:21" ht="12.75" x14ac:dyDescent="0.3">
      <c r="D107" s="91" t="s">
        <v>207</v>
      </c>
      <c r="E107" s="63" t="s">
        <v>144</v>
      </c>
      <c r="F107" s="63" t="str">
        <f t="shared" si="10"/>
        <v>Percent</v>
      </c>
      <c r="G107" s="63" t="s">
        <v>70</v>
      </c>
      <c r="H107" s="63" t="str">
        <f t="shared" si="11"/>
        <v>N/A</v>
      </c>
      <c r="J107" s="83">
        <v>7.9077594985761335E-2</v>
      </c>
      <c r="L107" s="90">
        <v>40725</v>
      </c>
      <c r="M107" s="90">
        <v>41090</v>
      </c>
    </row>
    <row r="108" spans="2:21" ht="12.75" x14ac:dyDescent="0.3">
      <c r="D108" s="91" t="s">
        <v>206</v>
      </c>
      <c r="E108" s="63" t="s">
        <v>144</v>
      </c>
      <c r="F108" s="63" t="str">
        <f t="shared" si="10"/>
        <v>Percent</v>
      </c>
      <c r="G108" s="63" t="s">
        <v>70</v>
      </c>
      <c r="H108" s="63" t="str">
        <f t="shared" si="11"/>
        <v>N/A</v>
      </c>
      <c r="J108" s="83">
        <v>6.9997180189357633E-2</v>
      </c>
      <c r="L108" s="90">
        <v>41091</v>
      </c>
      <c r="M108" s="90">
        <v>41455</v>
      </c>
    </row>
    <row r="109" spans="2:21" ht="12.75" x14ac:dyDescent="0.3">
      <c r="D109" s="91" t="s">
        <v>205</v>
      </c>
      <c r="E109" s="63" t="s">
        <v>144</v>
      </c>
      <c r="F109" s="63" t="str">
        <f t="shared" si="10"/>
        <v>Percent</v>
      </c>
      <c r="G109" s="63" t="s">
        <v>70</v>
      </c>
      <c r="H109" s="63" t="str">
        <f t="shared" si="11"/>
        <v>N/A</v>
      </c>
      <c r="J109" s="83">
        <v>7.5007894716639573E-2</v>
      </c>
      <c r="L109" s="90">
        <v>41456</v>
      </c>
      <c r="M109" s="90">
        <v>41820</v>
      </c>
    </row>
    <row r="110" spans="2:21" ht="12.75" x14ac:dyDescent="0.3">
      <c r="D110" s="91" t="s">
        <v>204</v>
      </c>
      <c r="E110" s="63" t="s">
        <v>144</v>
      </c>
      <c r="F110" s="63" t="str">
        <f t="shared" si="10"/>
        <v>Percent</v>
      </c>
      <c r="G110" s="63" t="s">
        <v>70</v>
      </c>
      <c r="H110" s="63" t="str">
        <f t="shared" si="11"/>
        <v>N/A</v>
      </c>
      <c r="J110" s="83">
        <v>5.2019790810809902E-2</v>
      </c>
      <c r="L110" s="90">
        <v>41821</v>
      </c>
      <c r="M110" s="90">
        <v>42185</v>
      </c>
    </row>
    <row r="111" spans="2:21" ht="12.75" x14ac:dyDescent="0.3">
      <c r="D111" s="91" t="s">
        <v>203</v>
      </c>
      <c r="E111" s="63" t="s">
        <v>144</v>
      </c>
      <c r="F111" s="63" t="str">
        <f t="shared" si="10"/>
        <v>Percent</v>
      </c>
      <c r="G111" s="63" t="s">
        <v>70</v>
      </c>
      <c r="H111" s="63" t="str">
        <f t="shared" si="11"/>
        <v>N/A</v>
      </c>
      <c r="J111" s="83">
        <v>5.3181698388436879E-2</v>
      </c>
      <c r="L111" s="90">
        <v>42186</v>
      </c>
      <c r="M111" s="90">
        <v>42551</v>
      </c>
    </row>
    <row r="112" spans="2:21" ht="12.75" x14ac:dyDescent="0.3">
      <c r="D112" s="91" t="s">
        <v>202</v>
      </c>
      <c r="E112" s="63" t="s">
        <v>144</v>
      </c>
      <c r="F112" s="63" t="str">
        <f t="shared" si="10"/>
        <v>Percent</v>
      </c>
      <c r="G112" s="63" t="s">
        <v>70</v>
      </c>
      <c r="H112" s="63" t="str">
        <f t="shared" si="11"/>
        <v>N/A</v>
      </c>
      <c r="J112" s="83">
        <v>4.7506738718452367E-2</v>
      </c>
      <c r="L112" s="90">
        <v>42552</v>
      </c>
      <c r="M112" s="90">
        <v>42916</v>
      </c>
    </row>
    <row r="113" spans="2:14" s="6" customFormat="1" ht="11.25" customHeight="1" x14ac:dyDescent="0.3">
      <c r="D113" s="91" t="s">
        <v>201</v>
      </c>
      <c r="E113" s="63" t="s">
        <v>144</v>
      </c>
      <c r="F113" s="63" t="str">
        <f t="shared" ref="F113" si="12">Percent</f>
        <v>Percent</v>
      </c>
      <c r="G113" s="63" t="s">
        <v>70</v>
      </c>
      <c r="H113" s="63" t="str">
        <f t="shared" ref="H113" si="13">NA</f>
        <v>N/A</v>
      </c>
      <c r="I113" s="86"/>
      <c r="J113" s="83">
        <v>4.6444658416744916E-2</v>
      </c>
      <c r="L113" s="90">
        <v>42917</v>
      </c>
      <c r="M113" s="90" t="s">
        <v>272</v>
      </c>
      <c r="N113" s="102" t="s">
        <v>273</v>
      </c>
    </row>
    <row r="116" spans="2:14" s="4" customFormat="1" ht="15" x14ac:dyDescent="0.3">
      <c r="B116" s="4" t="s">
        <v>179</v>
      </c>
    </row>
    <row r="117" spans="2:14" s="6" customFormat="1" ht="4.5" customHeight="1" x14ac:dyDescent="0.3"/>
    <row r="118" spans="2:14" s="13" customFormat="1" ht="13.9" x14ac:dyDescent="0.3">
      <c r="C118" s="13" t="s">
        <v>267</v>
      </c>
    </row>
    <row r="119" spans="2:14" s="6" customFormat="1" ht="11.25" customHeight="1" x14ac:dyDescent="0.3"/>
    <row r="120" spans="2:14" s="6" customFormat="1" ht="26.35" customHeight="1" x14ac:dyDescent="0.3">
      <c r="D120" s="72" t="s">
        <v>268</v>
      </c>
      <c r="E120" s="106" t="s">
        <v>65</v>
      </c>
      <c r="F120" s="106" t="s">
        <v>66</v>
      </c>
      <c r="G120" s="106" t="s">
        <v>67</v>
      </c>
      <c r="H120" s="106" t="str">
        <f>Lookup!H$20</f>
        <v>Timing</v>
      </c>
      <c r="I120" s="86"/>
      <c r="J120" s="106" t="s">
        <v>180</v>
      </c>
      <c r="K120" s="87"/>
    </row>
    <row r="121" spans="2:14" s="6" customFormat="1" ht="11.25" customHeight="1" x14ac:dyDescent="0.3">
      <c r="D121" s="7"/>
      <c r="E121" s="7"/>
      <c r="F121" s="7"/>
      <c r="G121" s="7"/>
      <c r="H121" s="7"/>
      <c r="I121" s="7"/>
      <c r="J121" s="7"/>
    </row>
    <row r="122" spans="2:14" s="6" customFormat="1" ht="11.25" customHeight="1" x14ac:dyDescent="0.3">
      <c r="D122" s="91" t="s">
        <v>267</v>
      </c>
      <c r="E122" s="74" t="s">
        <v>269</v>
      </c>
      <c r="F122" s="63" t="s">
        <v>268</v>
      </c>
      <c r="G122" s="63" t="str">
        <f t="shared" ref="G122:H122" si="14">NA</f>
        <v>N/A</v>
      </c>
      <c r="H122" s="63" t="str">
        <f t="shared" si="14"/>
        <v>N/A</v>
      </c>
      <c r="I122" s="86"/>
      <c r="J122" s="107" t="s">
        <v>270</v>
      </c>
    </row>
    <row r="123" spans="2:14" s="6" customFormat="1" ht="11.25" customHeight="1" x14ac:dyDescent="0.3"/>
    <row r="124" spans="2:14" s="6" customFormat="1" ht="11.25" customHeight="1" x14ac:dyDescent="0.3"/>
    <row r="125" spans="2:14" s="13" customFormat="1" ht="13.9" x14ac:dyDescent="0.3">
      <c r="C125" s="13" t="s">
        <v>187</v>
      </c>
    </row>
    <row r="126" spans="2:14" s="6" customFormat="1" ht="11.25" customHeight="1" x14ac:dyDescent="0.3"/>
    <row r="127" spans="2:14" s="6" customFormat="1" ht="26.35" customHeight="1" x14ac:dyDescent="0.3">
      <c r="D127" s="72" t="s">
        <v>181</v>
      </c>
      <c r="E127" s="71" t="s">
        <v>65</v>
      </c>
      <c r="F127" s="71" t="s">
        <v>66</v>
      </c>
      <c r="G127" s="71" t="s">
        <v>67</v>
      </c>
      <c r="H127" s="71" t="str">
        <f>Lookup!H$20</f>
        <v>Timing</v>
      </c>
      <c r="I127" s="86"/>
      <c r="J127" s="71" t="s">
        <v>180</v>
      </c>
      <c r="K127" s="87"/>
    </row>
    <row r="128" spans="2:14" s="6" customFormat="1" ht="11.25" customHeight="1" x14ac:dyDescent="0.3">
      <c r="D128" s="7"/>
      <c r="E128" s="7"/>
      <c r="F128" s="7"/>
      <c r="G128" s="7"/>
      <c r="H128" s="7"/>
      <c r="I128" s="7"/>
      <c r="J128" s="7"/>
    </row>
    <row r="129" spans="3:11" s="6" customFormat="1" ht="11.25" customHeight="1" x14ac:dyDescent="0.3">
      <c r="D129" s="91" t="s">
        <v>182</v>
      </c>
      <c r="E129" s="74" t="s">
        <v>183</v>
      </c>
      <c r="F129" s="63" t="str">
        <f t="shared" ref="F129:F143" si="15">Percent</f>
        <v>Percent</v>
      </c>
      <c r="G129" s="63" t="s">
        <v>70</v>
      </c>
      <c r="H129" s="63" t="str">
        <f t="shared" ref="H129:H143" si="16">NA</f>
        <v>N/A</v>
      </c>
      <c r="I129" s="86"/>
      <c r="J129" s="83">
        <v>6.5000000000000002E-2</v>
      </c>
    </row>
    <row r="130" spans="3:11" s="6" customFormat="1" ht="11.25" customHeight="1" x14ac:dyDescent="0.3">
      <c r="D130" s="91" t="s">
        <v>184</v>
      </c>
      <c r="E130" s="74" t="s">
        <v>183</v>
      </c>
      <c r="F130" s="63" t="str">
        <f t="shared" si="15"/>
        <v>Percent</v>
      </c>
      <c r="G130" s="63" t="s">
        <v>70</v>
      </c>
      <c r="H130" s="63" t="str">
        <f t="shared" si="16"/>
        <v>N/A</v>
      </c>
      <c r="I130" s="86"/>
      <c r="J130" s="83">
        <v>0.7</v>
      </c>
    </row>
    <row r="131" spans="3:11" s="6" customFormat="1" ht="11.25" customHeight="1" x14ac:dyDescent="0.3">
      <c r="D131" s="12" t="s">
        <v>193</v>
      </c>
      <c r="E131" s="74" t="s">
        <v>183</v>
      </c>
      <c r="F131" s="63" t="str">
        <f t="shared" si="15"/>
        <v>Percent</v>
      </c>
      <c r="G131" s="63" t="s">
        <v>70</v>
      </c>
      <c r="H131" s="63" t="str">
        <f t="shared" si="16"/>
        <v>N/A</v>
      </c>
      <c r="I131" s="86"/>
      <c r="J131" s="83">
        <v>0.4</v>
      </c>
    </row>
    <row r="132" spans="3:11" s="6" customFormat="1" ht="11.25" customHeight="1" x14ac:dyDescent="0.3">
      <c r="D132" s="12" t="s">
        <v>185</v>
      </c>
      <c r="E132" s="74" t="s">
        <v>183</v>
      </c>
      <c r="F132" s="63" t="str">
        <f t="shared" si="15"/>
        <v>Percent</v>
      </c>
      <c r="G132" s="63" t="s">
        <v>70</v>
      </c>
      <c r="H132" s="63" t="str">
        <f t="shared" si="16"/>
        <v>N/A</v>
      </c>
      <c r="I132" s="86"/>
      <c r="J132" s="83">
        <v>0.6</v>
      </c>
    </row>
    <row r="133" spans="3:11" s="6" customFormat="1" ht="11.25" customHeight="1" x14ac:dyDescent="0.3"/>
    <row r="134" spans="3:11" s="6" customFormat="1" ht="11.25" customHeight="1" x14ac:dyDescent="0.3"/>
    <row r="135" spans="3:11" s="13" customFormat="1" ht="13.9" x14ac:dyDescent="0.3">
      <c r="C135" s="13" t="s">
        <v>188</v>
      </c>
    </row>
    <row r="136" spans="3:11" s="6" customFormat="1" ht="11.25" customHeight="1" x14ac:dyDescent="0.3"/>
    <row r="137" spans="3:11" s="6" customFormat="1" ht="26.35" customHeight="1" x14ac:dyDescent="0.3">
      <c r="D137" s="72" t="s">
        <v>181</v>
      </c>
      <c r="E137" s="71" t="s">
        <v>65</v>
      </c>
      <c r="F137" s="71" t="s">
        <v>66</v>
      </c>
      <c r="G137" s="71" t="s">
        <v>67</v>
      </c>
      <c r="H137" s="71" t="str">
        <f>Lookup!H$20</f>
        <v>Timing</v>
      </c>
      <c r="I137" s="86"/>
      <c r="J137" s="71" t="s">
        <v>180</v>
      </c>
      <c r="K137" s="87"/>
    </row>
    <row r="138" spans="3:11" s="6" customFormat="1" ht="11.25" customHeight="1" x14ac:dyDescent="0.3">
      <c r="D138" s="7"/>
      <c r="E138" s="7"/>
      <c r="F138" s="7"/>
      <c r="G138" s="7"/>
      <c r="H138" s="7"/>
      <c r="I138" s="7"/>
      <c r="J138" s="7"/>
    </row>
    <row r="139" spans="3:11" s="6" customFormat="1" ht="11.25" customHeight="1" x14ac:dyDescent="0.3">
      <c r="D139" s="12" t="s">
        <v>189</v>
      </c>
      <c r="E139" s="74" t="s">
        <v>183</v>
      </c>
      <c r="F139" s="63" t="str">
        <f t="shared" si="15"/>
        <v>Percent</v>
      </c>
      <c r="G139" s="63" t="s">
        <v>70</v>
      </c>
      <c r="H139" s="63" t="str">
        <f t="shared" si="16"/>
        <v>N/A</v>
      </c>
      <c r="I139" s="86"/>
      <c r="J139" s="83">
        <v>0.7</v>
      </c>
    </row>
    <row r="140" spans="3:11" s="6" customFormat="1" ht="11.25" customHeight="1" x14ac:dyDescent="0.3">
      <c r="D140" s="12" t="s">
        <v>190</v>
      </c>
      <c r="E140" s="74" t="s">
        <v>183</v>
      </c>
      <c r="F140" s="63" t="str">
        <f t="shared" si="15"/>
        <v>Percent</v>
      </c>
      <c r="G140" s="63" t="s">
        <v>70</v>
      </c>
      <c r="H140" s="63" t="str">
        <f t="shared" si="16"/>
        <v>N/A</v>
      </c>
      <c r="I140" s="86"/>
      <c r="J140" s="83">
        <v>0.03</v>
      </c>
    </row>
    <row r="141" spans="3:11" s="6" customFormat="1" ht="11.25" customHeight="1" x14ac:dyDescent="0.3">
      <c r="D141" s="12" t="s">
        <v>191</v>
      </c>
      <c r="E141" s="74" t="s">
        <v>183</v>
      </c>
      <c r="F141" s="63" t="str">
        <f t="shared" si="15"/>
        <v>Percent</v>
      </c>
      <c r="G141" s="63" t="s">
        <v>70</v>
      </c>
      <c r="H141" s="63" t="str">
        <f t="shared" si="16"/>
        <v>N/A</v>
      </c>
      <c r="I141" s="86"/>
      <c r="J141" s="83">
        <v>0.01</v>
      </c>
    </row>
    <row r="142" spans="3:11" s="6" customFormat="1" ht="11.25" customHeight="1" x14ac:dyDescent="0.3">
      <c r="D142" s="12" t="s">
        <v>192</v>
      </c>
      <c r="E142" s="74" t="s">
        <v>183</v>
      </c>
      <c r="F142" s="63" t="str">
        <f t="shared" si="15"/>
        <v>Percent</v>
      </c>
      <c r="G142" s="63" t="s">
        <v>70</v>
      </c>
      <c r="H142" s="63" t="str">
        <f t="shared" si="16"/>
        <v>N/A</v>
      </c>
      <c r="I142" s="86"/>
      <c r="J142" s="83">
        <v>0.3</v>
      </c>
    </row>
    <row r="143" spans="3:11" s="6" customFormat="1" ht="11.25" customHeight="1" x14ac:dyDescent="0.3">
      <c r="D143" s="12" t="s">
        <v>164</v>
      </c>
      <c r="E143" s="74" t="s">
        <v>183</v>
      </c>
      <c r="F143" s="63" t="str">
        <f t="shared" si="15"/>
        <v>Percent</v>
      </c>
      <c r="G143" s="63" t="s">
        <v>70</v>
      </c>
      <c r="H143" s="63" t="str">
        <f t="shared" si="16"/>
        <v>N/A</v>
      </c>
      <c r="I143" s="86"/>
      <c r="J143" s="83">
        <v>8.6969200642959604E-4</v>
      </c>
    </row>
    <row r="144" spans="3:11" s="6" customFormat="1" ht="11.25" customHeight="1" x14ac:dyDescent="0.3"/>
    <row r="145" spans="2:2" s="6" customFormat="1" ht="11.25" customHeight="1" x14ac:dyDescent="0.3"/>
    <row r="146" spans="2:2" s="4" customFormat="1" ht="15" x14ac:dyDescent="0.3">
      <c r="B146" s="4" t="s">
        <v>33</v>
      </c>
    </row>
  </sheetData>
  <mergeCells count="3">
    <mergeCell ref="J91:L91"/>
    <mergeCell ref="M91:O91"/>
    <mergeCell ref="L102:M102"/>
  </mergeCells>
  <conditionalFormatting sqref="B2">
    <cfRule type="cellIs" dxfId="13" priority="1" operator="notEqual">
      <formula>"No Errors Found"</formula>
    </cfRule>
  </conditionalFormatting>
  <dataValidations count="1">
    <dataValidation type="list" allowBlank="1" showInputMessage="1" showErrorMessage="1" sqref="J122" xr:uid="{913E3BC5-A65A-46D7-850D-1CFAC3E2AA6E}">
      <formula1>"Immediate,Transition"</formula1>
    </dataValidation>
  </dataValidations>
  <hyperlinks>
    <hyperlink ref="B3:E3" location="TOC!A1" display="TOC!A1" xr:uid="{00000000-0004-0000-04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X139"/>
  <sheetViews>
    <sheetView showGridLines="0" zoomScaleNormal="100" workbookViewId="0">
      <pane xSplit="1" ySplit="10" topLeftCell="B54" activePane="bottomRight" state="frozen"/>
      <selection activeCell="D17" sqref="D17"/>
      <selection pane="topRight" activeCell="D17" sqref="D17"/>
      <selection pane="bottomLeft" activeCell="D17" sqref="D17"/>
      <selection pane="bottomRight" activeCell="N81" sqref="N81"/>
    </sheetView>
  </sheetViews>
  <sheetFormatPr defaultColWidth="9.33203125" defaultRowHeight="10.15" outlineLevelRow="1" x14ac:dyDescent="0.3"/>
  <cols>
    <col min="1" max="1" width="3.33203125" style="7" customWidth="1"/>
    <col min="2" max="3" width="2.83203125" style="7" customWidth="1"/>
    <col min="4" max="4" width="25.83203125" style="7" customWidth="1"/>
    <col min="5" max="5" width="11.83203125" style="7" customWidth="1"/>
    <col min="6" max="6" width="9.1640625" style="7" customWidth="1"/>
    <col min="7" max="7" width="12" style="7" customWidth="1"/>
    <col min="8" max="8" width="10" style="7" customWidth="1"/>
    <col min="9" max="9" width="21.5" style="7" customWidth="1"/>
    <col min="10" max="19" width="12.83203125" style="7" customWidth="1"/>
    <col min="20" max="21" width="10.83203125" style="7" customWidth="1"/>
    <col min="22" max="16384" width="9.33203125" style="7"/>
  </cols>
  <sheetData>
    <row r="1" spans="1:19" ht="18.75" x14ac:dyDescent="0.3">
      <c r="A1" s="69">
        <f>IF(SUM($A11:$A11)&gt;0,1,0)</f>
        <v>0</v>
      </c>
      <c r="B1" s="5" t="s">
        <v>262</v>
      </c>
    </row>
    <row r="2" spans="1:19" x14ac:dyDescent="0.3">
      <c r="B2" s="18" t="str">
        <f>Title_Msg</f>
        <v>No Errors Found</v>
      </c>
    </row>
    <row r="3" spans="1:19" x14ac:dyDescent="0.3">
      <c r="B3" s="55" t="str">
        <f>TOC!B1</f>
        <v>Table of Contents</v>
      </c>
      <c r="C3" s="49"/>
      <c r="D3" s="49"/>
      <c r="E3" s="49"/>
    </row>
    <row r="4" spans="1:19" ht="13.15" x14ac:dyDescent="0.3">
      <c r="B4" s="46" t="str">
        <f>Model_Name</f>
        <v>Rate of Return Model - Power and Water Corporation (PWC)</v>
      </c>
    </row>
    <row r="5" spans="1:19"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row>
    <row r="6" spans="1:19"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row>
    <row r="7" spans="1:19"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row>
    <row r="8" spans="1:19"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row>
    <row r="9" spans="1:19" ht="12.75" collapsed="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row>
    <row r="10" spans="1:19" ht="13.15" x14ac:dyDescent="0.3">
      <c r="B10" s="10" t="str">
        <f>Lookup!B20</f>
        <v>Regulatory Year</v>
      </c>
      <c r="E10" s="59" t="str">
        <f>Lookup!E20</f>
        <v>Source</v>
      </c>
      <c r="F10" s="59" t="str">
        <f>Lookup!F20</f>
        <v>Unit</v>
      </c>
      <c r="G10" s="59" t="str">
        <f>Lookup!G20</f>
        <v>Basis</v>
      </c>
      <c r="H10" s="59" t="str">
        <f>Lookup!H20</f>
        <v>Timing</v>
      </c>
      <c r="I10" s="59"/>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row>
    <row r="12" spans="1:19" s="4" customFormat="1" ht="15" x14ac:dyDescent="0.3">
      <c r="B12" s="4" t="s">
        <v>223</v>
      </c>
    </row>
    <row r="13" spans="1:19" s="6" customFormat="1" ht="4.5" customHeight="1" x14ac:dyDescent="0.3"/>
    <row r="14" spans="1:19" s="13" customFormat="1" ht="13.9" x14ac:dyDescent="0.3">
      <c r="C14" s="13" t="s">
        <v>224</v>
      </c>
    </row>
    <row r="15" spans="1:19" s="6" customFormat="1" ht="11.25" customHeight="1" x14ac:dyDescent="0.3"/>
    <row r="16" spans="1:19" s="87" customFormat="1" ht="13.15" x14ac:dyDescent="0.3">
      <c r="C16" s="7"/>
      <c r="D16" s="86"/>
      <c r="E16" s="86"/>
      <c r="F16" s="86"/>
      <c r="G16" s="86"/>
      <c r="H16" s="86"/>
      <c r="I16" s="6"/>
      <c r="J16" s="116" t="str">
        <f>Input_Data!J32</f>
        <v>TB136</v>
      </c>
      <c r="K16" s="116"/>
      <c r="M16" s="116" t="str">
        <f>Input_Data!L32</f>
        <v>TB148</v>
      </c>
      <c r="N16" s="116"/>
      <c r="P16" s="116" t="s">
        <v>228</v>
      </c>
      <c r="Q16" s="116"/>
      <c r="R16" s="116"/>
    </row>
    <row r="17" spans="2:18" s="87" customFormat="1" ht="13.15" x14ac:dyDescent="0.3">
      <c r="C17" s="7"/>
      <c r="D17" s="72" t="s">
        <v>175</v>
      </c>
      <c r="E17" s="64" t="str">
        <f>Lookup!E$20</f>
        <v>Source</v>
      </c>
      <c r="F17" s="64" t="str">
        <f>Lookup!F$20</f>
        <v>Unit</v>
      </c>
      <c r="G17" s="64" t="str">
        <f>Lookup!G$20</f>
        <v>Basis</v>
      </c>
      <c r="H17" s="64" t="str">
        <f>Lookup!H$20</f>
        <v>Timing</v>
      </c>
      <c r="I17" s="6"/>
      <c r="J17" s="64" t="s">
        <v>174</v>
      </c>
      <c r="K17" s="64" t="s">
        <v>178</v>
      </c>
      <c r="M17" s="64" t="s">
        <v>174</v>
      </c>
      <c r="N17" s="64" t="s">
        <v>178</v>
      </c>
      <c r="P17" s="64" t="s">
        <v>174</v>
      </c>
      <c r="Q17" s="64" t="s">
        <v>229</v>
      </c>
      <c r="R17" s="64" t="s">
        <v>230</v>
      </c>
    </row>
    <row r="18" spans="2:18" s="87" customFormat="1" x14ac:dyDescent="0.3">
      <c r="C18" s="7"/>
      <c r="D18" s="86"/>
      <c r="E18" s="86"/>
      <c r="F18" s="86"/>
      <c r="G18" s="86"/>
      <c r="H18" s="86"/>
      <c r="I18" s="6"/>
      <c r="J18" s="98"/>
      <c r="K18" s="98"/>
      <c r="M18" s="98"/>
      <c r="N18" s="98"/>
      <c r="Q18" s="97"/>
      <c r="R18" s="97"/>
    </row>
    <row r="19" spans="2:18" s="87" customFormat="1" ht="12.75" x14ac:dyDescent="0.3">
      <c r="B19" s="85"/>
      <c r="C19" s="7"/>
      <c r="D19" s="89">
        <f>Input_Data!D38</f>
        <v>42886</v>
      </c>
      <c r="E19" s="74" t="s">
        <v>132</v>
      </c>
      <c r="F19" s="63" t="str">
        <f t="shared" ref="F19:F40" si="0">Percent</f>
        <v>Percent</v>
      </c>
      <c r="G19" s="63" t="s">
        <v>70</v>
      </c>
      <c r="H19" s="63" t="str">
        <f t="shared" ref="H19:H42" si="1">NA</f>
        <v>N/A</v>
      </c>
      <c r="I19" s="86"/>
      <c r="J19" s="101">
        <f>Input_Data!J33</f>
        <v>46498</v>
      </c>
      <c r="K19" s="100">
        <f>Input_Data!J38</f>
        <v>2.3849999999999996E-2</v>
      </c>
      <c r="M19" s="101">
        <f>Input_Data!L33</f>
        <v>46712</v>
      </c>
      <c r="N19" s="100">
        <f>Input_Data!L38</f>
        <v>2.4500000000000001E-2</v>
      </c>
      <c r="P19" s="101">
        <f t="shared" ref="P19:P40" si="2">(DATE(YEAR(D19)+10,MONTH(D19),DAY(D19)))</f>
        <v>46538</v>
      </c>
      <c r="Q19" s="100">
        <f t="shared" ref="Q19:Q40" si="3">(P19-J19)/(M19-J19)*N19+(1-(P19-J19)/(M19-J19))*K19</f>
        <v>2.3971495327102799E-2</v>
      </c>
      <c r="R19" s="100">
        <f t="shared" ref="R19:R40" si="4">(1+Q19/2)^2-1</f>
        <v>2.4115153474157269E-2</v>
      </c>
    </row>
    <row r="20" spans="2:18" s="87" customFormat="1" ht="12.75" x14ac:dyDescent="0.3">
      <c r="B20" s="85"/>
      <c r="C20" s="7"/>
      <c r="D20" s="89">
        <f>Input_Data!D39</f>
        <v>42887</v>
      </c>
      <c r="E20" s="74" t="s">
        <v>132</v>
      </c>
      <c r="F20" s="63" t="str">
        <f t="shared" si="0"/>
        <v>Percent</v>
      </c>
      <c r="G20" s="63" t="s">
        <v>70</v>
      </c>
      <c r="H20" s="63" t="str">
        <f t="shared" si="1"/>
        <v>N/A</v>
      </c>
      <c r="I20" s="86"/>
      <c r="J20" s="101">
        <f t="shared" ref="J20:J23" si="5">J19</f>
        <v>46498</v>
      </c>
      <c r="K20" s="100">
        <f>Input_Data!J39</f>
        <v>2.3949999999999999E-2</v>
      </c>
      <c r="M20" s="101">
        <f t="shared" ref="M20:M23" si="6">M19</f>
        <v>46712</v>
      </c>
      <c r="N20" s="100">
        <f>Input_Data!L39</f>
        <v>2.46E-2</v>
      </c>
      <c r="P20" s="101">
        <f t="shared" si="2"/>
        <v>46539</v>
      </c>
      <c r="Q20" s="100">
        <f t="shared" si="3"/>
        <v>2.4074532710280372E-2</v>
      </c>
      <c r="R20" s="100">
        <f t="shared" si="4"/>
        <v>2.4219428491585093E-2</v>
      </c>
    </row>
    <row r="21" spans="2:18" s="87" customFormat="1" ht="12.75" x14ac:dyDescent="0.3">
      <c r="B21" s="85"/>
      <c r="C21" s="7"/>
      <c r="D21" s="89">
        <f>Input_Data!D40</f>
        <v>42888</v>
      </c>
      <c r="E21" s="74" t="s">
        <v>132</v>
      </c>
      <c r="F21" s="63" t="str">
        <f t="shared" si="0"/>
        <v>Percent</v>
      </c>
      <c r="G21" s="63" t="s">
        <v>70</v>
      </c>
      <c r="H21" s="63" t="str">
        <f t="shared" si="1"/>
        <v>N/A</v>
      </c>
      <c r="I21" s="86"/>
      <c r="J21" s="101">
        <f t="shared" si="5"/>
        <v>46498</v>
      </c>
      <c r="K21" s="100">
        <f>Input_Data!J40</f>
        <v>2.41E-2</v>
      </c>
      <c r="M21" s="101">
        <f t="shared" si="6"/>
        <v>46712</v>
      </c>
      <c r="N21" s="100">
        <f>Input_Data!L40</f>
        <v>2.4750000000000001E-2</v>
      </c>
      <c r="P21" s="101">
        <f t="shared" ref="P21:P22" si="7">(DATE(YEAR(D21)+10,MONTH(D21),DAY(D21)))</f>
        <v>46540</v>
      </c>
      <c r="Q21" s="100">
        <f t="shared" ref="Q21:Q22" si="8">(P21-J21)/(M21-J21)*N21+(1-(P21-J21)/(M21-J21))*K21</f>
        <v>2.4227570093457943E-2</v>
      </c>
      <c r="R21" s="100">
        <f t="shared" ref="R21:R22" si="9">(1+Q21/2)^2-1</f>
        <v>2.4374313881616372E-2</v>
      </c>
    </row>
    <row r="22" spans="2:18" s="87" customFormat="1" ht="12.75" x14ac:dyDescent="0.3">
      <c r="B22" s="85"/>
      <c r="C22" s="7"/>
      <c r="D22" s="89">
        <f>Input_Data!D41</f>
        <v>42891</v>
      </c>
      <c r="E22" s="74" t="s">
        <v>132</v>
      </c>
      <c r="F22" s="63" t="str">
        <f t="shared" si="0"/>
        <v>Percent</v>
      </c>
      <c r="G22" s="63" t="s">
        <v>70</v>
      </c>
      <c r="H22" s="63" t="str">
        <f t="shared" si="1"/>
        <v>N/A</v>
      </c>
      <c r="I22" s="86"/>
      <c r="J22" s="101">
        <f t="shared" si="5"/>
        <v>46498</v>
      </c>
      <c r="K22" s="100">
        <f>Input_Data!J41</f>
        <v>2.3900000000000001E-2</v>
      </c>
      <c r="M22" s="101">
        <f t="shared" si="6"/>
        <v>46712</v>
      </c>
      <c r="N22" s="100">
        <f>Input_Data!L41</f>
        <v>2.4550000000000002E-2</v>
      </c>
      <c r="P22" s="101">
        <f t="shared" si="7"/>
        <v>46543</v>
      </c>
      <c r="Q22" s="100">
        <f t="shared" si="8"/>
        <v>2.4036682242990656E-2</v>
      </c>
      <c r="R22" s="100">
        <f t="shared" si="9"/>
        <v>2.4181122766303353E-2</v>
      </c>
    </row>
    <row r="23" spans="2:18" s="87" customFormat="1" ht="12.75" x14ac:dyDescent="0.3">
      <c r="B23" s="85"/>
      <c r="C23" s="7"/>
      <c r="D23" s="89">
        <f>Input_Data!D42</f>
        <v>42892</v>
      </c>
      <c r="E23" s="74" t="s">
        <v>132</v>
      </c>
      <c r="F23" s="63" t="str">
        <f t="shared" si="0"/>
        <v>Percent</v>
      </c>
      <c r="G23" s="63" t="s">
        <v>70</v>
      </c>
      <c r="H23" s="63" t="str">
        <f t="shared" si="1"/>
        <v>N/A</v>
      </c>
      <c r="I23" s="86"/>
      <c r="J23" s="101">
        <f t="shared" si="5"/>
        <v>46498</v>
      </c>
      <c r="K23" s="100">
        <f>Input_Data!J42</f>
        <v>2.3700000000000002E-2</v>
      </c>
      <c r="M23" s="101">
        <f t="shared" si="6"/>
        <v>46712</v>
      </c>
      <c r="N23" s="100">
        <f>Input_Data!L42</f>
        <v>2.435E-2</v>
      </c>
      <c r="P23" s="101">
        <f t="shared" si="2"/>
        <v>46544</v>
      </c>
      <c r="Q23" s="100">
        <f t="shared" si="3"/>
        <v>2.3839719626168224E-2</v>
      </c>
      <c r="R23" s="100">
        <f t="shared" si="4"/>
        <v>2.3981802684131637E-2</v>
      </c>
    </row>
    <row r="24" spans="2:18" s="87" customFormat="1" ht="12.75" x14ac:dyDescent="0.3">
      <c r="B24" s="85"/>
      <c r="C24" s="7"/>
      <c r="D24" s="89">
        <f>Input_Data!D43</f>
        <v>42893</v>
      </c>
      <c r="E24" s="74" t="s">
        <v>132</v>
      </c>
      <c r="F24" s="63" t="str">
        <f t="shared" si="0"/>
        <v>Percent</v>
      </c>
      <c r="G24" s="63" t="s">
        <v>70</v>
      </c>
      <c r="H24" s="63" t="str">
        <f t="shared" si="1"/>
        <v>N/A</v>
      </c>
      <c r="I24" s="86"/>
      <c r="J24" s="101">
        <f t="shared" ref="J24:J40" si="10">J23</f>
        <v>46498</v>
      </c>
      <c r="K24" s="100">
        <f>Input_Data!J43</f>
        <v>2.3849999999999996E-2</v>
      </c>
      <c r="M24" s="101">
        <f t="shared" ref="M24:M40" si="11">M23</f>
        <v>46712</v>
      </c>
      <c r="N24" s="100">
        <f>Input_Data!L43</f>
        <v>2.445E-2</v>
      </c>
      <c r="P24" s="101">
        <f t="shared" si="2"/>
        <v>46545</v>
      </c>
      <c r="Q24" s="100">
        <f t="shared" si="3"/>
        <v>2.3981775700934578E-2</v>
      </c>
      <c r="R24" s="100">
        <f t="shared" si="4"/>
        <v>2.412555709237707E-2</v>
      </c>
    </row>
    <row r="25" spans="2:18" s="87" customFormat="1" ht="12.75" x14ac:dyDescent="0.3">
      <c r="B25" s="85"/>
      <c r="C25" s="7"/>
      <c r="D25" s="89">
        <f>Input_Data!D44</f>
        <v>42894</v>
      </c>
      <c r="E25" s="74" t="s">
        <v>132</v>
      </c>
      <c r="F25" s="63" t="str">
        <f t="shared" si="0"/>
        <v>Percent</v>
      </c>
      <c r="G25" s="63" t="s">
        <v>70</v>
      </c>
      <c r="H25" s="63" t="str">
        <f t="shared" si="1"/>
        <v>N/A</v>
      </c>
      <c r="I25" s="86"/>
      <c r="J25" s="101">
        <f t="shared" si="10"/>
        <v>46498</v>
      </c>
      <c r="K25" s="100">
        <f>Input_Data!J44</f>
        <v>2.4049999999999998E-2</v>
      </c>
      <c r="M25" s="101">
        <f t="shared" si="11"/>
        <v>46712</v>
      </c>
      <c r="N25" s="100">
        <f>Input_Data!L44</f>
        <v>2.4649999999999998E-2</v>
      </c>
      <c r="P25" s="101">
        <f t="shared" si="2"/>
        <v>46546</v>
      </c>
      <c r="Q25" s="100">
        <f t="shared" si="3"/>
        <v>2.4184579439252334E-2</v>
      </c>
      <c r="R25" s="100">
        <f t="shared" si="4"/>
        <v>2.4330802909915406E-2</v>
      </c>
    </row>
    <row r="26" spans="2:18" s="87" customFormat="1" ht="12.75" x14ac:dyDescent="0.3">
      <c r="B26" s="85"/>
      <c r="C26" s="7"/>
      <c r="D26" s="89">
        <f>Input_Data!D45</f>
        <v>42895</v>
      </c>
      <c r="E26" s="74" t="s">
        <v>132</v>
      </c>
      <c r="F26" s="63" t="str">
        <f t="shared" si="0"/>
        <v>Percent</v>
      </c>
      <c r="G26" s="63" t="s">
        <v>70</v>
      </c>
      <c r="H26" s="63" t="str">
        <f t="shared" si="1"/>
        <v>N/A</v>
      </c>
      <c r="I26" s="86"/>
      <c r="J26" s="101">
        <f t="shared" si="10"/>
        <v>46498</v>
      </c>
      <c r="K26" s="100">
        <f>Input_Data!J45</f>
        <v>2.4E-2</v>
      </c>
      <c r="M26" s="101">
        <f t="shared" si="11"/>
        <v>46712</v>
      </c>
      <c r="N26" s="100">
        <f>Input_Data!L45</f>
        <v>2.46E-2</v>
      </c>
      <c r="P26" s="101">
        <f t="shared" si="2"/>
        <v>46547</v>
      </c>
      <c r="Q26" s="100">
        <f t="shared" si="3"/>
        <v>2.4137383177570092E-2</v>
      </c>
      <c r="R26" s="100">
        <f t="shared" si="4"/>
        <v>2.4283036494235466E-2</v>
      </c>
    </row>
    <row r="27" spans="2:18" s="87" customFormat="1" ht="12.75" x14ac:dyDescent="0.3">
      <c r="B27" s="85"/>
      <c r="C27" s="7"/>
      <c r="D27" s="89">
        <f>Input_Data!D46</f>
        <v>42899</v>
      </c>
      <c r="E27" s="74" t="s">
        <v>132</v>
      </c>
      <c r="F27" s="63" t="str">
        <f t="shared" si="0"/>
        <v>Percent</v>
      </c>
      <c r="G27" s="63" t="s">
        <v>70</v>
      </c>
      <c r="H27" s="63" t="str">
        <f t="shared" si="1"/>
        <v>N/A</v>
      </c>
      <c r="I27" s="86"/>
      <c r="J27" s="101">
        <f t="shared" si="10"/>
        <v>46498</v>
      </c>
      <c r="K27" s="100">
        <f>Input_Data!J46</f>
        <v>2.4E-2</v>
      </c>
      <c r="M27" s="101">
        <f t="shared" si="11"/>
        <v>46712</v>
      </c>
      <c r="N27" s="100">
        <f>Input_Data!L46</f>
        <v>2.4550000000000002E-2</v>
      </c>
      <c r="P27" s="101">
        <f t="shared" si="2"/>
        <v>46551</v>
      </c>
      <c r="Q27" s="100">
        <f t="shared" si="3"/>
        <v>2.4136214953271028E-2</v>
      </c>
      <c r="R27" s="100">
        <f t="shared" si="4"/>
        <v>2.4281854171338768E-2</v>
      </c>
    </row>
    <row r="28" spans="2:18" s="87" customFormat="1" ht="12.75" x14ac:dyDescent="0.3">
      <c r="B28" s="85"/>
      <c r="C28" s="7"/>
      <c r="D28" s="89">
        <f>Input_Data!D47</f>
        <v>42900</v>
      </c>
      <c r="E28" s="74" t="s">
        <v>132</v>
      </c>
      <c r="F28" s="63" t="str">
        <f t="shared" si="0"/>
        <v>Percent</v>
      </c>
      <c r="G28" s="63" t="s">
        <v>70</v>
      </c>
      <c r="H28" s="63" t="str">
        <f t="shared" si="1"/>
        <v>N/A</v>
      </c>
      <c r="I28" s="86"/>
      <c r="J28" s="101">
        <f t="shared" si="10"/>
        <v>46498</v>
      </c>
      <c r="K28" s="100">
        <f>Input_Data!J47</f>
        <v>2.4E-2</v>
      </c>
      <c r="M28" s="101">
        <f t="shared" si="11"/>
        <v>46712</v>
      </c>
      <c r="N28" s="100">
        <f>Input_Data!L47</f>
        <v>2.46E-2</v>
      </c>
      <c r="P28" s="101">
        <f t="shared" si="2"/>
        <v>46552</v>
      </c>
      <c r="Q28" s="100">
        <f t="shared" si="3"/>
        <v>2.415140186915888E-2</v>
      </c>
      <c r="R28" s="100">
        <f t="shared" si="4"/>
        <v>2.4297224422220598E-2</v>
      </c>
    </row>
    <row r="29" spans="2:18" s="87" customFormat="1" ht="12.75" x14ac:dyDescent="0.3">
      <c r="B29" s="85"/>
      <c r="C29" s="7"/>
      <c r="D29" s="89">
        <f>Input_Data!D48</f>
        <v>42901</v>
      </c>
      <c r="E29" s="74" t="s">
        <v>132</v>
      </c>
      <c r="F29" s="63" t="str">
        <f t="shared" si="0"/>
        <v>Percent</v>
      </c>
      <c r="G29" s="63" t="s">
        <v>70</v>
      </c>
      <c r="H29" s="63" t="str">
        <f t="shared" si="1"/>
        <v>N/A</v>
      </c>
      <c r="I29" s="86"/>
      <c r="J29" s="101">
        <f t="shared" si="10"/>
        <v>46498</v>
      </c>
      <c r="K29" s="100">
        <f>Input_Data!J48</f>
        <v>2.3599999999999999E-2</v>
      </c>
      <c r="M29" s="101">
        <f t="shared" si="11"/>
        <v>46712</v>
      </c>
      <c r="N29" s="100">
        <f>Input_Data!L48</f>
        <v>2.4150000000000001E-2</v>
      </c>
      <c r="P29" s="101">
        <f t="shared" si="2"/>
        <v>46553</v>
      </c>
      <c r="Q29" s="100">
        <f t="shared" si="3"/>
        <v>2.3741355140186916E-2</v>
      </c>
      <c r="R29" s="100">
        <f t="shared" si="4"/>
        <v>2.38822681261599E-2</v>
      </c>
    </row>
    <row r="30" spans="2:18" s="87" customFormat="1" ht="12.75" x14ac:dyDescent="0.3">
      <c r="B30" s="85"/>
      <c r="C30" s="7"/>
      <c r="D30" s="89">
        <f>Input_Data!D49</f>
        <v>42902</v>
      </c>
      <c r="E30" s="74" t="s">
        <v>132</v>
      </c>
      <c r="F30" s="63" t="str">
        <f t="shared" si="0"/>
        <v>Percent</v>
      </c>
      <c r="G30" s="63" t="s">
        <v>70</v>
      </c>
      <c r="H30" s="63" t="str">
        <f t="shared" si="1"/>
        <v>N/A</v>
      </c>
      <c r="I30" s="86"/>
      <c r="J30" s="101">
        <f t="shared" si="10"/>
        <v>46498</v>
      </c>
      <c r="K30" s="100">
        <f>Input_Data!J49</f>
        <v>2.4049999999999998E-2</v>
      </c>
      <c r="M30" s="101">
        <f t="shared" si="11"/>
        <v>46712</v>
      </c>
      <c r="N30" s="100">
        <f>Input_Data!L49</f>
        <v>2.46E-2</v>
      </c>
      <c r="P30" s="101">
        <f t="shared" si="2"/>
        <v>46554</v>
      </c>
      <c r="Q30" s="100">
        <f t="shared" si="3"/>
        <v>2.4193925233644855E-2</v>
      </c>
      <c r="R30" s="100">
        <f t="shared" si="4"/>
        <v>2.4340261738197588E-2</v>
      </c>
    </row>
    <row r="31" spans="2:18" s="87" customFormat="1" ht="12.75" x14ac:dyDescent="0.3">
      <c r="B31" s="85"/>
      <c r="C31" s="7"/>
      <c r="D31" s="89">
        <f>Input_Data!D50</f>
        <v>42905</v>
      </c>
      <c r="E31" s="74" t="s">
        <v>132</v>
      </c>
      <c r="F31" s="63" t="str">
        <f t="shared" si="0"/>
        <v>Percent</v>
      </c>
      <c r="G31" s="63" t="s">
        <v>70</v>
      </c>
      <c r="H31" s="63" t="str">
        <f t="shared" si="1"/>
        <v>N/A</v>
      </c>
      <c r="I31" s="86"/>
      <c r="J31" s="101">
        <f t="shared" si="10"/>
        <v>46498</v>
      </c>
      <c r="K31" s="100">
        <f>Input_Data!J50</f>
        <v>2.4049999999999998E-2</v>
      </c>
      <c r="M31" s="101">
        <f t="shared" si="11"/>
        <v>46712</v>
      </c>
      <c r="N31" s="100">
        <f>Input_Data!L50</f>
        <v>2.46E-2</v>
      </c>
      <c r="P31" s="101">
        <f t="shared" si="2"/>
        <v>46557</v>
      </c>
      <c r="Q31" s="100">
        <f t="shared" si="3"/>
        <v>2.4201635514018691E-2</v>
      </c>
      <c r="R31" s="100">
        <f t="shared" si="4"/>
        <v>2.4348065304407251E-2</v>
      </c>
    </row>
    <row r="32" spans="2:18" s="87" customFormat="1" ht="12.75" x14ac:dyDescent="0.3">
      <c r="B32" s="85"/>
      <c r="C32" s="7"/>
      <c r="D32" s="89">
        <f>Input_Data!D51</f>
        <v>42906</v>
      </c>
      <c r="E32" s="74" t="s">
        <v>132</v>
      </c>
      <c r="F32" s="63" t="str">
        <f t="shared" si="0"/>
        <v>Percent</v>
      </c>
      <c r="G32" s="63" t="s">
        <v>70</v>
      </c>
      <c r="H32" s="63" t="str">
        <f t="shared" si="1"/>
        <v>N/A</v>
      </c>
      <c r="I32" s="86"/>
      <c r="J32" s="101">
        <f t="shared" si="10"/>
        <v>46498</v>
      </c>
      <c r="K32" s="100">
        <f>Input_Data!J51</f>
        <v>2.4150000000000001E-2</v>
      </c>
      <c r="M32" s="101">
        <f t="shared" si="11"/>
        <v>46712</v>
      </c>
      <c r="N32" s="100">
        <f>Input_Data!L51</f>
        <v>2.4700000000000003E-2</v>
      </c>
      <c r="P32" s="101">
        <f t="shared" si="2"/>
        <v>46558</v>
      </c>
      <c r="Q32" s="100">
        <f t="shared" si="3"/>
        <v>2.4304205607476637E-2</v>
      </c>
      <c r="R32" s="100">
        <f t="shared" si="4"/>
        <v>2.4451879210029226E-2</v>
      </c>
    </row>
    <row r="33" spans="2:19" s="87" customFormat="1" ht="12.75" x14ac:dyDescent="0.3">
      <c r="B33" s="85"/>
      <c r="C33" s="7"/>
      <c r="D33" s="89">
        <f>Input_Data!D52</f>
        <v>42907</v>
      </c>
      <c r="E33" s="74" t="s">
        <v>132</v>
      </c>
      <c r="F33" s="63" t="str">
        <f t="shared" si="0"/>
        <v>Percent</v>
      </c>
      <c r="G33" s="63" t="s">
        <v>70</v>
      </c>
      <c r="H33" s="63" t="str">
        <f t="shared" si="1"/>
        <v>N/A</v>
      </c>
      <c r="I33" s="86"/>
      <c r="J33" s="101">
        <f t="shared" si="10"/>
        <v>46498</v>
      </c>
      <c r="K33" s="100">
        <f>Input_Data!J52</f>
        <v>2.3900000000000001E-2</v>
      </c>
      <c r="M33" s="101">
        <f t="shared" si="11"/>
        <v>46712</v>
      </c>
      <c r="N33" s="100">
        <f>Input_Data!L52</f>
        <v>2.445E-2</v>
      </c>
      <c r="P33" s="101">
        <f t="shared" si="2"/>
        <v>46559</v>
      </c>
      <c r="Q33" s="100">
        <f t="shared" si="3"/>
        <v>2.405677570093458E-2</v>
      </c>
      <c r="R33" s="100">
        <f t="shared" si="4"/>
        <v>2.4201457815215655E-2</v>
      </c>
    </row>
    <row r="34" spans="2:19" s="87" customFormat="1" ht="12.75" x14ac:dyDescent="0.3">
      <c r="B34" s="85"/>
      <c r="C34" s="7"/>
      <c r="D34" s="89">
        <f>Input_Data!D53</f>
        <v>42908</v>
      </c>
      <c r="E34" s="74" t="s">
        <v>132</v>
      </c>
      <c r="F34" s="63" t="str">
        <f t="shared" si="0"/>
        <v>Percent</v>
      </c>
      <c r="G34" s="63" t="s">
        <v>70</v>
      </c>
      <c r="H34" s="63" t="str">
        <f t="shared" si="1"/>
        <v>N/A</v>
      </c>
      <c r="I34" s="86"/>
      <c r="J34" s="101">
        <f t="shared" si="10"/>
        <v>46498</v>
      </c>
      <c r="K34" s="100">
        <f>Input_Data!J53</f>
        <v>2.375E-2</v>
      </c>
      <c r="M34" s="101">
        <f t="shared" si="11"/>
        <v>46712</v>
      </c>
      <c r="N34" s="100">
        <f>Input_Data!L53</f>
        <v>2.4249999999999997E-2</v>
      </c>
      <c r="P34" s="101">
        <f t="shared" si="2"/>
        <v>46560</v>
      </c>
      <c r="Q34" s="100">
        <f t="shared" si="3"/>
        <v>2.3894859813084111E-2</v>
      </c>
      <c r="R34" s="100">
        <f t="shared" si="4"/>
        <v>2.4037600894455835E-2</v>
      </c>
    </row>
    <row r="35" spans="2:19" s="87" customFormat="1" ht="12.75" x14ac:dyDescent="0.3">
      <c r="B35" s="85"/>
      <c r="C35" s="7"/>
      <c r="D35" s="89">
        <f>Input_Data!D54</f>
        <v>42909</v>
      </c>
      <c r="E35" s="74" t="s">
        <v>132</v>
      </c>
      <c r="F35" s="63" t="str">
        <f t="shared" si="0"/>
        <v>Percent</v>
      </c>
      <c r="G35" s="63" t="s">
        <v>70</v>
      </c>
      <c r="H35" s="63" t="str">
        <f t="shared" si="1"/>
        <v>N/A</v>
      </c>
      <c r="I35" s="86"/>
      <c r="J35" s="101">
        <f t="shared" si="10"/>
        <v>46498</v>
      </c>
      <c r="K35" s="100">
        <f>Input_Data!J54</f>
        <v>2.3700000000000002E-2</v>
      </c>
      <c r="M35" s="101">
        <f t="shared" si="11"/>
        <v>46712</v>
      </c>
      <c r="N35" s="100">
        <f>Input_Data!L54</f>
        <v>2.4199999999999999E-2</v>
      </c>
      <c r="P35" s="101">
        <f t="shared" si="2"/>
        <v>46561</v>
      </c>
      <c r="Q35" s="100">
        <f t="shared" si="3"/>
        <v>2.3847196261682246E-2</v>
      </c>
      <c r="R35" s="100">
        <f t="shared" si="4"/>
        <v>2.3989368454068183E-2</v>
      </c>
    </row>
    <row r="36" spans="2:19" s="87" customFormat="1" ht="12.75" x14ac:dyDescent="0.3">
      <c r="B36" s="85"/>
      <c r="C36" s="7"/>
      <c r="D36" s="89">
        <f>Input_Data!D55</f>
        <v>42912</v>
      </c>
      <c r="E36" s="74" t="s">
        <v>132</v>
      </c>
      <c r="F36" s="63" t="str">
        <f t="shared" si="0"/>
        <v>Percent</v>
      </c>
      <c r="G36" s="63" t="s">
        <v>70</v>
      </c>
      <c r="H36" s="63" t="str">
        <f t="shared" si="1"/>
        <v>N/A</v>
      </c>
      <c r="I36" s="86"/>
      <c r="J36" s="101">
        <f t="shared" si="10"/>
        <v>46498</v>
      </c>
      <c r="K36" s="100">
        <f>Input_Data!J55</f>
        <v>2.375E-2</v>
      </c>
      <c r="M36" s="101">
        <f t="shared" si="11"/>
        <v>46712</v>
      </c>
      <c r="N36" s="100">
        <f>Input_Data!L55</f>
        <v>2.4300000000000002E-2</v>
      </c>
      <c r="P36" s="101">
        <f t="shared" si="2"/>
        <v>46564</v>
      </c>
      <c r="Q36" s="100">
        <f t="shared" si="3"/>
        <v>2.3919626168224302E-2</v>
      </c>
      <c r="R36" s="100">
        <f t="shared" si="4"/>
        <v>2.4062663297231168E-2</v>
      </c>
    </row>
    <row r="37" spans="2:19" s="87" customFormat="1" ht="12.75" x14ac:dyDescent="0.3">
      <c r="B37" s="85"/>
      <c r="C37" s="7"/>
      <c r="D37" s="89">
        <f>Input_Data!D56</f>
        <v>42913</v>
      </c>
      <c r="E37" s="74" t="s">
        <v>132</v>
      </c>
      <c r="F37" s="63" t="str">
        <f t="shared" si="0"/>
        <v>Percent</v>
      </c>
      <c r="G37" s="63" t="s">
        <v>70</v>
      </c>
      <c r="H37" s="63" t="str">
        <f t="shared" si="1"/>
        <v>N/A</v>
      </c>
      <c r="I37" s="86"/>
      <c r="J37" s="101">
        <f t="shared" si="10"/>
        <v>46498</v>
      </c>
      <c r="K37" s="100">
        <f>Input_Data!J56</f>
        <v>2.3550000000000001E-2</v>
      </c>
      <c r="M37" s="101">
        <f t="shared" si="11"/>
        <v>46712</v>
      </c>
      <c r="N37" s="100">
        <f>Input_Data!L56</f>
        <v>2.4049999999999998E-2</v>
      </c>
      <c r="P37" s="101">
        <f t="shared" si="2"/>
        <v>46565</v>
      </c>
      <c r="Q37" s="100">
        <f t="shared" si="3"/>
        <v>2.3706542056074767E-2</v>
      </c>
      <c r="R37" s="100">
        <f t="shared" si="4"/>
        <v>2.3847042090139103E-2</v>
      </c>
    </row>
    <row r="38" spans="2:19" s="87" customFormat="1" ht="12.75" x14ac:dyDescent="0.3">
      <c r="B38" s="85"/>
      <c r="C38" s="7"/>
      <c r="D38" s="89">
        <f>Input_Data!D57</f>
        <v>42914</v>
      </c>
      <c r="E38" s="74" t="s">
        <v>132</v>
      </c>
      <c r="F38" s="63" t="str">
        <f t="shared" si="0"/>
        <v>Percent</v>
      </c>
      <c r="G38" s="63" t="s">
        <v>70</v>
      </c>
      <c r="H38" s="63" t="str">
        <f t="shared" si="1"/>
        <v>N/A</v>
      </c>
      <c r="I38" s="86"/>
      <c r="J38" s="101">
        <f t="shared" si="10"/>
        <v>46498</v>
      </c>
      <c r="K38" s="100">
        <f>Input_Data!J57</f>
        <v>2.4550000000000002E-2</v>
      </c>
      <c r="M38" s="101">
        <f t="shared" si="11"/>
        <v>46712</v>
      </c>
      <c r="N38" s="100">
        <f>Input_Data!L57</f>
        <v>2.5099999999999997E-2</v>
      </c>
      <c r="P38" s="101">
        <f t="shared" si="2"/>
        <v>46566</v>
      </c>
      <c r="Q38" s="100">
        <f t="shared" si="3"/>
        <v>2.472476635514019E-2</v>
      </c>
      <c r="R38" s="100">
        <f t="shared" si="4"/>
        <v>2.4877594872969366E-2</v>
      </c>
    </row>
    <row r="39" spans="2:19" s="87" customFormat="1" ht="12.75" x14ac:dyDescent="0.3">
      <c r="B39" s="85"/>
      <c r="C39" s="7"/>
      <c r="D39" s="89">
        <f>Input_Data!D58</f>
        <v>42915</v>
      </c>
      <c r="E39" s="74" t="s">
        <v>132</v>
      </c>
      <c r="F39" s="63" t="str">
        <f t="shared" si="0"/>
        <v>Percent</v>
      </c>
      <c r="G39" s="63" t="s">
        <v>70</v>
      </c>
      <c r="H39" s="63" t="str">
        <f t="shared" si="1"/>
        <v>N/A</v>
      </c>
      <c r="I39" s="86"/>
      <c r="J39" s="101">
        <f t="shared" si="10"/>
        <v>46498</v>
      </c>
      <c r="K39" s="100">
        <f>Input_Data!J58</f>
        <v>2.5049999999999999E-2</v>
      </c>
      <c r="M39" s="101">
        <f t="shared" si="11"/>
        <v>46712</v>
      </c>
      <c r="N39" s="100">
        <f>Input_Data!L58</f>
        <v>2.5600000000000001E-2</v>
      </c>
      <c r="P39" s="101">
        <f t="shared" si="2"/>
        <v>46567</v>
      </c>
      <c r="Q39" s="100">
        <f t="shared" si="3"/>
        <v>2.522733644859813E-2</v>
      </c>
      <c r="R39" s="100">
        <f t="shared" si="4"/>
        <v>2.5386441074670696E-2</v>
      </c>
    </row>
    <row r="40" spans="2:19" s="87" customFormat="1" ht="12.75" x14ac:dyDescent="0.3">
      <c r="B40" s="85"/>
      <c r="C40" s="7"/>
      <c r="D40" s="89">
        <f>Input_Data!D59</f>
        <v>42916</v>
      </c>
      <c r="E40" s="74" t="s">
        <v>132</v>
      </c>
      <c r="F40" s="63" t="str">
        <f t="shared" si="0"/>
        <v>Percent</v>
      </c>
      <c r="G40" s="63" t="s">
        <v>70</v>
      </c>
      <c r="H40" s="63" t="str">
        <f t="shared" si="1"/>
        <v>N/A</v>
      </c>
      <c r="I40" s="86"/>
      <c r="J40" s="101">
        <f t="shared" si="10"/>
        <v>46498</v>
      </c>
      <c r="K40" s="100">
        <f>Input_Data!J59</f>
        <v>2.5950000000000001E-2</v>
      </c>
      <c r="M40" s="101">
        <f t="shared" si="11"/>
        <v>46712</v>
      </c>
      <c r="N40" s="100">
        <f>Input_Data!L59</f>
        <v>2.6549999999999997E-2</v>
      </c>
      <c r="P40" s="101">
        <f t="shared" si="2"/>
        <v>46568</v>
      </c>
      <c r="Q40" s="100">
        <f t="shared" si="3"/>
        <v>2.6146261682242995E-2</v>
      </c>
      <c r="R40" s="100">
        <f t="shared" si="4"/>
        <v>2.6317168432232307E-2</v>
      </c>
    </row>
    <row r="41" spans="2:19" ht="12.75" x14ac:dyDescent="0.3">
      <c r="D41" s="15"/>
      <c r="E41" s="74"/>
      <c r="F41" s="74"/>
      <c r="G41" s="74"/>
      <c r="H41" s="74"/>
      <c r="I41" s="74"/>
      <c r="L41" s="84"/>
      <c r="M41" s="84"/>
      <c r="N41" s="84"/>
      <c r="O41" s="84"/>
      <c r="P41" s="84"/>
      <c r="Q41" s="65"/>
      <c r="R41" s="65"/>
    </row>
    <row r="42" spans="2:19" ht="13.15" x14ac:dyDescent="0.3">
      <c r="D42" s="73" t="s">
        <v>232</v>
      </c>
      <c r="E42" s="66" t="s">
        <v>132</v>
      </c>
      <c r="F42" s="66" t="str">
        <f>Percent</f>
        <v>Percent</v>
      </c>
      <c r="G42" s="66" t="s">
        <v>70</v>
      </c>
      <c r="H42" s="66" t="str">
        <f t="shared" si="1"/>
        <v>N/A</v>
      </c>
      <c r="I42" s="6"/>
      <c r="J42" s="84"/>
      <c r="K42" s="84"/>
      <c r="L42" s="84"/>
      <c r="M42" s="84"/>
      <c r="N42" s="84"/>
      <c r="O42" s="84"/>
      <c r="P42" s="84"/>
      <c r="Q42" s="65"/>
      <c r="R42" s="103">
        <f>AVERAGE(R20:R40)</f>
        <v>2.4372235915404765E-2</v>
      </c>
      <c r="S42" s="102" t="s">
        <v>266</v>
      </c>
    </row>
    <row r="43" spans="2:19" ht="12.75" x14ac:dyDescent="0.3">
      <c r="D43" s="15"/>
      <c r="E43" s="74"/>
      <c r="F43" s="74"/>
      <c r="G43" s="74"/>
      <c r="H43" s="74"/>
      <c r="I43" s="74"/>
      <c r="J43" s="84"/>
      <c r="K43" s="84"/>
      <c r="L43" s="84"/>
      <c r="M43" s="84"/>
      <c r="N43" s="84"/>
      <c r="O43" s="84"/>
      <c r="P43" s="84"/>
      <c r="Q43" s="65"/>
      <c r="R43" s="65"/>
      <c r="S43" s="65"/>
    </row>
    <row r="44" spans="2:19" s="13" customFormat="1" ht="13.9" x14ac:dyDescent="0.3">
      <c r="C44" s="13" t="s">
        <v>225</v>
      </c>
    </row>
    <row r="45" spans="2:19" s="6" customFormat="1" ht="11.25" customHeight="1" x14ac:dyDescent="0.3"/>
    <row r="46" spans="2:19" s="6" customFormat="1" ht="11.25" customHeight="1" x14ac:dyDescent="0.3">
      <c r="J46" s="116" t="s">
        <v>246</v>
      </c>
      <c r="K46" s="116"/>
      <c r="L46" s="116"/>
      <c r="M46" s="116"/>
      <c r="N46" s="116"/>
      <c r="P46" s="116" t="s">
        <v>245</v>
      </c>
      <c r="Q46" s="116"/>
      <c r="R46" s="116"/>
    </row>
    <row r="47" spans="2:19" ht="39.4" x14ac:dyDescent="0.3">
      <c r="D47" s="72" t="s">
        <v>175</v>
      </c>
      <c r="E47" s="64" t="str">
        <f>Lookup!E$20</f>
        <v>Source</v>
      </c>
      <c r="F47" s="64" t="str">
        <f>Lookup!F$20</f>
        <v>Unit</v>
      </c>
      <c r="G47" s="64" t="str">
        <f>Lookup!G$20</f>
        <v>Basis</v>
      </c>
      <c r="H47" s="64" t="str">
        <f>Lookup!H$20</f>
        <v>Timing</v>
      </c>
      <c r="J47" s="71" t="s">
        <v>253</v>
      </c>
      <c r="K47" s="71" t="s">
        <v>249</v>
      </c>
      <c r="L47" s="71" t="s">
        <v>250</v>
      </c>
      <c r="M47" s="71" t="s">
        <v>251</v>
      </c>
      <c r="N47" s="71" t="s">
        <v>252</v>
      </c>
      <c r="P47" s="71" t="s">
        <v>244</v>
      </c>
      <c r="Q47" s="71" t="s">
        <v>229</v>
      </c>
      <c r="R47" s="64" t="s">
        <v>230</v>
      </c>
    </row>
    <row r="48" spans="2:19" x14ac:dyDescent="0.3">
      <c r="R48" s="97"/>
    </row>
    <row r="49" spans="4:18" ht="12.75" x14ac:dyDescent="0.3">
      <c r="D49" s="89">
        <f t="shared" ref="D49:D70" si="12">D19</f>
        <v>42886</v>
      </c>
      <c r="E49" s="74" t="s">
        <v>132</v>
      </c>
      <c r="F49" s="63" t="str">
        <f t="shared" ref="F49:F70" si="13">Percent</f>
        <v>Percent</v>
      </c>
      <c r="G49" s="63" t="s">
        <v>70</v>
      </c>
      <c r="H49" s="63" t="str">
        <f t="shared" ref="H49:H70" si="14">NA</f>
        <v>N/A</v>
      </c>
      <c r="J49" s="100">
        <f>Input_Data!M94</f>
        <v>4.3400000000000001E-2</v>
      </c>
      <c r="K49" s="105">
        <f>10-Input_Data!O94</f>
        <v>1.2100000000000009</v>
      </c>
      <c r="L49" s="100">
        <f>(Input_Data!N94-Input_Data!K94)/(Input_Data!O94-Input_Data!L94)</f>
        <v>1.1994949494949492E-3</v>
      </c>
      <c r="M49" s="100">
        <f>J49+K49*L49</f>
        <v>4.4851388888888892E-2</v>
      </c>
      <c r="N49" s="100">
        <f>M49-Q19</f>
        <v>2.0879893561786093E-2</v>
      </c>
      <c r="P49" s="100">
        <f t="shared" ref="P49:P70" si="15">$N$49 + ($D49-$D$49)/($D$70-$D$49)*($N$70 - $N$49)</f>
        <v>2.0879893561786093E-2</v>
      </c>
      <c r="Q49" s="100">
        <f t="shared" ref="Q49:Q70" si="16">P49+Q19</f>
        <v>4.4851388888888892E-2</v>
      </c>
      <c r="R49" s="100">
        <f t="shared" ref="R49:R70" si="17">(1+Q49/2)^2-1</f>
        <v>4.5354300660204627E-2</v>
      </c>
    </row>
    <row r="50" spans="4:18" ht="12.75" x14ac:dyDescent="0.3">
      <c r="D50" s="89">
        <f t="shared" si="12"/>
        <v>42887</v>
      </c>
      <c r="E50" s="74" t="s">
        <v>132</v>
      </c>
      <c r="F50" s="63" t="str">
        <f t="shared" si="13"/>
        <v>Percent</v>
      </c>
      <c r="G50" s="63" t="s">
        <v>70</v>
      </c>
      <c r="H50" s="63" t="str">
        <f t="shared" si="14"/>
        <v>N/A</v>
      </c>
      <c r="J50" s="51"/>
      <c r="K50" s="51"/>
      <c r="L50" s="51"/>
      <c r="M50" s="51"/>
      <c r="N50" s="51"/>
      <c r="P50" s="100">
        <f t="shared" si="15"/>
        <v>2.0853262652960943E-2</v>
      </c>
      <c r="Q50" s="100">
        <f t="shared" si="16"/>
        <v>4.4927795363241319E-2</v>
      </c>
      <c r="R50" s="100">
        <f t="shared" ref="R50:R52" si="18">(1+Q50/2)^2-1</f>
        <v>4.54324220622917E-2</v>
      </c>
    </row>
    <row r="51" spans="4:18" ht="12.75" x14ac:dyDescent="0.3">
      <c r="D51" s="89">
        <f t="shared" si="12"/>
        <v>42888</v>
      </c>
      <c r="E51" s="74" t="s">
        <v>132</v>
      </c>
      <c r="F51" s="63" t="str">
        <f t="shared" si="13"/>
        <v>Percent</v>
      </c>
      <c r="G51" s="63" t="s">
        <v>70</v>
      </c>
      <c r="H51" s="63" t="str">
        <f t="shared" si="14"/>
        <v>N/A</v>
      </c>
      <c r="J51" s="51"/>
      <c r="K51" s="51"/>
      <c r="L51" s="51"/>
      <c r="M51" s="51"/>
      <c r="N51" s="51"/>
      <c r="P51" s="100">
        <f t="shared" si="15"/>
        <v>2.0826631744135796E-2</v>
      </c>
      <c r="Q51" s="100">
        <f t="shared" si="16"/>
        <v>4.5054201837593739E-2</v>
      </c>
      <c r="R51" s="100">
        <f t="shared" si="18"/>
        <v>4.5561672113399343E-2</v>
      </c>
    </row>
    <row r="52" spans="4:18" ht="12.75" x14ac:dyDescent="0.3">
      <c r="D52" s="89">
        <f t="shared" si="12"/>
        <v>42891</v>
      </c>
      <c r="E52" s="74" t="s">
        <v>132</v>
      </c>
      <c r="F52" s="63" t="str">
        <f t="shared" si="13"/>
        <v>Percent</v>
      </c>
      <c r="G52" s="63" t="s">
        <v>70</v>
      </c>
      <c r="H52" s="63" t="str">
        <f t="shared" si="14"/>
        <v>N/A</v>
      </c>
      <c r="J52" s="51"/>
      <c r="K52" s="51"/>
      <c r="L52" s="51"/>
      <c r="M52" s="51"/>
      <c r="N52" s="51"/>
      <c r="P52" s="100">
        <f t="shared" si="15"/>
        <v>2.0746739017660346E-2</v>
      </c>
      <c r="Q52" s="100">
        <f t="shared" si="16"/>
        <v>4.4783421260651005E-2</v>
      </c>
      <c r="R52" s="100">
        <f t="shared" si="18"/>
        <v>4.5284809965603356E-2</v>
      </c>
    </row>
    <row r="53" spans="4:18" ht="12.75" x14ac:dyDescent="0.3">
      <c r="D53" s="89">
        <f t="shared" si="12"/>
        <v>42892</v>
      </c>
      <c r="E53" s="74" t="s">
        <v>132</v>
      </c>
      <c r="F53" s="63" t="str">
        <f t="shared" si="13"/>
        <v>Percent</v>
      </c>
      <c r="G53" s="63" t="s">
        <v>70</v>
      </c>
      <c r="H53" s="63" t="str">
        <f t="shared" si="14"/>
        <v>N/A</v>
      </c>
      <c r="J53" s="51"/>
      <c r="K53" s="51"/>
      <c r="L53" s="51"/>
      <c r="M53" s="51"/>
      <c r="N53" s="51"/>
      <c r="P53" s="100">
        <f t="shared" si="15"/>
        <v>2.0720108108835199E-2</v>
      </c>
      <c r="Q53" s="100">
        <f t="shared" si="16"/>
        <v>4.4559827735003422E-2</v>
      </c>
      <c r="R53" s="100">
        <f t="shared" si="17"/>
        <v>4.5056222296946613E-2</v>
      </c>
    </row>
    <row r="54" spans="4:18" ht="12.75" x14ac:dyDescent="0.3">
      <c r="D54" s="89">
        <f t="shared" si="12"/>
        <v>42893</v>
      </c>
      <c r="E54" s="74" t="s">
        <v>132</v>
      </c>
      <c r="F54" s="63" t="str">
        <f t="shared" si="13"/>
        <v>Percent</v>
      </c>
      <c r="G54" s="63" t="s">
        <v>70</v>
      </c>
      <c r="H54" s="63" t="str">
        <f t="shared" si="14"/>
        <v>N/A</v>
      </c>
      <c r="J54" s="51"/>
      <c r="K54" s="51"/>
      <c r="L54" s="51"/>
      <c r="M54" s="51"/>
      <c r="N54" s="51"/>
      <c r="P54" s="100">
        <f t="shared" si="15"/>
        <v>2.0693477200010049E-2</v>
      </c>
      <c r="Q54" s="100">
        <f t="shared" si="16"/>
        <v>4.4675252900944623E-2</v>
      </c>
      <c r="R54" s="100">
        <f t="shared" si="17"/>
        <v>4.517422245638536E-2</v>
      </c>
    </row>
    <row r="55" spans="4:18" ht="12.75" x14ac:dyDescent="0.3">
      <c r="D55" s="89">
        <f t="shared" si="12"/>
        <v>42894</v>
      </c>
      <c r="E55" s="74" t="s">
        <v>132</v>
      </c>
      <c r="F55" s="63" t="str">
        <f t="shared" si="13"/>
        <v>Percent</v>
      </c>
      <c r="G55" s="63" t="s">
        <v>70</v>
      </c>
      <c r="H55" s="63" t="str">
        <f t="shared" si="14"/>
        <v>N/A</v>
      </c>
      <c r="J55" s="51"/>
      <c r="K55" s="51"/>
      <c r="L55" s="51"/>
      <c r="M55" s="51"/>
      <c r="N55" s="51"/>
      <c r="P55" s="100">
        <f t="shared" si="15"/>
        <v>2.0666846291184898E-2</v>
      </c>
      <c r="Q55" s="100">
        <f t="shared" si="16"/>
        <v>4.4851425730437232E-2</v>
      </c>
      <c r="R55" s="100">
        <f t="shared" si="17"/>
        <v>4.5354338327950439E-2</v>
      </c>
    </row>
    <row r="56" spans="4:18" ht="12.75" x14ac:dyDescent="0.3">
      <c r="D56" s="89">
        <f t="shared" si="12"/>
        <v>42895</v>
      </c>
      <c r="E56" s="74" t="s">
        <v>132</v>
      </c>
      <c r="F56" s="63" t="str">
        <f t="shared" si="13"/>
        <v>Percent</v>
      </c>
      <c r="G56" s="63" t="s">
        <v>70</v>
      </c>
      <c r="H56" s="63" t="str">
        <f t="shared" si="14"/>
        <v>N/A</v>
      </c>
      <c r="J56" s="51"/>
      <c r="K56" s="51"/>
      <c r="L56" s="51"/>
      <c r="M56" s="51"/>
      <c r="N56" s="51"/>
      <c r="P56" s="100">
        <f t="shared" si="15"/>
        <v>2.0640215382359748E-2</v>
      </c>
      <c r="Q56" s="100">
        <f t="shared" si="16"/>
        <v>4.477759855992984E-2</v>
      </c>
      <c r="R56" s="100">
        <f t="shared" si="17"/>
        <v>4.5278856893128383E-2</v>
      </c>
    </row>
    <row r="57" spans="4:18" ht="12.75" x14ac:dyDescent="0.3">
      <c r="D57" s="89">
        <f t="shared" si="12"/>
        <v>42899</v>
      </c>
      <c r="E57" s="74" t="s">
        <v>132</v>
      </c>
      <c r="F57" s="63" t="str">
        <f t="shared" si="13"/>
        <v>Percent</v>
      </c>
      <c r="G57" s="63" t="s">
        <v>70</v>
      </c>
      <c r="H57" s="63" t="str">
        <f t="shared" si="14"/>
        <v>N/A</v>
      </c>
      <c r="J57" s="51"/>
      <c r="K57" s="51"/>
      <c r="L57" s="51"/>
      <c r="M57" s="51"/>
      <c r="N57" s="51"/>
      <c r="P57" s="100">
        <f t="shared" si="15"/>
        <v>2.053369174705915E-2</v>
      </c>
      <c r="Q57" s="100">
        <f t="shared" si="16"/>
        <v>4.4669906700330178E-2</v>
      </c>
      <c r="R57" s="100">
        <f t="shared" si="17"/>
        <v>4.5168756841484248E-2</v>
      </c>
    </row>
    <row r="58" spans="4:18" ht="12.75" x14ac:dyDescent="0.3">
      <c r="D58" s="89">
        <f t="shared" si="12"/>
        <v>42900</v>
      </c>
      <c r="E58" s="74" t="s">
        <v>132</v>
      </c>
      <c r="F58" s="63" t="str">
        <f t="shared" si="13"/>
        <v>Percent</v>
      </c>
      <c r="G58" s="63" t="s">
        <v>70</v>
      </c>
      <c r="H58" s="63" t="str">
        <f t="shared" si="14"/>
        <v>N/A</v>
      </c>
      <c r="J58" s="51"/>
      <c r="K58" s="51"/>
      <c r="L58" s="51"/>
      <c r="M58" s="51"/>
      <c r="N58" s="51"/>
      <c r="P58" s="100">
        <f t="shared" si="15"/>
        <v>2.0507060838234004E-2</v>
      </c>
      <c r="Q58" s="100">
        <f t="shared" si="16"/>
        <v>4.4658462707392883E-2</v>
      </c>
      <c r="R58" s="100">
        <f t="shared" si="17"/>
        <v>4.5157057280239776E-2</v>
      </c>
    </row>
    <row r="59" spans="4:18" ht="12.75" x14ac:dyDescent="0.3">
      <c r="D59" s="89">
        <f t="shared" si="12"/>
        <v>42901</v>
      </c>
      <c r="E59" s="74" t="s">
        <v>132</v>
      </c>
      <c r="F59" s="63" t="str">
        <f t="shared" si="13"/>
        <v>Percent</v>
      </c>
      <c r="G59" s="63" t="s">
        <v>70</v>
      </c>
      <c r="H59" s="63" t="str">
        <f t="shared" si="14"/>
        <v>N/A</v>
      </c>
      <c r="J59" s="51"/>
      <c r="K59" s="51"/>
      <c r="L59" s="51"/>
      <c r="M59" s="51"/>
      <c r="N59" s="51"/>
      <c r="P59" s="100">
        <f t="shared" si="15"/>
        <v>2.0480429929408853E-2</v>
      </c>
      <c r="Q59" s="100">
        <f t="shared" si="16"/>
        <v>4.4221785069595773E-2</v>
      </c>
      <c r="R59" s="100">
        <f t="shared" si="17"/>
        <v>4.471067663828121E-2</v>
      </c>
    </row>
    <row r="60" spans="4:18" ht="12.75" x14ac:dyDescent="0.3">
      <c r="D60" s="89">
        <f t="shared" si="12"/>
        <v>42902</v>
      </c>
      <c r="E60" s="74" t="s">
        <v>132</v>
      </c>
      <c r="F60" s="63" t="str">
        <f t="shared" si="13"/>
        <v>Percent</v>
      </c>
      <c r="G60" s="63" t="s">
        <v>70</v>
      </c>
      <c r="H60" s="63" t="str">
        <f t="shared" si="14"/>
        <v>N/A</v>
      </c>
      <c r="J60" s="51"/>
      <c r="K60" s="51"/>
      <c r="L60" s="51"/>
      <c r="M60" s="51"/>
      <c r="N60" s="51"/>
      <c r="P60" s="100">
        <f t="shared" si="15"/>
        <v>2.0453799020583703E-2</v>
      </c>
      <c r="Q60" s="100">
        <f t="shared" si="16"/>
        <v>4.4647724254228555E-2</v>
      </c>
      <c r="R60" s="100">
        <f t="shared" si="17"/>
        <v>4.5146079074498857E-2</v>
      </c>
    </row>
    <row r="61" spans="4:18" ht="12.75" x14ac:dyDescent="0.3">
      <c r="D61" s="89">
        <f t="shared" si="12"/>
        <v>42905</v>
      </c>
      <c r="E61" s="74" t="s">
        <v>132</v>
      </c>
      <c r="F61" s="63" t="str">
        <f t="shared" si="13"/>
        <v>Percent</v>
      </c>
      <c r="G61" s="63" t="s">
        <v>70</v>
      </c>
      <c r="H61" s="63" t="str">
        <f t="shared" si="14"/>
        <v>N/A</v>
      </c>
      <c r="J61" s="51"/>
      <c r="K61" s="51"/>
      <c r="L61" s="51"/>
      <c r="M61" s="51"/>
      <c r="N61" s="51"/>
      <c r="P61" s="100">
        <f t="shared" si="15"/>
        <v>2.0373906294108256E-2</v>
      </c>
      <c r="Q61" s="100">
        <f t="shared" si="16"/>
        <v>4.4575541808126951E-2</v>
      </c>
      <c r="R61" s="100">
        <f t="shared" si="17"/>
        <v>4.507228653999884E-2</v>
      </c>
    </row>
    <row r="62" spans="4:18" ht="12.75" x14ac:dyDescent="0.3">
      <c r="D62" s="89">
        <f t="shared" si="12"/>
        <v>42906</v>
      </c>
      <c r="E62" s="74" t="s">
        <v>132</v>
      </c>
      <c r="F62" s="63" t="str">
        <f t="shared" si="13"/>
        <v>Percent</v>
      </c>
      <c r="G62" s="63" t="s">
        <v>70</v>
      </c>
      <c r="H62" s="63" t="str">
        <f t="shared" si="14"/>
        <v>N/A</v>
      </c>
      <c r="J62" s="51"/>
      <c r="K62" s="51"/>
      <c r="L62" s="51"/>
      <c r="M62" s="51"/>
      <c r="N62" s="51"/>
      <c r="P62" s="100">
        <f t="shared" si="15"/>
        <v>2.0347275385283106E-2</v>
      </c>
      <c r="Q62" s="100">
        <f t="shared" si="16"/>
        <v>4.4651480992759743E-2</v>
      </c>
      <c r="R62" s="100">
        <f t="shared" si="17"/>
        <v>4.5149919681471529E-2</v>
      </c>
    </row>
    <row r="63" spans="4:18" ht="12.75" x14ac:dyDescent="0.3">
      <c r="D63" s="89">
        <f t="shared" si="12"/>
        <v>42907</v>
      </c>
      <c r="E63" s="74" t="s">
        <v>132</v>
      </c>
      <c r="F63" s="63" t="str">
        <f t="shared" si="13"/>
        <v>Percent</v>
      </c>
      <c r="G63" s="63" t="s">
        <v>70</v>
      </c>
      <c r="H63" s="63" t="str">
        <f t="shared" si="14"/>
        <v>N/A</v>
      </c>
      <c r="J63" s="51"/>
      <c r="K63" s="51"/>
      <c r="L63" s="51"/>
      <c r="M63" s="51"/>
      <c r="N63" s="51"/>
      <c r="P63" s="100">
        <f t="shared" si="15"/>
        <v>2.0320644476457959E-2</v>
      </c>
      <c r="Q63" s="100">
        <f t="shared" si="16"/>
        <v>4.4377420177392539E-2</v>
      </c>
      <c r="R63" s="100">
        <f t="shared" si="17"/>
        <v>4.4869759032792444E-2</v>
      </c>
    </row>
    <row r="64" spans="4:18" ht="12.75" x14ac:dyDescent="0.3">
      <c r="D64" s="89">
        <f t="shared" si="12"/>
        <v>42908</v>
      </c>
      <c r="E64" s="74" t="s">
        <v>132</v>
      </c>
      <c r="F64" s="63" t="str">
        <f t="shared" si="13"/>
        <v>Percent</v>
      </c>
      <c r="G64" s="63" t="s">
        <v>70</v>
      </c>
      <c r="H64" s="63" t="str">
        <f t="shared" si="14"/>
        <v>N/A</v>
      </c>
      <c r="J64" s="51"/>
      <c r="K64" s="51"/>
      <c r="L64" s="51"/>
      <c r="M64" s="51"/>
      <c r="N64" s="51"/>
      <c r="P64" s="100">
        <f t="shared" si="15"/>
        <v>2.0294013567632808E-2</v>
      </c>
      <c r="Q64" s="100">
        <f t="shared" si="16"/>
        <v>4.418887338071692E-2</v>
      </c>
      <c r="R64" s="100">
        <f t="shared" si="17"/>
        <v>4.4677037513380924E-2</v>
      </c>
    </row>
    <row r="65" spans="2:19" ht="12.75" x14ac:dyDescent="0.3">
      <c r="D65" s="89">
        <f t="shared" si="12"/>
        <v>42909</v>
      </c>
      <c r="E65" s="74" t="s">
        <v>132</v>
      </c>
      <c r="F65" s="63" t="str">
        <f t="shared" si="13"/>
        <v>Percent</v>
      </c>
      <c r="G65" s="63" t="s">
        <v>70</v>
      </c>
      <c r="H65" s="63" t="str">
        <f t="shared" si="14"/>
        <v>N/A</v>
      </c>
      <c r="J65" s="51"/>
      <c r="K65" s="51"/>
      <c r="L65" s="51"/>
      <c r="M65" s="51"/>
      <c r="N65" s="51"/>
      <c r="P65" s="100">
        <f t="shared" si="15"/>
        <v>2.0267382658807658E-2</v>
      </c>
      <c r="Q65" s="100">
        <f t="shared" si="16"/>
        <v>4.4114578920489908E-2</v>
      </c>
      <c r="R65" s="100">
        <f t="shared" si="17"/>
        <v>4.460110293882269E-2</v>
      </c>
    </row>
    <row r="66" spans="2:19" ht="12.75" x14ac:dyDescent="0.3">
      <c r="D66" s="89">
        <f t="shared" si="12"/>
        <v>42912</v>
      </c>
      <c r="E66" s="74" t="s">
        <v>132</v>
      </c>
      <c r="F66" s="63" t="str">
        <f t="shared" si="13"/>
        <v>Percent</v>
      </c>
      <c r="G66" s="63" t="s">
        <v>70</v>
      </c>
      <c r="H66" s="63" t="str">
        <f t="shared" si="14"/>
        <v>N/A</v>
      </c>
      <c r="J66" s="51"/>
      <c r="K66" s="51"/>
      <c r="L66" s="51"/>
      <c r="M66" s="51"/>
      <c r="N66" s="51"/>
      <c r="P66" s="100">
        <f t="shared" si="15"/>
        <v>2.0187489932332211E-2</v>
      </c>
      <c r="Q66" s="100">
        <f t="shared" si="16"/>
        <v>4.4107116100556509E-2</v>
      </c>
      <c r="R66" s="100">
        <f t="shared" si="17"/>
        <v>4.4593475523233561E-2</v>
      </c>
    </row>
    <row r="67" spans="2:19" ht="12.75" x14ac:dyDescent="0.3">
      <c r="D67" s="89">
        <f t="shared" si="12"/>
        <v>42913</v>
      </c>
      <c r="E67" s="74" t="s">
        <v>132</v>
      </c>
      <c r="F67" s="63" t="str">
        <f t="shared" si="13"/>
        <v>Percent</v>
      </c>
      <c r="G67" s="63" t="s">
        <v>70</v>
      </c>
      <c r="H67" s="63" t="str">
        <f t="shared" si="14"/>
        <v>N/A</v>
      </c>
      <c r="J67" s="51"/>
      <c r="K67" s="51"/>
      <c r="L67" s="51"/>
      <c r="M67" s="51"/>
      <c r="N67" s="51"/>
      <c r="P67" s="100">
        <f t="shared" si="15"/>
        <v>2.0160859023507061E-2</v>
      </c>
      <c r="Q67" s="100">
        <f t="shared" si="16"/>
        <v>4.3867401079581828E-2</v>
      </c>
      <c r="R67" s="100">
        <f t="shared" si="17"/>
        <v>4.4348488298950883E-2</v>
      </c>
    </row>
    <row r="68" spans="2:19" ht="12.75" x14ac:dyDescent="0.3">
      <c r="D68" s="89">
        <f t="shared" si="12"/>
        <v>42914</v>
      </c>
      <c r="E68" s="74" t="s">
        <v>132</v>
      </c>
      <c r="F68" s="63" t="str">
        <f t="shared" si="13"/>
        <v>Percent</v>
      </c>
      <c r="G68" s="63" t="s">
        <v>70</v>
      </c>
      <c r="H68" s="63" t="str">
        <f t="shared" si="14"/>
        <v>N/A</v>
      </c>
      <c r="J68" s="51"/>
      <c r="K68" s="51"/>
      <c r="L68" s="51"/>
      <c r="M68" s="51"/>
      <c r="N68" s="51"/>
      <c r="P68" s="100">
        <f t="shared" si="15"/>
        <v>2.013422811468191E-2</v>
      </c>
      <c r="Q68" s="100">
        <f t="shared" si="16"/>
        <v>4.4858994469822097E-2</v>
      </c>
      <c r="R68" s="100">
        <f t="shared" si="17"/>
        <v>4.5362076816032992E-2</v>
      </c>
    </row>
    <row r="69" spans="2:19" ht="12.75" x14ac:dyDescent="0.3">
      <c r="D69" s="89">
        <f t="shared" si="12"/>
        <v>42915</v>
      </c>
      <c r="E69" s="74" t="s">
        <v>132</v>
      </c>
      <c r="F69" s="63" t="str">
        <f t="shared" si="13"/>
        <v>Percent</v>
      </c>
      <c r="G69" s="63" t="s">
        <v>70</v>
      </c>
      <c r="H69" s="63" t="str">
        <f t="shared" si="14"/>
        <v>N/A</v>
      </c>
      <c r="J69" s="51"/>
      <c r="K69" s="51"/>
      <c r="L69" s="51"/>
      <c r="M69" s="51"/>
      <c r="N69" s="51"/>
      <c r="P69" s="100">
        <f t="shared" si="15"/>
        <v>2.0107597205856764E-2</v>
      </c>
      <c r="Q69" s="100">
        <f t="shared" si="16"/>
        <v>4.5334933654454894E-2</v>
      </c>
      <c r="R69" s="100">
        <f t="shared" si="17"/>
        <v>4.5848747706818571E-2</v>
      </c>
    </row>
    <row r="70" spans="2:19" ht="12.75" x14ac:dyDescent="0.3">
      <c r="D70" s="89">
        <f t="shared" si="12"/>
        <v>42916</v>
      </c>
      <c r="E70" s="74" t="s">
        <v>132</v>
      </c>
      <c r="F70" s="63" t="str">
        <f t="shared" si="13"/>
        <v>Percent</v>
      </c>
      <c r="G70" s="63" t="s">
        <v>70</v>
      </c>
      <c r="H70" s="63" t="str">
        <f t="shared" si="14"/>
        <v>N/A</v>
      </c>
      <c r="J70" s="100">
        <f>Input_Data!M95</f>
        <v>4.4999999999999998E-2</v>
      </c>
      <c r="K70" s="105">
        <f>10-Input_Data!O95</f>
        <v>1.2699999999999996</v>
      </c>
      <c r="L70" s="100">
        <f>(Input_Data!N95-Input_Data!K95)/(Input_Data!O95-Input_Data!L95)</f>
        <v>9.6632124352331687E-4</v>
      </c>
      <c r="M70" s="100">
        <f>J70+K70*L70</f>
        <v>4.6227227979274609E-2</v>
      </c>
      <c r="N70" s="100">
        <f>M70-Q40</f>
        <v>2.0080966297031613E-2</v>
      </c>
      <c r="P70" s="100">
        <f t="shared" si="15"/>
        <v>2.0080966297031613E-2</v>
      </c>
      <c r="Q70" s="100">
        <f t="shared" si="16"/>
        <v>4.6227227979274609E-2</v>
      </c>
      <c r="R70" s="100">
        <f t="shared" si="17"/>
        <v>4.6761467130936651E-2</v>
      </c>
    </row>
    <row r="71" spans="2:19" x14ac:dyDescent="0.3">
      <c r="R71" s="97"/>
    </row>
    <row r="72" spans="2:19" ht="13.15" x14ac:dyDescent="0.3">
      <c r="D72" s="73" t="s">
        <v>234</v>
      </c>
      <c r="E72" s="66" t="s">
        <v>132</v>
      </c>
      <c r="F72" s="66" t="s">
        <v>231</v>
      </c>
      <c r="G72" s="66" t="s">
        <v>70</v>
      </c>
      <c r="H72" s="66" t="str">
        <f t="shared" ref="H72" si="19">NA</f>
        <v>N/A</v>
      </c>
      <c r="R72" s="103">
        <f>AVERAGE(R50:R70)</f>
        <v>4.5171879768221353E-2</v>
      </c>
      <c r="S72" s="102" t="s">
        <v>266</v>
      </c>
    </row>
    <row r="74" spans="2:19" x14ac:dyDescent="0.3">
      <c r="I74" s="6"/>
    </row>
    <row r="75" spans="2:19" s="13" customFormat="1" ht="13.9" x14ac:dyDescent="0.3">
      <c r="C75" s="13" t="s">
        <v>226</v>
      </c>
    </row>
    <row r="76" spans="2:19" s="6" customFormat="1" ht="11.25" customHeight="1" x14ac:dyDescent="0.3"/>
    <row r="77" spans="2:19" s="87" customFormat="1" ht="13.15" x14ac:dyDescent="0.3">
      <c r="C77" s="7"/>
      <c r="D77" s="72" t="s">
        <v>175</v>
      </c>
      <c r="E77" s="64" t="str">
        <f>Lookup!E$20</f>
        <v>Source</v>
      </c>
      <c r="F77" s="64" t="str">
        <f>Lookup!F$20</f>
        <v>Unit</v>
      </c>
      <c r="G77" s="64" t="str">
        <f>Lookup!G$20</f>
        <v>Basis</v>
      </c>
      <c r="H77" s="64" t="str">
        <f>Lookup!H$20</f>
        <v>Timing</v>
      </c>
      <c r="I77" s="6"/>
      <c r="J77" s="64" t="s">
        <v>229</v>
      </c>
      <c r="K77" s="64" t="s">
        <v>230</v>
      </c>
      <c r="N77" s="6"/>
      <c r="O77" s="6"/>
      <c r="P77" s="6"/>
      <c r="Q77" s="6"/>
      <c r="R77" s="6"/>
    </row>
    <row r="78" spans="2:19" s="87" customFormat="1" x14ac:dyDescent="0.3">
      <c r="C78" s="7"/>
      <c r="D78" s="86"/>
      <c r="E78" s="86"/>
      <c r="F78" s="86"/>
      <c r="G78" s="86"/>
      <c r="H78" s="86"/>
      <c r="I78" s="6"/>
      <c r="J78" s="98"/>
      <c r="K78" s="97"/>
      <c r="N78" s="6"/>
      <c r="O78" s="6"/>
      <c r="P78" s="6"/>
      <c r="Q78" s="6"/>
      <c r="R78" s="6"/>
    </row>
    <row r="79" spans="2:19" s="87" customFormat="1" ht="12.75" x14ac:dyDescent="0.3">
      <c r="B79" s="85"/>
      <c r="C79" s="7"/>
      <c r="D79" s="89">
        <f>Input_Data!D66</f>
        <v>42887</v>
      </c>
      <c r="E79" s="74" t="s">
        <v>132</v>
      </c>
      <c r="F79" s="63" t="str">
        <f t="shared" ref="F79:F99" si="20">Percent</f>
        <v>Percent</v>
      </c>
      <c r="G79" s="63" t="s">
        <v>70</v>
      </c>
      <c r="H79" s="63" t="str">
        <f t="shared" ref="H79:H101" si="21">NA</f>
        <v>N/A</v>
      </c>
      <c r="I79" s="86"/>
      <c r="J79" s="100">
        <f>Input_Data!J66</f>
        <v>4.7779999999999996E-2</v>
      </c>
      <c r="K79" s="100">
        <f>(1+J79/2)^2-1</f>
        <v>4.8350732099999849E-2</v>
      </c>
      <c r="N79" s="6"/>
      <c r="O79" s="6"/>
      <c r="P79" s="6"/>
      <c r="Q79" s="6"/>
      <c r="R79" s="6"/>
    </row>
    <row r="80" spans="2:19" s="87" customFormat="1" ht="12.75" x14ac:dyDescent="0.3">
      <c r="B80" s="85"/>
      <c r="C80" s="7"/>
      <c r="D80" s="89">
        <f>Input_Data!D67</f>
        <v>42888</v>
      </c>
      <c r="E80" s="74" t="s">
        <v>132</v>
      </c>
      <c r="F80" s="63" t="str">
        <f t="shared" si="20"/>
        <v>Percent</v>
      </c>
      <c r="G80" s="63" t="s">
        <v>70</v>
      </c>
      <c r="H80" s="63" t="str">
        <f t="shared" si="21"/>
        <v>N/A</v>
      </c>
      <c r="I80" s="86"/>
      <c r="J80" s="100">
        <f>Input_Data!J67</f>
        <v>4.7889999999999995E-2</v>
      </c>
      <c r="K80" s="100">
        <f t="shared" ref="K80:K99" si="22">(1+J80/2)^2-1</f>
        <v>4.8463363025000206E-2</v>
      </c>
      <c r="N80" s="6"/>
      <c r="O80" s="6"/>
      <c r="P80" s="6"/>
      <c r="Q80" s="6"/>
      <c r="R80" s="6"/>
    </row>
    <row r="81" spans="2:18" s="87" customFormat="1" ht="12.75" x14ac:dyDescent="0.3">
      <c r="B81" s="85"/>
      <c r="C81" s="7"/>
      <c r="D81" s="89">
        <f>Input_Data!D68</f>
        <v>42891</v>
      </c>
      <c r="E81" s="74" t="s">
        <v>132</v>
      </c>
      <c r="F81" s="63" t="str">
        <f t="shared" si="20"/>
        <v>Percent</v>
      </c>
      <c r="G81" s="63" t="s">
        <v>70</v>
      </c>
      <c r="H81" s="63" t="str">
        <f t="shared" si="21"/>
        <v>N/A</v>
      </c>
      <c r="I81" s="86"/>
      <c r="J81" s="100">
        <f>Input_Data!J68</f>
        <v>4.7640000000000002E-2</v>
      </c>
      <c r="K81" s="100">
        <f t="shared" si="22"/>
        <v>4.8207392399999938E-2</v>
      </c>
      <c r="N81" s="6"/>
      <c r="O81" s="6"/>
      <c r="P81" s="6"/>
      <c r="Q81" s="6"/>
      <c r="R81" s="6"/>
    </row>
    <row r="82" spans="2:18" s="87" customFormat="1" ht="12.75" x14ac:dyDescent="0.3">
      <c r="B82" s="85"/>
      <c r="C82" s="7"/>
      <c r="D82" s="89">
        <f>Input_Data!D69</f>
        <v>42892</v>
      </c>
      <c r="E82" s="74" t="s">
        <v>132</v>
      </c>
      <c r="F82" s="63" t="str">
        <f t="shared" si="20"/>
        <v>Percent</v>
      </c>
      <c r="G82" s="63" t="s">
        <v>70</v>
      </c>
      <c r="H82" s="63" t="str">
        <f t="shared" si="21"/>
        <v>N/A</v>
      </c>
      <c r="I82" s="86"/>
      <c r="J82" s="100">
        <f>Input_Data!J69</f>
        <v>4.7320000000000001E-2</v>
      </c>
      <c r="K82" s="100">
        <f t="shared" si="22"/>
        <v>4.7879795600000108E-2</v>
      </c>
      <c r="N82" s="6"/>
      <c r="O82" s="6"/>
      <c r="P82" s="6"/>
      <c r="Q82" s="6"/>
      <c r="R82" s="6"/>
    </row>
    <row r="83" spans="2:18" s="87" customFormat="1" ht="12.75" x14ac:dyDescent="0.3">
      <c r="B83" s="85"/>
      <c r="C83" s="7"/>
      <c r="D83" s="89">
        <f>Input_Data!D70</f>
        <v>42893</v>
      </c>
      <c r="E83" s="74" t="s">
        <v>132</v>
      </c>
      <c r="F83" s="63" t="str">
        <f t="shared" si="20"/>
        <v>Percent</v>
      </c>
      <c r="G83" s="63" t="s">
        <v>70</v>
      </c>
      <c r="H83" s="63" t="str">
        <f t="shared" si="21"/>
        <v>N/A</v>
      </c>
      <c r="I83" s="86"/>
      <c r="J83" s="100">
        <f>Input_Data!J70</f>
        <v>4.7160000000000001E-2</v>
      </c>
      <c r="K83" s="100">
        <f t="shared" si="22"/>
        <v>4.7716016399999894E-2</v>
      </c>
      <c r="N83" s="6"/>
      <c r="O83" s="6"/>
      <c r="P83" s="6"/>
      <c r="Q83" s="6"/>
      <c r="R83" s="6"/>
    </row>
    <row r="84" spans="2:18" s="87" customFormat="1" ht="12.75" x14ac:dyDescent="0.3">
      <c r="B84" s="85"/>
      <c r="C84" s="7"/>
      <c r="D84" s="89">
        <f>Input_Data!D71</f>
        <v>42894</v>
      </c>
      <c r="E84" s="74" t="s">
        <v>132</v>
      </c>
      <c r="F84" s="63" t="str">
        <f t="shared" si="20"/>
        <v>Percent</v>
      </c>
      <c r="G84" s="63" t="s">
        <v>70</v>
      </c>
      <c r="H84" s="63" t="str">
        <f t="shared" si="21"/>
        <v>N/A</v>
      </c>
      <c r="I84" s="86"/>
      <c r="J84" s="100">
        <f>Input_Data!J71</f>
        <v>4.7359999999999999E-2</v>
      </c>
      <c r="K84" s="100">
        <f t="shared" si="22"/>
        <v>4.7920742399999883E-2</v>
      </c>
      <c r="N84" s="6"/>
      <c r="O84" s="6"/>
      <c r="P84" s="6"/>
      <c r="Q84" s="6"/>
      <c r="R84" s="6"/>
    </row>
    <row r="85" spans="2:18" s="87" customFormat="1" ht="12.75" x14ac:dyDescent="0.3">
      <c r="B85" s="85"/>
      <c r="C85" s="7"/>
      <c r="D85" s="89">
        <f>Input_Data!D72</f>
        <v>42895</v>
      </c>
      <c r="E85" s="74" t="s">
        <v>132</v>
      </c>
      <c r="F85" s="63" t="str">
        <f t="shared" si="20"/>
        <v>Percent</v>
      </c>
      <c r="G85" s="63" t="s">
        <v>70</v>
      </c>
      <c r="H85" s="63" t="str">
        <f t="shared" si="21"/>
        <v>N/A</v>
      </c>
      <c r="I85" s="86"/>
      <c r="J85" s="100">
        <f>Input_Data!J72</f>
        <v>4.7380000000000005E-2</v>
      </c>
      <c r="K85" s="100">
        <f t="shared" si="22"/>
        <v>4.7941216099999906E-2</v>
      </c>
      <c r="N85" s="6"/>
      <c r="O85" s="6"/>
      <c r="P85" s="6"/>
      <c r="Q85" s="6"/>
      <c r="R85" s="6"/>
    </row>
    <row r="86" spans="2:18" s="87" customFormat="1" ht="12.75" x14ac:dyDescent="0.3">
      <c r="B86" s="85"/>
      <c r="C86" s="7"/>
      <c r="D86" s="89">
        <f>Input_Data!D73</f>
        <v>42899</v>
      </c>
      <c r="E86" s="74" t="s">
        <v>132</v>
      </c>
      <c r="F86" s="63" t="str">
        <f t="shared" si="20"/>
        <v>Percent</v>
      </c>
      <c r="G86" s="63" t="s">
        <v>70</v>
      </c>
      <c r="H86" s="63" t="str">
        <f t="shared" si="21"/>
        <v>N/A</v>
      </c>
      <c r="I86" s="86"/>
      <c r="J86" s="100">
        <f>Input_Data!J73</f>
        <v>4.7270000000000006E-2</v>
      </c>
      <c r="K86" s="100">
        <f t="shared" si="22"/>
        <v>4.7828613225000094E-2</v>
      </c>
      <c r="N86" s="6"/>
      <c r="O86" s="6"/>
      <c r="P86" s="6"/>
      <c r="Q86" s="6"/>
      <c r="R86" s="6"/>
    </row>
    <row r="87" spans="2:18" s="87" customFormat="1" ht="12.75" x14ac:dyDescent="0.3">
      <c r="B87" s="85"/>
      <c r="C87" s="7"/>
      <c r="D87" s="89">
        <f>Input_Data!D74</f>
        <v>42900</v>
      </c>
      <c r="E87" s="74" t="s">
        <v>132</v>
      </c>
      <c r="F87" s="63" t="str">
        <f t="shared" si="20"/>
        <v>Percent</v>
      </c>
      <c r="G87" s="63" t="s">
        <v>70</v>
      </c>
      <c r="H87" s="63" t="str">
        <f t="shared" si="21"/>
        <v>N/A</v>
      </c>
      <c r="I87" s="86"/>
      <c r="J87" s="100">
        <f>Input_Data!J74</f>
        <v>4.7550000000000002E-2</v>
      </c>
      <c r="K87" s="100">
        <f t="shared" si="22"/>
        <v>4.8115250625000217E-2</v>
      </c>
      <c r="N87" s="6"/>
      <c r="O87" s="6"/>
      <c r="P87" s="6"/>
      <c r="Q87" s="6"/>
      <c r="R87" s="6"/>
    </row>
    <row r="88" spans="2:18" s="87" customFormat="1" ht="12.75" x14ac:dyDescent="0.3">
      <c r="B88" s="85"/>
      <c r="C88" s="7"/>
      <c r="D88" s="89">
        <f>Input_Data!D75</f>
        <v>42901</v>
      </c>
      <c r="E88" s="74" t="s">
        <v>132</v>
      </c>
      <c r="F88" s="63" t="str">
        <f t="shared" si="20"/>
        <v>Percent</v>
      </c>
      <c r="G88" s="63" t="s">
        <v>70</v>
      </c>
      <c r="H88" s="63" t="str">
        <f t="shared" si="21"/>
        <v>N/A</v>
      </c>
      <c r="I88" s="86"/>
      <c r="J88" s="100">
        <f>Input_Data!J75</f>
        <v>4.6929999999999999E-2</v>
      </c>
      <c r="K88" s="100">
        <f t="shared" si="22"/>
        <v>4.7480606225000166E-2</v>
      </c>
      <c r="N88" s="6"/>
      <c r="O88" s="6"/>
      <c r="P88" s="6"/>
      <c r="Q88" s="6"/>
      <c r="R88" s="6"/>
    </row>
    <row r="89" spans="2:18" s="87" customFormat="1" ht="12.75" x14ac:dyDescent="0.3">
      <c r="B89" s="85"/>
      <c r="C89" s="7"/>
      <c r="D89" s="89">
        <f>Input_Data!D76</f>
        <v>42902</v>
      </c>
      <c r="E89" s="74" t="s">
        <v>132</v>
      </c>
      <c r="F89" s="63" t="str">
        <f t="shared" si="20"/>
        <v>Percent</v>
      </c>
      <c r="G89" s="63" t="s">
        <v>70</v>
      </c>
      <c r="H89" s="63" t="str">
        <f t="shared" si="21"/>
        <v>N/A</v>
      </c>
      <c r="I89" s="86"/>
      <c r="J89" s="100">
        <f>Input_Data!J76</f>
        <v>4.7380000000000005E-2</v>
      </c>
      <c r="K89" s="100">
        <f t="shared" si="22"/>
        <v>4.7941216099999906E-2</v>
      </c>
      <c r="N89" s="6"/>
      <c r="O89" s="6"/>
      <c r="P89" s="6"/>
      <c r="Q89" s="6"/>
      <c r="R89" s="6"/>
    </row>
    <row r="90" spans="2:18" s="87" customFormat="1" ht="12.75" x14ac:dyDescent="0.3">
      <c r="B90" s="85"/>
      <c r="C90" s="7"/>
      <c r="D90" s="89">
        <f>Input_Data!D77</f>
        <v>42905</v>
      </c>
      <c r="E90" s="74" t="s">
        <v>132</v>
      </c>
      <c r="F90" s="63" t="str">
        <f t="shared" si="20"/>
        <v>Percent</v>
      </c>
      <c r="G90" s="63" t="s">
        <v>70</v>
      </c>
      <c r="H90" s="63" t="str">
        <f t="shared" si="21"/>
        <v>N/A</v>
      </c>
      <c r="I90" s="86"/>
      <c r="J90" s="100">
        <f>Input_Data!J77</f>
        <v>4.7030000000000002E-2</v>
      </c>
      <c r="K90" s="100">
        <f t="shared" si="22"/>
        <v>4.7582955225000001E-2</v>
      </c>
      <c r="N90" s="6"/>
      <c r="O90" s="6"/>
      <c r="P90" s="6"/>
      <c r="Q90" s="6"/>
      <c r="R90" s="6"/>
    </row>
    <row r="91" spans="2:18" s="87" customFormat="1" ht="12.75" x14ac:dyDescent="0.3">
      <c r="B91" s="85"/>
      <c r="C91" s="7"/>
      <c r="D91" s="89">
        <f>Input_Data!D78</f>
        <v>42906</v>
      </c>
      <c r="E91" s="74" t="s">
        <v>132</v>
      </c>
      <c r="F91" s="63" t="str">
        <f t="shared" si="20"/>
        <v>Percent</v>
      </c>
      <c r="G91" s="63" t="s">
        <v>70</v>
      </c>
      <c r="H91" s="63" t="str">
        <f t="shared" si="21"/>
        <v>N/A</v>
      </c>
      <c r="I91" s="86"/>
      <c r="J91" s="100">
        <f>Input_Data!J78</f>
        <v>4.7169999999999997E-2</v>
      </c>
      <c r="K91" s="100">
        <f t="shared" si="22"/>
        <v>4.7726252224999932E-2</v>
      </c>
      <c r="N91" s="6"/>
      <c r="O91" s="6"/>
      <c r="P91" s="6"/>
      <c r="Q91" s="6"/>
      <c r="R91" s="6"/>
    </row>
    <row r="92" spans="2:18" s="87" customFormat="1" ht="12.75" x14ac:dyDescent="0.3">
      <c r="B92" s="85"/>
      <c r="C92" s="7"/>
      <c r="D92" s="89">
        <f>Input_Data!D79</f>
        <v>42907</v>
      </c>
      <c r="E92" s="74" t="s">
        <v>132</v>
      </c>
      <c r="F92" s="63" t="str">
        <f t="shared" si="20"/>
        <v>Percent</v>
      </c>
      <c r="G92" s="63" t="s">
        <v>70</v>
      </c>
      <c r="H92" s="63" t="str">
        <f t="shared" si="21"/>
        <v>N/A</v>
      </c>
      <c r="I92" s="86"/>
      <c r="J92" s="100">
        <f>Input_Data!J79</f>
        <v>4.6820000000000001E-2</v>
      </c>
      <c r="K92" s="100">
        <f t="shared" si="22"/>
        <v>4.7368028099999959E-2</v>
      </c>
      <c r="N92" s="6"/>
      <c r="O92" s="6"/>
      <c r="P92" s="6"/>
      <c r="Q92" s="6"/>
      <c r="R92" s="6"/>
    </row>
    <row r="93" spans="2:18" s="87" customFormat="1" ht="12.75" x14ac:dyDescent="0.3">
      <c r="B93" s="85"/>
      <c r="C93" s="7"/>
      <c r="D93" s="89">
        <f>Input_Data!D80</f>
        <v>42908</v>
      </c>
      <c r="E93" s="74" t="s">
        <v>132</v>
      </c>
      <c r="F93" s="63" t="str">
        <f t="shared" si="20"/>
        <v>Percent</v>
      </c>
      <c r="G93" s="63" t="s">
        <v>70</v>
      </c>
      <c r="H93" s="63" t="str">
        <f t="shared" si="21"/>
        <v>N/A</v>
      </c>
      <c r="I93" s="86"/>
      <c r="J93" s="100">
        <f>Input_Data!J80</f>
        <v>4.6420000000000003E-2</v>
      </c>
      <c r="K93" s="100">
        <f t="shared" si="22"/>
        <v>4.6958704099999915E-2</v>
      </c>
      <c r="N93" s="6"/>
      <c r="O93" s="6"/>
      <c r="P93" s="6"/>
      <c r="Q93" s="6"/>
      <c r="R93" s="6"/>
    </row>
    <row r="94" spans="2:18" s="87" customFormat="1" ht="12.75" x14ac:dyDescent="0.3">
      <c r="B94" s="85"/>
      <c r="C94" s="7"/>
      <c r="D94" s="89">
        <f>Input_Data!D81</f>
        <v>42909</v>
      </c>
      <c r="E94" s="74" t="s">
        <v>132</v>
      </c>
      <c r="F94" s="63" t="str">
        <f t="shared" si="20"/>
        <v>Percent</v>
      </c>
      <c r="G94" s="63" t="s">
        <v>70</v>
      </c>
      <c r="H94" s="63" t="str">
        <f t="shared" si="21"/>
        <v>N/A</v>
      </c>
      <c r="I94" s="86"/>
      <c r="J94" s="100">
        <f>Input_Data!J81</f>
        <v>4.6849999999999996E-2</v>
      </c>
      <c r="K94" s="100">
        <f t="shared" si="22"/>
        <v>4.7398730625000107E-2</v>
      </c>
      <c r="N94" s="6"/>
      <c r="O94" s="6"/>
      <c r="P94" s="6"/>
      <c r="Q94" s="6"/>
      <c r="R94" s="6"/>
    </row>
    <row r="95" spans="2:18" s="87" customFormat="1" ht="12.75" x14ac:dyDescent="0.3">
      <c r="B95" s="85"/>
      <c r="C95" s="7"/>
      <c r="D95" s="89">
        <f>Input_Data!D82</f>
        <v>42912</v>
      </c>
      <c r="E95" s="74" t="s">
        <v>132</v>
      </c>
      <c r="F95" s="63" t="str">
        <f t="shared" si="20"/>
        <v>Percent</v>
      </c>
      <c r="G95" s="63" t="s">
        <v>70</v>
      </c>
      <c r="H95" s="63" t="str">
        <f t="shared" si="21"/>
        <v>N/A</v>
      </c>
      <c r="I95" s="86"/>
      <c r="J95" s="100">
        <f>Input_Data!J82</f>
        <v>4.6470000000000004E-2</v>
      </c>
      <c r="K95" s="100">
        <f t="shared" si="22"/>
        <v>4.7009865224999725E-2</v>
      </c>
      <c r="N95" s="6"/>
      <c r="O95" s="6"/>
      <c r="P95" s="6"/>
      <c r="Q95" s="6"/>
      <c r="R95" s="6"/>
    </row>
    <row r="96" spans="2:18" s="87" customFormat="1" ht="12.75" x14ac:dyDescent="0.3">
      <c r="B96" s="85"/>
      <c r="C96" s="7"/>
      <c r="D96" s="89">
        <f>Input_Data!D83</f>
        <v>42913</v>
      </c>
      <c r="E96" s="74" t="s">
        <v>132</v>
      </c>
      <c r="F96" s="63" t="str">
        <f t="shared" si="20"/>
        <v>Percent</v>
      </c>
      <c r="G96" s="63" t="s">
        <v>70</v>
      </c>
      <c r="H96" s="63" t="str">
        <f t="shared" si="21"/>
        <v>N/A</v>
      </c>
      <c r="I96" s="86"/>
      <c r="J96" s="100">
        <f>Input_Data!J83</f>
        <v>4.6100000000000002E-2</v>
      </c>
      <c r="K96" s="100">
        <f t="shared" si="22"/>
        <v>4.6631302500000027E-2</v>
      </c>
      <c r="N96" s="6"/>
      <c r="O96" s="6"/>
      <c r="P96" s="6"/>
      <c r="Q96" s="6"/>
      <c r="R96" s="6"/>
    </row>
    <row r="97" spans="2:24" s="87" customFormat="1" ht="12.75" x14ac:dyDescent="0.3">
      <c r="B97" s="85"/>
      <c r="C97" s="7"/>
      <c r="D97" s="89">
        <f>Input_Data!D84</f>
        <v>42914</v>
      </c>
      <c r="E97" s="74" t="s">
        <v>132</v>
      </c>
      <c r="F97" s="63" t="str">
        <f t="shared" si="20"/>
        <v>Percent</v>
      </c>
      <c r="G97" s="63" t="s">
        <v>70</v>
      </c>
      <c r="H97" s="63" t="str">
        <f t="shared" si="21"/>
        <v>N/A</v>
      </c>
      <c r="I97" s="86"/>
      <c r="J97" s="100">
        <f>Input_Data!J84</f>
        <v>4.7129999999999998E-2</v>
      </c>
      <c r="K97" s="100">
        <f t="shared" si="22"/>
        <v>4.7685309225000028E-2</v>
      </c>
      <c r="N97" s="6"/>
      <c r="O97" s="6"/>
      <c r="P97" s="6"/>
      <c r="Q97" s="6"/>
      <c r="R97" s="6"/>
    </row>
    <row r="98" spans="2:24" s="87" customFormat="1" ht="12.75" x14ac:dyDescent="0.3">
      <c r="B98" s="85"/>
      <c r="C98" s="7"/>
      <c r="D98" s="89">
        <f>Input_Data!D85</f>
        <v>42915</v>
      </c>
      <c r="E98" s="74" t="s">
        <v>132</v>
      </c>
      <c r="F98" s="63" t="str">
        <f t="shared" si="20"/>
        <v>Percent</v>
      </c>
      <c r="G98" s="63" t="s">
        <v>70</v>
      </c>
      <c r="H98" s="63" t="str">
        <f t="shared" si="21"/>
        <v>N/A</v>
      </c>
      <c r="I98" s="86"/>
      <c r="J98" s="100">
        <f>Input_Data!J85</f>
        <v>4.7690000000000003E-2</v>
      </c>
      <c r="K98" s="100">
        <f t="shared" si="22"/>
        <v>4.8258584024999829E-2</v>
      </c>
      <c r="N98" s="6"/>
      <c r="O98" s="6"/>
      <c r="P98" s="6"/>
      <c r="Q98" s="6"/>
      <c r="R98" s="6"/>
    </row>
    <row r="99" spans="2:24" s="87" customFormat="1" ht="12.75" x14ac:dyDescent="0.3">
      <c r="B99" s="85"/>
      <c r="C99" s="7"/>
      <c r="D99" s="89">
        <f>Input_Data!D86</f>
        <v>42916</v>
      </c>
      <c r="E99" s="74" t="s">
        <v>132</v>
      </c>
      <c r="F99" s="63" t="str">
        <f t="shared" si="20"/>
        <v>Percent</v>
      </c>
      <c r="G99" s="63" t="s">
        <v>70</v>
      </c>
      <c r="H99" s="63" t="str">
        <f t="shared" si="21"/>
        <v>N/A</v>
      </c>
      <c r="I99" s="86"/>
      <c r="J99" s="100">
        <f>Input_Data!J86</f>
        <v>4.8570000000000002E-2</v>
      </c>
      <c r="K99" s="100">
        <f t="shared" si="22"/>
        <v>4.9159761224999876E-2</v>
      </c>
      <c r="N99" s="6"/>
      <c r="O99" s="6"/>
      <c r="P99" s="6"/>
      <c r="Q99" s="6"/>
      <c r="R99" s="6"/>
      <c r="T99" s="99"/>
    </row>
    <row r="100" spans="2:24" ht="12.75" x14ac:dyDescent="0.3">
      <c r="D100" s="15"/>
      <c r="E100" s="74"/>
      <c r="F100" s="74"/>
      <c r="G100" s="74"/>
      <c r="H100" s="74"/>
      <c r="I100" s="74"/>
      <c r="J100" s="84"/>
      <c r="N100" s="6"/>
      <c r="O100" s="6"/>
      <c r="P100" s="6"/>
      <c r="Q100" s="6"/>
      <c r="R100" s="6"/>
      <c r="S100" s="87"/>
      <c r="T100" s="99"/>
      <c r="U100" s="87"/>
      <c r="V100" s="87"/>
      <c r="W100" s="87"/>
      <c r="X100" s="87"/>
    </row>
    <row r="101" spans="2:24" ht="13.15" x14ac:dyDescent="0.3">
      <c r="D101" s="73" t="s">
        <v>234</v>
      </c>
      <c r="E101" s="66" t="s">
        <v>132</v>
      </c>
      <c r="F101" s="66" t="s">
        <v>231</v>
      </c>
      <c r="G101" s="66" t="s">
        <v>70</v>
      </c>
      <c r="H101" s="66" t="str">
        <f t="shared" si="21"/>
        <v>N/A</v>
      </c>
      <c r="I101" s="6"/>
      <c r="J101" s="84"/>
      <c r="K101" s="103">
        <f>AVERAGE(K79:K99)</f>
        <v>4.7791639841666643E-2</v>
      </c>
      <c r="N101" s="97"/>
      <c r="O101" s="97"/>
      <c r="P101" s="87"/>
      <c r="Q101" s="87"/>
      <c r="R101" s="97"/>
      <c r="S101" s="97"/>
      <c r="T101" s="87"/>
      <c r="U101" s="87"/>
      <c r="V101" s="87"/>
      <c r="W101" s="87"/>
      <c r="X101" s="87"/>
    </row>
    <row r="103" spans="2:24" s="13" customFormat="1" ht="13.9" x14ac:dyDescent="0.3">
      <c r="C103" s="13" t="s">
        <v>227</v>
      </c>
    </row>
    <row r="104" spans="2:24" s="6" customFormat="1" ht="11.25" customHeight="1" x14ac:dyDescent="0.3"/>
    <row r="105" spans="2:24" ht="13.15" x14ac:dyDescent="0.3">
      <c r="D105" s="72" t="s">
        <v>240</v>
      </c>
      <c r="E105" s="64" t="str">
        <f>Lookup!E$20</f>
        <v>Source</v>
      </c>
      <c r="F105" s="64" t="str">
        <f>Lookup!F$20</f>
        <v>Unit</v>
      </c>
      <c r="G105" s="64" t="str">
        <f>Lookup!G$20</f>
        <v>Basis</v>
      </c>
      <c r="H105" s="64" t="str">
        <f>Lookup!H$20</f>
        <v>Timing</v>
      </c>
      <c r="I105" s="6"/>
      <c r="J105" s="64" t="s">
        <v>239</v>
      </c>
      <c r="K105" s="6"/>
      <c r="L105" s="6"/>
      <c r="M105" s="6"/>
      <c r="N105" s="6"/>
      <c r="O105" s="6"/>
      <c r="P105" s="6"/>
      <c r="Q105" s="6"/>
      <c r="R105" s="6"/>
      <c r="S105" s="6"/>
    </row>
    <row r="106" spans="2:24" x14ac:dyDescent="0.3">
      <c r="I106" s="6"/>
      <c r="J106" s="82"/>
      <c r="K106" s="6"/>
      <c r="L106" s="6"/>
      <c r="M106" s="6"/>
      <c r="N106" s="6"/>
      <c r="O106" s="6"/>
      <c r="P106" s="6"/>
      <c r="Q106" s="6"/>
      <c r="R106" s="6"/>
      <c r="S106" s="6"/>
    </row>
    <row r="107" spans="2:24" ht="12.75" x14ac:dyDescent="0.3">
      <c r="D107" s="15" t="s">
        <v>236</v>
      </c>
      <c r="E107" s="74" t="s">
        <v>132</v>
      </c>
      <c r="F107" s="63" t="str">
        <f t="shared" ref="F107:F108" si="23">Percent</f>
        <v>Percent</v>
      </c>
      <c r="G107" s="63" t="s">
        <v>70</v>
      </c>
      <c r="H107" s="63" t="str">
        <f t="shared" ref="H107:H108" si="24">NA</f>
        <v>N/A</v>
      </c>
      <c r="I107" s="6"/>
      <c r="J107" s="100">
        <f>R72</f>
        <v>4.5171879768221353E-2</v>
      </c>
      <c r="K107" s="6"/>
      <c r="L107" s="6"/>
      <c r="M107" s="6"/>
      <c r="N107" s="6"/>
      <c r="O107" s="6"/>
      <c r="P107" s="6"/>
      <c r="Q107" s="6"/>
      <c r="R107" s="6"/>
      <c r="S107" s="6"/>
    </row>
    <row r="108" spans="2:24" ht="12.75" x14ac:dyDescent="0.3">
      <c r="D108" s="15" t="s">
        <v>237</v>
      </c>
      <c r="E108" s="74" t="s">
        <v>132</v>
      </c>
      <c r="F108" s="63" t="str">
        <f t="shared" si="23"/>
        <v>Percent</v>
      </c>
      <c r="G108" s="63" t="s">
        <v>70</v>
      </c>
      <c r="H108" s="63" t="str">
        <f t="shared" si="24"/>
        <v>N/A</v>
      </c>
      <c r="I108" s="6"/>
      <c r="J108" s="100">
        <f>K101</f>
        <v>4.7791639841666643E-2</v>
      </c>
      <c r="K108" s="6"/>
      <c r="L108" s="6"/>
      <c r="M108" s="6"/>
      <c r="N108" s="6"/>
      <c r="O108" s="6"/>
      <c r="P108" s="6"/>
      <c r="Q108" s="6"/>
      <c r="R108" s="6"/>
      <c r="S108" s="6"/>
    </row>
    <row r="109" spans="2:24" x14ac:dyDescent="0.3">
      <c r="I109" s="6"/>
      <c r="J109" s="82"/>
      <c r="K109" s="6"/>
      <c r="L109" s="6"/>
      <c r="M109" s="6"/>
      <c r="N109" s="6"/>
      <c r="O109" s="6"/>
      <c r="P109" s="6"/>
      <c r="Q109" s="6"/>
      <c r="R109" s="6"/>
      <c r="S109" s="6"/>
    </row>
    <row r="110" spans="2:24" ht="13.15" x14ac:dyDescent="0.3">
      <c r="D110" s="73" t="s">
        <v>238</v>
      </c>
      <c r="E110" s="66" t="s">
        <v>132</v>
      </c>
      <c r="F110" s="66" t="str">
        <f>Percent</f>
        <v>Percent</v>
      </c>
      <c r="G110" s="66" t="s">
        <v>70</v>
      </c>
      <c r="H110" s="66" t="str">
        <f t="shared" ref="H110" si="25">NA</f>
        <v>N/A</v>
      </c>
      <c r="I110" s="6"/>
      <c r="J110" s="103">
        <f>AVERAGE(J107:J108)</f>
        <v>4.6481759804943998E-2</v>
      </c>
      <c r="K110" s="6"/>
      <c r="L110" s="6"/>
      <c r="M110" s="6"/>
      <c r="N110" s="6"/>
      <c r="O110" s="6"/>
      <c r="P110" s="6"/>
      <c r="Q110" s="6"/>
      <c r="R110" s="6"/>
      <c r="S110" s="6"/>
    </row>
    <row r="113" spans="2:19" s="4" customFormat="1" ht="15" x14ac:dyDescent="0.3">
      <c r="B113" s="4" t="s">
        <v>241</v>
      </c>
    </row>
    <row r="115" spans="2:19" ht="13.15" x14ac:dyDescent="0.3">
      <c r="D115" s="72" t="s">
        <v>242</v>
      </c>
      <c r="E115" s="64" t="str">
        <f>Lookup!E$20</f>
        <v>Source</v>
      </c>
      <c r="F115" s="64" t="str">
        <f>Lookup!F$20</f>
        <v>Unit</v>
      </c>
      <c r="G115" s="64" t="str">
        <f>Lookup!G$20</f>
        <v>Basis</v>
      </c>
      <c r="H115" s="64" t="str">
        <f>Lookup!H$20</f>
        <v>Timing</v>
      </c>
      <c r="I115" s="6"/>
      <c r="J115" s="64" t="s">
        <v>230</v>
      </c>
    </row>
    <row r="116" spans="2:19" x14ac:dyDescent="0.3">
      <c r="D116" s="86"/>
      <c r="E116" s="86"/>
      <c r="F116" s="86"/>
      <c r="G116" s="86"/>
      <c r="H116" s="86"/>
      <c r="I116" s="6"/>
      <c r="J116" s="97"/>
    </row>
    <row r="117" spans="2:19" ht="12.75" x14ac:dyDescent="0.3">
      <c r="D117" s="89" t="str">
        <f>Input_Data!D105</f>
        <v>FY2010-2011</v>
      </c>
      <c r="E117" s="74" t="s">
        <v>132</v>
      </c>
      <c r="F117" s="63" t="str">
        <f t="shared" ref="F117:F125" si="26">Percent</f>
        <v>Percent</v>
      </c>
      <c r="G117" s="63" t="s">
        <v>70</v>
      </c>
      <c r="H117" s="63" t="str">
        <f t="shared" ref="H117:H125" si="27">NA</f>
        <v>N/A</v>
      </c>
      <c r="I117" s="86"/>
      <c r="J117" s="100">
        <f>Input_Data!J105</f>
        <v>8.742984535779906E-2</v>
      </c>
    </row>
    <row r="118" spans="2:19" ht="12.75" x14ac:dyDescent="0.3">
      <c r="D118" s="89" t="str">
        <f>Input_Data!D106</f>
        <v>FY2011-2012</v>
      </c>
      <c r="E118" s="74" t="s">
        <v>132</v>
      </c>
      <c r="F118" s="63" t="str">
        <f t="shared" si="26"/>
        <v>Percent</v>
      </c>
      <c r="G118" s="63" t="s">
        <v>70</v>
      </c>
      <c r="H118" s="63" t="str">
        <f t="shared" si="27"/>
        <v>N/A</v>
      </c>
      <c r="I118" s="86"/>
      <c r="J118" s="100">
        <f>Input_Data!J106</f>
        <v>7.9916565178935681E-2</v>
      </c>
    </row>
    <row r="119" spans="2:19" ht="12.75" x14ac:dyDescent="0.3">
      <c r="D119" s="89" t="str">
        <f>Input_Data!D107</f>
        <v>FY2012-2013</v>
      </c>
      <c r="E119" s="74" t="s">
        <v>132</v>
      </c>
      <c r="F119" s="63" t="str">
        <f t="shared" si="26"/>
        <v>Percent</v>
      </c>
      <c r="G119" s="63" t="s">
        <v>70</v>
      </c>
      <c r="H119" s="63" t="str">
        <f t="shared" si="27"/>
        <v>N/A</v>
      </c>
      <c r="I119" s="86"/>
      <c r="J119" s="100">
        <f>Input_Data!J107</f>
        <v>7.9077594985761335E-2</v>
      </c>
    </row>
    <row r="120" spans="2:19" ht="12.75" x14ac:dyDescent="0.3">
      <c r="D120" s="89" t="str">
        <f>Input_Data!D108</f>
        <v>FY2013-2014</v>
      </c>
      <c r="E120" s="74" t="s">
        <v>132</v>
      </c>
      <c r="F120" s="63" t="str">
        <f t="shared" si="26"/>
        <v>Percent</v>
      </c>
      <c r="G120" s="63" t="s">
        <v>70</v>
      </c>
      <c r="H120" s="63" t="str">
        <f t="shared" si="27"/>
        <v>N/A</v>
      </c>
      <c r="I120" s="86"/>
      <c r="J120" s="100">
        <f>Input_Data!J108</f>
        <v>6.9997180189357633E-2</v>
      </c>
    </row>
    <row r="121" spans="2:19" ht="12.75" x14ac:dyDescent="0.3">
      <c r="D121" s="89" t="str">
        <f>Input_Data!D109</f>
        <v>FY2014-2015</v>
      </c>
      <c r="E121" s="74" t="s">
        <v>132</v>
      </c>
      <c r="F121" s="63" t="str">
        <f t="shared" si="26"/>
        <v>Percent</v>
      </c>
      <c r="G121" s="63" t="s">
        <v>70</v>
      </c>
      <c r="H121" s="63" t="str">
        <f t="shared" si="27"/>
        <v>N/A</v>
      </c>
      <c r="I121" s="86"/>
      <c r="J121" s="100">
        <f>Input_Data!J109</f>
        <v>7.5007894716639573E-2</v>
      </c>
    </row>
    <row r="122" spans="2:19" ht="12.75" x14ac:dyDescent="0.3">
      <c r="D122" s="89" t="str">
        <f>Input_Data!D110</f>
        <v>FY2015-2016</v>
      </c>
      <c r="E122" s="74" t="s">
        <v>132</v>
      </c>
      <c r="F122" s="63" t="str">
        <f t="shared" si="26"/>
        <v>Percent</v>
      </c>
      <c r="G122" s="63" t="s">
        <v>70</v>
      </c>
      <c r="H122" s="63" t="str">
        <f t="shared" si="27"/>
        <v>N/A</v>
      </c>
      <c r="I122" s="86"/>
      <c r="J122" s="100">
        <f>Input_Data!J110</f>
        <v>5.2019790810809902E-2</v>
      </c>
    </row>
    <row r="123" spans="2:19" ht="12.75" x14ac:dyDescent="0.3">
      <c r="D123" s="89" t="str">
        <f>Input_Data!D111</f>
        <v>FY2016-2017</v>
      </c>
      <c r="E123" s="74" t="s">
        <v>132</v>
      </c>
      <c r="F123" s="63" t="str">
        <f t="shared" si="26"/>
        <v>Percent</v>
      </c>
      <c r="G123" s="63" t="s">
        <v>70</v>
      </c>
      <c r="H123" s="63" t="str">
        <f t="shared" si="27"/>
        <v>N/A</v>
      </c>
      <c r="I123" s="86"/>
      <c r="J123" s="100">
        <f>Input_Data!J111</f>
        <v>5.3181698388436879E-2</v>
      </c>
    </row>
    <row r="124" spans="2:19" ht="12.75" x14ac:dyDescent="0.3">
      <c r="D124" s="89" t="str">
        <f>Input_Data!D112</f>
        <v>FY2017-2018</v>
      </c>
      <c r="E124" s="74" t="s">
        <v>132</v>
      </c>
      <c r="F124" s="63" t="str">
        <f t="shared" si="26"/>
        <v>Percent</v>
      </c>
      <c r="G124" s="63" t="s">
        <v>70</v>
      </c>
      <c r="H124" s="63" t="str">
        <f t="shared" si="27"/>
        <v>N/A</v>
      </c>
      <c r="I124" s="86"/>
      <c r="J124" s="100">
        <f>Input_Data!J112</f>
        <v>4.7506738718452367E-2</v>
      </c>
    </row>
    <row r="125" spans="2:19" ht="12.75" x14ac:dyDescent="0.3">
      <c r="D125" s="89" t="str">
        <f>Input_Data!D113</f>
        <v>FY2018-2019</v>
      </c>
      <c r="E125" s="74" t="s">
        <v>132</v>
      </c>
      <c r="F125" s="63" t="str">
        <f t="shared" si="26"/>
        <v>Percent</v>
      </c>
      <c r="G125" s="63" t="s">
        <v>70</v>
      </c>
      <c r="H125" s="63" t="str">
        <f t="shared" si="27"/>
        <v>N/A</v>
      </c>
      <c r="I125" s="86"/>
      <c r="J125" s="100">
        <f>Input_Data!J113</f>
        <v>4.6444658416744916E-2</v>
      </c>
    </row>
    <row r="127" spans="2:19" ht="13.15" x14ac:dyDescent="0.3">
      <c r="D127" s="73" t="s">
        <v>238</v>
      </c>
      <c r="E127" s="66" t="s">
        <v>132</v>
      </c>
      <c r="F127" s="66" t="str">
        <f>Percent</f>
        <v>Percent</v>
      </c>
      <c r="G127" s="66" t="s">
        <v>70</v>
      </c>
      <c r="H127" s="66" t="str">
        <f t="shared" ref="H127" si="28">NA</f>
        <v>N/A</v>
      </c>
      <c r="I127" s="6"/>
      <c r="J127" s="103">
        <f>AVERAGE(J117:J125)</f>
        <v>6.5620218529215263E-2</v>
      </c>
      <c r="L127" s="6"/>
      <c r="M127" s="6"/>
      <c r="N127" s="6"/>
      <c r="O127" s="6"/>
      <c r="P127" s="6"/>
      <c r="Q127" s="6"/>
      <c r="R127" s="6"/>
      <c r="S127" s="6"/>
    </row>
    <row r="130" spans="2:19" s="4" customFormat="1" ht="15" x14ac:dyDescent="0.3">
      <c r="B130" s="4" t="s">
        <v>233</v>
      </c>
    </row>
    <row r="131" spans="2:19" s="6" customFormat="1" ht="11.25" customHeight="1" x14ac:dyDescent="0.3"/>
    <row r="132" spans="2:19" ht="13.15" x14ac:dyDescent="0.3">
      <c r="D132" s="72" t="s">
        <v>131</v>
      </c>
      <c r="E132" s="64" t="str">
        <f>Lookup!E$20</f>
        <v>Source</v>
      </c>
      <c r="F132" s="64" t="str">
        <f>Lookup!F$20</f>
        <v>Unit</v>
      </c>
      <c r="G132" s="64" t="str">
        <f>Lookup!G$20</f>
        <v>Basis</v>
      </c>
      <c r="H132" s="64" t="str">
        <f>Lookup!H$20</f>
        <v>Timing</v>
      </c>
      <c r="I132" s="6"/>
      <c r="J132" s="6"/>
      <c r="K132" s="6"/>
      <c r="L132" s="6"/>
      <c r="M132" s="6"/>
      <c r="N132" s="6"/>
      <c r="O132" s="64" t="str">
        <f>O10</f>
        <v>RY20</v>
      </c>
      <c r="P132" s="6"/>
      <c r="Q132" s="6"/>
      <c r="R132" s="6"/>
      <c r="S132" s="6"/>
    </row>
    <row r="133" spans="2:19" x14ac:dyDescent="0.3">
      <c r="I133" s="6"/>
      <c r="J133" s="6"/>
      <c r="K133" s="6"/>
      <c r="L133" s="6"/>
      <c r="M133" s="6"/>
      <c r="N133" s="6"/>
      <c r="P133" s="6"/>
      <c r="Q133" s="109"/>
      <c r="R133" s="6"/>
      <c r="S133" s="6"/>
    </row>
    <row r="134" spans="2:19" ht="12.75" x14ac:dyDescent="0.3">
      <c r="D134" s="15" t="s">
        <v>215</v>
      </c>
      <c r="E134" s="74" t="s">
        <v>132</v>
      </c>
      <c r="F134" s="63" t="str">
        <f t="shared" ref="F134:F135" si="29">Percent</f>
        <v>Percent</v>
      </c>
      <c r="G134" s="63" t="s">
        <v>70</v>
      </c>
      <c r="H134" s="63" t="str">
        <f t="shared" ref="H134:H136" si="30">NA</f>
        <v>N/A</v>
      </c>
      <c r="I134" s="6"/>
      <c r="J134" s="6"/>
      <c r="K134" s="6"/>
      <c r="L134" s="6"/>
      <c r="M134" s="6"/>
      <c r="N134" s="6"/>
      <c r="O134" s="96">
        <f t="array" ref="O134">GEOMEAN(1+Input_Data!M19:N19,1+Input_Data!O20:V20)-1</f>
        <v>2.4248746575396662E-2</v>
      </c>
      <c r="P134" s="6"/>
      <c r="Q134" s="6"/>
      <c r="R134" s="6"/>
      <c r="S134" s="6"/>
    </row>
    <row r="135" spans="2:19" ht="12.75" x14ac:dyDescent="0.3">
      <c r="D135" s="15" t="s">
        <v>186</v>
      </c>
      <c r="E135" s="74" t="s">
        <v>132</v>
      </c>
      <c r="F135" s="63" t="str">
        <f t="shared" si="29"/>
        <v>Percent</v>
      </c>
      <c r="G135" s="63" t="s">
        <v>70</v>
      </c>
      <c r="H135" s="63" t="str">
        <f t="shared" si="30"/>
        <v>N/A</v>
      </c>
      <c r="I135" s="6"/>
      <c r="J135" s="6"/>
      <c r="K135" s="6"/>
      <c r="L135" s="6"/>
      <c r="M135" s="6"/>
      <c r="N135" s="6"/>
      <c r="O135" s="96">
        <f>ROUND(RFR+MRP*Beta,3)</f>
        <v>7.0000000000000007E-2</v>
      </c>
      <c r="P135" s="6"/>
      <c r="Q135" s="6"/>
      <c r="R135" s="6"/>
      <c r="S135" s="6"/>
    </row>
    <row r="136" spans="2:19" ht="12.75" x14ac:dyDescent="0.3">
      <c r="D136" s="15" t="s">
        <v>234</v>
      </c>
      <c r="E136" s="74" t="s">
        <v>132</v>
      </c>
      <c r="F136" s="74" t="str">
        <f>Dollars</f>
        <v>Dollars</v>
      </c>
      <c r="G136" s="63" t="s">
        <v>70</v>
      </c>
      <c r="H136" s="63" t="str">
        <f t="shared" si="30"/>
        <v>N/A</v>
      </c>
      <c r="I136" s="6"/>
      <c r="J136" s="6"/>
      <c r="K136" s="6"/>
      <c r="L136" s="6"/>
      <c r="M136" s="6"/>
      <c r="N136" s="6"/>
      <c r="O136" s="96">
        <f>IF(Method="Immediate",AVERAGE(J117:J125,J110),J110)</f>
        <v>6.3706372656788135E-2</v>
      </c>
      <c r="P136" s="51"/>
      <c r="Q136" s="51"/>
      <c r="R136" s="51"/>
      <c r="S136" s="51"/>
    </row>
    <row r="137" spans="2:19" s="6" customFormat="1" ht="11.25" customHeight="1" x14ac:dyDescent="0.3"/>
    <row r="138" spans="2:19" x14ac:dyDescent="0.3">
      <c r="O138" s="108"/>
    </row>
    <row r="139" spans="2:19" s="4" customFormat="1" ht="15" x14ac:dyDescent="0.3">
      <c r="B139" s="4" t="s">
        <v>33</v>
      </c>
    </row>
  </sheetData>
  <mergeCells count="5">
    <mergeCell ref="P46:R46"/>
    <mergeCell ref="J46:N46"/>
    <mergeCell ref="J16:K16"/>
    <mergeCell ref="M16:N16"/>
    <mergeCell ref="P16:R16"/>
  </mergeCells>
  <conditionalFormatting sqref="B2">
    <cfRule type="cellIs" dxfId="12" priority="1" operator="notEqual">
      <formula>"No Errors Found"</formula>
    </cfRule>
  </conditionalFormatting>
  <hyperlinks>
    <hyperlink ref="B3:E3" location="TOC!A1" display="TOC!A1" xr:uid="{00000000-0004-0000-0500-000000000000}"/>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S39"/>
  <sheetViews>
    <sheetView showGridLines="0" zoomScaleNormal="100" workbookViewId="0">
      <pane xSplit="1" ySplit="10" topLeftCell="B11" activePane="bottomRight" state="frozen"/>
      <selection activeCell="D17" sqref="D17"/>
      <selection pane="topRight" activeCell="D17" sqref="D17"/>
      <selection pane="bottomLeft" activeCell="D17" sqref="D17"/>
      <selection pane="bottomRight" activeCell="B1" sqref="B1"/>
    </sheetView>
  </sheetViews>
  <sheetFormatPr defaultColWidth="9.33203125" defaultRowHeight="10.15" outlineLevelRow="1" x14ac:dyDescent="0.3"/>
  <cols>
    <col min="1" max="1" width="3.33203125" style="7" customWidth="1"/>
    <col min="2" max="3" width="2.83203125" style="7" customWidth="1"/>
    <col min="4" max="4" width="45.25" style="7" customWidth="1"/>
    <col min="5" max="5" width="11.83203125" style="7" customWidth="1"/>
    <col min="6" max="6" width="9.1640625" style="7" customWidth="1"/>
    <col min="7" max="7" width="12" style="7" customWidth="1"/>
    <col min="8" max="8" width="10" style="7" customWidth="1"/>
    <col min="9" max="9" width="5.5" style="7" customWidth="1"/>
    <col min="10" max="19" width="12.83203125" style="7" customWidth="1"/>
    <col min="20" max="20" width="10.83203125" style="7" customWidth="1"/>
    <col min="21" max="16384" width="9.33203125" style="7"/>
  </cols>
  <sheetData>
    <row r="1" spans="1:19" ht="18.75" x14ac:dyDescent="0.3">
      <c r="A1" s="69">
        <f>IF(SUM($A11:$A39)&gt;0,1,0)</f>
        <v>0</v>
      </c>
      <c r="B1" s="5" t="s">
        <v>263</v>
      </c>
    </row>
    <row r="2" spans="1:19" x14ac:dyDescent="0.3">
      <c r="B2" s="18" t="str">
        <f>Title_Msg</f>
        <v>No Errors Found</v>
      </c>
    </row>
    <row r="3" spans="1:19" x14ac:dyDescent="0.3">
      <c r="B3" s="55" t="str">
        <f>TOC!B1</f>
        <v>Table of Contents</v>
      </c>
      <c r="C3" s="49"/>
      <c r="D3" s="49"/>
      <c r="E3" s="49"/>
    </row>
    <row r="4" spans="1:19" ht="13.15" x14ac:dyDescent="0.3">
      <c r="B4" s="46" t="str">
        <f>Model_Name</f>
        <v>Rate of Return Model - Power and Water Corporation (PWC)</v>
      </c>
    </row>
    <row r="5" spans="1:19"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row>
    <row r="6" spans="1:19"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row>
    <row r="7" spans="1:19"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row>
    <row r="8" spans="1:19"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row>
    <row r="9" spans="1:19" ht="12.75" hidden="1" outlineLevel="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row>
    <row r="10" spans="1:19" ht="13.15" collapsed="1" x14ac:dyDescent="0.3">
      <c r="B10" s="10" t="str">
        <f>Lookup!B20</f>
        <v>Regulatory Year</v>
      </c>
      <c r="E10" s="59" t="str">
        <f>Lookup!E20</f>
        <v>Source</v>
      </c>
      <c r="F10" s="59" t="str">
        <f>Lookup!F20</f>
        <v>Unit</v>
      </c>
      <c r="G10" s="59" t="str">
        <f>Lookup!G20</f>
        <v>Basis</v>
      </c>
      <c r="H10" s="59" t="str">
        <f>Lookup!H20</f>
        <v>Timing</v>
      </c>
      <c r="I10" s="59"/>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row>
    <row r="12" spans="1:19" s="4" customFormat="1" ht="15" x14ac:dyDescent="0.3">
      <c r="B12" s="4" t="s">
        <v>216</v>
      </c>
    </row>
    <row r="13" spans="1:19" s="6" customFormat="1" ht="4.5" customHeight="1" x14ac:dyDescent="0.3"/>
    <row r="14" spans="1:19" s="13" customFormat="1" ht="13.9" x14ac:dyDescent="0.3">
      <c r="C14" s="13" t="s">
        <v>217</v>
      </c>
    </row>
    <row r="15" spans="1:19" s="6" customFormat="1" ht="11.25" customHeight="1" x14ac:dyDescent="0.3"/>
    <row r="16" spans="1:19" ht="13.15" x14ac:dyDescent="0.3">
      <c r="D16" s="72" t="s">
        <v>131</v>
      </c>
      <c r="E16" s="64" t="str">
        <f>Lookup!E$20</f>
        <v>Source</v>
      </c>
      <c r="F16" s="64" t="str">
        <f>Lookup!F$20</f>
        <v>Unit</v>
      </c>
      <c r="G16" s="64" t="str">
        <f>Lookup!G$20</f>
        <v>Basis</v>
      </c>
      <c r="H16" s="64" t="str">
        <f>Lookup!H$20</f>
        <v>Timing</v>
      </c>
      <c r="I16" s="6"/>
      <c r="J16" s="6"/>
      <c r="K16" s="6"/>
      <c r="L16" s="6"/>
      <c r="M16" s="6"/>
      <c r="N16" s="6"/>
      <c r="O16" s="64" t="str">
        <f>O$10&amp;" - "&amp;S$10</f>
        <v>RY20 - RY24</v>
      </c>
    </row>
    <row r="17" spans="3:19" x14ac:dyDescent="0.3">
      <c r="I17" s="6"/>
      <c r="J17" s="6"/>
      <c r="K17" s="6"/>
      <c r="L17" s="6"/>
      <c r="M17" s="6"/>
      <c r="N17" s="6"/>
    </row>
    <row r="18" spans="3:19" ht="12.75" x14ac:dyDescent="0.3">
      <c r="D18" s="15" t="s">
        <v>219</v>
      </c>
      <c r="E18" s="74" t="s">
        <v>132</v>
      </c>
      <c r="F18" s="74" t="str">
        <f>Percent</f>
        <v>Percent</v>
      </c>
      <c r="G18" s="74" t="str">
        <f>Nominal</f>
        <v>Nominal</v>
      </c>
      <c r="H18" s="74" t="str">
        <f>NA</f>
        <v>N/A</v>
      </c>
      <c r="I18" s="6"/>
      <c r="J18" s="6"/>
      <c r="K18" s="6"/>
      <c r="L18" s="6"/>
      <c r="M18" s="6"/>
      <c r="N18" s="6"/>
      <c r="O18" s="96">
        <f>Inflation</f>
        <v>2.4248746575396662E-2</v>
      </c>
    </row>
    <row r="19" spans="3:19" ht="12.75" x14ac:dyDescent="0.3">
      <c r="D19" s="15" t="s">
        <v>220</v>
      </c>
      <c r="E19" s="74" t="s">
        <v>132</v>
      </c>
      <c r="F19" s="74" t="str">
        <f>Percent</f>
        <v>Percent</v>
      </c>
      <c r="G19" s="74" t="str">
        <f>Nominal</f>
        <v>Nominal</v>
      </c>
      <c r="H19" s="74" t="str">
        <f>NA</f>
        <v>N/A</v>
      </c>
      <c r="I19" s="6"/>
      <c r="J19" s="6"/>
      <c r="K19" s="6"/>
      <c r="L19" s="6"/>
      <c r="M19" s="6"/>
      <c r="N19" s="6"/>
      <c r="O19" s="96">
        <f>ROE</f>
        <v>7.0000000000000007E-2</v>
      </c>
    </row>
    <row r="20" spans="3:19" ht="12.75" x14ac:dyDescent="0.3">
      <c r="D20" s="15" t="s">
        <v>221</v>
      </c>
      <c r="E20" s="74" t="s">
        <v>132</v>
      </c>
      <c r="F20" s="74" t="str">
        <f>Percent</f>
        <v>Percent</v>
      </c>
      <c r="G20" s="74" t="str">
        <f>Nominal</f>
        <v>Nominal</v>
      </c>
      <c r="H20" s="74" t="str">
        <f>NA</f>
        <v>N/A</v>
      </c>
      <c r="I20" s="6"/>
      <c r="J20" s="6"/>
      <c r="K20" s="6"/>
      <c r="L20" s="6"/>
      <c r="M20" s="6"/>
      <c r="N20" s="6"/>
      <c r="O20" s="96">
        <f>Input_Data!J131</f>
        <v>0.4</v>
      </c>
    </row>
    <row r="21" spans="3:19" ht="12.75" x14ac:dyDescent="0.3">
      <c r="D21" s="15" t="s">
        <v>222</v>
      </c>
      <c r="E21" s="74" t="s">
        <v>132</v>
      </c>
      <c r="F21" s="74" t="str">
        <f>Percent</f>
        <v>Percent</v>
      </c>
      <c r="G21" s="74" t="str">
        <f>Nominal</f>
        <v>Nominal</v>
      </c>
      <c r="H21" s="74" t="str">
        <f>NA</f>
        <v>N/A</v>
      </c>
      <c r="I21" s="6"/>
      <c r="J21" s="6"/>
      <c r="K21" s="6"/>
      <c r="L21" s="6"/>
      <c r="M21" s="6"/>
      <c r="N21" s="6"/>
      <c r="O21" s="96">
        <f>Input_Data!J132</f>
        <v>0.6</v>
      </c>
    </row>
    <row r="22" spans="3:19" s="6" customFormat="1" ht="11.25" customHeight="1" x14ac:dyDescent="0.3"/>
    <row r="23" spans="3:19" ht="13.15" x14ac:dyDescent="0.3">
      <c r="D23" s="72" t="s">
        <v>131</v>
      </c>
      <c r="E23" s="64" t="str">
        <f>Lookup!E$20</f>
        <v>Source</v>
      </c>
      <c r="F23" s="64" t="str">
        <f>Lookup!F$20</f>
        <v>Unit</v>
      </c>
      <c r="G23" s="64" t="str">
        <f>Lookup!G$20</f>
        <v>Basis</v>
      </c>
      <c r="H23" s="64" t="str">
        <f>Lookup!H$20</f>
        <v>Timing</v>
      </c>
      <c r="I23" s="6"/>
      <c r="J23" s="6"/>
      <c r="K23" s="6"/>
      <c r="L23" s="6"/>
      <c r="M23" s="6"/>
      <c r="N23" s="6"/>
      <c r="O23" s="64" t="str">
        <f>O$10</f>
        <v>RY20</v>
      </c>
      <c r="P23" s="64" t="str">
        <f t="shared" ref="P23:S23" si="0">P$10</f>
        <v>RY21</v>
      </c>
      <c r="Q23" s="64" t="str">
        <f t="shared" si="0"/>
        <v>RY22</v>
      </c>
      <c r="R23" s="64" t="str">
        <f t="shared" si="0"/>
        <v>RY23</v>
      </c>
      <c r="S23" s="64" t="str">
        <f t="shared" si="0"/>
        <v>RY24</v>
      </c>
    </row>
    <row r="24" spans="3:19" x14ac:dyDescent="0.3">
      <c r="I24" s="6"/>
      <c r="J24" s="6"/>
      <c r="K24" s="6"/>
      <c r="L24" s="6"/>
      <c r="M24" s="6"/>
      <c r="N24" s="6"/>
    </row>
    <row r="25" spans="3:19" s="6" customFormat="1" ht="11.25" customHeight="1" x14ac:dyDescent="0.3">
      <c r="D25" s="15" t="s">
        <v>235</v>
      </c>
      <c r="E25" s="74" t="s">
        <v>132</v>
      </c>
      <c r="F25" s="74" t="str">
        <f>Percent</f>
        <v>Percent</v>
      </c>
      <c r="G25" s="74" t="str">
        <f>Nominal</f>
        <v>Nominal</v>
      </c>
      <c r="H25" s="74" t="str">
        <f>NA</f>
        <v>N/A</v>
      </c>
      <c r="O25" s="96">
        <f>ROD</f>
        <v>6.3706372656788135E-2</v>
      </c>
      <c r="P25" s="51"/>
      <c r="Q25" s="51"/>
      <c r="R25" s="51"/>
      <c r="S25" s="51"/>
    </row>
    <row r="26" spans="3:19" s="6" customFormat="1" ht="11.25" customHeight="1" x14ac:dyDescent="0.3">
      <c r="L26" s="10"/>
    </row>
    <row r="27" spans="3:19" s="6" customFormat="1" ht="11.25" customHeight="1" x14ac:dyDescent="0.3">
      <c r="L27" s="10"/>
    </row>
    <row r="28" spans="3:19" s="13" customFormat="1" ht="13.9" x14ac:dyDescent="0.3">
      <c r="C28" s="13" t="s">
        <v>218</v>
      </c>
    </row>
    <row r="29" spans="3:19" s="6" customFormat="1" ht="11.25" customHeight="1" x14ac:dyDescent="0.3"/>
    <row r="30" spans="3:19" ht="13.15" x14ac:dyDescent="0.3">
      <c r="D30" s="72" t="s">
        <v>131</v>
      </c>
      <c r="E30" s="64" t="str">
        <f>Lookup!E$20</f>
        <v>Source</v>
      </c>
      <c r="F30" s="64" t="str">
        <f>Lookup!F$20</f>
        <v>Unit</v>
      </c>
      <c r="G30" s="64" t="str">
        <f>Lookup!G$20</f>
        <v>Basis</v>
      </c>
      <c r="H30" s="64" t="str">
        <f>Lookup!H$20</f>
        <v>Timing</v>
      </c>
      <c r="I30" s="6"/>
      <c r="O30" s="64" t="str">
        <f>N$10&amp;" - "&amp;R$10</f>
        <v>RY19 - RY23</v>
      </c>
    </row>
    <row r="31" spans="3:19" s="6" customFormat="1" ht="11.25" customHeight="1" x14ac:dyDescent="0.3"/>
    <row r="32" spans="3:19" ht="12.75" x14ac:dyDescent="0.3">
      <c r="D32" s="15" t="s">
        <v>189</v>
      </c>
      <c r="E32" s="74" t="s">
        <v>132</v>
      </c>
      <c r="F32" s="74" t="str">
        <f>Percent</f>
        <v>Percent</v>
      </c>
      <c r="G32" s="74" t="str">
        <f>Nominal</f>
        <v>Nominal</v>
      </c>
      <c r="H32" s="74" t="str">
        <f>NA</f>
        <v>N/A</v>
      </c>
      <c r="I32" s="6"/>
      <c r="O32" s="96">
        <f>Input_Data!J139</f>
        <v>0.7</v>
      </c>
    </row>
    <row r="33" spans="2:15" ht="12.75" x14ac:dyDescent="0.3">
      <c r="D33" s="15" t="s">
        <v>190</v>
      </c>
      <c r="E33" s="74" t="s">
        <v>132</v>
      </c>
      <c r="F33" s="74" t="str">
        <f>Percent</f>
        <v>Percent</v>
      </c>
      <c r="G33" s="74" t="str">
        <f>Nominal</f>
        <v>Nominal</v>
      </c>
      <c r="H33" s="74" t="str">
        <f>NA</f>
        <v>N/A</v>
      </c>
      <c r="I33" s="6"/>
      <c r="O33" s="96">
        <f>Input_Data!J140</f>
        <v>0.03</v>
      </c>
    </row>
    <row r="34" spans="2:15" ht="12.75" x14ac:dyDescent="0.3">
      <c r="D34" s="15" t="s">
        <v>191</v>
      </c>
      <c r="E34" s="74" t="s">
        <v>132</v>
      </c>
      <c r="F34" s="74" t="str">
        <f>Percent</f>
        <v>Percent</v>
      </c>
      <c r="G34" s="74" t="str">
        <f>Nominal</f>
        <v>Nominal</v>
      </c>
      <c r="H34" s="74" t="str">
        <f>NA</f>
        <v>N/A</v>
      </c>
      <c r="I34" s="6"/>
      <c r="O34" s="96">
        <f>Input_Data!J141</f>
        <v>0.01</v>
      </c>
    </row>
    <row r="35" spans="2:15" ht="12.75" x14ac:dyDescent="0.3">
      <c r="D35" s="15" t="s">
        <v>192</v>
      </c>
      <c r="E35" s="74" t="s">
        <v>132</v>
      </c>
      <c r="F35" s="74" t="str">
        <f>Percent</f>
        <v>Percent</v>
      </c>
      <c r="G35" s="74" t="str">
        <f>Nominal</f>
        <v>Nominal</v>
      </c>
      <c r="H35" s="74" t="str">
        <f>NA</f>
        <v>N/A</v>
      </c>
      <c r="I35" s="6"/>
      <c r="O35" s="96">
        <f>Input_Data!J142</f>
        <v>0.3</v>
      </c>
    </row>
    <row r="36" spans="2:15" ht="12.75" x14ac:dyDescent="0.3">
      <c r="D36" s="15" t="s">
        <v>164</v>
      </c>
      <c r="E36" s="74" t="s">
        <v>132</v>
      </c>
      <c r="F36" s="74" t="str">
        <f>Percent</f>
        <v>Percent</v>
      </c>
      <c r="G36" s="74" t="str">
        <f>Nominal</f>
        <v>Nominal</v>
      </c>
      <c r="H36" s="74" t="str">
        <f>NA</f>
        <v>N/A</v>
      </c>
      <c r="I36" s="6"/>
      <c r="O36" s="96">
        <f>Input_Data!J143</f>
        <v>8.6969200642959604E-4</v>
      </c>
    </row>
    <row r="39" spans="2:15" s="4" customFormat="1" ht="15" x14ac:dyDescent="0.3">
      <c r="B39" s="4" t="s">
        <v>33</v>
      </c>
    </row>
  </sheetData>
  <conditionalFormatting sqref="B2">
    <cfRule type="cellIs" dxfId="11" priority="1" operator="notEqual">
      <formula>"No Errors Found"</formula>
    </cfRule>
  </conditionalFormatting>
  <hyperlinks>
    <hyperlink ref="B3:E3" location="TOC!A1" display="TOC!A1" xr:uid="{00000000-0004-0000-06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B1:X155"/>
  <sheetViews>
    <sheetView showGridLines="0" zoomScaleNormal="100" workbookViewId="0">
      <pane xSplit="1" ySplit="4" topLeftCell="B5" activePane="bottomRight" state="frozen"/>
      <selection pane="topRight" activeCell="B1" sqref="B1"/>
      <selection pane="bottomLeft" activeCell="A5" sqref="A5"/>
      <selection pane="bottomRight" activeCell="E26" sqref="E26"/>
    </sheetView>
  </sheetViews>
  <sheetFormatPr defaultColWidth="9.33203125" defaultRowHeight="10.15" outlineLevelRow="1" x14ac:dyDescent="0.3"/>
  <cols>
    <col min="1" max="3" width="2.83203125" style="1" customWidth="1"/>
    <col min="4" max="4" width="34" style="1" customWidth="1"/>
    <col min="5" max="6" width="30.83203125" style="1" customWidth="1"/>
    <col min="7" max="9" width="10.83203125" style="1" customWidth="1"/>
    <col min="10" max="19" width="12.83203125" style="1" customWidth="1"/>
    <col min="20" max="23" width="10.83203125" style="1" customWidth="1"/>
    <col min="24" max="16384" width="9.33203125" style="1"/>
  </cols>
  <sheetData>
    <row r="1" spans="2:24" ht="18.75" x14ac:dyDescent="0.3">
      <c r="B1" s="5" t="s">
        <v>46</v>
      </c>
    </row>
    <row r="2" spans="2:24" x14ac:dyDescent="0.3">
      <c r="B2" s="18" t="str">
        <f>Title_Msg</f>
        <v>No Errors Found</v>
      </c>
    </row>
    <row r="3" spans="2:24" s="7" customFormat="1" x14ac:dyDescent="0.3">
      <c r="B3" s="55" t="str">
        <f>TOC!B1</f>
        <v>Table of Contents</v>
      </c>
      <c r="C3" s="49"/>
      <c r="D3" s="49"/>
      <c r="E3" s="49"/>
    </row>
    <row r="4" spans="2:24" s="7" customFormat="1" ht="13.15" x14ac:dyDescent="0.3">
      <c r="B4" s="46" t="str">
        <f>Model_Name</f>
        <v>Rate of Return Model - Power and Water Corporation (PWC)</v>
      </c>
    </row>
    <row r="5" spans="2:24" s="7" customFormat="1" x14ac:dyDescent="0.3"/>
    <row r="6" spans="2:24" s="4" customFormat="1" ht="15" x14ac:dyDescent="0.3">
      <c r="B6" s="4" t="s">
        <v>30</v>
      </c>
    </row>
    <row r="7" spans="2:24" s="2" customFormat="1" ht="6.75" customHeight="1" x14ac:dyDescent="0.3"/>
    <row r="8" spans="2:24" s="13" customFormat="1" ht="13.9" x14ac:dyDescent="0.3">
      <c r="C8" s="13" t="s">
        <v>57</v>
      </c>
    </row>
    <row r="9" spans="2:24" s="2" customFormat="1" x14ac:dyDescent="0.3">
      <c r="D9" s="3"/>
    </row>
    <row r="10" spans="2:24" s="6" customFormat="1" ht="12.75" x14ac:dyDescent="0.3">
      <c r="D10" s="16" t="s">
        <v>56</v>
      </c>
      <c r="E10" s="56">
        <v>41821</v>
      </c>
    </row>
    <row r="11" spans="2:24" s="7" customFormat="1" ht="12.75" x14ac:dyDescent="0.3">
      <c r="D11" s="16" t="s">
        <v>59</v>
      </c>
      <c r="E11" s="17">
        <v>2018</v>
      </c>
      <c r="L11" s="23"/>
      <c r="M11" s="24"/>
      <c r="N11" s="24"/>
      <c r="O11" s="24"/>
    </row>
    <row r="12" spans="2:24" s="7" customFormat="1" x14ac:dyDescent="0.3">
      <c r="L12" s="23"/>
      <c r="M12" s="24"/>
      <c r="N12" s="24"/>
      <c r="O12" s="24"/>
    </row>
    <row r="13" spans="2:24" s="13" customFormat="1" ht="13.9" x14ac:dyDescent="0.3">
      <c r="C13" s="13" t="s">
        <v>58</v>
      </c>
    </row>
    <row r="14" spans="2:24" s="7" customFormat="1" x14ac:dyDescent="0.3">
      <c r="L14" s="23"/>
      <c r="M14" s="24"/>
      <c r="N14" s="24"/>
      <c r="O14" s="24"/>
    </row>
    <row r="15" spans="2:24" s="7" customFormat="1" ht="12.75" outlineLevel="1" x14ac:dyDescent="0.3">
      <c r="B15" s="16" t="s">
        <v>54</v>
      </c>
      <c r="J15" s="57">
        <f t="shared" ref="J15:S15" si="0">IF(J17=1,Model_Start_Date,I16+1)</f>
        <v>41821</v>
      </c>
      <c r="K15" s="57">
        <f t="shared" si="0"/>
        <v>42186</v>
      </c>
      <c r="L15" s="57">
        <f t="shared" si="0"/>
        <v>42552</v>
      </c>
      <c r="M15" s="57">
        <f t="shared" si="0"/>
        <v>42917</v>
      </c>
      <c r="N15" s="57">
        <f t="shared" si="0"/>
        <v>43282</v>
      </c>
      <c r="O15" s="57">
        <f t="shared" si="0"/>
        <v>43647</v>
      </c>
      <c r="P15" s="57">
        <f t="shared" si="0"/>
        <v>44013</v>
      </c>
      <c r="Q15" s="57">
        <f t="shared" si="0"/>
        <v>44378</v>
      </c>
      <c r="R15" s="57">
        <f t="shared" si="0"/>
        <v>44743</v>
      </c>
      <c r="S15" s="57">
        <f t="shared" si="0"/>
        <v>45108</v>
      </c>
      <c r="T15" s="57">
        <f t="shared" ref="T15" si="1">IF(T17=1,Model_Start_Date,S16+1)</f>
        <v>45474</v>
      </c>
      <c r="U15" s="57">
        <f t="shared" ref="U15" si="2">IF(U17=1,Model_Start_Date,T16+1)</f>
        <v>45839</v>
      </c>
      <c r="V15" s="57">
        <f t="shared" ref="V15" si="3">IF(V17=1,Model_Start_Date,U16+1)</f>
        <v>46204</v>
      </c>
      <c r="W15" s="57">
        <f t="shared" ref="W15" si="4">IF(W17=1,Model_Start_Date,V16+1)</f>
        <v>46569</v>
      </c>
      <c r="X15" s="57">
        <f t="shared" ref="X15" si="5">IF(X17=1,Model_Start_Date,W16+1)</f>
        <v>46935</v>
      </c>
    </row>
    <row r="16" spans="2:24" s="7" customFormat="1" ht="12.75" outlineLevel="1" x14ac:dyDescent="0.3">
      <c r="B16" s="16" t="s">
        <v>55</v>
      </c>
      <c r="J16" s="57">
        <f t="shared" ref="J16:S16" si="6">EOMONTH(J15,Mths_In_Yr-1)</f>
        <v>42185</v>
      </c>
      <c r="K16" s="57">
        <f t="shared" si="6"/>
        <v>42551</v>
      </c>
      <c r="L16" s="57">
        <f t="shared" si="6"/>
        <v>42916</v>
      </c>
      <c r="M16" s="57">
        <f t="shared" si="6"/>
        <v>43281</v>
      </c>
      <c r="N16" s="57">
        <f t="shared" si="6"/>
        <v>43646</v>
      </c>
      <c r="O16" s="57">
        <f t="shared" si="6"/>
        <v>44012</v>
      </c>
      <c r="P16" s="57">
        <f t="shared" si="6"/>
        <v>44377</v>
      </c>
      <c r="Q16" s="57">
        <f t="shared" si="6"/>
        <v>44742</v>
      </c>
      <c r="R16" s="57">
        <f t="shared" si="6"/>
        <v>45107</v>
      </c>
      <c r="S16" s="57">
        <f t="shared" si="6"/>
        <v>45473</v>
      </c>
      <c r="T16" s="57">
        <f t="shared" ref="T16:X16" si="7">EOMONTH(T15,Mths_In_Yr-1)</f>
        <v>45838</v>
      </c>
      <c r="U16" s="57">
        <f t="shared" si="7"/>
        <v>46203</v>
      </c>
      <c r="V16" s="57">
        <f t="shared" si="7"/>
        <v>46568</v>
      </c>
      <c r="W16" s="57">
        <f t="shared" si="7"/>
        <v>46934</v>
      </c>
      <c r="X16" s="57">
        <f t="shared" si="7"/>
        <v>47299</v>
      </c>
    </row>
    <row r="17" spans="2:24" s="7" customFormat="1" ht="12.75" outlineLevel="1" x14ac:dyDescent="0.3">
      <c r="B17" s="16" t="s">
        <v>53</v>
      </c>
      <c r="J17" s="27">
        <f>N(I17)+1</f>
        <v>1</v>
      </c>
      <c r="K17" s="27">
        <f t="shared" ref="K17:S17" si="8">N(J17)+1</f>
        <v>2</v>
      </c>
      <c r="L17" s="27">
        <f t="shared" si="8"/>
        <v>3</v>
      </c>
      <c r="M17" s="27">
        <f t="shared" si="8"/>
        <v>4</v>
      </c>
      <c r="N17" s="27">
        <f t="shared" si="8"/>
        <v>5</v>
      </c>
      <c r="O17" s="27">
        <f t="shared" si="8"/>
        <v>6</v>
      </c>
      <c r="P17" s="27">
        <f t="shared" si="8"/>
        <v>7</v>
      </c>
      <c r="Q17" s="27">
        <f t="shared" si="8"/>
        <v>8</v>
      </c>
      <c r="R17" s="27">
        <f t="shared" si="8"/>
        <v>9</v>
      </c>
      <c r="S17" s="27">
        <f t="shared" si="8"/>
        <v>10</v>
      </c>
      <c r="T17" s="27">
        <f t="shared" ref="T17" si="9">N(S17)+1</f>
        <v>11</v>
      </c>
      <c r="U17" s="27">
        <f t="shared" ref="U17" si="10">N(T17)+1</f>
        <v>12</v>
      </c>
      <c r="V17" s="27">
        <f t="shared" ref="V17" si="11">N(U17)+1</f>
        <v>13</v>
      </c>
      <c r="W17" s="27">
        <f t="shared" ref="W17" si="12">N(V17)+1</f>
        <v>14</v>
      </c>
      <c r="X17" s="27">
        <f t="shared" ref="X17" si="13">N(W17)+1</f>
        <v>15</v>
      </c>
    </row>
    <row r="18" spans="2:24" s="7" customFormat="1" ht="12.75" outlineLevel="1" x14ac:dyDescent="0.3">
      <c r="B18" s="16" t="s">
        <v>60</v>
      </c>
      <c r="J18" s="12">
        <f>YEAR(J16)</f>
        <v>2015</v>
      </c>
      <c r="K18" s="12">
        <f t="shared" ref="K18:S18" si="14">YEAR(K16)</f>
        <v>2016</v>
      </c>
      <c r="L18" s="12">
        <f t="shared" si="14"/>
        <v>2017</v>
      </c>
      <c r="M18" s="12">
        <f t="shared" si="14"/>
        <v>2018</v>
      </c>
      <c r="N18" s="12">
        <f t="shared" si="14"/>
        <v>2019</v>
      </c>
      <c r="O18" s="12">
        <f t="shared" si="14"/>
        <v>2020</v>
      </c>
      <c r="P18" s="12">
        <f t="shared" si="14"/>
        <v>2021</v>
      </c>
      <c r="Q18" s="12">
        <f t="shared" si="14"/>
        <v>2022</v>
      </c>
      <c r="R18" s="12">
        <f t="shared" si="14"/>
        <v>2023</v>
      </c>
      <c r="S18" s="12">
        <f t="shared" si="14"/>
        <v>2024</v>
      </c>
      <c r="T18" s="12">
        <f t="shared" ref="T18:X18" si="15">YEAR(T16)</f>
        <v>2025</v>
      </c>
      <c r="U18" s="12">
        <f t="shared" si="15"/>
        <v>2026</v>
      </c>
      <c r="V18" s="12">
        <f t="shared" si="15"/>
        <v>2027</v>
      </c>
      <c r="W18" s="12">
        <f t="shared" si="15"/>
        <v>2028</v>
      </c>
      <c r="X18" s="12">
        <f t="shared" si="15"/>
        <v>2029</v>
      </c>
    </row>
    <row r="19" spans="2:24" s="7" customFormat="1" ht="12.75" outlineLevel="1" x14ac:dyDescent="0.3">
      <c r="B19" s="16" t="s">
        <v>61</v>
      </c>
      <c r="J19" s="19" t="s">
        <v>62</v>
      </c>
      <c r="K19" s="19" t="s">
        <v>62</v>
      </c>
      <c r="L19" s="19" t="s">
        <v>62</v>
      </c>
      <c r="M19" s="19" t="s">
        <v>59</v>
      </c>
      <c r="N19" s="19" t="s">
        <v>63</v>
      </c>
      <c r="O19" s="19" t="s">
        <v>63</v>
      </c>
      <c r="P19" s="19" t="s">
        <v>63</v>
      </c>
      <c r="Q19" s="19" t="s">
        <v>63</v>
      </c>
      <c r="R19" s="19" t="s">
        <v>63</v>
      </c>
      <c r="S19" s="19" t="s">
        <v>63</v>
      </c>
      <c r="T19" s="19" t="s">
        <v>63</v>
      </c>
      <c r="U19" s="19" t="s">
        <v>63</v>
      </c>
      <c r="V19" s="19" t="s">
        <v>63</v>
      </c>
      <c r="W19" s="19" t="s">
        <v>63</v>
      </c>
      <c r="X19" s="19" t="s">
        <v>63</v>
      </c>
    </row>
    <row r="20" spans="2:24" s="7" customFormat="1" ht="13.15" x14ac:dyDescent="0.3">
      <c r="B20" s="14" t="s">
        <v>64</v>
      </c>
      <c r="E20" s="20" t="s">
        <v>65</v>
      </c>
      <c r="F20" s="20" t="s">
        <v>66</v>
      </c>
      <c r="G20" s="20" t="s">
        <v>67</v>
      </c>
      <c r="H20" s="20" t="s">
        <v>68</v>
      </c>
      <c r="J20" s="58" t="str">
        <f>"RY"&amp;RIGHT(J18,2)</f>
        <v>RY15</v>
      </c>
      <c r="K20" s="58" t="str">
        <f t="shared" ref="K20:S20" si="16">"RY"&amp;RIGHT(K18,2)</f>
        <v>RY16</v>
      </c>
      <c r="L20" s="58" t="str">
        <f t="shared" si="16"/>
        <v>RY17</v>
      </c>
      <c r="M20" s="58" t="str">
        <f t="shared" si="16"/>
        <v>RY18</v>
      </c>
      <c r="N20" s="58" t="str">
        <f t="shared" si="16"/>
        <v>RY19</v>
      </c>
      <c r="O20" s="58" t="str">
        <f t="shared" si="16"/>
        <v>RY20</v>
      </c>
      <c r="P20" s="58" t="str">
        <f t="shared" si="16"/>
        <v>RY21</v>
      </c>
      <c r="Q20" s="58" t="str">
        <f t="shared" si="16"/>
        <v>RY22</v>
      </c>
      <c r="R20" s="58" t="str">
        <f t="shared" si="16"/>
        <v>RY23</v>
      </c>
      <c r="S20" s="58" t="str">
        <f t="shared" si="16"/>
        <v>RY24</v>
      </c>
      <c r="T20" s="58" t="str">
        <f t="shared" ref="T20:X20" si="17">"RY"&amp;RIGHT(T18,2)</f>
        <v>RY25</v>
      </c>
      <c r="U20" s="58" t="str">
        <f t="shared" si="17"/>
        <v>RY26</v>
      </c>
      <c r="V20" s="58" t="str">
        <f t="shared" si="17"/>
        <v>RY27</v>
      </c>
      <c r="W20" s="58" t="str">
        <f t="shared" si="17"/>
        <v>RY28</v>
      </c>
      <c r="X20" s="58" t="str">
        <f t="shared" si="17"/>
        <v>RY29</v>
      </c>
    </row>
    <row r="21" spans="2:24" s="7" customFormat="1" x14ac:dyDescent="0.3">
      <c r="L21" s="23"/>
      <c r="M21" s="24"/>
      <c r="N21" s="24"/>
      <c r="O21" s="24"/>
    </row>
    <row r="22" spans="2:24" s="4" customFormat="1" ht="15" x14ac:dyDescent="0.3">
      <c r="B22" s="4" t="s">
        <v>46</v>
      </c>
    </row>
    <row r="23" spans="2:24" s="7" customFormat="1" x14ac:dyDescent="0.3">
      <c r="L23" s="23"/>
      <c r="M23" s="24"/>
      <c r="N23" s="24"/>
      <c r="O23" s="24"/>
    </row>
    <row r="24" spans="2:24" ht="13.15" x14ac:dyDescent="0.3">
      <c r="C24" s="8" t="s">
        <v>0</v>
      </c>
      <c r="E24" s="20" t="s">
        <v>1</v>
      </c>
    </row>
    <row r="25" spans="2:24" x14ac:dyDescent="0.3">
      <c r="E25" s="21"/>
    </row>
    <row r="26" spans="2:24" ht="12.75" x14ac:dyDescent="0.3">
      <c r="D26" s="17">
        <v>1</v>
      </c>
      <c r="E26" s="22" t="s">
        <v>2</v>
      </c>
    </row>
    <row r="27" spans="2:24" ht="12.75" x14ac:dyDescent="0.3">
      <c r="D27" s="17">
        <v>3</v>
      </c>
      <c r="E27" s="22" t="s">
        <v>3</v>
      </c>
    </row>
    <row r="28" spans="2:24" s="7" customFormat="1" ht="12.75" x14ac:dyDescent="0.3">
      <c r="D28" s="17">
        <v>4</v>
      </c>
      <c r="E28" s="22" t="s">
        <v>34</v>
      </c>
    </row>
    <row r="29" spans="2:24" ht="12.75" x14ac:dyDescent="0.3">
      <c r="D29" s="17">
        <v>12</v>
      </c>
      <c r="E29" s="22" t="s">
        <v>4</v>
      </c>
    </row>
    <row r="30" spans="2:24" s="7" customFormat="1" ht="12.75" x14ac:dyDescent="0.3">
      <c r="D30" s="17">
        <v>7</v>
      </c>
      <c r="E30" s="22" t="s">
        <v>13</v>
      </c>
    </row>
    <row r="31" spans="2:24" s="7" customFormat="1" ht="12.75" x14ac:dyDescent="0.3">
      <c r="D31" s="17">
        <v>365</v>
      </c>
      <c r="E31" s="22" t="s">
        <v>47</v>
      </c>
    </row>
    <row r="32" spans="2:24" s="7" customFormat="1" ht="12.75" x14ac:dyDescent="0.3">
      <c r="D32" s="17">
        <v>0.5</v>
      </c>
      <c r="E32" s="22" t="s">
        <v>8</v>
      </c>
    </row>
    <row r="33" spans="3:5" ht="12.75" x14ac:dyDescent="0.3">
      <c r="D33" s="17" t="s">
        <v>6</v>
      </c>
      <c r="E33" s="22" t="s">
        <v>6</v>
      </c>
    </row>
    <row r="34" spans="3:5" s="7" customFormat="1" ht="12.75" x14ac:dyDescent="0.3">
      <c r="D34" s="17" t="s">
        <v>35</v>
      </c>
      <c r="E34" s="22" t="s">
        <v>36</v>
      </c>
    </row>
    <row r="35" spans="3:5" ht="12.75" x14ac:dyDescent="0.3">
      <c r="D35" s="17" t="s">
        <v>7</v>
      </c>
      <c r="E35" s="22" t="s">
        <v>7</v>
      </c>
    </row>
    <row r="36" spans="3:5" x14ac:dyDescent="0.3">
      <c r="E36" s="21"/>
    </row>
    <row r="37" spans="3:5" s="7" customFormat="1" ht="13.15" x14ac:dyDescent="0.3">
      <c r="C37" s="8" t="s">
        <v>0</v>
      </c>
      <c r="E37" s="20" t="s">
        <v>1</v>
      </c>
    </row>
    <row r="38" spans="3:5" s="7" customFormat="1" ht="12.75" x14ac:dyDescent="0.3">
      <c r="E38" s="22" t="s">
        <v>11</v>
      </c>
    </row>
    <row r="39" spans="3:5" s="7" customFormat="1" ht="12.75" x14ac:dyDescent="0.3">
      <c r="D39" s="17" t="s">
        <v>9</v>
      </c>
      <c r="E39" s="22" t="s">
        <v>9</v>
      </c>
    </row>
    <row r="40" spans="3:5" s="7" customFormat="1" ht="12.75" x14ac:dyDescent="0.3">
      <c r="D40" s="17" t="s">
        <v>10</v>
      </c>
      <c r="E40" s="22" t="s">
        <v>10</v>
      </c>
    </row>
    <row r="41" spans="3:5" s="7" customFormat="1" x14ac:dyDescent="0.3">
      <c r="E41" s="21"/>
    </row>
    <row r="42" spans="3:5" s="7" customFormat="1" ht="13.15" x14ac:dyDescent="0.3">
      <c r="C42" s="8" t="s">
        <v>73</v>
      </c>
      <c r="E42" s="20" t="s">
        <v>1</v>
      </c>
    </row>
    <row r="43" spans="3:5" s="7" customFormat="1" ht="12.75" x14ac:dyDescent="0.3">
      <c r="E43" s="22" t="s">
        <v>81</v>
      </c>
    </row>
    <row r="44" spans="3:5" s="7" customFormat="1" ht="12.75" x14ac:dyDescent="0.3">
      <c r="D44" s="17" t="s">
        <v>74</v>
      </c>
      <c r="E44" s="22" t="s">
        <v>74</v>
      </c>
    </row>
    <row r="45" spans="3:5" s="7" customFormat="1" ht="12.75" x14ac:dyDescent="0.3">
      <c r="D45" s="17" t="s">
        <v>75</v>
      </c>
      <c r="E45" s="22" t="s">
        <v>75</v>
      </c>
    </row>
    <row r="46" spans="3:5" s="7" customFormat="1" ht="12.75" x14ac:dyDescent="0.3">
      <c r="D46" s="17" t="s">
        <v>77</v>
      </c>
      <c r="E46" s="22" t="s">
        <v>79</v>
      </c>
    </row>
    <row r="47" spans="3:5" s="7" customFormat="1" ht="12.75" x14ac:dyDescent="0.3">
      <c r="D47" s="17" t="s">
        <v>78</v>
      </c>
      <c r="E47" s="22" t="s">
        <v>80</v>
      </c>
    </row>
    <row r="48" spans="3:5" s="7" customFormat="1" ht="12.75" x14ac:dyDescent="0.3">
      <c r="D48" s="17" t="s">
        <v>76</v>
      </c>
      <c r="E48" s="22" t="s">
        <v>76</v>
      </c>
    </row>
    <row r="49" spans="3:6" s="7" customFormat="1" ht="12.75" x14ac:dyDescent="0.3">
      <c r="D49" s="17" t="s">
        <v>136</v>
      </c>
      <c r="E49" s="22" t="s">
        <v>136</v>
      </c>
    </row>
    <row r="50" spans="3:6" s="7" customFormat="1" ht="12.75" x14ac:dyDescent="0.3">
      <c r="D50" s="17" t="s">
        <v>134</v>
      </c>
      <c r="E50" s="68"/>
    </row>
    <row r="51" spans="3:6" s="7" customFormat="1" ht="12.75" x14ac:dyDescent="0.3">
      <c r="D51" s="17" t="s">
        <v>135</v>
      </c>
      <c r="E51" s="68"/>
    </row>
    <row r="52" spans="3:6" s="7" customFormat="1" ht="12.75" x14ac:dyDescent="0.3">
      <c r="D52" s="17" t="s">
        <v>140</v>
      </c>
      <c r="E52" s="67" t="s">
        <v>141</v>
      </c>
    </row>
    <row r="53" spans="3:6" s="7" customFormat="1" ht="12.75" x14ac:dyDescent="0.3">
      <c r="D53" s="17" t="str">
        <f>NA</f>
        <v>N/A</v>
      </c>
      <c r="E53" s="22" t="s">
        <v>133</v>
      </c>
    </row>
    <row r="54" spans="3:6" s="7" customFormat="1" x14ac:dyDescent="0.3">
      <c r="E54" s="21"/>
    </row>
    <row r="55" spans="3:6" s="7" customFormat="1" ht="13.15" x14ac:dyDescent="0.3">
      <c r="C55" s="8" t="s">
        <v>67</v>
      </c>
      <c r="E55" s="20" t="s">
        <v>1</v>
      </c>
    </row>
    <row r="56" spans="3:6" s="7" customFormat="1" ht="12.75" x14ac:dyDescent="0.3">
      <c r="E56" s="22" t="s">
        <v>72</v>
      </c>
    </row>
    <row r="57" spans="3:6" s="7" customFormat="1" ht="12.75" x14ac:dyDescent="0.3">
      <c r="D57" s="17" t="s">
        <v>69</v>
      </c>
      <c r="E57" s="22" t="s">
        <v>71</v>
      </c>
    </row>
    <row r="58" spans="3:6" s="7" customFormat="1" ht="12.75" x14ac:dyDescent="0.3">
      <c r="D58" s="17" t="s">
        <v>158</v>
      </c>
      <c r="E58" s="22" t="s">
        <v>159</v>
      </c>
    </row>
    <row r="59" spans="3:6" s="7" customFormat="1" ht="12.75" x14ac:dyDescent="0.3">
      <c r="D59" s="17" t="str">
        <f>NA</f>
        <v>N/A</v>
      </c>
      <c r="E59" s="22" t="s">
        <v>133</v>
      </c>
    </row>
    <row r="60" spans="3:6" s="7" customFormat="1" ht="12.75" x14ac:dyDescent="0.3">
      <c r="D60" s="17" t="s">
        <v>70</v>
      </c>
      <c r="E60" s="22" t="s">
        <v>70</v>
      </c>
    </row>
    <row r="61" spans="3:6" s="7" customFormat="1" x14ac:dyDescent="0.3">
      <c r="E61" s="21"/>
    </row>
    <row r="62" spans="3:6" s="7" customFormat="1" ht="13.15" x14ac:dyDescent="0.3">
      <c r="C62" s="8" t="s">
        <v>68</v>
      </c>
      <c r="E62" s="20"/>
      <c r="F62" s="20" t="s">
        <v>1</v>
      </c>
    </row>
    <row r="63" spans="3:6" s="7" customFormat="1" ht="12.75" x14ac:dyDescent="0.3">
      <c r="D63" s="22" t="s">
        <v>85</v>
      </c>
      <c r="E63" s="22" t="s">
        <v>86</v>
      </c>
    </row>
    <row r="64" spans="3:6" s="7" customFormat="1" ht="12.75" x14ac:dyDescent="0.3">
      <c r="D64" s="17" t="s">
        <v>82</v>
      </c>
      <c r="E64" s="17">
        <v>0</v>
      </c>
      <c r="F64" s="22" t="s">
        <v>89</v>
      </c>
    </row>
    <row r="65" spans="3:6" s="7" customFormat="1" ht="12.75" x14ac:dyDescent="0.3">
      <c r="D65" s="17" t="s">
        <v>83</v>
      </c>
      <c r="E65" s="17">
        <v>0.5</v>
      </c>
      <c r="F65" s="22" t="s">
        <v>88</v>
      </c>
    </row>
    <row r="66" spans="3:6" s="7" customFormat="1" ht="12.75" x14ac:dyDescent="0.3">
      <c r="D66" s="17" t="s">
        <v>84</v>
      </c>
      <c r="E66" s="17">
        <v>1</v>
      </c>
      <c r="F66" s="22" t="s">
        <v>87</v>
      </c>
    </row>
    <row r="67" spans="3:6" s="7" customFormat="1" ht="12.75" x14ac:dyDescent="0.3">
      <c r="D67" s="17" t="str">
        <f>NA</f>
        <v>N/A</v>
      </c>
      <c r="E67" s="17" t="str">
        <f>NA</f>
        <v>N/A</v>
      </c>
      <c r="F67" s="22"/>
    </row>
    <row r="68" spans="3:6" s="7" customFormat="1" x14ac:dyDescent="0.3">
      <c r="E68" s="21"/>
    </row>
    <row r="69" spans="3:6" s="13" customFormat="1" ht="13.9" x14ac:dyDescent="0.3">
      <c r="C69" s="13" t="s">
        <v>48</v>
      </c>
    </row>
    <row r="71" spans="3:6" ht="13.15" x14ac:dyDescent="0.3">
      <c r="C71" s="8" t="s">
        <v>137</v>
      </c>
      <c r="D71" s="7"/>
      <c r="E71" s="20" t="s">
        <v>1</v>
      </c>
    </row>
    <row r="72" spans="3:6" ht="12.75" x14ac:dyDescent="0.3">
      <c r="C72" s="7"/>
      <c r="D72" s="7"/>
      <c r="E72" s="22" t="s">
        <v>138</v>
      </c>
    </row>
    <row r="73" spans="3:6" ht="12.75" x14ac:dyDescent="0.3">
      <c r="C73" s="7"/>
      <c r="D73" s="17" t="s">
        <v>31</v>
      </c>
      <c r="E73" s="7"/>
    </row>
    <row r="74" spans="3:6" ht="12.75" x14ac:dyDescent="0.3">
      <c r="C74" s="7"/>
      <c r="D74" s="17" t="s">
        <v>31</v>
      </c>
      <c r="E74" s="7"/>
    </row>
    <row r="75" spans="3:6" ht="12.75" x14ac:dyDescent="0.3">
      <c r="C75" s="7"/>
      <c r="D75" s="17" t="s">
        <v>31</v>
      </c>
      <c r="E75" s="7"/>
    </row>
    <row r="76" spans="3:6" ht="12.75" x14ac:dyDescent="0.3">
      <c r="D76" s="17" t="s">
        <v>31</v>
      </c>
    </row>
    <row r="78" spans="3:6" s="13" customFormat="1" ht="13.9" x14ac:dyDescent="0.3">
      <c r="C78" s="13" t="s">
        <v>139</v>
      </c>
    </row>
    <row r="80" spans="3:6" ht="13.15" x14ac:dyDescent="0.3">
      <c r="C80" s="8" t="s">
        <v>90</v>
      </c>
      <c r="D80" s="7"/>
      <c r="E80" s="20" t="s">
        <v>1</v>
      </c>
    </row>
    <row r="81" spans="3:5" ht="12.75" x14ac:dyDescent="0.3">
      <c r="C81" s="7"/>
      <c r="D81" s="22" t="s">
        <v>96</v>
      </c>
      <c r="E81" s="22" t="s">
        <v>97</v>
      </c>
    </row>
    <row r="82" spans="3:5" s="7" customFormat="1" ht="12.75" x14ac:dyDescent="0.3">
      <c r="D82" s="17" t="s">
        <v>91</v>
      </c>
      <c r="E82" s="17" t="s">
        <v>98</v>
      </c>
    </row>
    <row r="83" spans="3:5" s="7" customFormat="1" ht="12.75" x14ac:dyDescent="0.3">
      <c r="D83" s="17" t="s">
        <v>92</v>
      </c>
      <c r="E83" s="17" t="s">
        <v>99</v>
      </c>
    </row>
    <row r="84" spans="3:5" s="7" customFormat="1" ht="12.75" x14ac:dyDescent="0.3">
      <c r="D84" s="17" t="s">
        <v>93</v>
      </c>
      <c r="E84" s="17" t="s">
        <v>100</v>
      </c>
    </row>
    <row r="85" spans="3:5" s="7" customFormat="1" ht="12.75" x14ac:dyDescent="0.3">
      <c r="D85" s="17" t="s">
        <v>94</v>
      </c>
      <c r="E85" s="17" t="s">
        <v>101</v>
      </c>
    </row>
    <row r="86" spans="3:5" s="7" customFormat="1" ht="12.75" x14ac:dyDescent="0.3">
      <c r="D86" s="17" t="s">
        <v>95</v>
      </c>
      <c r="E86" s="17" t="s">
        <v>122</v>
      </c>
    </row>
    <row r="87" spans="3:5" s="7" customFormat="1" ht="12.75" x14ac:dyDescent="0.3">
      <c r="D87" s="17" t="s">
        <v>162</v>
      </c>
      <c r="E87" s="17" t="s">
        <v>163</v>
      </c>
    </row>
    <row r="88" spans="3:5" s="7" customFormat="1" x14ac:dyDescent="0.3"/>
    <row r="89" spans="3:5" s="7" customFormat="1" ht="13.15" x14ac:dyDescent="0.3">
      <c r="C89" s="8" t="s">
        <v>126</v>
      </c>
      <c r="E89" s="20" t="s">
        <v>1</v>
      </c>
    </row>
    <row r="90" spans="3:5" s="7" customFormat="1" ht="12.75" x14ac:dyDescent="0.3">
      <c r="E90" s="22" t="s">
        <v>130</v>
      </c>
    </row>
    <row r="91" spans="3:5" s="7" customFormat="1" ht="12.75" x14ac:dyDescent="0.3">
      <c r="D91" s="17" t="s">
        <v>127</v>
      </c>
    </row>
    <row r="92" spans="3:5" s="7" customFormat="1" ht="12.75" x14ac:dyDescent="0.3">
      <c r="D92" s="17" t="s">
        <v>128</v>
      </c>
    </row>
    <row r="93" spans="3:5" s="7" customFormat="1" ht="12.75" x14ac:dyDescent="0.3">
      <c r="D93" s="17" t="s">
        <v>129</v>
      </c>
    </row>
    <row r="94" spans="3:5" s="7" customFormat="1" ht="12.75" x14ac:dyDescent="0.3">
      <c r="D94" s="17" t="s">
        <v>115</v>
      </c>
    </row>
    <row r="95" spans="3:5" s="7" customFormat="1" x14ac:dyDescent="0.3"/>
    <row r="96" spans="3:5" s="7" customFormat="1" ht="13.15" x14ac:dyDescent="0.3">
      <c r="C96" s="8" t="s">
        <v>145</v>
      </c>
      <c r="E96" s="20" t="s">
        <v>1</v>
      </c>
    </row>
    <row r="97" spans="3:5" s="7" customFormat="1" ht="12.75" x14ac:dyDescent="0.3">
      <c r="E97" s="22" t="s">
        <v>148</v>
      </c>
    </row>
    <row r="98" spans="3:5" s="7" customFormat="1" ht="12.75" x14ac:dyDescent="0.3">
      <c r="D98" s="17" t="s">
        <v>147</v>
      </c>
    </row>
    <row r="99" spans="3:5" s="7" customFormat="1" ht="12.75" x14ac:dyDescent="0.3">
      <c r="D99" s="17" t="s">
        <v>146</v>
      </c>
    </row>
    <row r="100" spans="3:5" s="7" customFormat="1" ht="12.75" x14ac:dyDescent="0.3">
      <c r="D100" s="17" t="s">
        <v>149</v>
      </c>
    </row>
    <row r="101" spans="3:5" s="7" customFormat="1" ht="12.75" x14ac:dyDescent="0.3">
      <c r="D101" s="17" t="s">
        <v>150</v>
      </c>
    </row>
    <row r="102" spans="3:5" s="7" customFormat="1" x14ac:dyDescent="0.3"/>
    <row r="103" spans="3:5" s="7" customFormat="1" ht="13.15" x14ac:dyDescent="0.3">
      <c r="C103" s="8" t="s">
        <v>151</v>
      </c>
      <c r="E103" s="20" t="s">
        <v>1</v>
      </c>
    </row>
    <row r="104" spans="3:5" s="7" customFormat="1" ht="12.75" x14ac:dyDescent="0.3">
      <c r="E104" s="22" t="s">
        <v>152</v>
      </c>
    </row>
    <row r="105" spans="3:5" s="7" customFormat="1" ht="12.75" x14ac:dyDescent="0.3">
      <c r="D105" s="17" t="s">
        <v>153</v>
      </c>
    </row>
    <row r="106" spans="3:5" s="7" customFormat="1" ht="12.75" x14ac:dyDescent="0.3">
      <c r="D106" s="17" t="s">
        <v>154</v>
      </c>
    </row>
    <row r="107" spans="3:5" s="7" customFormat="1" ht="12.75" x14ac:dyDescent="0.3">
      <c r="D107" s="17" t="s">
        <v>155</v>
      </c>
    </row>
    <row r="108" spans="3:5" s="7" customFormat="1" ht="12.75" x14ac:dyDescent="0.3">
      <c r="D108" s="17" t="s">
        <v>126</v>
      </c>
    </row>
    <row r="109" spans="3:5" s="7" customFormat="1" ht="12.75" x14ac:dyDescent="0.3">
      <c r="D109" s="17" t="s">
        <v>147</v>
      </c>
    </row>
    <row r="110" spans="3:5" s="7" customFormat="1" ht="12.75" x14ac:dyDescent="0.3">
      <c r="D110" s="17" t="s">
        <v>146</v>
      </c>
    </row>
    <row r="111" spans="3:5" s="7" customFormat="1" ht="12.75" x14ac:dyDescent="0.3">
      <c r="D111" s="17" t="s">
        <v>122</v>
      </c>
    </row>
    <row r="112" spans="3:5" s="7" customFormat="1" ht="12.75" x14ac:dyDescent="0.3">
      <c r="D112" s="17" t="s">
        <v>123</v>
      </c>
    </row>
    <row r="113" spans="3:5" s="7" customFormat="1" ht="12.75" x14ac:dyDescent="0.3">
      <c r="D113" s="17" t="s">
        <v>124</v>
      </c>
    </row>
    <row r="114" spans="3:5" s="7" customFormat="1" ht="12.75" x14ac:dyDescent="0.3">
      <c r="D114" s="17" t="s">
        <v>125</v>
      </c>
    </row>
    <row r="115" spans="3:5" s="7" customFormat="1" ht="12.75" x14ac:dyDescent="0.3">
      <c r="D115" s="79"/>
    </row>
    <row r="116" spans="3:5" s="7" customFormat="1" ht="13.15" x14ac:dyDescent="0.3">
      <c r="C116" s="8" t="s">
        <v>102</v>
      </c>
      <c r="E116" s="20" t="s">
        <v>1</v>
      </c>
    </row>
    <row r="117" spans="3:5" s="7" customFormat="1" ht="12.75" x14ac:dyDescent="0.3">
      <c r="E117" s="22" t="s">
        <v>121</v>
      </c>
    </row>
    <row r="118" spans="3:5" s="7" customFormat="1" ht="13.15" x14ac:dyDescent="0.3">
      <c r="D118" s="60" t="s">
        <v>103</v>
      </c>
    </row>
    <row r="119" spans="3:5" s="7" customFormat="1" ht="12.75" x14ac:dyDescent="0.3">
      <c r="D119" s="17" t="s">
        <v>104</v>
      </c>
    </row>
    <row r="120" spans="3:5" s="7" customFormat="1" ht="12.75" x14ac:dyDescent="0.3">
      <c r="D120" s="17" t="s">
        <v>105</v>
      </c>
    </row>
    <row r="121" spans="3:5" s="7" customFormat="1" ht="12.75" x14ac:dyDescent="0.3">
      <c r="D121" s="17" t="s">
        <v>106</v>
      </c>
    </row>
    <row r="122" spans="3:5" s="7" customFormat="1" ht="12.75" x14ac:dyDescent="0.3">
      <c r="D122" s="17" t="s">
        <v>107</v>
      </c>
    </row>
    <row r="123" spans="3:5" s="7" customFormat="1" ht="13.15" x14ac:dyDescent="0.3">
      <c r="D123" s="60" t="s">
        <v>108</v>
      </c>
    </row>
    <row r="124" spans="3:5" s="7" customFormat="1" ht="12.75" x14ac:dyDescent="0.3">
      <c r="D124" s="17" t="s">
        <v>109</v>
      </c>
    </row>
    <row r="125" spans="3:5" s="7" customFormat="1" ht="12.75" x14ac:dyDescent="0.3">
      <c r="D125" s="17" t="s">
        <v>110</v>
      </c>
    </row>
    <row r="126" spans="3:5" s="7" customFormat="1" ht="13.15" x14ac:dyDescent="0.3">
      <c r="D126" s="60" t="s">
        <v>111</v>
      </c>
    </row>
    <row r="127" spans="3:5" s="7" customFormat="1" ht="12.75" x14ac:dyDescent="0.3">
      <c r="D127" s="17" t="s">
        <v>112</v>
      </c>
    </row>
    <row r="128" spans="3:5" s="7" customFormat="1" ht="12.75" x14ac:dyDescent="0.3">
      <c r="D128" s="17" t="s">
        <v>113</v>
      </c>
    </row>
    <row r="129" spans="3:5" s="7" customFormat="1" ht="12.75" x14ac:dyDescent="0.3">
      <c r="D129" s="17" t="s">
        <v>114</v>
      </c>
    </row>
    <row r="130" spans="3:5" s="7" customFormat="1" ht="13.15" x14ac:dyDescent="0.3">
      <c r="D130" s="60" t="s">
        <v>115</v>
      </c>
    </row>
    <row r="131" spans="3:5" s="7" customFormat="1" ht="12.75" x14ac:dyDescent="0.3">
      <c r="D131" s="17" t="s">
        <v>116</v>
      </c>
    </row>
    <row r="132" spans="3:5" s="7" customFormat="1" ht="12.75" x14ac:dyDescent="0.3">
      <c r="D132" s="17" t="s">
        <v>117</v>
      </c>
    </row>
    <row r="133" spans="3:5" s="7" customFormat="1" ht="12.75" x14ac:dyDescent="0.3">
      <c r="D133" s="17" t="s">
        <v>118</v>
      </c>
    </row>
    <row r="134" spans="3:5" ht="12.75" x14ac:dyDescent="0.3">
      <c r="D134" s="17" t="s">
        <v>119</v>
      </c>
    </row>
    <row r="135" spans="3:5" ht="12.75" x14ac:dyDescent="0.3">
      <c r="D135" s="17" t="s">
        <v>120</v>
      </c>
    </row>
    <row r="137" spans="3:5" s="7" customFormat="1" ht="13.15" x14ac:dyDescent="0.3">
      <c r="C137" s="8" t="s">
        <v>156</v>
      </c>
      <c r="E137" s="20" t="s">
        <v>1</v>
      </c>
    </row>
    <row r="138" spans="3:5" s="7" customFormat="1" ht="12.75" x14ac:dyDescent="0.3">
      <c r="E138" s="22" t="s">
        <v>157</v>
      </c>
    </row>
    <row r="139" spans="3:5" s="7" customFormat="1" ht="12.75" x14ac:dyDescent="0.3">
      <c r="D139" s="17" t="str">
        <f>D119</f>
        <v>Routine maintenance</v>
      </c>
    </row>
    <row r="140" spans="3:5" s="7" customFormat="1" ht="12.75" x14ac:dyDescent="0.3">
      <c r="D140" s="17" t="str">
        <f t="shared" ref="D140:D142" si="18">D120</f>
        <v>Non-routine maintenance</v>
      </c>
    </row>
    <row r="141" spans="3:5" s="7" customFormat="1" ht="12.75" x14ac:dyDescent="0.3">
      <c r="D141" s="17" t="str">
        <f t="shared" si="18"/>
        <v>Emergency response</v>
      </c>
    </row>
    <row r="142" spans="3:5" s="7" customFormat="1" ht="12.75" x14ac:dyDescent="0.3">
      <c r="D142" s="17" t="str">
        <f t="shared" si="18"/>
        <v>Vegetation management</v>
      </c>
    </row>
    <row r="143" spans="3:5" s="7" customFormat="1" ht="12.75" x14ac:dyDescent="0.3">
      <c r="D143" s="17" t="str">
        <f>D124</f>
        <v>Network overheads</v>
      </c>
    </row>
    <row r="144" spans="3:5" s="7" customFormat="1" ht="12.75" x14ac:dyDescent="0.3">
      <c r="D144" s="17" t="str">
        <f>D125</f>
        <v>Corporate overheads (excl. IT)</v>
      </c>
    </row>
    <row r="145" spans="2:4" s="7" customFormat="1" ht="12.75" x14ac:dyDescent="0.3">
      <c r="D145" s="17" t="str">
        <f>D127</f>
        <v>Information technology</v>
      </c>
    </row>
    <row r="146" spans="2:4" s="7" customFormat="1" ht="12.75" x14ac:dyDescent="0.3">
      <c r="D146" s="17" t="str">
        <f t="shared" ref="D146:D147" si="19">D128</f>
        <v>Motor vehicles</v>
      </c>
    </row>
    <row r="147" spans="2:4" s="7" customFormat="1" ht="12.75" x14ac:dyDescent="0.3">
      <c r="D147" s="17" t="str">
        <f t="shared" si="19"/>
        <v>Buildings and property (incl. tools, fleet &amp; equipment)</v>
      </c>
    </row>
    <row r="148" spans="2:4" s="7" customFormat="1" ht="12.75" x14ac:dyDescent="0.3">
      <c r="D148" s="17" t="str">
        <f>D131</f>
        <v>Levies (incl. license fees)</v>
      </c>
    </row>
    <row r="149" spans="2:4" s="7" customFormat="1" ht="12.75" x14ac:dyDescent="0.3">
      <c r="D149" s="17" t="str">
        <f t="shared" ref="D149:D152" si="20">D132</f>
        <v>GSL payments</v>
      </c>
    </row>
    <row r="150" spans="2:4" s="7" customFormat="1" ht="12.75" x14ac:dyDescent="0.3">
      <c r="D150" s="17" t="str">
        <f t="shared" si="20"/>
        <v>Demand side management</v>
      </c>
    </row>
    <row r="151" spans="2:4" s="7" customFormat="1" ht="12.75" x14ac:dyDescent="0.3">
      <c r="D151" s="17" t="str">
        <f t="shared" si="20"/>
        <v>Self insurance</v>
      </c>
    </row>
    <row r="152" spans="2:4" s="7" customFormat="1" ht="12.75" x14ac:dyDescent="0.3">
      <c r="D152" s="17" t="str">
        <f t="shared" si="20"/>
        <v>Debt raising costs</v>
      </c>
    </row>
    <row r="153" spans="2:4" s="7" customFormat="1" ht="12.75" x14ac:dyDescent="0.3">
      <c r="D153" s="17" t="s">
        <v>160</v>
      </c>
    </row>
    <row r="155" spans="2:4" s="4" customFormat="1" ht="15" x14ac:dyDescent="0.3">
      <c r="B155" s="4" t="s">
        <v>33</v>
      </c>
    </row>
  </sheetData>
  <conditionalFormatting sqref="B2">
    <cfRule type="cellIs" dxfId="10" priority="1" operator="notEqual">
      <formula>"No Errors Found"</formula>
    </cfRule>
  </conditionalFormatting>
  <hyperlinks>
    <hyperlink ref="B3:E3" location="TOC!A1" display="TOC!A1" xr:uid="{00000000-0004-0000-08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showGridLines="0" zoomScaleNormal="100" workbookViewId="0">
      <pane xSplit="1" ySplit="4" topLeftCell="B5" activePane="bottomRight" state="frozen"/>
      <selection activeCell="H29" sqref="H29"/>
      <selection pane="topRight" activeCell="H29" sqref="H29"/>
      <selection pane="bottomLeft" activeCell="H29" sqref="H29"/>
      <selection pane="bottomRight" activeCell="H29" sqref="H29"/>
    </sheetView>
  </sheetViews>
  <sheetFormatPr defaultRowHeight="10.15" x14ac:dyDescent="0.3"/>
  <cols>
    <col min="1" max="3" width="2.83203125" customWidth="1"/>
    <col min="4" max="4" width="65" customWidth="1"/>
    <col min="5" max="7" width="3.83203125" customWidth="1"/>
  </cols>
  <sheetData>
    <row r="1" spans="1:9" ht="18.75" x14ac:dyDescent="0.3">
      <c r="A1" s="7"/>
      <c r="B1" s="5" t="s">
        <v>15</v>
      </c>
      <c r="C1" s="7"/>
      <c r="D1" s="7"/>
      <c r="E1" s="7"/>
      <c r="F1" s="7"/>
      <c r="G1" s="7"/>
      <c r="H1" s="7"/>
      <c r="I1" s="7"/>
    </row>
    <row r="2" spans="1:9" s="9" customFormat="1" x14ac:dyDescent="0.3">
      <c r="A2" s="7"/>
      <c r="B2" s="18" t="str">
        <f>Title_Msg</f>
        <v>No Errors Found</v>
      </c>
      <c r="C2" s="7"/>
      <c r="D2" s="7"/>
      <c r="E2" s="7"/>
      <c r="F2" s="7"/>
      <c r="G2" s="7"/>
      <c r="H2" s="7"/>
      <c r="I2" s="7"/>
    </row>
    <row r="3" spans="1:9" s="7" customFormat="1" x14ac:dyDescent="0.3">
      <c r="B3" s="55" t="str">
        <f>TOC!B1</f>
        <v>Table of Contents</v>
      </c>
      <c r="C3" s="49"/>
      <c r="D3" s="49"/>
      <c r="E3" s="49"/>
    </row>
    <row r="4" spans="1:9" s="7" customFormat="1" ht="13.15" x14ac:dyDescent="0.3">
      <c r="B4" s="46" t="str">
        <f>Model_Name</f>
        <v>Rate of Return Model - Power and Water Corporation (PWC)</v>
      </c>
    </row>
    <row r="5" spans="1:9" s="9" customFormat="1" x14ac:dyDescent="0.3">
      <c r="A5" s="7"/>
      <c r="B5" s="18"/>
      <c r="C5" s="7"/>
      <c r="D5" s="7"/>
      <c r="E5" s="7"/>
      <c r="F5" s="7"/>
      <c r="G5" s="7"/>
      <c r="H5" s="7"/>
      <c r="I5" s="7"/>
    </row>
    <row r="6" spans="1:9" s="25" customFormat="1" ht="15" x14ac:dyDescent="0.3">
      <c r="B6" s="4" t="s">
        <v>17</v>
      </c>
    </row>
    <row r="7" spans="1:9" s="9" customFormat="1" ht="4.1500000000000004" customHeight="1" x14ac:dyDescent="0.3">
      <c r="A7" s="7"/>
      <c r="B7" s="26"/>
      <c r="C7" s="7"/>
      <c r="D7" s="7"/>
      <c r="E7" s="7"/>
      <c r="F7" s="7"/>
      <c r="G7" s="7"/>
      <c r="H7" s="7"/>
      <c r="I7" s="7"/>
    </row>
    <row r="8" spans="1:9" s="9" customFormat="1" ht="12.75" x14ac:dyDescent="0.3">
      <c r="A8" s="7"/>
      <c r="D8" s="11" t="s">
        <v>16</v>
      </c>
      <c r="E8" s="7"/>
      <c r="F8" s="7"/>
      <c r="G8" s="7"/>
      <c r="H8" s="12" t="str">
        <f>IF(H28=0,"No Errors Found","Errors Found")</f>
        <v>No Errors Found</v>
      </c>
      <c r="I8" s="7"/>
    </row>
    <row r="9" spans="1:9" s="9" customFormat="1" ht="12.75" x14ac:dyDescent="0.3">
      <c r="A9" s="7"/>
      <c r="D9" s="11" t="s">
        <v>18</v>
      </c>
      <c r="E9" s="7"/>
      <c r="F9" s="7"/>
      <c r="G9" s="7"/>
      <c r="H9" s="11"/>
      <c r="I9" s="7"/>
    </row>
    <row r="10" spans="1:9" s="9" customFormat="1" ht="12.75" x14ac:dyDescent="0.3">
      <c r="A10" s="7"/>
      <c r="D10" s="11" t="s">
        <v>19</v>
      </c>
      <c r="E10" s="7"/>
      <c r="F10" s="7"/>
      <c r="G10" s="7"/>
      <c r="H10" s="29" t="str">
        <f>H8&amp;IF(H9="","",", " &amp;H9)</f>
        <v>No Errors Found</v>
      </c>
      <c r="I10" s="7"/>
    </row>
    <row r="11" spans="1:9" s="9" customFormat="1" ht="4.1500000000000004" customHeight="1" x14ac:dyDescent="0.3">
      <c r="A11" s="7"/>
      <c r="B11" s="26"/>
      <c r="C11" s="7"/>
      <c r="D11" s="7"/>
      <c r="E11" s="7"/>
      <c r="F11" s="7"/>
      <c r="G11" s="7"/>
      <c r="H11" s="7"/>
      <c r="I11" s="7"/>
    </row>
    <row r="12" spans="1:9" s="25" customFormat="1" ht="15" x14ac:dyDescent="0.3">
      <c r="B12" s="4" t="s">
        <v>32</v>
      </c>
    </row>
    <row r="13" spans="1:9" s="9" customFormat="1" ht="4.1500000000000004" customHeight="1" x14ac:dyDescent="0.3">
      <c r="A13" s="7"/>
      <c r="B13" s="26"/>
      <c r="C13" s="7"/>
      <c r="D13" s="7"/>
      <c r="E13" s="7"/>
      <c r="F13" s="7"/>
      <c r="G13" s="7"/>
      <c r="H13" s="7"/>
      <c r="I13" s="7"/>
    </row>
    <row r="14" spans="1:9" s="13" customFormat="1" ht="13.9" x14ac:dyDescent="0.3">
      <c r="C14" s="13" t="s">
        <v>12</v>
      </c>
    </row>
    <row r="15" spans="1:9" s="9" customFormat="1" ht="4.1500000000000004" customHeight="1" x14ac:dyDescent="0.3">
      <c r="A15" s="7"/>
      <c r="B15" s="26"/>
      <c r="C15" s="7"/>
      <c r="D15" s="7"/>
      <c r="E15" s="7"/>
      <c r="F15" s="7"/>
      <c r="G15" s="7"/>
      <c r="H15" s="7"/>
      <c r="I15" s="7"/>
    </row>
    <row r="16" spans="1:9" s="9" customFormat="1" ht="13.15" x14ac:dyDescent="0.3">
      <c r="C16" s="14" t="s">
        <v>258</v>
      </c>
    </row>
    <row r="17" spans="1:9" s="9" customFormat="1" ht="4.1500000000000004" customHeight="1" x14ac:dyDescent="0.3">
      <c r="A17" s="7"/>
      <c r="B17" s="26"/>
      <c r="C17" s="7"/>
      <c r="D17" s="7"/>
      <c r="E17" s="7"/>
      <c r="F17" s="7"/>
      <c r="G17" s="7"/>
      <c r="H17" s="7"/>
      <c r="I17" s="7"/>
    </row>
    <row r="18" spans="1:9" ht="12.75" x14ac:dyDescent="0.3">
      <c r="A18" s="7"/>
      <c r="D18" s="11" t="str">
        <f>Input_Data!$B$1</f>
        <v>Rate of return inputs</v>
      </c>
      <c r="E18" s="7"/>
      <c r="F18" s="7"/>
      <c r="G18" s="7"/>
      <c r="H18" s="75">
        <f>Input_Data!A1</f>
        <v>0</v>
      </c>
      <c r="I18" s="7"/>
    </row>
    <row r="19" spans="1:9" s="9" customFormat="1" ht="13.15" x14ac:dyDescent="0.3">
      <c r="A19" s="7"/>
      <c r="C19" s="14" t="s">
        <v>259</v>
      </c>
      <c r="D19" s="11"/>
      <c r="E19" s="7"/>
      <c r="F19" s="7"/>
      <c r="G19" s="7"/>
      <c r="H19" s="75"/>
      <c r="I19" s="7"/>
    </row>
    <row r="20" spans="1:9" s="9" customFormat="1" ht="4.1500000000000004" customHeight="1" x14ac:dyDescent="0.3">
      <c r="A20" s="7"/>
      <c r="B20" s="26"/>
      <c r="C20" s="7"/>
      <c r="D20" s="7"/>
      <c r="E20" s="7"/>
      <c r="F20" s="7"/>
      <c r="G20" s="7"/>
      <c r="H20" s="7"/>
      <c r="I20" s="7"/>
    </row>
    <row r="21" spans="1:9" s="9" customFormat="1" ht="12.75" x14ac:dyDescent="0.3">
      <c r="D21" s="11" t="str">
        <f>Output_PTRM!$B$1</f>
        <v>Inputs to PTRM</v>
      </c>
      <c r="E21" s="7"/>
      <c r="F21" s="7"/>
      <c r="G21" s="7"/>
      <c r="H21" s="75">
        <f>Output_PTRM!$A$1</f>
        <v>0</v>
      </c>
    </row>
    <row r="22" spans="1:9" s="9" customFormat="1" ht="4.1500000000000004" customHeight="1" x14ac:dyDescent="0.3">
      <c r="A22" s="7"/>
      <c r="B22" s="26"/>
      <c r="C22" s="7"/>
      <c r="D22" s="7"/>
      <c r="E22" s="7"/>
      <c r="F22" s="7"/>
      <c r="G22" s="7"/>
      <c r="H22" s="7"/>
      <c r="I22" s="7"/>
    </row>
    <row r="23" spans="1:9" s="9" customFormat="1" ht="4.1500000000000004" customHeight="1" x14ac:dyDescent="0.3">
      <c r="A23" s="7"/>
      <c r="B23" s="26"/>
      <c r="C23" s="7"/>
      <c r="D23" s="7"/>
      <c r="E23" s="7"/>
      <c r="F23" s="7"/>
      <c r="G23" s="7"/>
      <c r="H23" s="7"/>
      <c r="I23" s="7"/>
    </row>
    <row r="24" spans="1:9" s="9" customFormat="1" ht="13.15" x14ac:dyDescent="0.3">
      <c r="C24" s="14" t="s">
        <v>260</v>
      </c>
      <c r="D24" s="11"/>
      <c r="E24" s="7"/>
      <c r="F24" s="7"/>
      <c r="G24" s="7"/>
      <c r="H24" s="75"/>
    </row>
    <row r="25" spans="1:9" s="9" customFormat="1" ht="4.1500000000000004" customHeight="1" x14ac:dyDescent="0.3">
      <c r="A25" s="7"/>
      <c r="B25" s="26"/>
      <c r="C25" s="7"/>
      <c r="D25" s="7"/>
      <c r="E25" s="7"/>
      <c r="F25" s="7"/>
      <c r="G25" s="7"/>
      <c r="H25" s="7"/>
      <c r="I25" s="7"/>
    </row>
    <row r="26" spans="1:9" ht="12.75" x14ac:dyDescent="0.3">
      <c r="C26" s="9"/>
      <c r="D26" s="11" t="str">
        <f>Output_PTRM!$B$1</f>
        <v>Inputs to PTRM</v>
      </c>
      <c r="E26" s="7"/>
      <c r="F26" s="7"/>
      <c r="G26" s="7"/>
      <c r="H26" s="75">
        <f>Output_PTRM!A1</f>
        <v>0</v>
      </c>
    </row>
    <row r="27" spans="1:9" s="9" customFormat="1" ht="4.1500000000000004" customHeight="1" x14ac:dyDescent="0.3">
      <c r="A27" s="7"/>
      <c r="B27" s="26"/>
      <c r="C27" s="7"/>
      <c r="D27" s="7"/>
      <c r="E27" s="7"/>
      <c r="F27" s="7"/>
      <c r="G27" s="7"/>
      <c r="H27" s="7"/>
      <c r="I27" s="7"/>
    </row>
    <row r="28" spans="1:9" ht="13.15" x14ac:dyDescent="0.3">
      <c r="C28" s="14" t="s">
        <v>49</v>
      </c>
      <c r="H28" s="28">
        <f>IF(SUM(H18:H26)=0,0,1)</f>
        <v>0</v>
      </c>
    </row>
    <row r="29" spans="1:9" s="9" customFormat="1" ht="4.1500000000000004" customHeight="1" x14ac:dyDescent="0.3">
      <c r="A29" s="7"/>
      <c r="B29" s="26"/>
      <c r="C29" s="7"/>
      <c r="D29" s="7"/>
      <c r="E29" s="7"/>
      <c r="F29" s="7"/>
      <c r="G29" s="7"/>
      <c r="H29" s="7"/>
      <c r="I29" s="7"/>
    </row>
    <row r="30" spans="1:9" s="13" customFormat="1" ht="13.9" x14ac:dyDescent="0.3">
      <c r="C30" s="13" t="s">
        <v>33</v>
      </c>
    </row>
  </sheetData>
  <conditionalFormatting sqref="B7 B2 B5">
    <cfRule type="cellIs" dxfId="9" priority="21" operator="notEqual">
      <formula>"No Errors Found"</formula>
    </cfRule>
  </conditionalFormatting>
  <conditionalFormatting sqref="B11">
    <cfRule type="cellIs" dxfId="8" priority="18" operator="notEqual">
      <formula>"No Errors Found"</formula>
    </cfRule>
  </conditionalFormatting>
  <conditionalFormatting sqref="B13">
    <cfRule type="cellIs" dxfId="7" priority="17" operator="notEqual">
      <formula>"No Errors Found"</formula>
    </cfRule>
  </conditionalFormatting>
  <conditionalFormatting sqref="B15 B17">
    <cfRule type="cellIs" dxfId="6" priority="16" operator="notEqual">
      <formula>"No Errors Found"</formula>
    </cfRule>
  </conditionalFormatting>
  <conditionalFormatting sqref="B27">
    <cfRule type="cellIs" dxfId="5" priority="15" operator="notEqual">
      <formula>"No Errors Found"</formula>
    </cfRule>
  </conditionalFormatting>
  <conditionalFormatting sqref="B29">
    <cfRule type="cellIs" dxfId="4" priority="14" operator="notEqual">
      <formula>"No Errors Found"</formula>
    </cfRule>
  </conditionalFormatting>
  <conditionalFormatting sqref="B20">
    <cfRule type="cellIs" dxfId="3" priority="12" operator="notEqual">
      <formula>"No Errors Found"</formula>
    </cfRule>
  </conditionalFormatting>
  <conditionalFormatting sqref="B22">
    <cfRule type="cellIs" dxfId="2" priority="11" operator="notEqual">
      <formula>"No Errors Found"</formula>
    </cfRule>
  </conditionalFormatting>
  <conditionalFormatting sqref="B23">
    <cfRule type="cellIs" dxfId="1" priority="6" operator="notEqual">
      <formula>"No Errors Found"</formula>
    </cfRule>
  </conditionalFormatting>
  <conditionalFormatting sqref="B25">
    <cfRule type="cellIs" dxfId="0" priority="1" operator="notEqual">
      <formula>"No Errors Found"</formula>
    </cfRule>
  </conditionalFormatting>
  <hyperlinks>
    <hyperlink ref="B3:E3" location="TOC!A1" display="TOC!A1" xr:uid="{00000000-0004-0000-09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C04A3FF7-BB84-49CF-A871-C5FCAA994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97CDD1-FCE8-40FA-A22B-39998E6D97A8}">
  <ds:schemaRef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7aa583b4-7878-4620-ad4f-d1b586498304"/>
    <ds:schemaRef ds:uri="4eb6023d-658b-4527-be73-24b0518f0bf9"/>
    <ds:schemaRef ds:uri="http://purl.org/dc/terms/"/>
    <ds:schemaRef ds:uri="http://purl.org/dc/elements/1.1/"/>
  </ds:schemaRefs>
</ds:datastoreItem>
</file>

<file path=customXml/itemProps3.xml><?xml version="1.0" encoding="utf-8"?>
<ds:datastoreItem xmlns:ds="http://schemas.openxmlformats.org/officeDocument/2006/customXml" ds:itemID="{CA4CC24A-A301-4156-98D3-737AA101ADA0}">
  <ds:schemaRefs>
    <ds:schemaRef ds:uri="http://schemas.microsoft.com/sharepoint/v3/contenttype/forms"/>
  </ds:schemaRefs>
</ds:datastoreItem>
</file>

<file path=customXml/itemProps4.xml><?xml version="1.0" encoding="utf-8"?>
<ds:datastoreItem xmlns:ds="http://schemas.openxmlformats.org/officeDocument/2006/customXml" ds:itemID="{44735EC9-7DDE-41BB-9706-B74BC2E3EF3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50</vt:i4>
      </vt:variant>
    </vt:vector>
  </HeadingPairs>
  <TitlesOfParts>
    <vt:vector size="57" baseType="lpstr">
      <vt:lpstr>Cover</vt:lpstr>
      <vt:lpstr>TOC</vt:lpstr>
      <vt:lpstr>Input_Data</vt:lpstr>
      <vt:lpstr>Calc_Returns</vt:lpstr>
      <vt:lpstr>Output_PTRM</vt:lpstr>
      <vt:lpstr>Lookup</vt:lpstr>
      <vt:lpstr>Checks</vt:lpstr>
      <vt:lpstr>Base_Year</vt:lpstr>
      <vt:lpstr>Beta</vt:lpstr>
      <vt:lpstr>Days_In_Wk</vt:lpstr>
      <vt:lpstr>Days_In_Yr</vt:lpstr>
      <vt:lpstr>Dollars</vt:lpstr>
      <vt:lpstr>End_year</vt:lpstr>
      <vt:lpstr>Error</vt:lpstr>
      <vt:lpstr>Factor</vt:lpstr>
      <vt:lpstr>Gamma</vt:lpstr>
      <vt:lpstr>Half</vt:lpstr>
      <vt:lpstr>Inflation</vt:lpstr>
      <vt:lpstr>Kilometres</vt:lpstr>
      <vt:lpstr>Leverage</vt:lpstr>
      <vt:lpstr>LU_Basis</vt:lpstr>
      <vt:lpstr>LU_Non_Network</vt:lpstr>
      <vt:lpstr>LU_Opex_View_1</vt:lpstr>
      <vt:lpstr>LU_Opex_View_2</vt:lpstr>
      <vt:lpstr>LU_Opex_View_2_Names</vt:lpstr>
      <vt:lpstr>LU_Overheads</vt:lpstr>
      <vt:lpstr>LU_Service_Long</vt:lpstr>
      <vt:lpstr>LU_Service_Short</vt:lpstr>
      <vt:lpstr>LU_Timing</vt:lpstr>
      <vt:lpstr>LU_Timing_Value</vt:lpstr>
      <vt:lpstr>LU_Units</vt:lpstr>
      <vt:lpstr>Method</vt:lpstr>
      <vt:lpstr>Mid_year</vt:lpstr>
      <vt:lpstr>Millions</vt:lpstr>
      <vt:lpstr>Model_Name</vt:lpstr>
      <vt:lpstr>Model_Start_Date</vt:lpstr>
      <vt:lpstr>MRP</vt:lpstr>
      <vt:lpstr>Mths_In_Mth</vt:lpstr>
      <vt:lpstr>Mths_In_Qtr</vt:lpstr>
      <vt:lpstr>Mths_In_Yr</vt:lpstr>
      <vt:lpstr>NA</vt:lpstr>
      <vt:lpstr>No</vt:lpstr>
      <vt:lpstr>Nominal</vt:lpstr>
      <vt:lpstr>Number</vt:lpstr>
      <vt:lpstr>Ok</vt:lpstr>
      <vt:lpstr>Percent</vt:lpstr>
      <vt:lpstr>Qtrs_In_Yr</vt:lpstr>
      <vt:lpstr>Real2018</vt:lpstr>
      <vt:lpstr>Real2019</vt:lpstr>
      <vt:lpstr>RFR</vt:lpstr>
      <vt:lpstr>ROD</vt:lpstr>
      <vt:lpstr>ROE</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Eli Grace-Webb</cp:lastModifiedBy>
  <cp:lastPrinted>2013-05-06T05:05:19Z</cp:lastPrinted>
  <dcterms:created xsi:type="dcterms:W3CDTF">2012-02-19T06:14:59Z</dcterms:created>
  <dcterms:modified xsi:type="dcterms:W3CDTF">2018-01-29T02:34:38Z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