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fileSharing readOnlyRecommended="1"/>
  <workbookPr codeName="ThisWorkbook" defaultThemeVersion="166925"/>
  <mc:AlternateContent xmlns:mc="http://schemas.openxmlformats.org/markup-compatibility/2006">
    <mc:Choice Requires="x15">
      <x15ac:absPath xmlns:x15ac="http://schemas.microsoft.com/office/spreadsheetml/2010/11/ac" url="https://farrierswier.sharepoint.com/projects/607_PWC_AER2429_Modelling/Working/Scenarios/IP10/Submission/"/>
    </mc:Choice>
  </mc:AlternateContent>
  <xr:revisionPtr revIDLastSave="60" documentId="13_ncr:800001_{C04E1798-4F3C-4CD3-A443-AC006213F005}" xr6:coauthVersionLast="47" xr6:coauthVersionMax="47" xr10:uidLastSave="{F2D994AC-C076-4690-B54D-4D594DB1119A}"/>
  <bookViews>
    <workbookView xWindow="-98" yWindow="-98" windowWidth="22695" windowHeight="14476" tabRatio="887" xr2:uid="{00000000-000D-0000-FFFF-FFFF00000000}"/>
  </bookViews>
  <sheets>
    <sheet name="Cover" sheetId="77" r:id="rId1"/>
    <sheet name="TOC" sheetId="78" r:id="rId2"/>
    <sheet name="OUTPUTS --&gt;" sheetId="58" r:id="rId3"/>
    <sheet name="Export|Projects" sheetId="80" r:id="rId4"/>
    <sheet name="Reset RIN" sheetId="84" r:id="rId5"/>
    <sheet name="Gross connection capex (SCS)" sheetId="59" r:id="rId6"/>
    <sheet name="Capital contributions (SCS)" sheetId="61" r:id="rId7"/>
    <sheet name="CALCS --&gt;" sheetId="54" r:id="rId8"/>
    <sheet name="Net connection capex (SCS)" sheetId="55" r:id="rId9"/>
    <sheet name="Cash contributions (SCS)" sheetId="62" r:id="rId10"/>
    <sheet name="CALCS ACS--&gt;" sheetId="81" r:id="rId11"/>
    <sheet name="Net connection capex (ACS)" sheetId="82" r:id="rId12"/>
    <sheet name="INPUTS --&gt;" sheetId="52" r:id="rId13"/>
    <sheet name="Gifted assets" sheetId="56" r:id="rId14"/>
    <sheet name="2.5 Connections" sheetId="53" r:id="rId15"/>
    <sheet name="Lookups" sheetId="76" r:id="rId16"/>
    <sheet name="Checks" sheetId="79" r:id="rId17"/>
  </sheets>
  <definedNames>
    <definedName name="_xlnm._FilterDatabase" localSheetId="6" hidden="1">'Capital contributions (SCS)'!$C$7:$P$25</definedName>
    <definedName name="_xlnm._FilterDatabase" localSheetId="9" hidden="1">'Cash contributions (SCS)'!$C$12:$P$30</definedName>
    <definedName name="_xlnm._FilterDatabase" localSheetId="3" hidden="1">'Export|Projects'!$B$9:$CS$9</definedName>
    <definedName name="_xlnm._FilterDatabase" localSheetId="13" hidden="1">'Gifted assets'!$C$7:$P$25</definedName>
    <definedName name="_xlnm._FilterDatabase" localSheetId="5" hidden="1">'Gross connection capex (SCS)'!$C$7:$P$25</definedName>
    <definedName name="_xlnm._FilterDatabase" localSheetId="11" hidden="1">'Net connection capex (ACS)'!$C$7:$P$25</definedName>
    <definedName name="_xlnm._FilterDatabase" localSheetId="8" hidden="1">'Net connection capex (SCS)'!$C$7:$P$25</definedName>
    <definedName name="_xlnm._FilterDatabase" localSheetId="4" hidden="1">'Reset RIN'!$C$7:$P$25</definedName>
    <definedName name="anscount" hidden="1">1</definedName>
    <definedName name="Contribution_Ratio">'Cash contributions (SCS)'!$I$8</definedName>
    <definedName name="Dollars">Lookups!$E$21</definedName>
    <definedName name="End_Period">Lookups!$E$24</definedName>
    <definedName name="Gifted_Include_2224">'Gross connection capex (SCS)'!$V$10</definedName>
    <definedName name="Gifted_Include_2429">'Gross connection capex (SCS)'!$V$9</definedName>
    <definedName name="Input_Dollar_Basis">Lookups!$E$18</definedName>
    <definedName name="Input_Unit">Lookups!$E$16</definedName>
    <definedName name="LU_DNSP_Mapping">Lookups!$D$82:$D$95</definedName>
    <definedName name="LU_RIN_Cat">Lookups!$D$72:$D$78</definedName>
    <definedName name="Mid_Period">Lookups!$E$23</definedName>
    <definedName name="Model_Name">Cover!$B$3</definedName>
    <definedName name="Nominal">Lookups!$E$20</definedName>
    <definedName name="Output_Dollar_Basis">Lookups!$E$19</definedName>
    <definedName name="Title_Msg" localSheetId="16">Checks!$H$8</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79" l="1"/>
  <c r="D28" i="78"/>
  <c r="D27" i="78"/>
  <c r="D25" i="78"/>
  <c r="D24" i="78"/>
  <c r="D16" i="78"/>
  <c r="D15" i="78"/>
  <c r="D11" i="78"/>
  <c r="D10" i="78"/>
  <c r="D9" i="78"/>
  <c r="D8" i="78"/>
  <c r="L76" i="82" l="1"/>
  <c r="L76" i="55"/>
  <c r="L77" i="55" l="1"/>
  <c r="L90" i="55" l="1"/>
  <c r="L89" i="55"/>
  <c r="L88" i="55"/>
  <c r="L87" i="55"/>
  <c r="L86" i="55"/>
  <c r="L85" i="55"/>
  <c r="L84" i="55"/>
  <c r="L83" i="55"/>
  <c r="L82" i="55"/>
  <c r="L81" i="55"/>
  <c r="L80" i="55"/>
  <c r="L79" i="55"/>
  <c r="L78" i="55"/>
  <c r="F30" i="59"/>
  <c r="G30" i="59"/>
  <c r="H30" i="59"/>
  <c r="H52" i="84"/>
  <c r="G52" i="84"/>
  <c r="F52" i="84"/>
  <c r="H50" i="84"/>
  <c r="G50" i="84"/>
  <c r="F50" i="84"/>
  <c r="E50" i="84"/>
  <c r="H49" i="84"/>
  <c r="G49" i="84"/>
  <c r="F49" i="84"/>
  <c r="E49" i="84"/>
  <c r="H48" i="84"/>
  <c r="G48" i="84"/>
  <c r="F48" i="84"/>
  <c r="E48" i="84"/>
  <c r="D48" i="84"/>
  <c r="H47" i="84"/>
  <c r="G47" i="84"/>
  <c r="F47" i="84"/>
  <c r="E47" i="84"/>
  <c r="H46" i="84"/>
  <c r="G46" i="84"/>
  <c r="F46" i="84"/>
  <c r="E46" i="84"/>
  <c r="H45" i="84"/>
  <c r="G45" i="84"/>
  <c r="F45" i="84"/>
  <c r="E45" i="84"/>
  <c r="D45" i="84"/>
  <c r="H44" i="84"/>
  <c r="G44" i="84"/>
  <c r="F44" i="84"/>
  <c r="E44" i="84"/>
  <c r="H43" i="84"/>
  <c r="G43" i="84"/>
  <c r="F43" i="84"/>
  <c r="E43" i="84"/>
  <c r="H42" i="84"/>
  <c r="G42" i="84"/>
  <c r="F42" i="84"/>
  <c r="E42" i="84"/>
  <c r="H41" i="84"/>
  <c r="G41" i="84"/>
  <c r="F41" i="84"/>
  <c r="E41" i="84"/>
  <c r="H40" i="84"/>
  <c r="G40" i="84"/>
  <c r="F40" i="84"/>
  <c r="E40" i="84"/>
  <c r="D40" i="84"/>
  <c r="H39" i="84"/>
  <c r="G39" i="84"/>
  <c r="F39" i="84"/>
  <c r="E39" i="84"/>
  <c r="C39" i="84"/>
  <c r="C40" i="84" s="1"/>
  <c r="C41" i="84" s="1"/>
  <c r="C42" i="84" s="1"/>
  <c r="C43" i="84" s="1"/>
  <c r="C44" i="84" s="1"/>
  <c r="C45" i="84" s="1"/>
  <c r="C46" i="84" s="1"/>
  <c r="C47" i="84" s="1"/>
  <c r="C48" i="84" s="1"/>
  <c r="C49" i="84" s="1"/>
  <c r="C50" i="84" s="1"/>
  <c r="H38" i="84"/>
  <c r="G38" i="84"/>
  <c r="F38" i="84"/>
  <c r="E38" i="84"/>
  <c r="H37" i="84"/>
  <c r="G37" i="84"/>
  <c r="F37" i="84"/>
  <c r="E37" i="84"/>
  <c r="D37" i="84"/>
  <c r="C37" i="84"/>
  <c r="C38" i="84" s="1"/>
  <c r="Q36" i="84"/>
  <c r="P36" i="84"/>
  <c r="O36" i="84"/>
  <c r="N36" i="84"/>
  <c r="M36" i="84"/>
  <c r="L36" i="84"/>
  <c r="K36" i="84"/>
  <c r="J36" i="84"/>
  <c r="P30" i="84"/>
  <c r="O30" i="84"/>
  <c r="N30" i="84"/>
  <c r="M30" i="84"/>
  <c r="L30" i="84"/>
  <c r="H27" i="84"/>
  <c r="G27" i="84"/>
  <c r="F27" i="84"/>
  <c r="H25" i="84"/>
  <c r="G25" i="84"/>
  <c r="F25" i="84"/>
  <c r="D25" i="84"/>
  <c r="H24" i="84"/>
  <c r="G24" i="84"/>
  <c r="F24" i="84"/>
  <c r="D24" i="84"/>
  <c r="H23" i="84"/>
  <c r="G23" i="84"/>
  <c r="F23" i="84"/>
  <c r="D23" i="84"/>
  <c r="H22" i="84"/>
  <c r="G22" i="84"/>
  <c r="F22" i="84"/>
  <c r="D22" i="84"/>
  <c r="H21" i="84"/>
  <c r="G21" i="84"/>
  <c r="F21" i="84"/>
  <c r="D21" i="84"/>
  <c r="H20" i="84"/>
  <c r="G20" i="84"/>
  <c r="F20" i="84"/>
  <c r="D20" i="84"/>
  <c r="H19" i="84"/>
  <c r="G19" i="84"/>
  <c r="F19" i="84"/>
  <c r="D19" i="84"/>
  <c r="H18" i="84"/>
  <c r="G18" i="84"/>
  <c r="F18" i="84"/>
  <c r="D18" i="84"/>
  <c r="H17" i="84"/>
  <c r="G17" i="84"/>
  <c r="F17" i="84"/>
  <c r="D17" i="84"/>
  <c r="H16" i="84"/>
  <c r="G16" i="84"/>
  <c r="F16" i="84"/>
  <c r="D16" i="84"/>
  <c r="H15" i="84"/>
  <c r="G15" i="84"/>
  <c r="F15" i="84"/>
  <c r="D15" i="84"/>
  <c r="H14" i="84"/>
  <c r="G14" i="84"/>
  <c r="F14" i="84"/>
  <c r="D14" i="84"/>
  <c r="H13" i="84"/>
  <c r="G13" i="84"/>
  <c r="F13" i="84"/>
  <c r="D13" i="84"/>
  <c r="H12" i="84"/>
  <c r="G12" i="84"/>
  <c r="F12" i="84"/>
  <c r="D12" i="84"/>
  <c r="H11" i="84"/>
  <c r="G11" i="84"/>
  <c r="F11" i="84"/>
  <c r="D11" i="84"/>
  <c r="H10" i="84"/>
  <c r="G10" i="84"/>
  <c r="F10" i="84"/>
  <c r="E10" i="84"/>
  <c r="E11" i="84" s="1"/>
  <c r="E12" i="84" s="1"/>
  <c r="E13" i="84" s="1"/>
  <c r="E14" i="84" s="1"/>
  <c r="E15" i="84" s="1"/>
  <c r="E16" i="84" s="1"/>
  <c r="E17" i="84" s="1"/>
  <c r="E18" i="84" s="1"/>
  <c r="E19" i="84" s="1"/>
  <c r="E20" i="84" s="1"/>
  <c r="E21" i="84" s="1"/>
  <c r="E22" i="84" s="1"/>
  <c r="E23" i="84" s="1"/>
  <c r="E24" i="84" s="1"/>
  <c r="E25" i="84" s="1"/>
  <c r="D10" i="84"/>
  <c r="H9" i="84"/>
  <c r="G9" i="84"/>
  <c r="F9" i="84"/>
  <c r="E9" i="84"/>
  <c r="D9" i="84"/>
  <c r="C9" i="84"/>
  <c r="C10" i="84" s="1"/>
  <c r="C11" i="84" s="1"/>
  <c r="C12" i="84" s="1"/>
  <c r="C13" i="84" s="1"/>
  <c r="C14" i="84" s="1"/>
  <c r="C15" i="84" s="1"/>
  <c r="C16" i="84" s="1"/>
  <c r="C17" i="84" s="1"/>
  <c r="C18" i="84" s="1"/>
  <c r="C19" i="84" s="1"/>
  <c r="C20" i="84" s="1"/>
  <c r="C21" i="84" s="1"/>
  <c r="C22" i="84" s="1"/>
  <c r="C23" i="84" s="1"/>
  <c r="C24" i="84" s="1"/>
  <c r="C25" i="84" s="1"/>
  <c r="H8" i="84"/>
  <c r="G8" i="84"/>
  <c r="F8" i="84"/>
  <c r="D8" i="84"/>
  <c r="C8" i="84"/>
  <c r="Q7" i="84"/>
  <c r="P7" i="84"/>
  <c r="O7" i="84"/>
  <c r="N7" i="84"/>
  <c r="M7" i="84"/>
  <c r="L7" i="84"/>
  <c r="K7" i="84"/>
  <c r="J7" i="84"/>
  <c r="H52" i="61"/>
  <c r="G52" i="61"/>
  <c r="F52" i="61"/>
  <c r="H50" i="61"/>
  <c r="G50" i="61"/>
  <c r="F50" i="61"/>
  <c r="E50" i="61"/>
  <c r="H49" i="61"/>
  <c r="G49" i="61"/>
  <c r="F49" i="61"/>
  <c r="E49" i="61"/>
  <c r="H48" i="61"/>
  <c r="G48" i="61"/>
  <c r="F48" i="61"/>
  <c r="E48" i="61"/>
  <c r="D48" i="61"/>
  <c r="H47" i="61"/>
  <c r="G47" i="61"/>
  <c r="F47" i="61"/>
  <c r="E47" i="61"/>
  <c r="H46" i="61"/>
  <c r="G46" i="61"/>
  <c r="F46" i="61"/>
  <c r="E46" i="61"/>
  <c r="H45" i="61"/>
  <c r="G45" i="61"/>
  <c r="F45" i="61"/>
  <c r="E45" i="61"/>
  <c r="D45" i="61"/>
  <c r="H44" i="61"/>
  <c r="G44" i="61"/>
  <c r="F44" i="61"/>
  <c r="E44" i="61"/>
  <c r="H43" i="61"/>
  <c r="G43" i="61"/>
  <c r="F43" i="61"/>
  <c r="E43" i="61"/>
  <c r="H42" i="61"/>
  <c r="G42" i="61"/>
  <c r="F42" i="61"/>
  <c r="E42" i="61"/>
  <c r="H41" i="61"/>
  <c r="G41" i="61"/>
  <c r="F41" i="61"/>
  <c r="E41" i="61"/>
  <c r="H40" i="61"/>
  <c r="G40" i="61"/>
  <c r="F40" i="61"/>
  <c r="E40" i="61"/>
  <c r="D40" i="61"/>
  <c r="H39" i="61"/>
  <c r="G39" i="61"/>
  <c r="F39" i="61"/>
  <c r="E39" i="61"/>
  <c r="H38" i="61"/>
  <c r="G38" i="61"/>
  <c r="F38" i="61"/>
  <c r="E38" i="61"/>
  <c r="H37" i="61"/>
  <c r="G37" i="61"/>
  <c r="F37" i="61"/>
  <c r="E37" i="61"/>
  <c r="D37" i="61"/>
  <c r="C37" i="61"/>
  <c r="C38" i="61" s="1"/>
  <c r="C39" i="61" s="1"/>
  <c r="C40" i="61" s="1"/>
  <c r="C41" i="61" s="1"/>
  <c r="C42" i="61" s="1"/>
  <c r="C43" i="61" s="1"/>
  <c r="C44" i="61" s="1"/>
  <c r="C45" i="61" s="1"/>
  <c r="C46" i="61" s="1"/>
  <c r="C47" i="61" s="1"/>
  <c r="C48" i="61" s="1"/>
  <c r="C49" i="61" s="1"/>
  <c r="C50" i="61" s="1"/>
  <c r="Q36" i="61"/>
  <c r="P36" i="61"/>
  <c r="O36" i="61"/>
  <c r="N36" i="61"/>
  <c r="M36" i="61"/>
  <c r="L36" i="61"/>
  <c r="K36" i="61"/>
  <c r="J36" i="61"/>
  <c r="H53" i="59" l="1"/>
  <c r="G53" i="59"/>
  <c r="F53" i="59"/>
  <c r="Q37" i="59"/>
  <c r="P37" i="59"/>
  <c r="O37" i="59"/>
  <c r="N37" i="59"/>
  <c r="M37" i="59"/>
  <c r="L37" i="59"/>
  <c r="K37" i="59"/>
  <c r="J37" i="59"/>
  <c r="D49" i="59"/>
  <c r="D46" i="59"/>
  <c r="D41" i="59"/>
  <c r="D38" i="59"/>
  <c r="E51" i="59"/>
  <c r="E50" i="59"/>
  <c r="E49" i="59"/>
  <c r="E48" i="59"/>
  <c r="E47" i="59"/>
  <c r="E46" i="59"/>
  <c r="E45" i="59"/>
  <c r="E44" i="59"/>
  <c r="E43" i="59"/>
  <c r="E42" i="59"/>
  <c r="E41" i="59"/>
  <c r="E40" i="59"/>
  <c r="E39" i="59"/>
  <c r="E38" i="59"/>
  <c r="H51" i="59"/>
  <c r="G51" i="59"/>
  <c r="F51" i="59"/>
  <c r="H50" i="59"/>
  <c r="G50" i="59"/>
  <c r="F50" i="59"/>
  <c r="H49" i="59"/>
  <c r="G49" i="59"/>
  <c r="F49" i="59"/>
  <c r="H48" i="59"/>
  <c r="G48" i="59"/>
  <c r="F48" i="59"/>
  <c r="H47" i="59"/>
  <c r="G47" i="59"/>
  <c r="F47" i="59"/>
  <c r="H46" i="59"/>
  <c r="G46" i="59"/>
  <c r="F46" i="59"/>
  <c r="H45" i="59"/>
  <c r="G45" i="59"/>
  <c r="F45" i="59"/>
  <c r="H44" i="59"/>
  <c r="G44" i="59"/>
  <c r="F44" i="59"/>
  <c r="H43" i="59"/>
  <c r="G43" i="59"/>
  <c r="F43" i="59"/>
  <c r="H42" i="59"/>
  <c r="G42" i="59"/>
  <c r="F42" i="59"/>
  <c r="H41" i="59"/>
  <c r="G41" i="59"/>
  <c r="F41" i="59"/>
  <c r="H40" i="59"/>
  <c r="G40" i="59"/>
  <c r="F40" i="59"/>
  <c r="H39" i="59"/>
  <c r="G39" i="59"/>
  <c r="F39" i="59"/>
  <c r="H38" i="59"/>
  <c r="G38" i="59"/>
  <c r="F38" i="59"/>
  <c r="C38" i="59"/>
  <c r="C39" i="59" s="1"/>
  <c r="C40" i="59" s="1"/>
  <c r="C41" i="59" s="1"/>
  <c r="C42" i="59" s="1"/>
  <c r="C43" i="59" s="1"/>
  <c r="C44" i="59" s="1"/>
  <c r="C45" i="59" s="1"/>
  <c r="C46" i="59" s="1"/>
  <c r="C47" i="59" s="1"/>
  <c r="C48" i="59" s="1"/>
  <c r="C49" i="59" s="1"/>
  <c r="C50" i="59" s="1"/>
  <c r="C51" i="59" s="1"/>
  <c r="H20" i="79"/>
  <c r="D20" i="79"/>
  <c r="D20" i="78"/>
  <c r="C18" i="78"/>
  <c r="E47" i="82"/>
  <c r="E46" i="82"/>
  <c r="E45" i="82"/>
  <c r="D45" i="82"/>
  <c r="E44" i="82"/>
  <c r="E87" i="82" s="1"/>
  <c r="E43" i="82"/>
  <c r="E42" i="82"/>
  <c r="D42" i="82"/>
  <c r="E41" i="82"/>
  <c r="E40" i="82"/>
  <c r="E83" i="82" s="1"/>
  <c r="E39" i="82"/>
  <c r="E38" i="82"/>
  <c r="E37" i="82"/>
  <c r="D37" i="82"/>
  <c r="E36" i="82"/>
  <c r="E35" i="82"/>
  <c r="E34" i="82"/>
  <c r="D34" i="82"/>
  <c r="L90" i="82"/>
  <c r="L89" i="82"/>
  <c r="L88" i="82"/>
  <c r="L87" i="82"/>
  <c r="L86" i="82"/>
  <c r="L85" i="82"/>
  <c r="L84" i="82"/>
  <c r="L83" i="82"/>
  <c r="L82" i="82"/>
  <c r="L81" i="82"/>
  <c r="L80" i="82"/>
  <c r="L79" i="82"/>
  <c r="L78" i="82"/>
  <c r="L77" i="82"/>
  <c r="H90" i="82"/>
  <c r="G90" i="82"/>
  <c r="F90" i="82"/>
  <c r="E90" i="82"/>
  <c r="H89" i="82"/>
  <c r="G89" i="82"/>
  <c r="F89" i="82"/>
  <c r="E89" i="82"/>
  <c r="H88" i="82"/>
  <c r="G88" i="82"/>
  <c r="F88" i="82"/>
  <c r="E88" i="82"/>
  <c r="D88" i="82"/>
  <c r="H87" i="82"/>
  <c r="G87" i="82"/>
  <c r="F87" i="82"/>
  <c r="H86" i="82"/>
  <c r="G86" i="82"/>
  <c r="F86" i="82"/>
  <c r="E86" i="82"/>
  <c r="H85" i="82"/>
  <c r="G85" i="82"/>
  <c r="F85" i="82"/>
  <c r="E85" i="82"/>
  <c r="D85" i="82"/>
  <c r="H84" i="82"/>
  <c r="G84" i="82"/>
  <c r="F84" i="82"/>
  <c r="E84" i="82"/>
  <c r="H83" i="82"/>
  <c r="G83" i="82"/>
  <c r="F83" i="82"/>
  <c r="H82" i="82"/>
  <c r="G82" i="82"/>
  <c r="F82" i="82"/>
  <c r="E82" i="82"/>
  <c r="H81" i="82"/>
  <c r="G81" i="82"/>
  <c r="F81" i="82"/>
  <c r="E81" i="82"/>
  <c r="H80" i="82"/>
  <c r="G80" i="82"/>
  <c r="F80" i="82"/>
  <c r="E80" i="82"/>
  <c r="D80" i="82"/>
  <c r="C80" i="82"/>
  <c r="C81" i="82" s="1"/>
  <c r="C82" i="82" s="1"/>
  <c r="C83" i="82" s="1"/>
  <c r="C84" i="82" s="1"/>
  <c r="C85" i="82" s="1"/>
  <c r="C86" i="82" s="1"/>
  <c r="C87" i="82" s="1"/>
  <c r="C88" i="82" s="1"/>
  <c r="C89" i="82" s="1"/>
  <c r="C90" i="82" s="1"/>
  <c r="H79" i="82"/>
  <c r="G79" i="82"/>
  <c r="F79" i="82"/>
  <c r="C79" i="82"/>
  <c r="H78" i="82"/>
  <c r="G78" i="82"/>
  <c r="F78" i="82"/>
  <c r="E78" i="82"/>
  <c r="C78" i="82"/>
  <c r="H77" i="82"/>
  <c r="G77" i="82"/>
  <c r="F77" i="82"/>
  <c r="E77" i="82"/>
  <c r="D77" i="82"/>
  <c r="C77" i="82"/>
  <c r="L73" i="82"/>
  <c r="N75" i="82"/>
  <c r="H74" i="82"/>
  <c r="G74" i="82"/>
  <c r="F74" i="82"/>
  <c r="D74" i="82"/>
  <c r="F69" i="82"/>
  <c r="E67" i="82"/>
  <c r="E66" i="82"/>
  <c r="E65" i="82"/>
  <c r="D65" i="82"/>
  <c r="E63" i="82"/>
  <c r="E62" i="82"/>
  <c r="D62" i="82"/>
  <c r="E61" i="82"/>
  <c r="E60" i="82"/>
  <c r="E59" i="82"/>
  <c r="E58" i="82"/>
  <c r="E57" i="82"/>
  <c r="D57" i="82"/>
  <c r="E55" i="82"/>
  <c r="E54" i="82"/>
  <c r="D54" i="82"/>
  <c r="C54" i="82"/>
  <c r="C55" i="82" s="1"/>
  <c r="C56" i="82" s="1"/>
  <c r="C57" i="82" s="1"/>
  <c r="C58" i="82" s="1"/>
  <c r="C59" i="82" s="1"/>
  <c r="C60" i="82" s="1"/>
  <c r="C61" i="82" s="1"/>
  <c r="C62" i="82" s="1"/>
  <c r="C63" i="82" s="1"/>
  <c r="C64" i="82" s="1"/>
  <c r="C65" i="82" s="1"/>
  <c r="C66" i="82" s="1"/>
  <c r="C67" i="82" s="1"/>
  <c r="P53" i="82"/>
  <c r="O53" i="82"/>
  <c r="N53" i="82"/>
  <c r="M53" i="82"/>
  <c r="L53" i="82"/>
  <c r="K53" i="82"/>
  <c r="J53" i="82"/>
  <c r="H49" i="82"/>
  <c r="G49" i="82"/>
  <c r="F49" i="82"/>
  <c r="H47" i="82"/>
  <c r="G47" i="82"/>
  <c r="F47" i="82"/>
  <c r="H46" i="82"/>
  <c r="G46" i="82"/>
  <c r="F46" i="82"/>
  <c r="H45" i="82"/>
  <c r="G45" i="82"/>
  <c r="F45" i="82"/>
  <c r="H44" i="82"/>
  <c r="G44" i="82"/>
  <c r="F44" i="82"/>
  <c r="H43" i="82"/>
  <c r="G43" i="82"/>
  <c r="F43" i="82"/>
  <c r="H42" i="82"/>
  <c r="G42" i="82"/>
  <c r="F42" i="82"/>
  <c r="H41" i="82"/>
  <c r="G41" i="82"/>
  <c r="F41" i="82"/>
  <c r="H40" i="82"/>
  <c r="G40" i="82"/>
  <c r="F40" i="82"/>
  <c r="H39" i="82"/>
  <c r="G39" i="82"/>
  <c r="F39" i="82"/>
  <c r="H38" i="82"/>
  <c r="G38" i="82"/>
  <c r="F38" i="82"/>
  <c r="H37" i="82"/>
  <c r="G37" i="82"/>
  <c r="F37" i="82"/>
  <c r="H36" i="82"/>
  <c r="G36" i="82"/>
  <c r="F36" i="82"/>
  <c r="H35" i="82"/>
  <c r="G35" i="82"/>
  <c r="F35" i="82"/>
  <c r="C35" i="82"/>
  <c r="C36" i="82" s="1"/>
  <c r="C37" i="82" s="1"/>
  <c r="C38" i="82" s="1"/>
  <c r="C39" i="82" s="1"/>
  <c r="C40" i="82" s="1"/>
  <c r="C41" i="82" s="1"/>
  <c r="C42" i="82" s="1"/>
  <c r="C43" i="82" s="1"/>
  <c r="C44" i="82" s="1"/>
  <c r="C45" i="82" s="1"/>
  <c r="C46" i="82" s="1"/>
  <c r="C47" i="82" s="1"/>
  <c r="H34" i="82"/>
  <c r="G34" i="82"/>
  <c r="F34" i="82"/>
  <c r="C34" i="82"/>
  <c r="P33" i="82"/>
  <c r="O33" i="82"/>
  <c r="N33" i="82"/>
  <c r="M33" i="82"/>
  <c r="L33" i="82"/>
  <c r="K33" i="82"/>
  <c r="J33" i="82"/>
  <c r="H27" i="82"/>
  <c r="G27" i="82"/>
  <c r="F27" i="82"/>
  <c r="M25" i="82"/>
  <c r="H25" i="82"/>
  <c r="G25" i="82"/>
  <c r="F25" i="82"/>
  <c r="D25" i="82"/>
  <c r="P24" i="82"/>
  <c r="O24" i="82"/>
  <c r="N24" i="82"/>
  <c r="L24" i="82"/>
  <c r="K24" i="82"/>
  <c r="J24" i="82"/>
  <c r="H24" i="82"/>
  <c r="G24" i="82"/>
  <c r="F24" i="82"/>
  <c r="D24" i="82"/>
  <c r="M24" i="82" s="1"/>
  <c r="M23" i="82"/>
  <c r="L23" i="82"/>
  <c r="H23" i="82"/>
  <c r="G23" i="82"/>
  <c r="F23" i="82"/>
  <c r="D23" i="82"/>
  <c r="P22" i="82"/>
  <c r="O22" i="82"/>
  <c r="N22" i="82"/>
  <c r="L22" i="82"/>
  <c r="K22" i="82"/>
  <c r="J22" i="82"/>
  <c r="H22" i="82"/>
  <c r="G22" i="82"/>
  <c r="F22" i="82"/>
  <c r="D22" i="82"/>
  <c r="P21" i="82"/>
  <c r="L21" i="82"/>
  <c r="J21" i="82"/>
  <c r="H21" i="82"/>
  <c r="G21" i="82"/>
  <c r="F21" i="82"/>
  <c r="D21" i="82"/>
  <c r="M21" i="82" s="1"/>
  <c r="P20" i="82"/>
  <c r="O20" i="82"/>
  <c r="N20" i="82"/>
  <c r="L20" i="82"/>
  <c r="K20" i="82"/>
  <c r="J20" i="82"/>
  <c r="H20" i="82"/>
  <c r="G20" i="82"/>
  <c r="F20" i="82"/>
  <c r="D20" i="82"/>
  <c r="M20" i="82" s="1"/>
  <c r="J19" i="82"/>
  <c r="H19" i="82"/>
  <c r="G19" i="82"/>
  <c r="F19" i="82"/>
  <c r="D19" i="82"/>
  <c r="M19" i="82" s="1"/>
  <c r="P18" i="82"/>
  <c r="O18" i="82"/>
  <c r="N18" i="82"/>
  <c r="L18" i="82"/>
  <c r="K18" i="82"/>
  <c r="J18" i="82"/>
  <c r="H18" i="82"/>
  <c r="G18" i="82"/>
  <c r="F18" i="82"/>
  <c r="D18" i="82"/>
  <c r="P17" i="82"/>
  <c r="M17" i="82"/>
  <c r="H17" i="82"/>
  <c r="G17" i="82"/>
  <c r="F17" i="82"/>
  <c r="D17" i="82"/>
  <c r="L17" i="82" s="1"/>
  <c r="N16" i="82"/>
  <c r="L16" i="82"/>
  <c r="K16" i="82"/>
  <c r="J16" i="82"/>
  <c r="H16" i="82"/>
  <c r="G16" i="82"/>
  <c r="F16" i="82"/>
  <c r="D16" i="82"/>
  <c r="J15" i="82"/>
  <c r="H15" i="82"/>
  <c r="G15" i="82"/>
  <c r="F15" i="82"/>
  <c r="D15" i="82"/>
  <c r="P15" i="82" s="1"/>
  <c r="P14" i="82"/>
  <c r="O14" i="82"/>
  <c r="K14" i="82"/>
  <c r="H14" i="82"/>
  <c r="G14" i="82"/>
  <c r="F14" i="82"/>
  <c r="D14" i="82"/>
  <c r="N14" i="82" s="1"/>
  <c r="H13" i="82"/>
  <c r="G13" i="82"/>
  <c r="F13" i="82"/>
  <c r="D13" i="82"/>
  <c r="L13" i="82" s="1"/>
  <c r="P12" i="82"/>
  <c r="O12" i="82"/>
  <c r="L12" i="82"/>
  <c r="K12" i="82"/>
  <c r="J12" i="82"/>
  <c r="H12" i="82"/>
  <c r="G12" i="82"/>
  <c r="F12" i="82"/>
  <c r="D12" i="82"/>
  <c r="N12" i="82" s="1"/>
  <c r="H11" i="82"/>
  <c r="G11" i="82"/>
  <c r="F11" i="82"/>
  <c r="D11" i="82"/>
  <c r="P10" i="82"/>
  <c r="O10" i="82"/>
  <c r="K10" i="82"/>
  <c r="H10" i="82"/>
  <c r="G10" i="82"/>
  <c r="F10" i="82"/>
  <c r="D10" i="82"/>
  <c r="N10" i="82" s="1"/>
  <c r="H9" i="82"/>
  <c r="G9" i="82"/>
  <c r="F9" i="82"/>
  <c r="D9" i="82"/>
  <c r="P8" i="82"/>
  <c r="O8" i="82"/>
  <c r="L8" i="82"/>
  <c r="K8" i="82"/>
  <c r="J8" i="82"/>
  <c r="H8" i="82"/>
  <c r="G8" i="82"/>
  <c r="F8" i="82"/>
  <c r="D8" i="82"/>
  <c r="N8" i="82" s="1"/>
  <c r="C8" i="82"/>
  <c r="C9" i="82" s="1"/>
  <c r="C10" i="82" s="1"/>
  <c r="C11" i="82" s="1"/>
  <c r="C12" i="82" s="1"/>
  <c r="C13" i="82" s="1"/>
  <c r="C14" i="82" s="1"/>
  <c r="C15" i="82" s="1"/>
  <c r="C16" i="82" s="1"/>
  <c r="C17" i="82" s="1"/>
  <c r="C18" i="82" s="1"/>
  <c r="C19" i="82" s="1"/>
  <c r="C20" i="82" s="1"/>
  <c r="C21" i="82" s="1"/>
  <c r="C22" i="82" s="1"/>
  <c r="C23" i="82" s="1"/>
  <c r="C24" i="82" s="1"/>
  <c r="C25" i="82" s="1"/>
  <c r="Q7" i="82"/>
  <c r="P7" i="82"/>
  <c r="O7" i="82"/>
  <c r="N7" i="82"/>
  <c r="M7" i="82"/>
  <c r="L7" i="82"/>
  <c r="K7" i="82"/>
  <c r="J7" i="82"/>
  <c r="K7" i="62"/>
  <c r="J7" i="62"/>
  <c r="I7" i="62"/>
  <c r="D14" i="79"/>
  <c r="O113" i="80"/>
  <c r="N113" i="80"/>
  <c r="M113" i="80"/>
  <c r="L113" i="80"/>
  <c r="K113" i="80"/>
  <c r="J113" i="80"/>
  <c r="I113" i="80"/>
  <c r="CO23" i="80"/>
  <c r="CN23" i="80"/>
  <c r="CM23" i="80"/>
  <c r="CL23" i="80"/>
  <c r="CK23" i="80"/>
  <c r="CJ23" i="80"/>
  <c r="CI23" i="80"/>
  <c r="CH23" i="80"/>
  <c r="CG23" i="80"/>
  <c r="CF23" i="80"/>
  <c r="CE23" i="80"/>
  <c r="CD23" i="80"/>
  <c r="CC23" i="80"/>
  <c r="CB23" i="80"/>
  <c r="CA23" i="80"/>
  <c r="BZ23" i="80"/>
  <c r="BY23" i="80"/>
  <c r="BX23" i="80"/>
  <c r="BW23" i="80"/>
  <c r="BV23" i="80"/>
  <c r="BU23" i="80"/>
  <c r="BT23" i="80"/>
  <c r="BS23" i="80"/>
  <c r="BR23" i="80"/>
  <c r="BQ23" i="80"/>
  <c r="BP23" i="80"/>
  <c r="BO23" i="80"/>
  <c r="BN23" i="80"/>
  <c r="BM23" i="80"/>
  <c r="BL23" i="80"/>
  <c r="BK23" i="80"/>
  <c r="BJ23" i="80"/>
  <c r="BI23" i="80"/>
  <c r="BH23" i="80"/>
  <c r="BG23" i="80"/>
  <c r="BF23" i="80"/>
  <c r="BE23" i="80"/>
  <c r="BD23" i="80"/>
  <c r="BC23" i="80"/>
  <c r="BB23" i="80"/>
  <c r="BA23" i="80"/>
  <c r="AZ23" i="80"/>
  <c r="AY23" i="80"/>
  <c r="AX23" i="80"/>
  <c r="AW23" i="80"/>
  <c r="AV23" i="80"/>
  <c r="CP23" i="80" s="1"/>
  <c r="AU23" i="80"/>
  <c r="AT23" i="80"/>
  <c r="AS23" i="80"/>
  <c r="AR23" i="80"/>
  <c r="CO20" i="80"/>
  <c r="CN20" i="80"/>
  <c r="CM20" i="80"/>
  <c r="CL20" i="80"/>
  <c r="CK20" i="80"/>
  <c r="CJ20" i="80"/>
  <c r="CI20" i="80"/>
  <c r="CH20" i="80"/>
  <c r="CG20" i="80"/>
  <c r="CF20" i="80"/>
  <c r="CE20" i="80"/>
  <c r="CD20" i="80"/>
  <c r="CC20" i="80"/>
  <c r="CB20" i="80"/>
  <c r="CA20" i="80"/>
  <c r="BZ20" i="80"/>
  <c r="BY20" i="80"/>
  <c r="BX20" i="80"/>
  <c r="BW20" i="80"/>
  <c r="BV20" i="80"/>
  <c r="BU20" i="80"/>
  <c r="BT20" i="80"/>
  <c r="BS20" i="80"/>
  <c r="BR20" i="80"/>
  <c r="BQ20" i="80"/>
  <c r="BP20" i="80"/>
  <c r="BO20" i="80"/>
  <c r="BN20" i="80"/>
  <c r="BM20" i="80"/>
  <c r="BL20" i="80"/>
  <c r="BK20" i="80"/>
  <c r="BJ20" i="80"/>
  <c r="BI20" i="80"/>
  <c r="BH20" i="80"/>
  <c r="BG20" i="80"/>
  <c r="BF20" i="80"/>
  <c r="BE20" i="80"/>
  <c r="BD20" i="80"/>
  <c r="BC20" i="80"/>
  <c r="BB20" i="80"/>
  <c r="BA20" i="80"/>
  <c r="AZ20" i="80"/>
  <c r="AY20" i="80"/>
  <c r="AX20" i="80"/>
  <c r="CP20" i="80" s="1"/>
  <c r="AW20" i="80"/>
  <c r="AV20" i="80"/>
  <c r="AU20" i="80"/>
  <c r="AT20" i="80"/>
  <c r="AS20" i="80"/>
  <c r="AR20" i="80"/>
  <c r="CO19" i="80"/>
  <c r="CN19" i="80"/>
  <c r="CM19" i="80"/>
  <c r="CL19" i="80"/>
  <c r="CK19" i="80"/>
  <c r="CJ19" i="80"/>
  <c r="CI19" i="80"/>
  <c r="CH19" i="80"/>
  <c r="CG19" i="80"/>
  <c r="CF19" i="80"/>
  <c r="CE19" i="80"/>
  <c r="CD19" i="80"/>
  <c r="CC19" i="80"/>
  <c r="CB19" i="80"/>
  <c r="CA19" i="80"/>
  <c r="BZ19" i="80"/>
  <c r="BY19" i="80"/>
  <c r="BX19" i="80"/>
  <c r="BW19" i="80"/>
  <c r="BV19" i="80"/>
  <c r="BU19" i="80"/>
  <c r="BT19" i="80"/>
  <c r="BS19" i="80"/>
  <c r="BR19" i="80"/>
  <c r="BQ19" i="80"/>
  <c r="BP19" i="80"/>
  <c r="BO19" i="80"/>
  <c r="BN19" i="80"/>
  <c r="BM19" i="80"/>
  <c r="BL19" i="80"/>
  <c r="BK19" i="80"/>
  <c r="BJ19" i="80"/>
  <c r="BI19" i="80"/>
  <c r="BH19" i="80"/>
  <c r="BG19" i="80"/>
  <c r="BF19" i="80"/>
  <c r="BE19" i="80"/>
  <c r="BD19" i="80"/>
  <c r="BC19" i="80"/>
  <c r="BB19" i="80"/>
  <c r="BA19" i="80"/>
  <c r="AZ19" i="80"/>
  <c r="AY19" i="80"/>
  <c r="AX19" i="80"/>
  <c r="AW19" i="80"/>
  <c r="AV19" i="80"/>
  <c r="AU19" i="80"/>
  <c r="AT19" i="80"/>
  <c r="AS19" i="80"/>
  <c r="AR19" i="80"/>
  <c r="CO18" i="80"/>
  <c r="CN18" i="80"/>
  <c r="CM18" i="80"/>
  <c r="CL18" i="80"/>
  <c r="CK18" i="80"/>
  <c r="CJ18" i="80"/>
  <c r="CI18" i="80"/>
  <c r="CH18" i="80"/>
  <c r="CG18" i="80"/>
  <c r="CF18" i="80"/>
  <c r="CE18" i="80"/>
  <c r="CD18" i="80"/>
  <c r="CC18" i="80"/>
  <c r="CB18" i="80"/>
  <c r="CA18" i="80"/>
  <c r="BZ18" i="80"/>
  <c r="BY18" i="80"/>
  <c r="BX18" i="80"/>
  <c r="BW18" i="80"/>
  <c r="BV18" i="80"/>
  <c r="BU18" i="80"/>
  <c r="BT18" i="80"/>
  <c r="BS18" i="80"/>
  <c r="BR18" i="80"/>
  <c r="BQ18" i="80"/>
  <c r="BP18" i="80"/>
  <c r="BO18" i="80"/>
  <c r="BN18" i="80"/>
  <c r="BM18" i="80"/>
  <c r="BL18" i="80"/>
  <c r="BK18" i="80"/>
  <c r="BJ18" i="80"/>
  <c r="BI18" i="80"/>
  <c r="BH18" i="80"/>
  <c r="BG18" i="80"/>
  <c r="BF18" i="80"/>
  <c r="BE18" i="80"/>
  <c r="BD18" i="80"/>
  <c r="BC18" i="80"/>
  <c r="BB18" i="80"/>
  <c r="BA18" i="80"/>
  <c r="AZ18" i="80"/>
  <c r="AY18" i="80"/>
  <c r="AX18" i="80"/>
  <c r="AW18" i="80"/>
  <c r="AV18" i="80"/>
  <c r="AU18" i="80"/>
  <c r="AT18" i="80"/>
  <c r="CP18" i="80" s="1"/>
  <c r="AS18" i="80"/>
  <c r="AR18" i="80"/>
  <c r="CO16" i="80"/>
  <c r="CN16" i="80"/>
  <c r="CM16" i="80"/>
  <c r="CL16" i="80"/>
  <c r="CK16" i="80"/>
  <c r="CJ16" i="80"/>
  <c r="CI16" i="80"/>
  <c r="CH16" i="80"/>
  <c r="CG16" i="80"/>
  <c r="CF16" i="80"/>
  <c r="CE16" i="80"/>
  <c r="CD16" i="80"/>
  <c r="CC16" i="80"/>
  <c r="CB16" i="80"/>
  <c r="CA16" i="80"/>
  <c r="BZ16" i="80"/>
  <c r="BY16" i="80"/>
  <c r="BX16" i="80"/>
  <c r="BW16" i="80"/>
  <c r="BV16" i="80"/>
  <c r="BU16" i="80"/>
  <c r="BT16" i="80"/>
  <c r="BS16" i="80"/>
  <c r="BR16" i="80"/>
  <c r="BQ16" i="80"/>
  <c r="BP16" i="80"/>
  <c r="BO16" i="80"/>
  <c r="BN16" i="80"/>
  <c r="BM16" i="80"/>
  <c r="BL16" i="80"/>
  <c r="BK16" i="80"/>
  <c r="BJ16" i="80"/>
  <c r="BI16" i="80"/>
  <c r="BH16" i="80"/>
  <c r="BG16" i="80"/>
  <c r="BF16" i="80"/>
  <c r="BE16" i="80"/>
  <c r="BD16" i="80"/>
  <c r="BC16" i="80"/>
  <c r="BB16" i="80"/>
  <c r="BA16" i="80"/>
  <c r="AZ16" i="80"/>
  <c r="AY16" i="80"/>
  <c r="AX16" i="80"/>
  <c r="AW16" i="80"/>
  <c r="AV16" i="80"/>
  <c r="CP16" i="80" s="1"/>
  <c r="AU16" i="80"/>
  <c r="AT16" i="80"/>
  <c r="AS16" i="80"/>
  <c r="AR16" i="80"/>
  <c r="CO15" i="80"/>
  <c r="CN15" i="80"/>
  <c r="CM15" i="80"/>
  <c r="CL15" i="80"/>
  <c r="CK15" i="80"/>
  <c r="CJ15" i="80"/>
  <c r="CI15" i="80"/>
  <c r="CH15" i="80"/>
  <c r="CG15" i="80"/>
  <c r="CF15" i="80"/>
  <c r="CE15" i="80"/>
  <c r="CD15" i="80"/>
  <c r="CC15" i="80"/>
  <c r="CB15" i="80"/>
  <c r="CA15" i="80"/>
  <c r="BZ15" i="80"/>
  <c r="BY15" i="80"/>
  <c r="BX15" i="80"/>
  <c r="BW15" i="80"/>
  <c r="BV15" i="80"/>
  <c r="BU15" i="80"/>
  <c r="BT15" i="80"/>
  <c r="BS15" i="80"/>
  <c r="BR15" i="80"/>
  <c r="BQ15" i="80"/>
  <c r="BP15" i="80"/>
  <c r="BO15" i="80"/>
  <c r="BN15" i="80"/>
  <c r="BM15" i="80"/>
  <c r="BL15" i="80"/>
  <c r="BK15" i="80"/>
  <c r="BJ15" i="80"/>
  <c r="BI15" i="80"/>
  <c r="BH15" i="80"/>
  <c r="BG15" i="80"/>
  <c r="BF15" i="80"/>
  <c r="BE15" i="80"/>
  <c r="BD15" i="80"/>
  <c r="BC15" i="80"/>
  <c r="BB15" i="80"/>
  <c r="BA15" i="80"/>
  <c r="AZ15" i="80"/>
  <c r="AY15" i="80"/>
  <c r="AX15" i="80"/>
  <c r="AW15" i="80"/>
  <c r="AV15" i="80"/>
  <c r="AU15" i="80"/>
  <c r="AT15" i="80"/>
  <c r="AS15" i="80"/>
  <c r="AR15" i="80"/>
  <c r="CO14" i="80"/>
  <c r="CN14" i="80"/>
  <c r="CM14" i="80"/>
  <c r="CL14" i="80"/>
  <c r="CK14" i="80"/>
  <c r="CJ14" i="80"/>
  <c r="CI14" i="80"/>
  <c r="CH14" i="80"/>
  <c r="CG14" i="80"/>
  <c r="CF14" i="80"/>
  <c r="CE14" i="80"/>
  <c r="CD14" i="80"/>
  <c r="CC14" i="80"/>
  <c r="CB14" i="80"/>
  <c r="CA14" i="80"/>
  <c r="BZ14" i="80"/>
  <c r="BY14" i="80"/>
  <c r="BX14" i="80"/>
  <c r="BW14" i="80"/>
  <c r="BV14" i="80"/>
  <c r="BU14" i="80"/>
  <c r="BT14" i="80"/>
  <c r="BS14" i="80"/>
  <c r="BR14" i="80"/>
  <c r="BQ14" i="80"/>
  <c r="BP14" i="80"/>
  <c r="BO14" i="80"/>
  <c r="BN14" i="80"/>
  <c r="BM14" i="80"/>
  <c r="BL14" i="80"/>
  <c r="BK14" i="80"/>
  <c r="BJ14" i="80"/>
  <c r="BI14" i="80"/>
  <c r="BH14" i="80"/>
  <c r="BG14" i="80"/>
  <c r="BF14" i="80"/>
  <c r="BE14" i="80"/>
  <c r="BD14" i="80"/>
  <c r="BC14" i="80"/>
  <c r="BB14" i="80"/>
  <c r="BA14" i="80"/>
  <c r="AZ14" i="80"/>
  <c r="AY14" i="80"/>
  <c r="AX14" i="80"/>
  <c r="AW14" i="80"/>
  <c r="AV14" i="80"/>
  <c r="AU14" i="80"/>
  <c r="AT14" i="80"/>
  <c r="AS14" i="80"/>
  <c r="AR14" i="80"/>
  <c r="CP14" i="80" s="1"/>
  <c r="CO13" i="80"/>
  <c r="CN13" i="80"/>
  <c r="CM13" i="80"/>
  <c r="CL13" i="80"/>
  <c r="CK13" i="80"/>
  <c r="CJ13" i="80"/>
  <c r="CI13" i="80"/>
  <c r="CH13" i="80"/>
  <c r="CG13" i="80"/>
  <c r="CF13" i="80"/>
  <c r="CE13" i="80"/>
  <c r="CD13" i="80"/>
  <c r="CC13" i="80"/>
  <c r="CB13" i="80"/>
  <c r="CA13" i="80"/>
  <c r="BZ13" i="80"/>
  <c r="BY13" i="80"/>
  <c r="BX13" i="80"/>
  <c r="BW13" i="80"/>
  <c r="BV13" i="80"/>
  <c r="BU13" i="80"/>
  <c r="BT13" i="80"/>
  <c r="BS13" i="80"/>
  <c r="BR13" i="80"/>
  <c r="BQ13" i="80"/>
  <c r="BP13" i="80"/>
  <c r="BO13" i="80"/>
  <c r="BN13" i="80"/>
  <c r="BM13" i="80"/>
  <c r="BL13" i="80"/>
  <c r="BK13" i="80"/>
  <c r="BJ13" i="80"/>
  <c r="BI13" i="80"/>
  <c r="BH13" i="80"/>
  <c r="BG13" i="80"/>
  <c r="BF13" i="80"/>
  <c r="BE13" i="80"/>
  <c r="BD13" i="80"/>
  <c r="BC13" i="80"/>
  <c r="BB13" i="80"/>
  <c r="BA13" i="80"/>
  <c r="AZ13" i="80"/>
  <c r="AY13" i="80"/>
  <c r="AX13" i="80"/>
  <c r="AW13" i="80"/>
  <c r="AV13" i="80"/>
  <c r="AU13" i="80"/>
  <c r="AT13" i="80"/>
  <c r="CP13" i="80" s="1"/>
  <c r="AS13" i="80"/>
  <c r="AR13" i="80"/>
  <c r="CO12" i="80"/>
  <c r="CN12" i="80"/>
  <c r="CM12" i="80"/>
  <c r="CL12" i="80"/>
  <c r="CK12" i="80"/>
  <c r="CJ12" i="80"/>
  <c r="CI12" i="80"/>
  <c r="CH12" i="80"/>
  <c r="CG12" i="80"/>
  <c r="CF12" i="80"/>
  <c r="CE12" i="80"/>
  <c r="CD12" i="80"/>
  <c r="CC12" i="80"/>
  <c r="CB12" i="80"/>
  <c r="CA12" i="80"/>
  <c r="BZ12" i="80"/>
  <c r="BY12" i="80"/>
  <c r="BX12" i="80"/>
  <c r="BW12" i="80"/>
  <c r="BV12" i="80"/>
  <c r="BU12" i="80"/>
  <c r="BT12" i="80"/>
  <c r="BS12" i="80"/>
  <c r="BR12" i="80"/>
  <c r="BQ12" i="80"/>
  <c r="BP12" i="80"/>
  <c r="BO12" i="80"/>
  <c r="BN12" i="80"/>
  <c r="BM12" i="80"/>
  <c r="BL12" i="80"/>
  <c r="BK12" i="80"/>
  <c r="BJ12" i="80"/>
  <c r="BI12" i="80"/>
  <c r="BH12" i="80"/>
  <c r="BG12" i="80"/>
  <c r="BF12" i="80"/>
  <c r="BE12" i="80"/>
  <c r="BD12" i="80"/>
  <c r="BC12" i="80"/>
  <c r="BB12" i="80"/>
  <c r="BA12" i="80"/>
  <c r="AZ12" i="80"/>
  <c r="AY12" i="80"/>
  <c r="AX12" i="80"/>
  <c r="AW12" i="80"/>
  <c r="AV12" i="80"/>
  <c r="CP12" i="80" s="1"/>
  <c r="AU12" i="80"/>
  <c r="AT12" i="80"/>
  <c r="AS12" i="80"/>
  <c r="AR12" i="80"/>
  <c r="CO11" i="80"/>
  <c r="CN11" i="80"/>
  <c r="CM11" i="80"/>
  <c r="CL11" i="80"/>
  <c r="CK11" i="80"/>
  <c r="CJ11" i="80"/>
  <c r="CI11" i="80"/>
  <c r="CH11" i="80"/>
  <c r="CG11" i="80"/>
  <c r="CF11" i="80"/>
  <c r="CE11" i="80"/>
  <c r="CD11" i="80"/>
  <c r="CC11" i="80"/>
  <c r="CB11" i="80"/>
  <c r="CA11" i="80"/>
  <c r="BZ11" i="80"/>
  <c r="BY11" i="80"/>
  <c r="BX11" i="80"/>
  <c r="BW11" i="80"/>
  <c r="BV11" i="80"/>
  <c r="BU11" i="80"/>
  <c r="BT11" i="80"/>
  <c r="BS11" i="80"/>
  <c r="BR11" i="80"/>
  <c r="BQ11" i="80"/>
  <c r="BP11" i="80"/>
  <c r="BO11" i="80"/>
  <c r="BN11" i="80"/>
  <c r="BM11" i="80"/>
  <c r="BL11" i="80"/>
  <c r="BK11" i="80"/>
  <c r="BJ11" i="80"/>
  <c r="BI11" i="80"/>
  <c r="BH11" i="80"/>
  <c r="BG11" i="80"/>
  <c r="BF11" i="80"/>
  <c r="BE11" i="80"/>
  <c r="BD11" i="80"/>
  <c r="BC11" i="80"/>
  <c r="BB11" i="80"/>
  <c r="BA11" i="80"/>
  <c r="AZ11" i="80"/>
  <c r="AY11" i="80"/>
  <c r="AX11" i="80"/>
  <c r="AW11" i="80"/>
  <c r="AV11" i="80"/>
  <c r="AU11" i="80"/>
  <c r="AT11" i="80"/>
  <c r="AS11" i="80"/>
  <c r="AR11" i="80"/>
  <c r="CO10" i="80"/>
  <c r="CN10" i="80"/>
  <c r="CM10" i="80"/>
  <c r="CL10" i="80"/>
  <c r="CK10" i="80"/>
  <c r="CJ10" i="80"/>
  <c r="CI10" i="80"/>
  <c r="CH10" i="80"/>
  <c r="CG10" i="80"/>
  <c r="CF10" i="80"/>
  <c r="CE10" i="80"/>
  <c r="CD10" i="80"/>
  <c r="CC10" i="80"/>
  <c r="CB10" i="80"/>
  <c r="CA10" i="80"/>
  <c r="BZ10" i="80"/>
  <c r="BY10" i="80"/>
  <c r="BX10" i="80"/>
  <c r="BW10" i="80"/>
  <c r="BV10" i="80"/>
  <c r="BU10" i="80"/>
  <c r="BT10" i="80"/>
  <c r="BS10" i="80"/>
  <c r="BR10" i="80"/>
  <c r="BQ10" i="80"/>
  <c r="BP10" i="80"/>
  <c r="BO10" i="80"/>
  <c r="BN10" i="80"/>
  <c r="BM10" i="80"/>
  <c r="BL10" i="80"/>
  <c r="BK10" i="80"/>
  <c r="BJ10" i="80"/>
  <c r="BI10" i="80"/>
  <c r="BH10" i="80"/>
  <c r="BG10" i="80"/>
  <c r="BF10" i="80"/>
  <c r="BE10" i="80"/>
  <c r="BD10" i="80"/>
  <c r="BC10" i="80"/>
  <c r="BB10" i="80"/>
  <c r="BA10" i="80"/>
  <c r="AZ10" i="80"/>
  <c r="AY10" i="80"/>
  <c r="AX10" i="80"/>
  <c r="AW10" i="80"/>
  <c r="AV10" i="80"/>
  <c r="AU10" i="80"/>
  <c r="AT10" i="80"/>
  <c r="AS10" i="80"/>
  <c r="AR10" i="80"/>
  <c r="CP10" i="80" s="1"/>
  <c r="C23" i="80"/>
  <c r="C20" i="80"/>
  <c r="C19" i="80"/>
  <c r="C18" i="80"/>
  <c r="C16" i="80"/>
  <c r="C15" i="80"/>
  <c r="C14" i="80"/>
  <c r="C13" i="80"/>
  <c r="C12" i="80"/>
  <c r="C11" i="80"/>
  <c r="C10" i="80"/>
  <c r="AR17" i="80"/>
  <c r="AS17" i="80"/>
  <c r="AT17" i="80"/>
  <c r="AU17" i="80"/>
  <c r="AV17" i="80"/>
  <c r="AW17" i="80"/>
  <c r="AX17" i="80"/>
  <c r="AY17" i="80"/>
  <c r="AZ17" i="80"/>
  <c r="BA17" i="80"/>
  <c r="BB17" i="80"/>
  <c r="BC17" i="80"/>
  <c r="BD17" i="80"/>
  <c r="BE17" i="80"/>
  <c r="BF17" i="80"/>
  <c r="BG17" i="80"/>
  <c r="BH17" i="80"/>
  <c r="BI17" i="80"/>
  <c r="BJ17" i="80"/>
  <c r="BK17" i="80"/>
  <c r="BL17" i="80"/>
  <c r="BM17" i="80"/>
  <c r="BN17" i="80"/>
  <c r="BO17" i="80"/>
  <c r="BP17" i="80"/>
  <c r="BQ17" i="80"/>
  <c r="BR17" i="80"/>
  <c r="BS17" i="80"/>
  <c r="BT17" i="80"/>
  <c r="BU17" i="80"/>
  <c r="BV17" i="80"/>
  <c r="BW17" i="80"/>
  <c r="BX17" i="80"/>
  <c r="BY17" i="80"/>
  <c r="BZ17" i="80"/>
  <c r="CA17" i="80"/>
  <c r="CB17" i="80"/>
  <c r="CC17" i="80"/>
  <c r="CD17" i="80"/>
  <c r="CE17" i="80"/>
  <c r="CF17" i="80"/>
  <c r="CG17" i="80"/>
  <c r="CH17" i="80"/>
  <c r="CI17" i="80"/>
  <c r="CJ17" i="80"/>
  <c r="CK17" i="80"/>
  <c r="CL17" i="80"/>
  <c r="CM17" i="80"/>
  <c r="CN17" i="80"/>
  <c r="CO17" i="80"/>
  <c r="AR21" i="80"/>
  <c r="AS21" i="80"/>
  <c r="AT21" i="80"/>
  <c r="AU21" i="80"/>
  <c r="AV21" i="80"/>
  <c r="AW21" i="80"/>
  <c r="AX21" i="80"/>
  <c r="AY21" i="80"/>
  <c r="AZ21" i="80"/>
  <c r="BA21" i="80"/>
  <c r="BB21" i="80"/>
  <c r="BC21" i="80"/>
  <c r="BD21" i="80"/>
  <c r="BE21" i="80"/>
  <c r="BF21" i="80"/>
  <c r="BG21" i="80"/>
  <c r="BH21" i="80"/>
  <c r="BI21" i="80"/>
  <c r="BJ21" i="80"/>
  <c r="BK21" i="80"/>
  <c r="BL21" i="80"/>
  <c r="BM21" i="80"/>
  <c r="BN21" i="80"/>
  <c r="BO21" i="80"/>
  <c r="BP21" i="80"/>
  <c r="BQ21" i="80"/>
  <c r="BR21" i="80"/>
  <c r="BS21" i="80"/>
  <c r="BT21" i="80"/>
  <c r="BU21" i="80"/>
  <c r="BV21" i="80"/>
  <c r="BW21" i="80"/>
  <c r="BX21" i="80"/>
  <c r="BY21" i="80"/>
  <c r="BZ21" i="80"/>
  <c r="CA21" i="80"/>
  <c r="CB21" i="80"/>
  <c r="CC21" i="80"/>
  <c r="CD21" i="80"/>
  <c r="CE21" i="80"/>
  <c r="CF21" i="80"/>
  <c r="CG21" i="80"/>
  <c r="CH21" i="80"/>
  <c r="CI21" i="80"/>
  <c r="CJ21" i="80"/>
  <c r="CK21" i="80"/>
  <c r="CL21" i="80"/>
  <c r="CM21" i="80"/>
  <c r="CN21" i="80"/>
  <c r="CO21" i="80"/>
  <c r="AR22" i="80"/>
  <c r="AS22" i="80"/>
  <c r="AT22" i="80"/>
  <c r="AU22" i="80"/>
  <c r="AV22" i="80"/>
  <c r="AW22" i="80"/>
  <c r="AX22" i="80"/>
  <c r="AY22" i="80"/>
  <c r="AZ22" i="80"/>
  <c r="BA22" i="80"/>
  <c r="BB22" i="80"/>
  <c r="BC22" i="80"/>
  <c r="BD22" i="80"/>
  <c r="BE22" i="80"/>
  <c r="BF22" i="80"/>
  <c r="BG22" i="80"/>
  <c r="BH22" i="80"/>
  <c r="BI22" i="80"/>
  <c r="BJ22" i="80"/>
  <c r="BK22" i="80"/>
  <c r="BL22" i="80"/>
  <c r="BM22" i="80"/>
  <c r="BN22" i="80"/>
  <c r="BO22" i="80"/>
  <c r="BP22" i="80"/>
  <c r="BQ22" i="80"/>
  <c r="BR22" i="80"/>
  <c r="BS22" i="80"/>
  <c r="BT22" i="80"/>
  <c r="BU22" i="80"/>
  <c r="BV22" i="80"/>
  <c r="BW22" i="80"/>
  <c r="BX22" i="80"/>
  <c r="BY22" i="80"/>
  <c r="BZ22" i="80"/>
  <c r="CA22" i="80"/>
  <c r="CB22" i="80"/>
  <c r="CC22" i="80"/>
  <c r="CD22" i="80"/>
  <c r="CE22" i="80"/>
  <c r="CF22" i="80"/>
  <c r="CG22" i="80"/>
  <c r="CH22" i="80"/>
  <c r="CI22" i="80"/>
  <c r="CJ22" i="80"/>
  <c r="CK22" i="80"/>
  <c r="CL22" i="80"/>
  <c r="CM22" i="80"/>
  <c r="CN22" i="80"/>
  <c r="CO22" i="80"/>
  <c r="C22" i="80"/>
  <c r="C21" i="80"/>
  <c r="C17" i="80"/>
  <c r="CR109" i="80"/>
  <c r="CS109" i="80"/>
  <c r="CP109" i="80"/>
  <c r="AQ109" i="80"/>
  <c r="AB109" i="80"/>
  <c r="B10" i="80"/>
  <c r="B11" i="80"/>
  <c r="B12" i="80"/>
  <c r="B13" i="80"/>
  <c r="B14" i="80"/>
  <c r="B15" i="80"/>
  <c r="B16" i="80"/>
  <c r="B17" i="80"/>
  <c r="B18" i="80"/>
  <c r="B19" i="80"/>
  <c r="B20" i="80"/>
  <c r="B21" i="80"/>
  <c r="B22" i="80"/>
  <c r="B23" i="80"/>
  <c r="B24" i="80"/>
  <c r="B25" i="80"/>
  <c r="B26" i="80"/>
  <c r="B27" i="80"/>
  <c r="B28" i="80"/>
  <c r="B29" i="80"/>
  <c r="B30" i="80"/>
  <c r="B31" i="80"/>
  <c r="B32" i="80"/>
  <c r="B33" i="80"/>
  <c r="B34" i="80"/>
  <c r="B35" i="80"/>
  <c r="B36" i="80"/>
  <c r="B37" i="80"/>
  <c r="B38" i="80"/>
  <c r="B39" i="80"/>
  <c r="B40" i="80"/>
  <c r="B41" i="80"/>
  <c r="B42" i="80"/>
  <c r="B43" i="80"/>
  <c r="B44" i="80"/>
  <c r="B45" i="80"/>
  <c r="B46" i="80"/>
  <c r="B47" i="80"/>
  <c r="B48" i="80"/>
  <c r="B49" i="80"/>
  <c r="B50" i="80"/>
  <c r="B51" i="80"/>
  <c r="B52" i="80"/>
  <c r="B53" i="80"/>
  <c r="B54" i="80"/>
  <c r="B55" i="80"/>
  <c r="B56" i="80"/>
  <c r="B57" i="80"/>
  <c r="B58" i="80"/>
  <c r="B59" i="80"/>
  <c r="B60" i="80"/>
  <c r="B61" i="80"/>
  <c r="B62" i="80"/>
  <c r="B63" i="80"/>
  <c r="B64" i="80"/>
  <c r="B65" i="80"/>
  <c r="B66" i="80"/>
  <c r="B67" i="80"/>
  <c r="B68" i="80"/>
  <c r="B69" i="80"/>
  <c r="B70" i="80"/>
  <c r="B71" i="80"/>
  <c r="B72" i="80"/>
  <c r="B73" i="80"/>
  <c r="B74" i="80"/>
  <c r="B75" i="80"/>
  <c r="B76" i="80"/>
  <c r="B77" i="80"/>
  <c r="B78" i="80"/>
  <c r="B79" i="80"/>
  <c r="B80" i="80"/>
  <c r="B81" i="80"/>
  <c r="B82" i="80"/>
  <c r="B83" i="80"/>
  <c r="B84" i="80"/>
  <c r="B85" i="80"/>
  <c r="B86" i="80"/>
  <c r="B87" i="80"/>
  <c r="B88" i="80"/>
  <c r="B89" i="80"/>
  <c r="B90" i="80"/>
  <c r="B91" i="80"/>
  <c r="B92" i="80"/>
  <c r="B93" i="80"/>
  <c r="B94" i="80"/>
  <c r="B95" i="80"/>
  <c r="B96" i="80"/>
  <c r="B97" i="80"/>
  <c r="B98" i="80"/>
  <c r="B99" i="80"/>
  <c r="B100" i="80"/>
  <c r="B101" i="80"/>
  <c r="B102" i="80"/>
  <c r="B103" i="80"/>
  <c r="B104" i="80"/>
  <c r="B105" i="80"/>
  <c r="B106" i="80"/>
  <c r="B107" i="80"/>
  <c r="B108" i="80"/>
  <c r="B109" i="80"/>
  <c r="CR108" i="80"/>
  <c r="CS108" i="80"/>
  <c r="CP108" i="80"/>
  <c r="AQ108" i="80"/>
  <c r="AB108" i="80"/>
  <c r="CR107" i="80"/>
  <c r="CS107" i="80"/>
  <c r="CP107" i="80"/>
  <c r="AQ107" i="80"/>
  <c r="AB107" i="80"/>
  <c r="CR106" i="80"/>
  <c r="CS106" i="80"/>
  <c r="CP106" i="80"/>
  <c r="AQ106" i="80"/>
  <c r="AB106" i="80"/>
  <c r="CR105" i="80"/>
  <c r="CS105" i="80"/>
  <c r="CP105" i="80"/>
  <c r="AQ105" i="80"/>
  <c r="AB105" i="80"/>
  <c r="CR104" i="80"/>
  <c r="CS104" i="80"/>
  <c r="CP104" i="80"/>
  <c r="AQ104" i="80"/>
  <c r="AB104" i="80"/>
  <c r="CR103" i="80"/>
  <c r="CS103" i="80"/>
  <c r="CP103" i="80"/>
  <c r="AQ103" i="80"/>
  <c r="AB103" i="80"/>
  <c r="CR102" i="80"/>
  <c r="CS102" i="80"/>
  <c r="CP102" i="80"/>
  <c r="AQ102" i="80"/>
  <c r="AB102" i="80"/>
  <c r="CR101" i="80"/>
  <c r="CS101" i="80"/>
  <c r="CP101" i="80"/>
  <c r="AQ101" i="80"/>
  <c r="AB101" i="80"/>
  <c r="CR100" i="80"/>
  <c r="CS100" i="80"/>
  <c r="CP100" i="80"/>
  <c r="AQ100" i="80"/>
  <c r="AB100" i="80"/>
  <c r="CR99" i="80"/>
  <c r="CS99" i="80"/>
  <c r="CP99" i="80"/>
  <c r="AQ99" i="80"/>
  <c r="AB99" i="80"/>
  <c r="CR98" i="80"/>
  <c r="CS98" i="80"/>
  <c r="CP98" i="80"/>
  <c r="AQ98" i="80"/>
  <c r="AB98" i="80"/>
  <c r="CR97" i="80"/>
  <c r="CS97" i="80"/>
  <c r="CP97" i="80"/>
  <c r="AQ97" i="80"/>
  <c r="AB97" i="80"/>
  <c r="CR96" i="80"/>
  <c r="CS96" i="80"/>
  <c r="CP96" i="80"/>
  <c r="AQ96" i="80"/>
  <c r="AB96" i="80"/>
  <c r="CR95" i="80"/>
  <c r="CS95" i="80"/>
  <c r="CP95" i="80"/>
  <c r="AQ95" i="80"/>
  <c r="AB95" i="80"/>
  <c r="CR94" i="80"/>
  <c r="CS94" i="80"/>
  <c r="CP94" i="80"/>
  <c r="AQ94" i="80"/>
  <c r="AB94" i="80"/>
  <c r="CR93" i="80"/>
  <c r="CS93" i="80"/>
  <c r="CP93" i="80"/>
  <c r="AQ93" i="80"/>
  <c r="AB93" i="80"/>
  <c r="CR92" i="80"/>
  <c r="CS92" i="80"/>
  <c r="CP92" i="80"/>
  <c r="AQ92" i="80"/>
  <c r="AB92" i="80"/>
  <c r="CR91" i="80"/>
  <c r="CS91" i="80"/>
  <c r="CP91" i="80"/>
  <c r="AQ91" i="80"/>
  <c r="AB91" i="80"/>
  <c r="CR90" i="80"/>
  <c r="CS90" i="80"/>
  <c r="CP90" i="80"/>
  <c r="AQ90" i="80"/>
  <c r="AB90" i="80"/>
  <c r="CR89" i="80"/>
  <c r="CS89" i="80"/>
  <c r="CP89" i="80"/>
  <c r="AQ89" i="80"/>
  <c r="AB89" i="80"/>
  <c r="CR88" i="80"/>
  <c r="CS88" i="80"/>
  <c r="CP88" i="80"/>
  <c r="AQ88" i="80"/>
  <c r="AB88" i="80"/>
  <c r="CR87" i="80"/>
  <c r="CS87" i="80"/>
  <c r="CP87" i="80"/>
  <c r="AQ87" i="80"/>
  <c r="AB87" i="80"/>
  <c r="CR86" i="80"/>
  <c r="CS86" i="80"/>
  <c r="CP86" i="80"/>
  <c r="AQ86" i="80"/>
  <c r="AB86" i="80"/>
  <c r="CR85" i="80"/>
  <c r="CS85" i="80"/>
  <c r="CP85" i="80"/>
  <c r="AQ85" i="80"/>
  <c r="AB85" i="80"/>
  <c r="CR84" i="80"/>
  <c r="CS84" i="80"/>
  <c r="CP84" i="80"/>
  <c r="AQ84" i="80"/>
  <c r="AB84" i="80"/>
  <c r="CR83" i="80"/>
  <c r="CS83" i="80"/>
  <c r="CP83" i="80"/>
  <c r="AQ83" i="80"/>
  <c r="AB83" i="80"/>
  <c r="CR82" i="80"/>
  <c r="CS82" i="80"/>
  <c r="CP82" i="80"/>
  <c r="AQ82" i="80"/>
  <c r="AB82" i="80"/>
  <c r="CR81" i="80"/>
  <c r="CS81" i="80"/>
  <c r="CP81" i="80"/>
  <c r="AQ81" i="80"/>
  <c r="AB81" i="80"/>
  <c r="CR80" i="80"/>
  <c r="CS80" i="80"/>
  <c r="CP80" i="80"/>
  <c r="AQ80" i="80"/>
  <c r="AB80" i="80"/>
  <c r="CR79" i="80"/>
  <c r="CS79" i="80"/>
  <c r="CP79" i="80"/>
  <c r="AQ79" i="80"/>
  <c r="AB79" i="80"/>
  <c r="CR78" i="80"/>
  <c r="CS78" i="80"/>
  <c r="CP78" i="80"/>
  <c r="AQ78" i="80"/>
  <c r="AB78" i="80"/>
  <c r="CR77" i="80"/>
  <c r="CS77" i="80"/>
  <c r="CP77" i="80"/>
  <c r="AQ77" i="80"/>
  <c r="AB77" i="80"/>
  <c r="CR76" i="80"/>
  <c r="CS76" i="80"/>
  <c r="CP76" i="80"/>
  <c r="AQ76" i="80"/>
  <c r="AB76" i="80"/>
  <c r="CR75" i="80"/>
  <c r="CS75" i="80"/>
  <c r="CP75" i="80"/>
  <c r="AQ75" i="80"/>
  <c r="AB75" i="80"/>
  <c r="CR74" i="80"/>
  <c r="CS74" i="80"/>
  <c r="CP74" i="80"/>
  <c r="AQ74" i="80"/>
  <c r="AB74" i="80"/>
  <c r="CR73" i="80"/>
  <c r="CS73" i="80"/>
  <c r="CP73" i="80"/>
  <c r="AQ73" i="80"/>
  <c r="AB73" i="80"/>
  <c r="CR72" i="80"/>
  <c r="CS72" i="80"/>
  <c r="CP72" i="80"/>
  <c r="AQ72" i="80"/>
  <c r="AB72" i="80"/>
  <c r="CR71" i="80"/>
  <c r="CS71" i="80"/>
  <c r="CP71" i="80"/>
  <c r="AQ71" i="80"/>
  <c r="AB71" i="80"/>
  <c r="CR70" i="80"/>
  <c r="CS70" i="80"/>
  <c r="CP70" i="80"/>
  <c r="AQ70" i="80"/>
  <c r="AB70" i="80"/>
  <c r="CR69" i="80"/>
  <c r="CS69" i="80"/>
  <c r="CP69" i="80"/>
  <c r="AQ69" i="80"/>
  <c r="AB69" i="80"/>
  <c r="CR68" i="80"/>
  <c r="CS68" i="80"/>
  <c r="CP68" i="80"/>
  <c r="AQ68" i="80"/>
  <c r="AB68" i="80"/>
  <c r="CR67" i="80"/>
  <c r="CS67" i="80"/>
  <c r="CP67" i="80"/>
  <c r="AQ67" i="80"/>
  <c r="AB67" i="80"/>
  <c r="CR66" i="80"/>
  <c r="CS66" i="80"/>
  <c r="CP66" i="80"/>
  <c r="AQ66" i="80"/>
  <c r="AB66" i="80"/>
  <c r="CR65" i="80"/>
  <c r="CS65" i="80"/>
  <c r="CP65" i="80"/>
  <c r="AQ65" i="80"/>
  <c r="AB65" i="80"/>
  <c r="CR64" i="80"/>
  <c r="CS64" i="80"/>
  <c r="CP64" i="80"/>
  <c r="AQ64" i="80"/>
  <c r="AB64" i="80"/>
  <c r="CR63" i="80"/>
  <c r="CS63" i="80"/>
  <c r="CP63" i="80"/>
  <c r="AQ63" i="80"/>
  <c r="AB63" i="80"/>
  <c r="CR62" i="80"/>
  <c r="CS62" i="80"/>
  <c r="CP62" i="80"/>
  <c r="AQ62" i="80"/>
  <c r="AB62" i="80"/>
  <c r="CR61" i="80"/>
  <c r="CS61" i="80"/>
  <c r="CP61" i="80"/>
  <c r="AQ61" i="80"/>
  <c r="AB61" i="80"/>
  <c r="CR60" i="80"/>
  <c r="CS60" i="80"/>
  <c r="CP60" i="80"/>
  <c r="AQ60" i="80"/>
  <c r="AB60" i="80"/>
  <c r="CR59" i="80"/>
  <c r="CS59" i="80"/>
  <c r="CP59" i="80"/>
  <c r="AQ59" i="80"/>
  <c r="AB59" i="80"/>
  <c r="CR58" i="80"/>
  <c r="CS58" i="80"/>
  <c r="CP58" i="80"/>
  <c r="AQ58" i="80"/>
  <c r="AB58" i="80"/>
  <c r="CR57" i="80"/>
  <c r="CS57" i="80"/>
  <c r="CP57" i="80"/>
  <c r="AQ57" i="80"/>
  <c r="AB57" i="80"/>
  <c r="CR56" i="80"/>
  <c r="CS56" i="80"/>
  <c r="CP56" i="80"/>
  <c r="AQ56" i="80"/>
  <c r="AB56" i="80"/>
  <c r="CR55" i="80"/>
  <c r="CS55" i="80"/>
  <c r="CP55" i="80"/>
  <c r="AQ55" i="80"/>
  <c r="AB55" i="80"/>
  <c r="CR54" i="80"/>
  <c r="CS54" i="80"/>
  <c r="CP54" i="80"/>
  <c r="AQ54" i="80"/>
  <c r="AB54" i="80"/>
  <c r="CR53" i="80"/>
  <c r="CS53" i="80"/>
  <c r="CP53" i="80"/>
  <c r="AQ53" i="80"/>
  <c r="AB53" i="80"/>
  <c r="CR52" i="80"/>
  <c r="CS52" i="80"/>
  <c r="CP52" i="80"/>
  <c r="AQ52" i="80"/>
  <c r="AB52" i="80"/>
  <c r="CR51" i="80"/>
  <c r="CS51" i="80"/>
  <c r="CP51" i="80"/>
  <c r="AQ51" i="80"/>
  <c r="AB51" i="80"/>
  <c r="CR50" i="80"/>
  <c r="CS50" i="80"/>
  <c r="CP50" i="80"/>
  <c r="AQ50" i="80"/>
  <c r="AB50" i="80"/>
  <c r="CR49" i="80"/>
  <c r="CS49" i="80"/>
  <c r="CP49" i="80"/>
  <c r="AQ49" i="80"/>
  <c r="AB49" i="80"/>
  <c r="CR48" i="80"/>
  <c r="CS48" i="80"/>
  <c r="CP48" i="80"/>
  <c r="AQ48" i="80"/>
  <c r="AB48" i="80"/>
  <c r="CR47" i="80"/>
  <c r="CS47" i="80"/>
  <c r="CP47" i="80"/>
  <c r="AQ47" i="80"/>
  <c r="AB47" i="80"/>
  <c r="CR46" i="80"/>
  <c r="CS46" i="80"/>
  <c r="CP46" i="80"/>
  <c r="AQ46" i="80"/>
  <c r="AB46" i="80"/>
  <c r="CR45" i="80"/>
  <c r="CS45" i="80"/>
  <c r="CP45" i="80"/>
  <c r="AQ45" i="80"/>
  <c r="AB45" i="80"/>
  <c r="CR44" i="80"/>
  <c r="CS44" i="80"/>
  <c r="CP44" i="80"/>
  <c r="AQ44" i="80"/>
  <c r="AB44" i="80"/>
  <c r="CR43" i="80"/>
  <c r="CS43" i="80"/>
  <c r="CP43" i="80"/>
  <c r="AQ43" i="80"/>
  <c r="AB43" i="80"/>
  <c r="CR42" i="80"/>
  <c r="CS42" i="80"/>
  <c r="CP42" i="80"/>
  <c r="AQ42" i="80"/>
  <c r="AB42" i="80"/>
  <c r="CR41" i="80"/>
  <c r="CS41" i="80"/>
  <c r="CP41" i="80"/>
  <c r="AQ41" i="80"/>
  <c r="AB41" i="80"/>
  <c r="CR40" i="80"/>
  <c r="CS40" i="80"/>
  <c r="CP40" i="80"/>
  <c r="AQ40" i="80"/>
  <c r="AB40" i="80"/>
  <c r="CR39" i="80"/>
  <c r="CS39" i="80"/>
  <c r="CP39" i="80"/>
  <c r="AQ39" i="80"/>
  <c r="AB39" i="80"/>
  <c r="CR38" i="80"/>
  <c r="CS38" i="80"/>
  <c r="CP38" i="80"/>
  <c r="AQ38" i="80"/>
  <c r="AB38" i="80"/>
  <c r="CR37" i="80"/>
  <c r="CS37" i="80"/>
  <c r="CP37" i="80"/>
  <c r="AQ37" i="80"/>
  <c r="AB37" i="80"/>
  <c r="CR36" i="80"/>
  <c r="CS36" i="80"/>
  <c r="CP36" i="80"/>
  <c r="AQ36" i="80"/>
  <c r="AB36" i="80"/>
  <c r="CR35" i="80"/>
  <c r="CS35" i="80"/>
  <c r="CP35" i="80"/>
  <c r="AQ35" i="80"/>
  <c r="AB35" i="80"/>
  <c r="CR34" i="80"/>
  <c r="CS34" i="80"/>
  <c r="CP34" i="80"/>
  <c r="AQ34" i="80"/>
  <c r="AB34" i="80"/>
  <c r="CR33" i="80"/>
  <c r="CS33" i="80"/>
  <c r="CP33" i="80"/>
  <c r="AQ33" i="80"/>
  <c r="AB33" i="80"/>
  <c r="CR32" i="80"/>
  <c r="CS32" i="80"/>
  <c r="CP32" i="80"/>
  <c r="AQ32" i="80"/>
  <c r="AB32" i="80"/>
  <c r="CR31" i="80"/>
  <c r="CS31" i="80"/>
  <c r="CP31" i="80"/>
  <c r="AQ31" i="80"/>
  <c r="AB31" i="80"/>
  <c r="CR30" i="80"/>
  <c r="CS30" i="80"/>
  <c r="CP30" i="80"/>
  <c r="AQ30" i="80"/>
  <c r="AB30" i="80"/>
  <c r="CR29" i="80"/>
  <c r="CS29" i="80"/>
  <c r="CP29" i="80"/>
  <c r="AQ29" i="80"/>
  <c r="AB29" i="80"/>
  <c r="CR28" i="80"/>
  <c r="CS28" i="80"/>
  <c r="CP28" i="80"/>
  <c r="AQ28" i="80"/>
  <c r="AB28" i="80"/>
  <c r="CR27" i="80"/>
  <c r="CS27" i="80"/>
  <c r="CP27" i="80"/>
  <c r="AQ27" i="80"/>
  <c r="AB27" i="80"/>
  <c r="CR26" i="80"/>
  <c r="CS26" i="80"/>
  <c r="CP26" i="80"/>
  <c r="AQ26" i="80"/>
  <c r="AB26" i="80"/>
  <c r="CR25" i="80"/>
  <c r="CS25" i="80"/>
  <c r="CP25" i="80"/>
  <c r="AQ25" i="80"/>
  <c r="AB25" i="80"/>
  <c r="CR24" i="80"/>
  <c r="CS24" i="80"/>
  <c r="CP24" i="80"/>
  <c r="AQ24" i="80"/>
  <c r="AB24" i="80"/>
  <c r="AQ23" i="80"/>
  <c r="AQ22" i="80"/>
  <c r="AQ21" i="80"/>
  <c r="AQ20" i="80"/>
  <c r="AQ19" i="80"/>
  <c r="AQ18" i="80"/>
  <c r="AQ17" i="80"/>
  <c r="AQ16" i="80"/>
  <c r="AQ15" i="80"/>
  <c r="AQ14" i="80"/>
  <c r="AQ13" i="80"/>
  <c r="AQ12" i="80"/>
  <c r="AQ11" i="80"/>
  <c r="AQ10" i="80"/>
  <c r="AQ8" i="80"/>
  <c r="AS6" i="80"/>
  <c r="AT6" i="80"/>
  <c r="AU6" i="80"/>
  <c r="AV6" i="80"/>
  <c r="AW6" i="80"/>
  <c r="AX6" i="80"/>
  <c r="AY6" i="80"/>
  <c r="AZ6" i="80"/>
  <c r="BA6" i="80"/>
  <c r="BB6" i="80"/>
  <c r="BC6" i="80"/>
  <c r="BD6" i="80"/>
  <c r="BE6" i="80"/>
  <c r="BF6" i="80"/>
  <c r="BG6" i="80"/>
  <c r="BH6" i="80"/>
  <c r="BI6" i="80"/>
  <c r="BJ6" i="80"/>
  <c r="BK6" i="80"/>
  <c r="BL6" i="80"/>
  <c r="BM6" i="80"/>
  <c r="BN6" i="80"/>
  <c r="BO6" i="80"/>
  <c r="BP6" i="80"/>
  <c r="BQ6" i="80"/>
  <c r="BR6" i="80"/>
  <c r="BS6" i="80"/>
  <c r="BT6" i="80"/>
  <c r="BU6" i="80"/>
  <c r="BV6" i="80"/>
  <c r="BW6" i="80"/>
  <c r="BX6" i="80"/>
  <c r="BY6" i="80"/>
  <c r="BZ6" i="80"/>
  <c r="CA6" i="80"/>
  <c r="CB6" i="80"/>
  <c r="CC6" i="80"/>
  <c r="CD6" i="80"/>
  <c r="CE6" i="80"/>
  <c r="CF6" i="80"/>
  <c r="CG6" i="80"/>
  <c r="CH6" i="80"/>
  <c r="CI6" i="80"/>
  <c r="CJ6" i="80"/>
  <c r="CK6" i="80"/>
  <c r="CL6" i="80"/>
  <c r="CM6" i="80"/>
  <c r="CN6" i="80"/>
  <c r="CO6" i="80"/>
  <c r="AG5" i="80"/>
  <c r="AF5" i="80"/>
  <c r="A1" i="76"/>
  <c r="H23" i="79"/>
  <c r="I90" i="55"/>
  <c r="I90" i="82" s="1"/>
  <c r="K77" i="55"/>
  <c r="P30" i="61"/>
  <c r="O30" i="61"/>
  <c r="N30" i="61"/>
  <c r="M30" i="61"/>
  <c r="L30" i="61"/>
  <c r="P31" i="59"/>
  <c r="O31" i="59"/>
  <c r="N31" i="59"/>
  <c r="M31" i="59"/>
  <c r="L31" i="59"/>
  <c r="F9" i="76"/>
  <c r="G9" i="76"/>
  <c r="H9" i="76"/>
  <c r="H11" i="76"/>
  <c r="I9" i="76"/>
  <c r="H10" i="76"/>
  <c r="G10" i="76"/>
  <c r="G11" i="76"/>
  <c r="D23" i="79"/>
  <c r="D22" i="79"/>
  <c r="D21" i="79"/>
  <c r="D19" i="79"/>
  <c r="D18" i="79"/>
  <c r="D17" i="79"/>
  <c r="D16" i="79"/>
  <c r="C22" i="78"/>
  <c r="C13" i="78"/>
  <c r="C6" i="78"/>
  <c r="B4" i="78"/>
  <c r="F11" i="76"/>
  <c r="F10" i="76"/>
  <c r="H74" i="55"/>
  <c r="G74" i="55"/>
  <c r="F74" i="55"/>
  <c r="D74" i="55"/>
  <c r="H87" i="56"/>
  <c r="G87" i="56"/>
  <c r="H85" i="56"/>
  <c r="G85" i="56"/>
  <c r="H84" i="56"/>
  <c r="G84" i="56"/>
  <c r="H83" i="56"/>
  <c r="G83" i="56"/>
  <c r="H82" i="56"/>
  <c r="G82" i="56"/>
  <c r="H81" i="56"/>
  <c r="G81" i="56"/>
  <c r="H80" i="56"/>
  <c r="G80" i="56"/>
  <c r="H79" i="56"/>
  <c r="G79" i="56"/>
  <c r="H78" i="56"/>
  <c r="G78" i="56"/>
  <c r="H77" i="56"/>
  <c r="G77" i="56"/>
  <c r="H76" i="56"/>
  <c r="G76" i="56"/>
  <c r="H75" i="56"/>
  <c r="G75" i="56"/>
  <c r="H74" i="56"/>
  <c r="G74" i="56"/>
  <c r="H73" i="56"/>
  <c r="G73" i="56"/>
  <c r="H72" i="56"/>
  <c r="G72" i="56"/>
  <c r="H71" i="56"/>
  <c r="G71" i="56"/>
  <c r="H70" i="56"/>
  <c r="G70" i="56"/>
  <c r="H69" i="56"/>
  <c r="G69" i="56"/>
  <c r="H68" i="56"/>
  <c r="G68" i="56"/>
  <c r="F87" i="56"/>
  <c r="F85" i="56"/>
  <c r="D85" i="56"/>
  <c r="F84" i="56"/>
  <c r="D84" i="56"/>
  <c r="F83" i="56"/>
  <c r="D83" i="56"/>
  <c r="F82" i="56"/>
  <c r="D82" i="56"/>
  <c r="F81" i="56"/>
  <c r="D81" i="56"/>
  <c r="F80" i="56"/>
  <c r="D80" i="56"/>
  <c r="F79" i="56"/>
  <c r="D79" i="56"/>
  <c r="F78" i="56"/>
  <c r="D78" i="56"/>
  <c r="F77" i="56"/>
  <c r="D77" i="56"/>
  <c r="F76" i="56"/>
  <c r="D76" i="56"/>
  <c r="F75" i="56"/>
  <c r="D75" i="56"/>
  <c r="F74" i="56"/>
  <c r="D74" i="56"/>
  <c r="F73" i="56"/>
  <c r="D73" i="56"/>
  <c r="F72" i="56"/>
  <c r="D72" i="56"/>
  <c r="F71" i="56"/>
  <c r="D71" i="56"/>
  <c r="F70" i="56"/>
  <c r="D70" i="56"/>
  <c r="F69" i="56"/>
  <c r="E69" i="56"/>
  <c r="E70" i="56" s="1"/>
  <c r="E71" i="56" s="1"/>
  <c r="E72" i="56" s="1"/>
  <c r="E73" i="56" s="1"/>
  <c r="E74" i="56" s="1"/>
  <c r="E75" i="56" s="1"/>
  <c r="E76" i="56" s="1"/>
  <c r="E77" i="56" s="1"/>
  <c r="E78" i="56" s="1"/>
  <c r="E79" i="56" s="1"/>
  <c r="E80" i="56" s="1"/>
  <c r="E81" i="56" s="1"/>
  <c r="E82" i="56" s="1"/>
  <c r="E83" i="56" s="1"/>
  <c r="E84" i="56" s="1"/>
  <c r="E85" i="56" s="1"/>
  <c r="D69" i="56"/>
  <c r="F68" i="56"/>
  <c r="D68" i="56"/>
  <c r="C68" i="56"/>
  <c r="C69" i="56" s="1"/>
  <c r="C70" i="56" s="1"/>
  <c r="C71" i="56" s="1"/>
  <c r="C72" i="56" s="1"/>
  <c r="C73" i="56" s="1"/>
  <c r="C74" i="56" s="1"/>
  <c r="C75" i="56" s="1"/>
  <c r="C76" i="56" s="1"/>
  <c r="C77" i="56" s="1"/>
  <c r="C78" i="56" s="1"/>
  <c r="C79" i="56" s="1"/>
  <c r="C80" i="56" s="1"/>
  <c r="C81" i="56" s="1"/>
  <c r="C82" i="56" s="1"/>
  <c r="C83" i="56" s="1"/>
  <c r="C84" i="56" s="1"/>
  <c r="C85" i="56" s="1"/>
  <c r="I55" i="56"/>
  <c r="I57" i="56" s="1"/>
  <c r="H55" i="56"/>
  <c r="G55" i="56"/>
  <c r="H53" i="56"/>
  <c r="G53" i="56"/>
  <c r="H52" i="56"/>
  <c r="G52" i="56"/>
  <c r="H51" i="56"/>
  <c r="G51" i="56"/>
  <c r="H50" i="56"/>
  <c r="G50" i="56"/>
  <c r="H49" i="56"/>
  <c r="G49" i="56"/>
  <c r="H48" i="56"/>
  <c r="G48" i="56"/>
  <c r="H47" i="56"/>
  <c r="G47" i="56"/>
  <c r="H46" i="56"/>
  <c r="G46" i="56"/>
  <c r="H45" i="56"/>
  <c r="G45" i="56"/>
  <c r="H44" i="56"/>
  <c r="G44" i="56"/>
  <c r="H43" i="56"/>
  <c r="G43" i="56"/>
  <c r="H42" i="56"/>
  <c r="G42" i="56"/>
  <c r="H41" i="56"/>
  <c r="G41" i="56"/>
  <c r="H40" i="56"/>
  <c r="G40" i="56"/>
  <c r="H39" i="56"/>
  <c r="G39" i="56"/>
  <c r="H38" i="56"/>
  <c r="G38" i="56"/>
  <c r="H37" i="56"/>
  <c r="G37" i="56"/>
  <c r="H36" i="56"/>
  <c r="G36" i="56"/>
  <c r="F55" i="56"/>
  <c r="F53" i="56"/>
  <c r="D53" i="56"/>
  <c r="F52" i="56"/>
  <c r="D52" i="56"/>
  <c r="F51" i="56"/>
  <c r="D51" i="56"/>
  <c r="F50" i="56"/>
  <c r="D50" i="56"/>
  <c r="F49" i="56"/>
  <c r="D49" i="56"/>
  <c r="F48" i="56"/>
  <c r="D48" i="56"/>
  <c r="F47" i="56"/>
  <c r="D47" i="56"/>
  <c r="F46" i="56"/>
  <c r="D46" i="56"/>
  <c r="F45" i="56"/>
  <c r="D45" i="56"/>
  <c r="F44" i="56"/>
  <c r="D44" i="56"/>
  <c r="F43" i="56"/>
  <c r="D43" i="56"/>
  <c r="F42" i="56"/>
  <c r="D42" i="56"/>
  <c r="F41" i="56"/>
  <c r="D41" i="56"/>
  <c r="F40" i="56"/>
  <c r="D40" i="56"/>
  <c r="F39" i="56"/>
  <c r="D39" i="56"/>
  <c r="F38" i="56"/>
  <c r="D38" i="56"/>
  <c r="F37" i="56"/>
  <c r="E37" i="56"/>
  <c r="E38" i="56" s="1"/>
  <c r="E39" i="56" s="1"/>
  <c r="E40" i="56" s="1"/>
  <c r="E41" i="56" s="1"/>
  <c r="E42" i="56" s="1"/>
  <c r="E43" i="56" s="1"/>
  <c r="E44" i="56" s="1"/>
  <c r="E45" i="56" s="1"/>
  <c r="E46" i="56" s="1"/>
  <c r="E47" i="56" s="1"/>
  <c r="E48" i="56" s="1"/>
  <c r="E49" i="56" s="1"/>
  <c r="E50" i="56" s="1"/>
  <c r="E51" i="56" s="1"/>
  <c r="E52" i="56" s="1"/>
  <c r="E53" i="56" s="1"/>
  <c r="D37" i="56"/>
  <c r="F36" i="56"/>
  <c r="D36" i="56"/>
  <c r="C36" i="56"/>
  <c r="C37" i="56"/>
  <c r="C38" i="56" s="1"/>
  <c r="C39" i="56" s="1"/>
  <c r="C40" i="56" s="1"/>
  <c r="C41" i="56" s="1"/>
  <c r="C42" i="56" s="1"/>
  <c r="C43" i="56" s="1"/>
  <c r="C44" i="56" s="1"/>
  <c r="C45" i="56" s="1"/>
  <c r="C46" i="56" s="1"/>
  <c r="C47" i="56" s="1"/>
  <c r="C48" i="56" s="1"/>
  <c r="C49" i="56" s="1"/>
  <c r="C50" i="56" s="1"/>
  <c r="C51" i="56" s="1"/>
  <c r="C52" i="56" s="1"/>
  <c r="C53" i="56" s="1"/>
  <c r="J55" i="56"/>
  <c r="J57" i="56" s="1"/>
  <c r="L55" i="56"/>
  <c r="L57" i="56" s="1"/>
  <c r="J81" i="55"/>
  <c r="J81" i="82" s="1"/>
  <c r="J77" i="55"/>
  <c r="I87" i="55"/>
  <c r="I87" i="82" s="1"/>
  <c r="I85" i="55"/>
  <c r="I85" i="82" s="1"/>
  <c r="I83" i="55"/>
  <c r="I83" i="82" s="1"/>
  <c r="I79" i="55"/>
  <c r="I79" i="82" s="1"/>
  <c r="R195" i="53"/>
  <c r="Q195" i="53"/>
  <c r="P195" i="53"/>
  <c r="O195" i="53"/>
  <c r="N195" i="53"/>
  <c r="R177" i="53"/>
  <c r="Q177" i="53"/>
  <c r="P177" i="53"/>
  <c r="O177" i="53"/>
  <c r="N177" i="53"/>
  <c r="R159" i="53"/>
  <c r="Q159" i="53"/>
  <c r="P159" i="53"/>
  <c r="O159" i="53"/>
  <c r="N159" i="53"/>
  <c r="R139" i="53"/>
  <c r="Q139" i="53"/>
  <c r="P139" i="53"/>
  <c r="O139" i="53"/>
  <c r="N139" i="53"/>
  <c r="R121" i="53"/>
  <c r="Q121" i="53"/>
  <c r="P121" i="53"/>
  <c r="O121" i="53"/>
  <c r="N121" i="53"/>
  <c r="R103" i="53"/>
  <c r="Q103" i="53"/>
  <c r="P103" i="53"/>
  <c r="O103" i="53"/>
  <c r="N103" i="53"/>
  <c r="R56" i="53"/>
  <c r="Q56" i="53"/>
  <c r="P56" i="53"/>
  <c r="O56" i="53"/>
  <c r="N56" i="53"/>
  <c r="M56" i="53"/>
  <c r="L56" i="53"/>
  <c r="K56" i="53"/>
  <c r="N75" i="55"/>
  <c r="R38" i="62"/>
  <c r="R52" i="62"/>
  <c r="R51" i="62"/>
  <c r="R50" i="62"/>
  <c r="R49" i="62"/>
  <c r="R48" i="62"/>
  <c r="R47" i="62"/>
  <c r="R46" i="62"/>
  <c r="R45" i="62"/>
  <c r="R44" i="62"/>
  <c r="R43" i="62"/>
  <c r="R42" i="62"/>
  <c r="R41" i="62"/>
  <c r="R40" i="62"/>
  <c r="R39" i="62"/>
  <c r="E9" i="56"/>
  <c r="E10" i="56" s="1"/>
  <c r="E11" i="56" s="1"/>
  <c r="E12" i="56" s="1"/>
  <c r="E13" i="56" s="1"/>
  <c r="E14" i="56" s="1"/>
  <c r="E15" i="56" s="1"/>
  <c r="E16" i="56" s="1"/>
  <c r="E17" i="56" s="1"/>
  <c r="E18" i="56" s="1"/>
  <c r="E19" i="56" s="1"/>
  <c r="E20" i="56" s="1"/>
  <c r="E21" i="56" s="1"/>
  <c r="E22" i="56" s="1"/>
  <c r="E23" i="56" s="1"/>
  <c r="E24" i="56" s="1"/>
  <c r="E25" i="56" s="1"/>
  <c r="E9" i="61"/>
  <c r="E10" i="61" s="1"/>
  <c r="E11" i="61" s="1"/>
  <c r="E12" i="61" s="1"/>
  <c r="E13" i="61" s="1"/>
  <c r="E14" i="61" s="1"/>
  <c r="E15" i="61" s="1"/>
  <c r="E16" i="61" s="1"/>
  <c r="E17" i="61" s="1"/>
  <c r="E18" i="61" s="1"/>
  <c r="E19" i="61" s="1"/>
  <c r="E20" i="61" s="1"/>
  <c r="E21" i="61" s="1"/>
  <c r="E22" i="61" s="1"/>
  <c r="E23" i="61" s="1"/>
  <c r="E24" i="61" s="1"/>
  <c r="E25" i="61" s="1"/>
  <c r="E9" i="59"/>
  <c r="E10" i="59" s="1"/>
  <c r="E11" i="59" s="1"/>
  <c r="E12" i="59" s="1"/>
  <c r="E13" i="59" s="1"/>
  <c r="E14" i="59" s="1"/>
  <c r="E15" i="59" s="1"/>
  <c r="E16" i="59" s="1"/>
  <c r="E17" i="59" s="1"/>
  <c r="E18" i="59" s="1"/>
  <c r="E19" i="59" s="1"/>
  <c r="E20" i="59" s="1"/>
  <c r="E21" i="59" s="1"/>
  <c r="E22" i="59" s="1"/>
  <c r="E23" i="59" s="1"/>
  <c r="E24" i="59" s="1"/>
  <c r="E25" i="59" s="1"/>
  <c r="H27" i="56"/>
  <c r="H30" i="84" s="1"/>
  <c r="G27" i="56"/>
  <c r="G30" i="84" s="1"/>
  <c r="G30" i="61"/>
  <c r="F27" i="56"/>
  <c r="H25" i="56"/>
  <c r="G25" i="56"/>
  <c r="F25" i="56"/>
  <c r="H24" i="56"/>
  <c r="G24" i="56"/>
  <c r="F24" i="56"/>
  <c r="H23" i="56"/>
  <c r="G23" i="56"/>
  <c r="F23" i="56"/>
  <c r="H22" i="56"/>
  <c r="G22" i="56"/>
  <c r="F22" i="56"/>
  <c r="H21" i="56"/>
  <c r="G21" i="56"/>
  <c r="F21" i="56"/>
  <c r="H20" i="56"/>
  <c r="G20" i="56"/>
  <c r="F20" i="56"/>
  <c r="H19" i="56"/>
  <c r="G19" i="56"/>
  <c r="F19" i="56"/>
  <c r="H18" i="56"/>
  <c r="G18" i="56"/>
  <c r="F18" i="56"/>
  <c r="H17" i="56"/>
  <c r="G17" i="56"/>
  <c r="F17" i="56"/>
  <c r="H16" i="56"/>
  <c r="G16" i="56"/>
  <c r="F16" i="56"/>
  <c r="H15" i="56"/>
  <c r="G15" i="56"/>
  <c r="F15" i="56"/>
  <c r="H14" i="56"/>
  <c r="G14" i="56"/>
  <c r="F14" i="56"/>
  <c r="H13" i="56"/>
  <c r="G13" i="56"/>
  <c r="F13" i="56"/>
  <c r="H12" i="56"/>
  <c r="G12" i="56"/>
  <c r="F12" i="56"/>
  <c r="H11" i="56"/>
  <c r="G11" i="56"/>
  <c r="F11" i="56"/>
  <c r="H10" i="56"/>
  <c r="G10" i="56"/>
  <c r="F10" i="56"/>
  <c r="H9" i="56"/>
  <c r="G9" i="56"/>
  <c r="F9" i="56"/>
  <c r="H8" i="56"/>
  <c r="G8" i="56"/>
  <c r="F8" i="56"/>
  <c r="D25" i="56"/>
  <c r="D24" i="56"/>
  <c r="D23" i="56"/>
  <c r="D22" i="56"/>
  <c r="D21" i="56"/>
  <c r="D20" i="56"/>
  <c r="D19" i="56"/>
  <c r="D18" i="56"/>
  <c r="D17" i="56"/>
  <c r="D16" i="56"/>
  <c r="D15" i="56"/>
  <c r="D14" i="56"/>
  <c r="D13" i="56"/>
  <c r="D12" i="56"/>
  <c r="D11" i="56"/>
  <c r="D10" i="56"/>
  <c r="D9" i="56"/>
  <c r="D8" i="56"/>
  <c r="D39" i="62"/>
  <c r="D42" i="62"/>
  <c r="D47" i="62"/>
  <c r="D50" i="62"/>
  <c r="E39" i="62"/>
  <c r="E40" i="62"/>
  <c r="E41" i="62"/>
  <c r="E42" i="62"/>
  <c r="E43" i="62"/>
  <c r="E44" i="62"/>
  <c r="E45" i="62"/>
  <c r="E46" i="62"/>
  <c r="E47" i="62"/>
  <c r="E48" i="62"/>
  <c r="E49" i="62"/>
  <c r="E50" i="62"/>
  <c r="E51" i="62"/>
  <c r="E52" i="62"/>
  <c r="E90" i="55"/>
  <c r="E89" i="55"/>
  <c r="E88" i="55"/>
  <c r="D88" i="55"/>
  <c r="E87" i="55"/>
  <c r="E86" i="55"/>
  <c r="E85" i="55"/>
  <c r="D85" i="55"/>
  <c r="E84" i="55"/>
  <c r="E83" i="55"/>
  <c r="E82" i="55"/>
  <c r="E81" i="55"/>
  <c r="E80" i="55"/>
  <c r="D80" i="55"/>
  <c r="E79" i="55"/>
  <c r="E78" i="55"/>
  <c r="E77" i="55"/>
  <c r="D77" i="55"/>
  <c r="E67" i="55"/>
  <c r="E66" i="55"/>
  <c r="E65" i="55"/>
  <c r="E64" i="55"/>
  <c r="E63" i="55"/>
  <c r="E62" i="55"/>
  <c r="E61" i="55"/>
  <c r="E60" i="55"/>
  <c r="E59" i="55"/>
  <c r="E58" i="55"/>
  <c r="E57" i="55"/>
  <c r="E56" i="55"/>
  <c r="E55" i="55"/>
  <c r="E54" i="55"/>
  <c r="D65" i="55"/>
  <c r="D62" i="55"/>
  <c r="D57" i="55"/>
  <c r="D54" i="55"/>
  <c r="H54" i="62"/>
  <c r="H52" i="62"/>
  <c r="H51" i="62"/>
  <c r="H50" i="62"/>
  <c r="H49" i="62"/>
  <c r="H48" i="62"/>
  <c r="H47" i="62"/>
  <c r="H46" i="62"/>
  <c r="H45" i="62"/>
  <c r="H44" i="62"/>
  <c r="H43" i="62"/>
  <c r="H42" i="62"/>
  <c r="H41" i="62"/>
  <c r="H40" i="62"/>
  <c r="H39" i="62"/>
  <c r="G54" i="62"/>
  <c r="G52" i="62"/>
  <c r="G51" i="62"/>
  <c r="G50" i="62"/>
  <c r="G49" i="62"/>
  <c r="G48" i="62"/>
  <c r="G47" i="62"/>
  <c r="G46" i="62"/>
  <c r="G45" i="62"/>
  <c r="G44" i="62"/>
  <c r="G43" i="62"/>
  <c r="G42" i="62"/>
  <c r="G41" i="62"/>
  <c r="G40" i="62"/>
  <c r="G39" i="62"/>
  <c r="F39" i="62"/>
  <c r="H32" i="62"/>
  <c r="G32" i="62"/>
  <c r="F32" i="62"/>
  <c r="H30" i="62"/>
  <c r="G30" i="62"/>
  <c r="F30" i="62"/>
  <c r="D30" i="62"/>
  <c r="H29" i="62"/>
  <c r="G29" i="62"/>
  <c r="F29" i="62"/>
  <c r="D29" i="62"/>
  <c r="H28" i="62"/>
  <c r="G28" i="62"/>
  <c r="F28" i="62"/>
  <c r="D28" i="62"/>
  <c r="H27" i="62"/>
  <c r="G27" i="62"/>
  <c r="F27" i="62"/>
  <c r="D27" i="62"/>
  <c r="H26" i="62"/>
  <c r="G26" i="62"/>
  <c r="F26" i="62"/>
  <c r="D26" i="62"/>
  <c r="H25" i="62"/>
  <c r="G25" i="62"/>
  <c r="F25" i="62"/>
  <c r="D25" i="62"/>
  <c r="H24" i="62"/>
  <c r="G24" i="62"/>
  <c r="F24" i="62"/>
  <c r="D24" i="62"/>
  <c r="H23" i="62"/>
  <c r="G23" i="62"/>
  <c r="F23" i="62"/>
  <c r="D23" i="62"/>
  <c r="H22" i="62"/>
  <c r="G22" i="62"/>
  <c r="F22" i="62"/>
  <c r="D22" i="62"/>
  <c r="H21" i="62"/>
  <c r="G21" i="62"/>
  <c r="F21" i="62"/>
  <c r="D21" i="62"/>
  <c r="H20" i="62"/>
  <c r="G20" i="62"/>
  <c r="F20" i="62"/>
  <c r="D20" i="62"/>
  <c r="H19" i="62"/>
  <c r="G19" i="62"/>
  <c r="F19" i="62"/>
  <c r="D19" i="62"/>
  <c r="H18" i="62"/>
  <c r="G18" i="62"/>
  <c r="F18" i="62"/>
  <c r="D18" i="62"/>
  <c r="H17" i="62"/>
  <c r="G17" i="62"/>
  <c r="F17" i="62"/>
  <c r="D17" i="62"/>
  <c r="H16" i="62"/>
  <c r="G16" i="62"/>
  <c r="F16" i="62"/>
  <c r="D16" i="62"/>
  <c r="H15" i="62"/>
  <c r="G15" i="62"/>
  <c r="F15" i="62"/>
  <c r="D15" i="62"/>
  <c r="H14" i="62"/>
  <c r="G14" i="62"/>
  <c r="F14" i="62"/>
  <c r="D14" i="62"/>
  <c r="H13" i="62"/>
  <c r="G13" i="62"/>
  <c r="F13" i="62"/>
  <c r="D13" i="62"/>
  <c r="C13" i="62"/>
  <c r="C14" i="62"/>
  <c r="C15" i="62"/>
  <c r="C16" i="62"/>
  <c r="C17" i="62"/>
  <c r="C18" i="62"/>
  <c r="C19" i="62"/>
  <c r="C20" i="62"/>
  <c r="C21" i="62"/>
  <c r="C22" i="62"/>
  <c r="C23" i="62"/>
  <c r="C24" i="62"/>
  <c r="C25" i="62"/>
  <c r="C26" i="62"/>
  <c r="C27" i="62"/>
  <c r="C28" i="62"/>
  <c r="C29" i="62"/>
  <c r="C30" i="62"/>
  <c r="H90" i="55"/>
  <c r="G90" i="55"/>
  <c r="F90" i="55"/>
  <c r="H89" i="55"/>
  <c r="G89" i="55"/>
  <c r="F89" i="55"/>
  <c r="H88" i="55"/>
  <c r="G88" i="55"/>
  <c r="F88" i="55"/>
  <c r="H87" i="55"/>
  <c r="G87" i="55"/>
  <c r="F87" i="55"/>
  <c r="H86" i="55"/>
  <c r="G86" i="55"/>
  <c r="F86" i="55"/>
  <c r="H85" i="55"/>
  <c r="G85" i="55"/>
  <c r="F85" i="55"/>
  <c r="H84" i="55"/>
  <c r="G84" i="55"/>
  <c r="F84" i="55"/>
  <c r="H83" i="55"/>
  <c r="G83" i="55"/>
  <c r="F83" i="55"/>
  <c r="H82" i="55"/>
  <c r="G82" i="55"/>
  <c r="F82" i="55"/>
  <c r="H81" i="55"/>
  <c r="G81" i="55"/>
  <c r="F81" i="55"/>
  <c r="H80" i="55"/>
  <c r="G80" i="55"/>
  <c r="F80" i="55"/>
  <c r="H79" i="55"/>
  <c r="G79" i="55"/>
  <c r="F79" i="55"/>
  <c r="H78" i="55"/>
  <c r="G78" i="55"/>
  <c r="F78" i="55"/>
  <c r="G77" i="55"/>
  <c r="F77" i="55"/>
  <c r="H77" i="55"/>
  <c r="H49" i="55"/>
  <c r="G49" i="55"/>
  <c r="F49" i="55"/>
  <c r="F47" i="55"/>
  <c r="F46" i="55"/>
  <c r="F45" i="55"/>
  <c r="F44" i="55"/>
  <c r="F43" i="55"/>
  <c r="F42" i="55"/>
  <c r="F41" i="55"/>
  <c r="F40" i="55"/>
  <c r="F39" i="55"/>
  <c r="F38" i="55"/>
  <c r="F37" i="55"/>
  <c r="F36" i="55"/>
  <c r="F35" i="55"/>
  <c r="F34" i="55"/>
  <c r="H47" i="55"/>
  <c r="G47" i="55"/>
  <c r="H46" i="55"/>
  <c r="G46" i="55"/>
  <c r="H45" i="55"/>
  <c r="G45" i="55"/>
  <c r="H44" i="55"/>
  <c r="G44" i="55"/>
  <c r="H43" i="55"/>
  <c r="G43" i="55"/>
  <c r="H42" i="55"/>
  <c r="G42" i="55"/>
  <c r="H41" i="55"/>
  <c r="G41" i="55"/>
  <c r="H40" i="55"/>
  <c r="G40" i="55"/>
  <c r="H39" i="55"/>
  <c r="G39" i="55"/>
  <c r="H38" i="55"/>
  <c r="G38" i="55"/>
  <c r="H37" i="55"/>
  <c r="G37" i="55"/>
  <c r="H36" i="55"/>
  <c r="G36" i="55"/>
  <c r="H35" i="55"/>
  <c r="G35" i="55"/>
  <c r="H34" i="55"/>
  <c r="G34" i="55"/>
  <c r="H27" i="55"/>
  <c r="G27" i="55"/>
  <c r="F27" i="55"/>
  <c r="H25" i="55"/>
  <c r="G25" i="55"/>
  <c r="F25" i="55"/>
  <c r="H24" i="55"/>
  <c r="G24" i="55"/>
  <c r="F24" i="55"/>
  <c r="H23" i="55"/>
  <c r="G23" i="55"/>
  <c r="F23" i="55"/>
  <c r="H22" i="55"/>
  <c r="G22" i="55"/>
  <c r="F22" i="55"/>
  <c r="H21" i="55"/>
  <c r="G21" i="55"/>
  <c r="F21" i="55"/>
  <c r="H20" i="55"/>
  <c r="G20" i="55"/>
  <c r="F20" i="55"/>
  <c r="H19" i="55"/>
  <c r="G19" i="55"/>
  <c r="F19" i="55"/>
  <c r="H18" i="55"/>
  <c r="G18" i="55"/>
  <c r="F18" i="55"/>
  <c r="H17" i="55"/>
  <c r="G17" i="55"/>
  <c r="F17" i="55"/>
  <c r="H16" i="55"/>
  <c r="G16" i="55"/>
  <c r="F16" i="55"/>
  <c r="H15" i="55"/>
  <c r="G15" i="55"/>
  <c r="F15" i="55"/>
  <c r="H14" i="55"/>
  <c r="G14" i="55"/>
  <c r="F14" i="55"/>
  <c r="H13" i="55"/>
  <c r="G13" i="55"/>
  <c r="F13" i="55"/>
  <c r="H12" i="55"/>
  <c r="G12" i="55"/>
  <c r="F12" i="55"/>
  <c r="H11" i="55"/>
  <c r="G11" i="55"/>
  <c r="F11" i="55"/>
  <c r="H10" i="55"/>
  <c r="G10" i="55"/>
  <c r="F10" i="55"/>
  <c r="H9" i="55"/>
  <c r="G9" i="55"/>
  <c r="F9" i="55"/>
  <c r="H8" i="55"/>
  <c r="G8" i="55"/>
  <c r="F8" i="55"/>
  <c r="D25" i="55"/>
  <c r="L25" i="55"/>
  <c r="D24" i="55"/>
  <c r="P24" i="55" s="1"/>
  <c r="D23" i="55"/>
  <c r="O23" i="55" s="1"/>
  <c r="D22" i="55"/>
  <c r="D21" i="55"/>
  <c r="D20" i="55"/>
  <c r="N20" i="55" s="1"/>
  <c r="D19" i="55"/>
  <c r="K19" i="55" s="1"/>
  <c r="D18" i="55"/>
  <c r="K18" i="55" s="1"/>
  <c r="D17" i="55"/>
  <c r="P17" i="55" s="1"/>
  <c r="D16" i="55"/>
  <c r="K16" i="55" s="1"/>
  <c r="D15" i="55"/>
  <c r="D14" i="55"/>
  <c r="M14" i="55" s="1"/>
  <c r="K14" i="55"/>
  <c r="D13" i="55"/>
  <c r="O13" i="55" s="1"/>
  <c r="D12" i="55"/>
  <c r="J12" i="55" s="1"/>
  <c r="K12" i="55"/>
  <c r="D11" i="55"/>
  <c r="D10" i="55"/>
  <c r="D9" i="55"/>
  <c r="D8" i="55"/>
  <c r="O8" i="55" s="1"/>
  <c r="H27" i="61"/>
  <c r="G27" i="61"/>
  <c r="F27" i="61"/>
  <c r="H25" i="61"/>
  <c r="G25" i="61"/>
  <c r="F25" i="61"/>
  <c r="D25" i="61"/>
  <c r="H24" i="61"/>
  <c r="G24" i="61"/>
  <c r="F24" i="61"/>
  <c r="D24" i="61"/>
  <c r="H23" i="61"/>
  <c r="G23" i="61"/>
  <c r="F23" i="61"/>
  <c r="D23" i="61"/>
  <c r="H22" i="61"/>
  <c r="G22" i="61"/>
  <c r="F22" i="61"/>
  <c r="D22" i="61"/>
  <c r="H21" i="61"/>
  <c r="G21" i="61"/>
  <c r="F21" i="61"/>
  <c r="D21" i="61"/>
  <c r="H20" i="61"/>
  <c r="G20" i="61"/>
  <c r="F20" i="61"/>
  <c r="D20" i="61"/>
  <c r="H19" i="61"/>
  <c r="G19" i="61"/>
  <c r="F19" i="61"/>
  <c r="D19" i="61"/>
  <c r="H18" i="61"/>
  <c r="G18" i="61"/>
  <c r="F18" i="61"/>
  <c r="D18" i="61"/>
  <c r="H17" i="61"/>
  <c r="G17" i="61"/>
  <c r="F17" i="61"/>
  <c r="D17" i="61"/>
  <c r="H16" i="61"/>
  <c r="G16" i="61"/>
  <c r="F16" i="61"/>
  <c r="D16" i="61"/>
  <c r="H15" i="61"/>
  <c r="G15" i="61"/>
  <c r="F15" i="61"/>
  <c r="D15" i="61"/>
  <c r="H14" i="61"/>
  <c r="G14" i="61"/>
  <c r="F14" i="61"/>
  <c r="D14" i="61"/>
  <c r="H13" i="61"/>
  <c r="G13" i="61"/>
  <c r="F13" i="61"/>
  <c r="D13" i="61"/>
  <c r="H12" i="61"/>
  <c r="G12" i="61"/>
  <c r="F12" i="61"/>
  <c r="D12" i="61"/>
  <c r="H11" i="61"/>
  <c r="G11" i="61"/>
  <c r="F11" i="61"/>
  <c r="D11" i="61"/>
  <c r="H10" i="61"/>
  <c r="G10" i="61"/>
  <c r="F10" i="61"/>
  <c r="D10" i="61"/>
  <c r="H9" i="61"/>
  <c r="G9" i="61"/>
  <c r="F9" i="61"/>
  <c r="D9" i="61"/>
  <c r="H8" i="61"/>
  <c r="G8" i="61"/>
  <c r="F8" i="61"/>
  <c r="D8" i="61"/>
  <c r="D25" i="59"/>
  <c r="D24" i="59"/>
  <c r="D23" i="59"/>
  <c r="D22" i="59"/>
  <c r="D21" i="59"/>
  <c r="D20" i="59"/>
  <c r="D19" i="59"/>
  <c r="D18" i="59"/>
  <c r="D17" i="59"/>
  <c r="D16" i="59"/>
  <c r="D15" i="59"/>
  <c r="D14" i="59"/>
  <c r="D13" i="59"/>
  <c r="D12" i="59"/>
  <c r="D11" i="59"/>
  <c r="D10" i="59"/>
  <c r="D9" i="59"/>
  <c r="D8" i="59"/>
  <c r="H25" i="59"/>
  <c r="G25" i="59"/>
  <c r="F25" i="59"/>
  <c r="H24" i="59"/>
  <c r="G24" i="59"/>
  <c r="F24" i="59"/>
  <c r="H23" i="59"/>
  <c r="G23" i="59"/>
  <c r="F23" i="59"/>
  <c r="H22" i="59"/>
  <c r="G22" i="59"/>
  <c r="F22" i="59"/>
  <c r="H21" i="59"/>
  <c r="G21" i="59"/>
  <c r="F21" i="59"/>
  <c r="H20" i="59"/>
  <c r="G20" i="59"/>
  <c r="F20" i="59"/>
  <c r="H19" i="59"/>
  <c r="G19" i="59"/>
  <c r="F19" i="59"/>
  <c r="H18" i="59"/>
  <c r="G18" i="59"/>
  <c r="F18" i="59"/>
  <c r="H17" i="59"/>
  <c r="G17" i="59"/>
  <c r="F17" i="59"/>
  <c r="H16" i="59"/>
  <c r="G16" i="59"/>
  <c r="F16" i="59"/>
  <c r="H15" i="59"/>
  <c r="G15" i="59"/>
  <c r="F15" i="59"/>
  <c r="H14" i="59"/>
  <c r="G14" i="59"/>
  <c r="F14" i="59"/>
  <c r="H13" i="59"/>
  <c r="G13" i="59"/>
  <c r="F13" i="59"/>
  <c r="H12" i="59"/>
  <c r="G12" i="59"/>
  <c r="F12" i="59"/>
  <c r="H11" i="59"/>
  <c r="G11" i="59"/>
  <c r="F11" i="59"/>
  <c r="H10" i="59"/>
  <c r="G10" i="59"/>
  <c r="F10" i="59"/>
  <c r="H31" i="59"/>
  <c r="G31" i="59"/>
  <c r="F31" i="59"/>
  <c r="H29" i="59"/>
  <c r="G29" i="59"/>
  <c r="F29" i="59"/>
  <c r="H27" i="59"/>
  <c r="G27" i="59"/>
  <c r="F27" i="59"/>
  <c r="H9" i="59"/>
  <c r="G9" i="59"/>
  <c r="F9" i="59"/>
  <c r="H8" i="59"/>
  <c r="G8" i="59"/>
  <c r="F8" i="59"/>
  <c r="L12" i="76"/>
  <c r="M12" i="76"/>
  <c r="N12" i="76"/>
  <c r="O12" i="76"/>
  <c r="J12" i="76"/>
  <c r="I11" i="76"/>
  <c r="I10" i="76"/>
  <c r="J9" i="76"/>
  <c r="K9" i="76"/>
  <c r="L13" i="55"/>
  <c r="L21" i="55"/>
  <c r="M13" i="55"/>
  <c r="M21" i="55"/>
  <c r="M25" i="55"/>
  <c r="N13" i="55"/>
  <c r="N21" i="55"/>
  <c r="N25" i="55"/>
  <c r="J13" i="55"/>
  <c r="J21" i="55"/>
  <c r="M12" i="55"/>
  <c r="O21" i="55"/>
  <c r="O25" i="55"/>
  <c r="N12" i="55"/>
  <c r="P13" i="55"/>
  <c r="P21" i="55"/>
  <c r="N10" i="55"/>
  <c r="J56" i="53"/>
  <c r="I56" i="53"/>
  <c r="H56" i="53"/>
  <c r="G56" i="53"/>
  <c r="F56" i="53"/>
  <c r="E56" i="53"/>
  <c r="M103" i="53"/>
  <c r="L103" i="53"/>
  <c r="K103" i="53"/>
  <c r="J103" i="53"/>
  <c r="I103" i="53"/>
  <c r="H103" i="53"/>
  <c r="G103" i="53"/>
  <c r="F103" i="53"/>
  <c r="E103" i="53"/>
  <c r="M121" i="53"/>
  <c r="L121" i="53"/>
  <c r="K121" i="53"/>
  <c r="J121" i="53"/>
  <c r="I121" i="53"/>
  <c r="H121" i="53"/>
  <c r="G121" i="53"/>
  <c r="F121" i="53"/>
  <c r="E121" i="53"/>
  <c r="M139" i="53"/>
  <c r="L139" i="53"/>
  <c r="K139" i="53"/>
  <c r="J139" i="53"/>
  <c r="I139" i="53"/>
  <c r="H139" i="53"/>
  <c r="G139" i="53"/>
  <c r="F139" i="53"/>
  <c r="E139" i="53"/>
  <c r="M159" i="53"/>
  <c r="L159" i="53"/>
  <c r="K159" i="53"/>
  <c r="J159" i="53"/>
  <c r="I159" i="53"/>
  <c r="H159" i="53"/>
  <c r="G159" i="53"/>
  <c r="F159" i="53"/>
  <c r="E159" i="53"/>
  <c r="M177" i="53"/>
  <c r="L177" i="53"/>
  <c r="K177" i="53"/>
  <c r="J177" i="53"/>
  <c r="I177" i="53"/>
  <c r="H177" i="53"/>
  <c r="G177" i="53"/>
  <c r="F177" i="53"/>
  <c r="E177" i="53"/>
  <c r="M195" i="53"/>
  <c r="L195" i="53"/>
  <c r="K195" i="53"/>
  <c r="J195" i="53"/>
  <c r="I195" i="53"/>
  <c r="H195" i="53"/>
  <c r="G195" i="53"/>
  <c r="F195" i="53"/>
  <c r="E195" i="53"/>
  <c r="C39" i="62"/>
  <c r="C40" i="62"/>
  <c r="C41" i="62"/>
  <c r="C42" i="62"/>
  <c r="C43" i="62"/>
  <c r="C44" i="62"/>
  <c r="C45" i="62"/>
  <c r="C46" i="62"/>
  <c r="C47" i="62"/>
  <c r="C48" i="62"/>
  <c r="C49" i="62"/>
  <c r="C50" i="62"/>
  <c r="C51" i="62"/>
  <c r="C52" i="62"/>
  <c r="C8" i="61"/>
  <c r="C9" i="61" s="1"/>
  <c r="C10" i="61" s="1"/>
  <c r="C11" i="61" s="1"/>
  <c r="C12" i="61" s="1"/>
  <c r="C13" i="61" s="1"/>
  <c r="C14" i="61" s="1"/>
  <c r="C15" i="61" s="1"/>
  <c r="C16" i="61" s="1"/>
  <c r="C17" i="61" s="1"/>
  <c r="C18" i="61" s="1"/>
  <c r="C19" i="61" s="1"/>
  <c r="C20" i="61" s="1"/>
  <c r="C21" i="61" s="1"/>
  <c r="C22" i="61" s="1"/>
  <c r="C23" i="61" s="1"/>
  <c r="C24" i="61" s="1"/>
  <c r="C25" i="61" s="1"/>
  <c r="C34" i="55"/>
  <c r="C35" i="55" s="1"/>
  <c r="C36" i="55"/>
  <c r="C37" i="55" s="1"/>
  <c r="C38" i="55" s="1"/>
  <c r="C39" i="55" s="1"/>
  <c r="C40" i="55" s="1"/>
  <c r="C41" i="55" s="1"/>
  <c r="C42" i="55" s="1"/>
  <c r="C43" i="55" s="1"/>
  <c r="C44" i="55" s="1"/>
  <c r="C45" i="55" s="1"/>
  <c r="C46" i="55" s="1"/>
  <c r="C47" i="55" s="1"/>
  <c r="C8" i="59"/>
  <c r="C9" i="59" s="1"/>
  <c r="C10" i="59" s="1"/>
  <c r="C11" i="59" s="1"/>
  <c r="C12" i="59" s="1"/>
  <c r="C13" i="59" s="1"/>
  <c r="C14" i="59" s="1"/>
  <c r="C15" i="59" s="1"/>
  <c r="C16" i="59" s="1"/>
  <c r="C17" i="59" s="1"/>
  <c r="C18" i="59" s="1"/>
  <c r="C19" i="59" s="1"/>
  <c r="C20" i="59" s="1"/>
  <c r="C21" i="59" s="1"/>
  <c r="C22" i="59" s="1"/>
  <c r="C23" i="59" s="1"/>
  <c r="C24" i="59" s="1"/>
  <c r="C25" i="59" s="1"/>
  <c r="C8" i="56"/>
  <c r="C9" i="56" s="1"/>
  <c r="C10" i="56" s="1"/>
  <c r="C11" i="56" s="1"/>
  <c r="C12" i="56" s="1"/>
  <c r="C13" i="56" s="1"/>
  <c r="C14" i="56" s="1"/>
  <c r="C15" i="56" s="1"/>
  <c r="C16" i="56" s="1"/>
  <c r="C17" i="56" s="1"/>
  <c r="C18" i="56" s="1"/>
  <c r="C19" i="56" s="1"/>
  <c r="C20" i="56" s="1"/>
  <c r="C21" i="56" s="1"/>
  <c r="C22" i="56" s="1"/>
  <c r="C23" i="56" s="1"/>
  <c r="C24" i="56" s="1"/>
  <c r="C25" i="56" s="1"/>
  <c r="C77" i="55"/>
  <c r="C78" i="55" s="1"/>
  <c r="C79" i="55" s="1"/>
  <c r="C80" i="55" s="1"/>
  <c r="C81" i="55" s="1"/>
  <c r="C82" i="55" s="1"/>
  <c r="C83" i="55" s="1"/>
  <c r="C84" i="55" s="1"/>
  <c r="C85" i="55" s="1"/>
  <c r="C86" i="55" s="1"/>
  <c r="C87" i="55" s="1"/>
  <c r="C88" i="55" s="1"/>
  <c r="C89" i="55" s="1"/>
  <c r="C90" i="55" s="1"/>
  <c r="F69" i="55"/>
  <c r="C54" i="55"/>
  <c r="C55" i="55" s="1"/>
  <c r="C56" i="55" s="1"/>
  <c r="C57" i="55" s="1"/>
  <c r="C58" i="55" s="1"/>
  <c r="C59" i="55" s="1"/>
  <c r="C60" i="55" s="1"/>
  <c r="C61" i="55" s="1"/>
  <c r="C62" i="55" s="1"/>
  <c r="C63" i="55" s="1"/>
  <c r="C64" i="55" s="1"/>
  <c r="C65" i="55" s="1"/>
  <c r="C66" i="55" s="1"/>
  <c r="C67" i="55" s="1"/>
  <c r="C8" i="55"/>
  <c r="C9" i="55"/>
  <c r="C10" i="55" s="1"/>
  <c r="C11" i="55" s="1"/>
  <c r="C12" i="55" s="1"/>
  <c r="C13" i="55" s="1"/>
  <c r="C14" i="55" s="1"/>
  <c r="C15" i="55" s="1"/>
  <c r="C16" i="55" s="1"/>
  <c r="C17" i="55" s="1"/>
  <c r="C18" i="55" s="1"/>
  <c r="C19" i="55" s="1"/>
  <c r="C20" i="55" s="1"/>
  <c r="C21" i="55" s="1"/>
  <c r="C22" i="55" s="1"/>
  <c r="C23" i="55" s="1"/>
  <c r="C24" i="55" s="1"/>
  <c r="C25" i="55" s="1"/>
  <c r="O10" i="55"/>
  <c r="O17" i="55"/>
  <c r="N17" i="55"/>
  <c r="J25" i="55"/>
  <c r="M24" i="55"/>
  <c r="M17" i="55"/>
  <c r="J24" i="55"/>
  <c r="M10" i="55"/>
  <c r="O16" i="55"/>
  <c r="L16" i="55"/>
  <c r="P25" i="55"/>
  <c r="J22" i="55"/>
  <c r="K10" i="55"/>
  <c r="P14" i="55"/>
  <c r="N14" i="55"/>
  <c r="M16" i="55"/>
  <c r="J23" i="55"/>
  <c r="J10" i="55"/>
  <c r="K25" i="55"/>
  <c r="J15" i="55"/>
  <c r="J18" i="55"/>
  <c r="N19" i="55"/>
  <c r="J8" i="55"/>
  <c r="L12" i="55"/>
  <c r="K13" i="55"/>
  <c r="K21" i="55"/>
  <c r="L8" i="55"/>
  <c r="L14" i="55"/>
  <c r="P19" i="62"/>
  <c r="J25" i="62"/>
  <c r="K20" i="62"/>
  <c r="L23" i="55"/>
  <c r="E11" i="76"/>
  <c r="E10" i="76"/>
  <c r="M8" i="55"/>
  <c r="N8" i="55"/>
  <c r="P22" i="62"/>
  <c r="L9" i="76"/>
  <c r="K10" i="76"/>
  <c r="K11" i="76"/>
  <c r="L73" i="55"/>
  <c r="L15" i="55"/>
  <c r="K23" i="55"/>
  <c r="P23" i="55"/>
  <c r="J33" i="55"/>
  <c r="N15" i="55"/>
  <c r="M19" i="55"/>
  <c r="P18" i="55"/>
  <c r="O14" i="55"/>
  <c r="J19" i="55"/>
  <c r="J10" i="76"/>
  <c r="O15" i="55"/>
  <c r="O19" i="55"/>
  <c r="J11" i="76"/>
  <c r="P12" i="55"/>
  <c r="P16" i="55"/>
  <c r="J38" i="62"/>
  <c r="J7" i="56"/>
  <c r="P35" i="56"/>
  <c r="P67" i="56" s="1"/>
  <c r="M15" i="55"/>
  <c r="J12" i="62"/>
  <c r="N23" i="55"/>
  <c r="O24" i="55"/>
  <c r="O12" i="55"/>
  <c r="L19" i="55"/>
  <c r="P15" i="55"/>
  <c r="J7" i="61"/>
  <c r="P19" i="55"/>
  <c r="M23" i="55"/>
  <c r="K15" i="55"/>
  <c r="P22" i="55"/>
  <c r="O18" i="55"/>
  <c r="N18" i="55"/>
  <c r="J7" i="59"/>
  <c r="J7" i="55"/>
  <c r="J53" i="55"/>
  <c r="K76" i="55"/>
  <c r="J76" i="55" s="1"/>
  <c r="K7" i="61"/>
  <c r="K7" i="56"/>
  <c r="K38" i="62"/>
  <c r="K12" i="62"/>
  <c r="K33" i="55"/>
  <c r="K7" i="55"/>
  <c r="K53" i="55"/>
  <c r="K7" i="59"/>
  <c r="L7" i="55"/>
  <c r="L7" i="61"/>
  <c r="L7" i="56"/>
  <c r="L38" i="62"/>
  <c r="L12" i="62"/>
  <c r="L33" i="55"/>
  <c r="L53" i="55"/>
  <c r="L7" i="59"/>
  <c r="P61" i="56"/>
  <c r="M9" i="76"/>
  <c r="L10" i="76"/>
  <c r="L11" i="76"/>
  <c r="M7" i="56"/>
  <c r="M38" i="62"/>
  <c r="M12" i="62"/>
  <c r="M53" i="55"/>
  <c r="M33" i="55"/>
  <c r="M7" i="55"/>
  <c r="M7" i="61"/>
  <c r="M7" i="59"/>
  <c r="N9" i="76"/>
  <c r="M10" i="76"/>
  <c r="M11" i="76"/>
  <c r="N7" i="56"/>
  <c r="N7" i="55"/>
  <c r="N33" i="55"/>
  <c r="N53" i="55"/>
  <c r="N7" i="59"/>
  <c r="N7" i="61"/>
  <c r="N38" i="62"/>
  <c r="N12" i="62"/>
  <c r="O9" i="76"/>
  <c r="N10" i="76"/>
  <c r="N11" i="76"/>
  <c r="O53" i="55"/>
  <c r="O33" i="55"/>
  <c r="O7" i="55"/>
  <c r="O7" i="59"/>
  <c r="O7" i="56"/>
  <c r="O38" i="62"/>
  <c r="O12" i="62"/>
  <c r="O7" i="61"/>
  <c r="O10" i="76"/>
  <c r="O11" i="76"/>
  <c r="P33" i="55"/>
  <c r="P7" i="55"/>
  <c r="P53" i="55"/>
  <c r="P7" i="59"/>
  <c r="P38" i="62"/>
  <c r="P12" i="62"/>
  <c r="P7" i="56"/>
  <c r="P7" i="61"/>
  <c r="Q11" i="76"/>
  <c r="Q7" i="59"/>
  <c r="Q7" i="56"/>
  <c r="Q7" i="61"/>
  <c r="Q12" i="62"/>
  <c r="Q7" i="55"/>
  <c r="I82" i="55" l="1"/>
  <c r="I82" i="82" s="1"/>
  <c r="I78" i="55"/>
  <c r="I78" i="82" s="1"/>
  <c r="I86" i="55"/>
  <c r="I86" i="82" s="1"/>
  <c r="I77" i="55"/>
  <c r="I77" i="82" s="1"/>
  <c r="O55" i="56"/>
  <c r="O57" i="56" s="1"/>
  <c r="N55" i="56"/>
  <c r="N57" i="56" s="1"/>
  <c r="M55" i="56"/>
  <c r="M57" i="56" s="1"/>
  <c r="K55" i="56"/>
  <c r="K57" i="56" s="1"/>
  <c r="I84" i="55"/>
  <c r="I84" i="82" s="1"/>
  <c r="K90" i="55"/>
  <c r="K90" i="82" s="1"/>
  <c r="K76" i="82"/>
  <c r="J78" i="55"/>
  <c r="J78" i="82" s="1"/>
  <c r="J86" i="55"/>
  <c r="J86" i="82" s="1"/>
  <c r="K88" i="55"/>
  <c r="K88" i="82" s="1"/>
  <c r="K80" i="55"/>
  <c r="K80" i="82" s="1"/>
  <c r="I80" i="55"/>
  <c r="I80" i="82" s="1"/>
  <c r="I88" i="55"/>
  <c r="I88" i="82" s="1"/>
  <c r="J83" i="55"/>
  <c r="J83" i="82" s="1"/>
  <c r="J77" i="82"/>
  <c r="J85" i="55"/>
  <c r="J85" i="82" s="1"/>
  <c r="O35" i="56"/>
  <c r="H30" i="61"/>
  <c r="P17" i="59"/>
  <c r="P14" i="59"/>
  <c r="J79" i="55"/>
  <c r="J79" i="82" s="1"/>
  <c r="J87" i="55"/>
  <c r="J87" i="82" s="1"/>
  <c r="K86" i="55"/>
  <c r="K86" i="82" s="1"/>
  <c r="K78" i="55"/>
  <c r="K78" i="82" s="1"/>
  <c r="F29" i="61"/>
  <c r="F29" i="84"/>
  <c r="P17" i="61"/>
  <c r="P17" i="84"/>
  <c r="P14" i="61"/>
  <c r="P14" i="84"/>
  <c r="G29" i="61"/>
  <c r="G29" i="84"/>
  <c r="H29" i="61"/>
  <c r="H29" i="84"/>
  <c r="F30" i="61"/>
  <c r="F30" i="84"/>
  <c r="E79" i="82"/>
  <c r="E56" i="82"/>
  <c r="E64" i="82"/>
  <c r="Q24" i="82"/>
  <c r="M8" i="82"/>
  <c r="Q8" i="82" s="1"/>
  <c r="M12" i="82"/>
  <c r="Q12" i="82" s="1"/>
  <c r="O13" i="82"/>
  <c r="K15" i="82"/>
  <c r="M16" i="82"/>
  <c r="O16" i="82"/>
  <c r="J17" i="82"/>
  <c r="L19" i="82"/>
  <c r="K23" i="82"/>
  <c r="O23" i="82"/>
  <c r="N23" i="82"/>
  <c r="P25" i="82"/>
  <c r="M69" i="82"/>
  <c r="N13" i="82"/>
  <c r="J10" i="82"/>
  <c r="P13" i="82"/>
  <c r="J14" i="82"/>
  <c r="L15" i="82"/>
  <c r="P16" i="82"/>
  <c r="O21" i="82"/>
  <c r="K21" i="82"/>
  <c r="N21" i="82"/>
  <c r="P23" i="82"/>
  <c r="N69" i="82"/>
  <c r="M13" i="82"/>
  <c r="N25" i="82"/>
  <c r="M15" i="82"/>
  <c r="K19" i="82"/>
  <c r="O19" i="82"/>
  <c r="N19" i="82"/>
  <c r="P69" i="82"/>
  <c r="L10" i="82"/>
  <c r="J13" i="82"/>
  <c r="L14" i="82"/>
  <c r="N15" i="82"/>
  <c r="O17" i="82"/>
  <c r="K17" i="82"/>
  <c r="N17" i="82"/>
  <c r="P19" i="82"/>
  <c r="O25" i="82"/>
  <c r="K25" i="82"/>
  <c r="M10" i="82"/>
  <c r="K13" i="82"/>
  <c r="M14" i="82"/>
  <c r="O15" i="82"/>
  <c r="Q20" i="82"/>
  <c r="J25" i="82"/>
  <c r="K73" i="82"/>
  <c r="J76" i="82"/>
  <c r="L69" i="82"/>
  <c r="K69" i="82"/>
  <c r="J69" i="82"/>
  <c r="O69" i="82"/>
  <c r="J23" i="82"/>
  <c r="L25" i="82"/>
  <c r="M18" i="82"/>
  <c r="Q18" i="82" s="1"/>
  <c r="M22" i="82"/>
  <c r="Q22" i="82" s="1"/>
  <c r="I81" i="55"/>
  <c r="I81" i="82" s="1"/>
  <c r="I89" i="55"/>
  <c r="I89" i="82" s="1"/>
  <c r="J82" i="55"/>
  <c r="J82" i="82" s="1"/>
  <c r="J90" i="55"/>
  <c r="J90" i="82" s="1"/>
  <c r="K87" i="55"/>
  <c r="K87" i="82" s="1"/>
  <c r="K79" i="55"/>
  <c r="K79" i="82" s="1"/>
  <c r="K84" i="55"/>
  <c r="K84" i="82" s="1"/>
  <c r="J89" i="55"/>
  <c r="J89" i="82" s="1"/>
  <c r="K83" i="55"/>
  <c r="K83" i="82" s="1"/>
  <c r="J84" i="55"/>
  <c r="J84" i="82" s="1"/>
  <c r="K89" i="55"/>
  <c r="K89" i="82" s="1"/>
  <c r="K81" i="55"/>
  <c r="K81" i="82" s="1"/>
  <c r="J80" i="55"/>
  <c r="J80" i="82" s="1"/>
  <c r="J88" i="55"/>
  <c r="J88" i="82" s="1"/>
  <c r="K85" i="55"/>
  <c r="K85" i="82" s="1"/>
  <c r="K77" i="82"/>
  <c r="K82" i="55"/>
  <c r="K82" i="82" s="1"/>
  <c r="M27" i="62"/>
  <c r="N24" i="62"/>
  <c r="N19" i="59" s="1"/>
  <c r="O29" i="62"/>
  <c r="O24" i="59" s="1"/>
  <c r="CP21" i="80"/>
  <c r="L18" i="62"/>
  <c r="L13" i="59" s="1"/>
  <c r="L17" i="62"/>
  <c r="L12" i="59" s="1"/>
  <c r="P28" i="62"/>
  <c r="P23" i="59" s="1"/>
  <c r="L10" i="55"/>
  <c r="J29" i="62"/>
  <c r="J19" i="62"/>
  <c r="L28" i="62"/>
  <c r="L23" i="59" s="1"/>
  <c r="CP22" i="80"/>
  <c r="CP17" i="80"/>
  <c r="CP11" i="80"/>
  <c r="CP8" i="80" s="1"/>
  <c r="CP15" i="80"/>
  <c r="CP19" i="80"/>
  <c r="P20" i="55"/>
  <c r="N19" i="62"/>
  <c r="N14" i="59" s="1"/>
  <c r="N25" i="62"/>
  <c r="N20" i="59" s="1"/>
  <c r="K20" i="55"/>
  <c r="L20" i="55"/>
  <c r="L17" i="55"/>
  <c r="L29" i="62"/>
  <c r="P23" i="62"/>
  <c r="P18" i="59" s="1"/>
  <c r="K22" i="62"/>
  <c r="O20" i="55"/>
  <c r="M20" i="55"/>
  <c r="K27" i="62"/>
  <c r="M22" i="62"/>
  <c r="M17" i="59" s="1"/>
  <c r="O25" i="62"/>
  <c r="J26" i="62"/>
  <c r="J20" i="55"/>
  <c r="K18" i="62"/>
  <c r="M30" i="62"/>
  <c r="M25" i="59" s="1"/>
  <c r="N21" i="62"/>
  <c r="I76" i="55"/>
  <c r="I73" i="55" s="1"/>
  <c r="J73" i="55"/>
  <c r="N22" i="55"/>
  <c r="K22" i="55"/>
  <c r="M22" i="55"/>
  <c r="L22" i="55"/>
  <c r="K73" i="55"/>
  <c r="O22" i="55"/>
  <c r="O27" i="62"/>
  <c r="J15" i="62"/>
  <c r="P18" i="62"/>
  <c r="P13" i="59" s="1"/>
  <c r="P30" i="62"/>
  <c r="P25" i="59" s="1"/>
  <c r="M23" i="62"/>
  <c r="L15" i="62"/>
  <c r="N27" i="62"/>
  <c r="J28" i="62"/>
  <c r="M15" i="62"/>
  <c r="M10" i="59" s="1"/>
  <c r="K30" i="62"/>
  <c r="N29" i="62"/>
  <c r="L24" i="62"/>
  <c r="L19" i="59" s="1"/>
  <c r="J21" i="62"/>
  <c r="M19" i="62"/>
  <c r="M14" i="59" s="1"/>
  <c r="P20" i="62"/>
  <c r="P15" i="59" s="1"/>
  <c r="M18" i="62"/>
  <c r="M13" i="59" s="1"/>
  <c r="O30" i="62"/>
  <c r="O25" i="59" s="1"/>
  <c r="O22" i="62"/>
  <c r="O17" i="59" s="1"/>
  <c r="K17" i="62"/>
  <c r="N28" i="62"/>
  <c r="N23" i="59" s="1"/>
  <c r="K15" i="62"/>
  <c r="M21" i="62"/>
  <c r="M16" i="59" s="1"/>
  <c r="M13" i="62"/>
  <c r="M8" i="59" s="1"/>
  <c r="N18" i="62"/>
  <c r="N13" i="59" s="1"/>
  <c r="N17" i="62"/>
  <c r="N12" i="59" s="1"/>
  <c r="N23" i="62"/>
  <c r="N18" i="59" s="1"/>
  <c r="P29" i="62"/>
  <c r="P24" i="59" s="1"/>
  <c r="K28" i="62"/>
  <c r="M20" i="62"/>
  <c r="M15" i="59" s="1"/>
  <c r="O17" i="62"/>
  <c r="O12" i="59" s="1"/>
  <c r="K21" i="62"/>
  <c r="N15" i="62"/>
  <c r="N10" i="59" s="1"/>
  <c r="L21" i="62"/>
  <c r="L16" i="59" s="1"/>
  <c r="L25" i="62"/>
  <c r="O23" i="62"/>
  <c r="O18" i="59" s="1"/>
  <c r="K25" i="62"/>
  <c r="K29" i="62"/>
  <c r="M28" i="62"/>
  <c r="M23" i="59" s="1"/>
  <c r="L22" i="62"/>
  <c r="K19" i="62"/>
  <c r="M17" i="62"/>
  <c r="M12" i="59" s="1"/>
  <c r="J27" i="62"/>
  <c r="N30" i="62"/>
  <c r="N25" i="59" s="1"/>
  <c r="K13" i="62"/>
  <c r="L20" i="62"/>
  <c r="L15" i="59" s="1"/>
  <c r="K24" i="62"/>
  <c r="P24" i="62"/>
  <c r="P19" i="59" s="1"/>
  <c r="O28" i="62"/>
  <c r="O23" i="59" s="1"/>
  <c r="N20" i="62"/>
  <c r="N15" i="59" s="1"/>
  <c r="J23" i="62"/>
  <c r="P27" i="62"/>
  <c r="P22" i="59" s="1"/>
  <c r="L26" i="62"/>
  <c r="L21" i="84" s="1"/>
  <c r="M29" i="62"/>
  <c r="M24" i="59" s="1"/>
  <c r="L19" i="62"/>
  <c r="L14" i="59" s="1"/>
  <c r="N13" i="62"/>
  <c r="N8" i="59" s="1"/>
  <c r="O24" i="62"/>
  <c r="O19" i="59" s="1"/>
  <c r="N24" i="55"/>
  <c r="K8" i="55"/>
  <c r="L24" i="55"/>
  <c r="J16" i="55"/>
  <c r="M18" i="55"/>
  <c r="J17" i="55"/>
  <c r="P10" i="55"/>
  <c r="P8" i="55"/>
  <c r="L18" i="55"/>
  <c r="K24" i="55"/>
  <c r="L23" i="62"/>
  <c r="L18" i="84" s="1"/>
  <c r="J17" i="62"/>
  <c r="O21" i="62"/>
  <c r="O16" i="59" s="1"/>
  <c r="J18" i="62"/>
  <c r="N22" i="62"/>
  <c r="N17" i="59" s="1"/>
  <c r="L30" i="62"/>
  <c r="L25" i="59" s="1"/>
  <c r="J24" i="62"/>
  <c r="P17" i="62"/>
  <c r="P12" i="59" s="1"/>
  <c r="K26" i="62"/>
  <c r="L13" i="62"/>
  <c r="L8" i="59" s="1"/>
  <c r="J13" i="62"/>
  <c r="O13" i="62"/>
  <c r="O8" i="59" s="1"/>
  <c r="O18" i="62"/>
  <c r="O13" i="59" s="1"/>
  <c r="N26" i="62"/>
  <c r="N21" i="59" s="1"/>
  <c r="P25" i="62"/>
  <c r="J30" i="62"/>
  <c r="M26" i="62"/>
  <c r="M21" i="59" s="1"/>
  <c r="O26" i="62"/>
  <c r="O21" i="59" s="1"/>
  <c r="K17" i="55"/>
  <c r="P21" i="62"/>
  <c r="P16" i="59" s="1"/>
  <c r="K23" i="62"/>
  <c r="J14" i="55"/>
  <c r="M24" i="62"/>
  <c r="M19" i="59" s="1"/>
  <c r="O20" i="62"/>
  <c r="O15" i="59" s="1"/>
  <c r="P26" i="62"/>
  <c r="P21" i="59" s="1"/>
  <c r="L27" i="62"/>
  <c r="P15" i="62"/>
  <c r="J22" i="62"/>
  <c r="O19" i="62"/>
  <c r="O14" i="59" s="1"/>
  <c r="O15" i="62"/>
  <c r="O10" i="59" s="1"/>
  <c r="M25" i="62"/>
  <c r="P13" i="62"/>
  <c r="J20" i="62"/>
  <c r="N16" i="55"/>
  <c r="Q21" i="55"/>
  <c r="Q19" i="55"/>
  <c r="Q14" i="55"/>
  <c r="Q15" i="55"/>
  <c r="Q25" i="55"/>
  <c r="Q23" i="55"/>
  <c r="Q13" i="55"/>
  <c r="Q12" i="55"/>
  <c r="N16" i="59" l="1"/>
  <c r="Q16" i="59" s="1"/>
  <c r="N35" i="56"/>
  <c r="O67" i="56"/>
  <c r="O61" i="56"/>
  <c r="M18" i="59"/>
  <c r="O22" i="59"/>
  <c r="N22" i="59"/>
  <c r="Q25" i="59"/>
  <c r="N24" i="59"/>
  <c r="L21" i="59"/>
  <c r="Q21" i="59" s="1"/>
  <c r="Q14" i="59"/>
  <c r="Q19" i="59"/>
  <c r="Q12" i="59"/>
  <c r="Q23" i="59"/>
  <c r="P8" i="59"/>
  <c r="Q8" i="59" s="1"/>
  <c r="P20" i="59"/>
  <c r="P10" i="59"/>
  <c r="L17" i="59"/>
  <c r="Q17" i="59" s="1"/>
  <c r="L10" i="59"/>
  <c r="L22" i="59"/>
  <c r="L20" i="59"/>
  <c r="M20" i="59"/>
  <c r="L24" i="59"/>
  <c r="M22" i="59"/>
  <c r="O20" i="59"/>
  <c r="L18" i="59"/>
  <c r="O13" i="61"/>
  <c r="O13" i="84"/>
  <c r="N25" i="61"/>
  <c r="N25" i="84"/>
  <c r="P18" i="61"/>
  <c r="P18" i="84"/>
  <c r="O8" i="61"/>
  <c r="O8" i="84"/>
  <c r="O19" i="61"/>
  <c r="O19" i="84"/>
  <c r="O18" i="61"/>
  <c r="O18" i="84"/>
  <c r="L10" i="61"/>
  <c r="L10" i="84"/>
  <c r="M22" i="61"/>
  <c r="M22" i="84"/>
  <c r="L22" i="61"/>
  <c r="L22" i="84"/>
  <c r="N8" i="61"/>
  <c r="N8" i="84"/>
  <c r="P19" i="61"/>
  <c r="P19" i="84"/>
  <c r="M12" i="61"/>
  <c r="M12" i="84"/>
  <c r="L20" i="61"/>
  <c r="L20" i="84"/>
  <c r="P24" i="61"/>
  <c r="P24" i="84"/>
  <c r="M18" i="61"/>
  <c r="M18" i="84"/>
  <c r="M17" i="61"/>
  <c r="M17" i="84"/>
  <c r="N22" i="61"/>
  <c r="N22" i="84"/>
  <c r="N19" i="61"/>
  <c r="N19" i="84"/>
  <c r="N23" i="61"/>
  <c r="N23" i="84"/>
  <c r="O20" i="61"/>
  <c r="O20" i="84"/>
  <c r="O21" i="61"/>
  <c r="O21" i="84"/>
  <c r="N18" i="61"/>
  <c r="N18" i="84"/>
  <c r="P25" i="61"/>
  <c r="P25" i="84"/>
  <c r="O15" i="61"/>
  <c r="O15" i="84"/>
  <c r="M24" i="61"/>
  <c r="M24" i="84"/>
  <c r="L15" i="61"/>
  <c r="L15" i="84"/>
  <c r="L17" i="61"/>
  <c r="L17" i="84"/>
  <c r="N10" i="61"/>
  <c r="N10" i="84"/>
  <c r="N12" i="61"/>
  <c r="N12" i="84"/>
  <c r="O17" i="61"/>
  <c r="O17" i="84"/>
  <c r="N24" i="61"/>
  <c r="N24" i="84"/>
  <c r="P13" i="61"/>
  <c r="P13" i="84"/>
  <c r="M25" i="61"/>
  <c r="M25" i="84"/>
  <c r="L12" i="61"/>
  <c r="L12" i="84"/>
  <c r="L25" i="61"/>
  <c r="L25" i="84"/>
  <c r="N15" i="61"/>
  <c r="N15" i="84"/>
  <c r="M14" i="61"/>
  <c r="M14" i="84"/>
  <c r="N17" i="61"/>
  <c r="N17" i="84"/>
  <c r="L24" i="61"/>
  <c r="L24" i="84"/>
  <c r="L8" i="61"/>
  <c r="L8" i="84"/>
  <c r="L14" i="61"/>
  <c r="L14" i="84"/>
  <c r="L16" i="61"/>
  <c r="L16" i="84"/>
  <c r="P8" i="61"/>
  <c r="P8" i="84"/>
  <c r="M21" i="61"/>
  <c r="M21" i="84"/>
  <c r="M20" i="61"/>
  <c r="M20" i="84"/>
  <c r="M19" i="61"/>
  <c r="M19" i="84"/>
  <c r="M23" i="61"/>
  <c r="M23" i="84"/>
  <c r="N13" i="61"/>
  <c r="N13" i="84"/>
  <c r="O25" i="61"/>
  <c r="O25" i="84"/>
  <c r="L13" i="61"/>
  <c r="L13" i="84"/>
  <c r="P10" i="61"/>
  <c r="P10" i="84"/>
  <c r="P21" i="61"/>
  <c r="P21" i="84"/>
  <c r="P23" i="61"/>
  <c r="P23" i="84"/>
  <c r="O10" i="61"/>
  <c r="O10" i="84"/>
  <c r="P20" i="61"/>
  <c r="P20" i="84"/>
  <c r="P12" i="61"/>
  <c r="P12" i="84"/>
  <c r="P22" i="61"/>
  <c r="P22" i="84"/>
  <c r="O12" i="61"/>
  <c r="O12" i="84"/>
  <c r="M8" i="61"/>
  <c r="M8" i="84"/>
  <c r="M13" i="61"/>
  <c r="M13" i="84"/>
  <c r="M10" i="61"/>
  <c r="M10" i="84"/>
  <c r="O22" i="61"/>
  <c r="O22" i="84"/>
  <c r="N20" i="61"/>
  <c r="N20" i="84"/>
  <c r="P16" i="61"/>
  <c r="P16" i="84"/>
  <c r="O23" i="61"/>
  <c r="O23" i="84"/>
  <c r="O16" i="61"/>
  <c r="O16" i="84"/>
  <c r="L19" i="61"/>
  <c r="L19" i="84"/>
  <c r="N16" i="61"/>
  <c r="N16" i="84"/>
  <c r="O14" i="61"/>
  <c r="O14" i="84"/>
  <c r="N21" i="61"/>
  <c r="N21" i="84"/>
  <c r="M15" i="61"/>
  <c r="M15" i="84"/>
  <c r="M16" i="61"/>
  <c r="M16" i="84"/>
  <c r="P15" i="61"/>
  <c r="P15" i="84"/>
  <c r="N14" i="61"/>
  <c r="N14" i="84"/>
  <c r="L23" i="61"/>
  <c r="L23" i="84"/>
  <c r="O24" i="61"/>
  <c r="O24" i="84"/>
  <c r="Q21" i="82"/>
  <c r="Q23" i="82"/>
  <c r="Q17" i="82"/>
  <c r="Q16" i="82"/>
  <c r="Q10" i="82"/>
  <c r="Q13" i="82"/>
  <c r="J73" i="82"/>
  <c r="I76" i="82"/>
  <c r="I73" i="82" s="1"/>
  <c r="Q14" i="82"/>
  <c r="Q15" i="82"/>
  <c r="Q19" i="82"/>
  <c r="Q25" i="82"/>
  <c r="Q20" i="62"/>
  <c r="Q10" i="55"/>
  <c r="Q29" i="62"/>
  <c r="Q17" i="55"/>
  <c r="Q22" i="62"/>
  <c r="Q23" i="62"/>
  <c r="Q26" i="62"/>
  <c r="Q18" i="55"/>
  <c r="Q19" i="62"/>
  <c r="Q28" i="62"/>
  <c r="Q20" i="55"/>
  <c r="Q24" i="55"/>
  <c r="Q25" i="62"/>
  <c r="Q16" i="55"/>
  <c r="Q27" i="62"/>
  <c r="L21" i="61"/>
  <c r="Q21" i="62"/>
  <c r="Q22" i="55"/>
  <c r="Q24" i="62"/>
  <c r="L18" i="61"/>
  <c r="Q13" i="62"/>
  <c r="Q8" i="55"/>
  <c r="Q30" i="62"/>
  <c r="Q18" i="62"/>
  <c r="Q17" i="62"/>
  <c r="Q15" i="62"/>
  <c r="Q15" i="59"/>
  <c r="Q13" i="59"/>
  <c r="N67" i="56" l="1"/>
  <c r="N61" i="56"/>
  <c r="M35" i="56"/>
  <c r="Q18" i="59"/>
  <c r="Q24" i="59"/>
  <c r="Q22" i="59"/>
  <c r="Q10" i="59"/>
  <c r="Q20" i="59"/>
  <c r="Q19" i="61"/>
  <c r="Q8" i="61"/>
  <c r="Q14" i="61"/>
  <c r="Q22" i="61"/>
  <c r="Q17" i="84"/>
  <c r="Q18" i="84"/>
  <c r="Q21" i="84"/>
  <c r="Q16" i="61"/>
  <c r="Q12" i="61"/>
  <c r="Q15" i="61"/>
  <c r="Q20" i="61"/>
  <c r="Q24" i="84"/>
  <c r="Q25" i="84"/>
  <c r="Q13" i="84"/>
  <c r="Q24" i="61"/>
  <c r="Q25" i="61"/>
  <c r="Q17" i="61"/>
  <c r="Q23" i="61"/>
  <c r="Q10" i="61"/>
  <c r="Q13" i="61"/>
  <c r="Q16" i="84"/>
  <c r="Q12" i="84"/>
  <c r="Q15" i="84"/>
  <c r="Q10" i="84"/>
  <c r="Q19" i="84"/>
  <c r="Q14" i="84"/>
  <c r="Q20" i="84"/>
  <c r="Q22" i="84"/>
  <c r="Q23" i="84"/>
  <c r="Q8" i="84"/>
  <c r="P9" i="82"/>
  <c r="M9" i="82"/>
  <c r="L9" i="82"/>
  <c r="K9" i="82"/>
  <c r="O9" i="82"/>
  <c r="J9" i="82"/>
  <c r="N9" i="82"/>
  <c r="Q21" i="61"/>
  <c r="Q18" i="61"/>
  <c r="M67" i="56" l="1"/>
  <c r="M61" i="56"/>
  <c r="L35" i="56"/>
  <c r="J11" i="82"/>
  <c r="J27" i="82" s="1"/>
  <c r="M11" i="82"/>
  <c r="M27" i="82" s="1"/>
  <c r="P11" i="82"/>
  <c r="P27" i="82" s="1"/>
  <c r="O11" i="82"/>
  <c r="O27" i="82" s="1"/>
  <c r="Q9" i="82"/>
  <c r="K11" i="82"/>
  <c r="K27" i="82" s="1"/>
  <c r="L11" i="82"/>
  <c r="L27" i="82" s="1"/>
  <c r="N11" i="82"/>
  <c r="N27" i="82" s="1"/>
  <c r="J69" i="55"/>
  <c r="L67" i="56" l="1"/>
  <c r="L61" i="56"/>
  <c r="K35" i="56"/>
  <c r="Q11" i="82"/>
  <c r="Q27" i="82" s="1"/>
  <c r="K69" i="55"/>
  <c r="J35" i="56" l="1"/>
  <c r="K61" i="56"/>
  <c r="K67" i="56"/>
  <c r="A29" i="82"/>
  <c r="A1" i="82" s="1"/>
  <c r="L69" i="55"/>
  <c r="J67" i="56" l="1"/>
  <c r="I35" i="56"/>
  <c r="J61" i="56"/>
  <c r="M69" i="55"/>
  <c r="I61" i="56" l="1"/>
  <c r="I67" i="56"/>
  <c r="N69" i="55"/>
  <c r="O69" i="55" l="1"/>
  <c r="P69" i="55" l="1"/>
  <c r="P55" i="56" l="1"/>
  <c r="P57" i="56" s="1"/>
  <c r="A57" i="56" s="1"/>
  <c r="J64" i="56" l="1"/>
  <c r="K64" i="56" l="1"/>
  <c r="L64" i="56" s="1"/>
  <c r="M64" i="56" s="1"/>
  <c r="AA11" i="80" l="1"/>
  <c r="Y11" i="80"/>
  <c r="Z11" i="80"/>
  <c r="AA12" i="80" l="1"/>
  <c r="Y12" i="80"/>
  <c r="Z12" i="80"/>
  <c r="Z13" i="80" l="1"/>
  <c r="Y13" i="80"/>
  <c r="AA13" i="80"/>
  <c r="Y14" i="80" l="1"/>
  <c r="Z14" i="80"/>
  <c r="AA14" i="80"/>
  <c r="AA15" i="80" l="1"/>
  <c r="Z15" i="80"/>
  <c r="Y15" i="80"/>
  <c r="Y16" i="80" l="1"/>
  <c r="Z16" i="80"/>
  <c r="AA16" i="80"/>
  <c r="AA17" i="80" l="1"/>
  <c r="Z17" i="80"/>
  <c r="Y17" i="80"/>
  <c r="AA18" i="80" l="1"/>
  <c r="Z18" i="80"/>
  <c r="Y18" i="80"/>
  <c r="Y19" i="80" l="1"/>
  <c r="AA19" i="80"/>
  <c r="Z19" i="80"/>
  <c r="AA20" i="80" l="1"/>
  <c r="Y20" i="80"/>
  <c r="Z20" i="80"/>
  <c r="Z21" i="80" l="1"/>
  <c r="Y21" i="80"/>
  <c r="AA21" i="80"/>
  <c r="Y22" i="80" l="1"/>
  <c r="Z22" i="80"/>
  <c r="AA22" i="80"/>
  <c r="AA23" i="80" l="1"/>
  <c r="Z23" i="80"/>
  <c r="Y23" i="80"/>
  <c r="N64" i="56" l="1"/>
  <c r="O64" i="56" s="1"/>
  <c r="O65" i="56"/>
  <c r="K74" i="82" s="1"/>
  <c r="O81" i="56"/>
  <c r="O72" i="56"/>
  <c r="O74" i="56"/>
  <c r="O83" i="56"/>
  <c r="O68" i="56"/>
  <c r="O76" i="56"/>
  <c r="O79" i="56"/>
  <c r="O80" i="56"/>
  <c r="O73" i="56" l="1"/>
  <c r="O77" i="56"/>
  <c r="K74" i="55"/>
  <c r="O75" i="56"/>
  <c r="O82" i="56"/>
  <c r="O71" i="56"/>
  <c r="O78" i="56"/>
  <c r="O85" i="56"/>
  <c r="O69" i="56"/>
  <c r="O84" i="56"/>
  <c r="O87" i="56" s="1"/>
  <c r="O89" i="56" s="1"/>
  <c r="O70" i="56"/>
  <c r="I65" i="56"/>
  <c r="K65" i="56"/>
  <c r="L65" i="56"/>
  <c r="J65" i="56"/>
  <c r="P64" i="56"/>
  <c r="P65" i="56" s="1"/>
  <c r="M65" i="56"/>
  <c r="N65" i="56"/>
  <c r="N73" i="56" l="1"/>
  <c r="N78" i="56"/>
  <c r="N85" i="56"/>
  <c r="N81" i="56"/>
  <c r="N76" i="56"/>
  <c r="N83" i="56"/>
  <c r="J74" i="82"/>
  <c r="N71" i="56"/>
  <c r="N84" i="56"/>
  <c r="N70" i="56"/>
  <c r="N79" i="56"/>
  <c r="N75" i="56"/>
  <c r="N74" i="56"/>
  <c r="N80" i="56"/>
  <c r="N68" i="56"/>
  <c r="N69" i="56"/>
  <c r="N82" i="56"/>
  <c r="J74" i="55"/>
  <c r="N77" i="56"/>
  <c r="N72" i="56"/>
  <c r="P79" i="56"/>
  <c r="L74" i="55"/>
  <c r="P82" i="56"/>
  <c r="P80" i="56"/>
  <c r="P83" i="56"/>
  <c r="P77" i="56"/>
  <c r="P74" i="56"/>
  <c r="P70" i="56"/>
  <c r="P73" i="56"/>
  <c r="P75" i="56"/>
  <c r="P78" i="56"/>
  <c r="P81" i="56"/>
  <c r="P71" i="56"/>
  <c r="P85" i="56"/>
  <c r="P84" i="56"/>
  <c r="P76" i="56"/>
  <c r="P72" i="56"/>
  <c r="L74" i="82"/>
  <c r="P68" i="56"/>
  <c r="P69" i="56"/>
  <c r="J76" i="56"/>
  <c r="J71" i="56"/>
  <c r="J82" i="56"/>
  <c r="J68" i="56"/>
  <c r="J77" i="56"/>
  <c r="J84" i="56"/>
  <c r="J69" i="56"/>
  <c r="J80" i="56"/>
  <c r="J74" i="56"/>
  <c r="J75" i="56"/>
  <c r="J73" i="56"/>
  <c r="J85" i="56"/>
  <c r="J79" i="56"/>
  <c r="J70" i="56"/>
  <c r="J72" i="56"/>
  <c r="J81" i="56"/>
  <c r="J83" i="56"/>
  <c r="J78" i="56"/>
  <c r="L85" i="56"/>
  <c r="L73" i="56"/>
  <c r="L75" i="56"/>
  <c r="L80" i="56"/>
  <c r="L69" i="56"/>
  <c r="L72" i="56"/>
  <c r="L68" i="56"/>
  <c r="L81" i="56"/>
  <c r="L74" i="56"/>
  <c r="L77" i="56"/>
  <c r="L84" i="56"/>
  <c r="L76" i="56"/>
  <c r="L78" i="56"/>
  <c r="L71" i="56"/>
  <c r="L83" i="56"/>
  <c r="L79" i="56"/>
  <c r="L70" i="56"/>
  <c r="L82" i="56"/>
  <c r="M83" i="56"/>
  <c r="M73" i="56"/>
  <c r="I74" i="82"/>
  <c r="M76" i="56"/>
  <c r="M84" i="56"/>
  <c r="M81" i="56"/>
  <c r="M69" i="56"/>
  <c r="M79" i="56"/>
  <c r="M71" i="56"/>
  <c r="M78" i="56"/>
  <c r="M80" i="56"/>
  <c r="J20" i="56" s="1"/>
  <c r="M82" i="56"/>
  <c r="M68" i="56"/>
  <c r="M74" i="56"/>
  <c r="I74" i="55"/>
  <c r="M75" i="56"/>
  <c r="M85" i="56"/>
  <c r="M77" i="56"/>
  <c r="M72" i="56"/>
  <c r="J12" i="56" s="1"/>
  <c r="M70" i="56"/>
  <c r="K71" i="56"/>
  <c r="K72" i="56"/>
  <c r="K70" i="56"/>
  <c r="K74" i="56"/>
  <c r="K84" i="56"/>
  <c r="K68" i="56"/>
  <c r="K73" i="56"/>
  <c r="K85" i="56"/>
  <c r="K78" i="56"/>
  <c r="K77" i="56"/>
  <c r="K82" i="56"/>
  <c r="K76" i="56"/>
  <c r="K80" i="56"/>
  <c r="K75" i="56"/>
  <c r="K81" i="56"/>
  <c r="K69" i="56"/>
  <c r="K83" i="56"/>
  <c r="K79" i="56"/>
  <c r="I72" i="56"/>
  <c r="I73" i="56"/>
  <c r="I68" i="56"/>
  <c r="I81" i="56"/>
  <c r="I78" i="56"/>
  <c r="I84" i="56"/>
  <c r="I74" i="56"/>
  <c r="I83" i="56"/>
  <c r="I75" i="56"/>
  <c r="I70" i="56"/>
  <c r="I80" i="56"/>
  <c r="I77" i="56"/>
  <c r="I85" i="56"/>
  <c r="I69" i="56"/>
  <c r="I76" i="56"/>
  <c r="I71" i="56"/>
  <c r="I79" i="56"/>
  <c r="I82" i="56"/>
  <c r="J10" i="56" l="1"/>
  <c r="J17" i="56"/>
  <c r="J25" i="56"/>
  <c r="J16" i="56"/>
  <c r="J16" i="61" s="1"/>
  <c r="P87" i="56"/>
  <c r="P89" i="56" s="1"/>
  <c r="N87" i="56"/>
  <c r="N89" i="56" s="1"/>
  <c r="J13" i="56"/>
  <c r="J13" i="59" s="1"/>
  <c r="J14" i="56"/>
  <c r="J11" i="56"/>
  <c r="K11" i="56" s="1"/>
  <c r="L11" i="56" s="1"/>
  <c r="M11" i="56" s="1"/>
  <c r="N11" i="56" s="1"/>
  <c r="O11" i="56" s="1"/>
  <c r="P11" i="56" s="1"/>
  <c r="Q11" i="56" s="1"/>
  <c r="J23" i="56"/>
  <c r="K23" i="56" s="1"/>
  <c r="K10" i="56"/>
  <c r="J10" i="59"/>
  <c r="J10" i="84"/>
  <c r="J10" i="61"/>
  <c r="J22" i="56"/>
  <c r="J16" i="84"/>
  <c r="K87" i="56"/>
  <c r="K89" i="56" s="1"/>
  <c r="J17" i="84"/>
  <c r="J17" i="61"/>
  <c r="J17" i="59"/>
  <c r="K17" i="56"/>
  <c r="J18" i="56"/>
  <c r="J13" i="61"/>
  <c r="J20" i="61"/>
  <c r="K20" i="56"/>
  <c r="J20" i="84"/>
  <c r="J20" i="59"/>
  <c r="I87" i="56"/>
  <c r="I89" i="56" s="1"/>
  <c r="J23" i="61"/>
  <c r="J23" i="59"/>
  <c r="J15" i="56"/>
  <c r="J19" i="56"/>
  <c r="J87" i="56"/>
  <c r="J89" i="56" s="1"/>
  <c r="N79" i="55"/>
  <c r="N84" i="55"/>
  <c r="N86" i="55"/>
  <c r="N85" i="55"/>
  <c r="N77" i="55"/>
  <c r="N80" i="55"/>
  <c r="N78" i="55"/>
  <c r="N83" i="55"/>
  <c r="N88" i="55"/>
  <c r="N89" i="55"/>
  <c r="N82" i="55"/>
  <c r="N81" i="55"/>
  <c r="N90" i="55"/>
  <c r="N87" i="55"/>
  <c r="J9" i="56"/>
  <c r="K9" i="56" s="1"/>
  <c r="L9" i="56" s="1"/>
  <c r="M9" i="56" s="1"/>
  <c r="N9" i="56" s="1"/>
  <c r="O9" i="56" s="1"/>
  <c r="P9" i="56" s="1"/>
  <c r="Q9" i="56" s="1"/>
  <c r="J12" i="84"/>
  <c r="K12" i="56"/>
  <c r="J12" i="59"/>
  <c r="J12" i="61"/>
  <c r="J14" i="59"/>
  <c r="J14" i="61"/>
  <c r="J14" i="84"/>
  <c r="K14" i="56"/>
  <c r="J21" i="56"/>
  <c r="K25" i="56"/>
  <c r="J25" i="59"/>
  <c r="J25" i="61"/>
  <c r="J25" i="84"/>
  <c r="J8" i="56"/>
  <c r="M87" i="56"/>
  <c r="M89" i="56" s="1"/>
  <c r="J24" i="56"/>
  <c r="L87" i="56"/>
  <c r="L89" i="56" s="1"/>
  <c r="K13" i="56" l="1"/>
  <c r="J13" i="84"/>
  <c r="J16" i="59"/>
  <c r="K16" i="56"/>
  <c r="J23" i="84"/>
  <c r="K45" i="55"/>
  <c r="N88" i="82"/>
  <c r="M45" i="55"/>
  <c r="N45" i="55"/>
  <c r="O45" i="55"/>
  <c r="L45" i="55"/>
  <c r="J45" i="55"/>
  <c r="P45" i="55"/>
  <c r="J36" i="55"/>
  <c r="O36" i="55"/>
  <c r="N79" i="82"/>
  <c r="K36" i="55"/>
  <c r="N36" i="55"/>
  <c r="P36" i="55"/>
  <c r="L36" i="55"/>
  <c r="M36" i="55"/>
  <c r="A89" i="56"/>
  <c r="J21" i="84"/>
  <c r="J21" i="61"/>
  <c r="K21" i="56"/>
  <c r="J21" i="59"/>
  <c r="N40" i="55"/>
  <c r="N83" i="82"/>
  <c r="J40" i="55"/>
  <c r="O40" i="55"/>
  <c r="K40" i="55"/>
  <c r="P40" i="55"/>
  <c r="L40" i="55"/>
  <c r="M40" i="55"/>
  <c r="K18" i="56"/>
  <c r="J18" i="59"/>
  <c r="J18" i="61"/>
  <c r="J18" i="84"/>
  <c r="K16" i="61"/>
  <c r="K16" i="84"/>
  <c r="L16" i="56"/>
  <c r="K16" i="59"/>
  <c r="L25" i="56"/>
  <c r="M25" i="56" s="1"/>
  <c r="N25" i="56" s="1"/>
  <c r="O25" i="56" s="1"/>
  <c r="P25" i="56" s="1"/>
  <c r="Q25" i="56" s="1"/>
  <c r="K25" i="59"/>
  <c r="K25" i="61"/>
  <c r="K25" i="84"/>
  <c r="K12" i="61"/>
  <c r="K12" i="84"/>
  <c r="K12" i="59"/>
  <c r="L12" i="56"/>
  <c r="M12" i="56" s="1"/>
  <c r="N12" i="56" s="1"/>
  <c r="O12" i="56" s="1"/>
  <c r="P12" i="56" s="1"/>
  <c r="Q12" i="56" s="1"/>
  <c r="K24" i="56"/>
  <c r="J24" i="84"/>
  <c r="J24" i="59"/>
  <c r="J24" i="61"/>
  <c r="L14" i="56"/>
  <c r="K14" i="84"/>
  <c r="K14" i="61"/>
  <c r="K14" i="59"/>
  <c r="L35" i="55"/>
  <c r="M35" i="55"/>
  <c r="N35" i="55"/>
  <c r="P35" i="55"/>
  <c r="N78" i="82"/>
  <c r="J35" i="55"/>
  <c r="K35" i="55"/>
  <c r="O35" i="55"/>
  <c r="K19" i="56"/>
  <c r="J19" i="59"/>
  <c r="J19" i="61"/>
  <c r="J19" i="84"/>
  <c r="K17" i="59"/>
  <c r="L17" i="56"/>
  <c r="K17" i="61"/>
  <c r="K17" i="84"/>
  <c r="N87" i="82"/>
  <c r="P44" i="55"/>
  <c r="O44" i="55"/>
  <c r="J44" i="55"/>
  <c r="M44" i="55"/>
  <c r="K44" i="55"/>
  <c r="L44" i="55"/>
  <c r="N44" i="55"/>
  <c r="L37" i="55"/>
  <c r="M37" i="55"/>
  <c r="P37" i="55"/>
  <c r="J37" i="55"/>
  <c r="K37" i="55"/>
  <c r="O37" i="55"/>
  <c r="N37" i="55"/>
  <c r="N80" i="82"/>
  <c r="J15" i="59"/>
  <c r="J15" i="84"/>
  <c r="J15" i="61"/>
  <c r="K15" i="56"/>
  <c r="K20" i="84"/>
  <c r="K20" i="61"/>
  <c r="K20" i="59"/>
  <c r="L20" i="56"/>
  <c r="J22" i="59"/>
  <c r="J22" i="61"/>
  <c r="K22" i="56"/>
  <c r="J22" i="84"/>
  <c r="J8" i="61"/>
  <c r="K8" i="56"/>
  <c r="J27" i="56"/>
  <c r="J8" i="59"/>
  <c r="J8" i="84"/>
  <c r="M47" i="55"/>
  <c r="N47" i="55"/>
  <c r="O47" i="55"/>
  <c r="L47" i="55"/>
  <c r="J47" i="55"/>
  <c r="P47" i="55"/>
  <c r="K47" i="55"/>
  <c r="N90" i="82"/>
  <c r="O34" i="55"/>
  <c r="M34" i="55"/>
  <c r="J34" i="55"/>
  <c r="N77" i="82"/>
  <c r="K34" i="55"/>
  <c r="L34" i="55"/>
  <c r="N34" i="55"/>
  <c r="P34" i="55"/>
  <c r="K38" i="55"/>
  <c r="M38" i="55"/>
  <c r="P38" i="55"/>
  <c r="J38" i="55"/>
  <c r="N81" i="82"/>
  <c r="N38" i="55"/>
  <c r="O38" i="55"/>
  <c r="L38" i="55"/>
  <c r="P42" i="55"/>
  <c r="O42" i="55"/>
  <c r="L42" i="55"/>
  <c r="N85" i="82"/>
  <c r="K42" i="55"/>
  <c r="N42" i="55"/>
  <c r="J42" i="55"/>
  <c r="M42" i="55"/>
  <c r="L23" i="56"/>
  <c r="K23" i="59"/>
  <c r="K23" i="84"/>
  <c r="K23" i="61"/>
  <c r="K13" i="61"/>
  <c r="L13" i="56"/>
  <c r="K13" i="59"/>
  <c r="K13" i="84"/>
  <c r="L39" i="55"/>
  <c r="N82" i="82"/>
  <c r="P39" i="55"/>
  <c r="J39" i="55"/>
  <c r="O39" i="55"/>
  <c r="N39" i="55"/>
  <c r="K39" i="55"/>
  <c r="M39" i="55"/>
  <c r="M43" i="55"/>
  <c r="K43" i="55"/>
  <c r="N43" i="55"/>
  <c r="P43" i="55"/>
  <c r="O43" i="55"/>
  <c r="L43" i="55"/>
  <c r="N86" i="82"/>
  <c r="J43" i="55"/>
  <c r="L46" i="55"/>
  <c r="P46" i="55"/>
  <c r="N46" i="55"/>
  <c r="M46" i="55"/>
  <c r="J46" i="55"/>
  <c r="N89" i="82"/>
  <c r="O46" i="55"/>
  <c r="K46" i="55"/>
  <c r="N84" i="82"/>
  <c r="O41" i="55"/>
  <c r="P41" i="55"/>
  <c r="L41" i="55"/>
  <c r="K41" i="55"/>
  <c r="J41" i="55"/>
  <c r="N41" i="55"/>
  <c r="M41" i="55"/>
  <c r="L10" i="56"/>
  <c r="K10" i="84"/>
  <c r="K10" i="61"/>
  <c r="K10" i="59"/>
  <c r="P51" i="62" l="1"/>
  <c r="O47" i="62"/>
  <c r="M43" i="62"/>
  <c r="M49" i="55"/>
  <c r="M11" i="55"/>
  <c r="M39" i="62"/>
  <c r="N52" i="62"/>
  <c r="K22" i="59"/>
  <c r="K22" i="61"/>
  <c r="K22" i="84"/>
  <c r="L22" i="56"/>
  <c r="P42" i="62"/>
  <c r="O49" i="62"/>
  <c r="N40" i="62"/>
  <c r="J45" i="62"/>
  <c r="M41" i="62"/>
  <c r="M9" i="55"/>
  <c r="P50" i="62"/>
  <c r="M10" i="56"/>
  <c r="N10" i="56" s="1"/>
  <c r="O10" i="56" s="1"/>
  <c r="P10" i="56" s="1"/>
  <c r="L41" i="82"/>
  <c r="P41" i="82"/>
  <c r="J41" i="82"/>
  <c r="M41" i="82"/>
  <c r="O41" i="82"/>
  <c r="N41" i="82"/>
  <c r="K41" i="82"/>
  <c r="L51" i="62"/>
  <c r="M48" i="62"/>
  <c r="L44" i="62"/>
  <c r="M23" i="56"/>
  <c r="N23" i="56" s="1"/>
  <c r="O23" i="56" s="1"/>
  <c r="P23" i="56" s="1"/>
  <c r="P47" i="62"/>
  <c r="K43" i="62"/>
  <c r="O49" i="55"/>
  <c r="O11" i="55"/>
  <c r="O39" i="62"/>
  <c r="M52" i="62"/>
  <c r="M42" i="62"/>
  <c r="P49" i="62"/>
  <c r="M40" i="62"/>
  <c r="M40" i="82"/>
  <c r="K40" i="82"/>
  <c r="L40" i="82"/>
  <c r="O40" i="82"/>
  <c r="P40" i="82"/>
  <c r="J40" i="82"/>
  <c r="N40" i="82"/>
  <c r="L41" i="62"/>
  <c r="L9" i="55"/>
  <c r="J50" i="62"/>
  <c r="K51" i="62"/>
  <c r="L42" i="62"/>
  <c r="M44" i="82"/>
  <c r="L44" i="82"/>
  <c r="N44" i="82"/>
  <c r="J44" i="82"/>
  <c r="O44" i="82"/>
  <c r="K44" i="82"/>
  <c r="P44" i="82"/>
  <c r="K19" i="84"/>
  <c r="L19" i="56"/>
  <c r="K19" i="59"/>
  <c r="K19" i="61"/>
  <c r="L40" i="62"/>
  <c r="K24" i="59"/>
  <c r="L24" i="56"/>
  <c r="K24" i="84"/>
  <c r="K24" i="61"/>
  <c r="K18" i="61"/>
  <c r="L18" i="56"/>
  <c r="K18" i="84"/>
  <c r="K18" i="59"/>
  <c r="N45" i="62"/>
  <c r="P9" i="55"/>
  <c r="P41" i="62"/>
  <c r="L50" i="62"/>
  <c r="K48" i="62"/>
  <c r="P39" i="62"/>
  <c r="P49" i="55"/>
  <c r="P11" i="55"/>
  <c r="N46" i="62"/>
  <c r="K44" i="62"/>
  <c r="J47" i="62"/>
  <c r="O43" i="62"/>
  <c r="N11" i="55"/>
  <c r="N39" i="62"/>
  <c r="N49" i="55"/>
  <c r="K52" i="62"/>
  <c r="M20" i="56"/>
  <c r="N20" i="56" s="1"/>
  <c r="O20" i="56" s="1"/>
  <c r="P20" i="56" s="1"/>
  <c r="M37" i="82"/>
  <c r="J37" i="82"/>
  <c r="O37" i="82"/>
  <c r="K37" i="82"/>
  <c r="N37" i="82"/>
  <c r="P37" i="82"/>
  <c r="L37" i="82"/>
  <c r="N49" i="62"/>
  <c r="O40" i="62"/>
  <c r="M45" i="62"/>
  <c r="N41" i="62"/>
  <c r="N9" i="55"/>
  <c r="O50" i="62"/>
  <c r="M46" i="62"/>
  <c r="M44" i="62"/>
  <c r="L43" i="62"/>
  <c r="O43" i="82"/>
  <c r="M43" i="82"/>
  <c r="N43" i="82"/>
  <c r="L43" i="82"/>
  <c r="K43" i="82"/>
  <c r="J43" i="82"/>
  <c r="P43" i="82"/>
  <c r="J46" i="62"/>
  <c r="N46" i="82"/>
  <c r="K46" i="82"/>
  <c r="L46" i="82"/>
  <c r="M46" i="82"/>
  <c r="P46" i="82"/>
  <c r="J46" i="82"/>
  <c r="O46" i="82"/>
  <c r="L48" i="62"/>
  <c r="N44" i="62"/>
  <c r="M13" i="56"/>
  <c r="N13" i="56" s="1"/>
  <c r="O13" i="56" s="1"/>
  <c r="P13" i="56" s="1"/>
  <c r="N47" i="62"/>
  <c r="N43" i="62"/>
  <c r="L49" i="55"/>
  <c r="L11" i="55"/>
  <c r="L39" i="62"/>
  <c r="P52" i="62"/>
  <c r="J31" i="59"/>
  <c r="I116" i="80"/>
  <c r="I118" i="80" s="1"/>
  <c r="J30" i="84"/>
  <c r="J30" i="61"/>
  <c r="J29" i="56"/>
  <c r="N42" i="62"/>
  <c r="L49" i="62"/>
  <c r="K40" i="62"/>
  <c r="M16" i="56"/>
  <c r="N16" i="56" s="1"/>
  <c r="O16" i="56" s="1"/>
  <c r="P16" i="56" s="1"/>
  <c r="L45" i="62"/>
  <c r="K21" i="84"/>
  <c r="K21" i="59"/>
  <c r="K21" i="61"/>
  <c r="L21" i="56"/>
  <c r="K9" i="55"/>
  <c r="K41" i="62"/>
  <c r="N50" i="62"/>
  <c r="O46" i="62"/>
  <c r="O39" i="82"/>
  <c r="K39" i="82"/>
  <c r="N39" i="82"/>
  <c r="J39" i="82"/>
  <c r="P39" i="82"/>
  <c r="L39" i="82"/>
  <c r="M39" i="82"/>
  <c r="J48" i="62"/>
  <c r="K47" i="82"/>
  <c r="M47" i="82"/>
  <c r="N47" i="82"/>
  <c r="P47" i="82"/>
  <c r="O47" i="82"/>
  <c r="L47" i="82"/>
  <c r="J47" i="82"/>
  <c r="K46" i="62"/>
  <c r="J51" i="62"/>
  <c r="O48" i="62"/>
  <c r="O44" i="62"/>
  <c r="K47" i="62"/>
  <c r="L38" i="82"/>
  <c r="J38" i="82"/>
  <c r="P38" i="82"/>
  <c r="M38" i="82"/>
  <c r="K38" i="82"/>
  <c r="O38" i="82"/>
  <c r="N38" i="82"/>
  <c r="K49" i="55"/>
  <c r="K11" i="55"/>
  <c r="K39" i="62"/>
  <c r="J52" i="62"/>
  <c r="K8" i="59"/>
  <c r="K8" i="61"/>
  <c r="L8" i="56"/>
  <c r="K27" i="56"/>
  <c r="K8" i="84"/>
  <c r="O42" i="62"/>
  <c r="K49" i="62"/>
  <c r="M17" i="56"/>
  <c r="N17" i="56" s="1"/>
  <c r="O17" i="56" s="1"/>
  <c r="P17" i="56" s="1"/>
  <c r="Q17" i="56"/>
  <c r="J40" i="62"/>
  <c r="P45" i="62"/>
  <c r="P36" i="82"/>
  <c r="O36" i="82"/>
  <c r="L36" i="82"/>
  <c r="J36" i="82"/>
  <c r="N36" i="82"/>
  <c r="K36" i="82"/>
  <c r="M36" i="82"/>
  <c r="M50" i="62"/>
  <c r="M47" i="62"/>
  <c r="O51" i="62"/>
  <c r="L46" i="62"/>
  <c r="M51" i="62"/>
  <c r="P48" i="62"/>
  <c r="J44" i="62"/>
  <c r="M42" i="82"/>
  <c r="O42" i="82"/>
  <c r="P42" i="82"/>
  <c r="N42" i="82"/>
  <c r="K42" i="82"/>
  <c r="J42" i="82"/>
  <c r="L42" i="82"/>
  <c r="J43" i="62"/>
  <c r="M34" i="82"/>
  <c r="N34" i="82"/>
  <c r="L34" i="82"/>
  <c r="P34" i="82"/>
  <c r="K34" i="82"/>
  <c r="J34" i="82"/>
  <c r="O34" i="82"/>
  <c r="L52" i="62"/>
  <c r="K42" i="62"/>
  <c r="M49" i="62"/>
  <c r="N35" i="82"/>
  <c r="K35" i="82"/>
  <c r="P35" i="82"/>
  <c r="L35" i="82"/>
  <c r="J35" i="82"/>
  <c r="M35" i="82"/>
  <c r="O35" i="82"/>
  <c r="M14" i="56"/>
  <c r="N14" i="56" s="1"/>
  <c r="O14" i="56" s="1"/>
  <c r="P14" i="56" s="1"/>
  <c r="K45" i="62"/>
  <c r="O9" i="55"/>
  <c r="O41" i="62"/>
  <c r="P45" i="82"/>
  <c r="N45" i="82"/>
  <c r="K45" i="82"/>
  <c r="O45" i="82"/>
  <c r="J45" i="82"/>
  <c r="M45" i="82"/>
  <c r="L45" i="82"/>
  <c r="P46" i="62"/>
  <c r="N51" i="62"/>
  <c r="N48" i="62"/>
  <c r="P44" i="62"/>
  <c r="L47" i="62"/>
  <c r="P43" i="62"/>
  <c r="J49" i="55"/>
  <c r="J11" i="55"/>
  <c r="J39" i="62"/>
  <c r="O52" i="62"/>
  <c r="K15" i="84"/>
  <c r="K15" i="59"/>
  <c r="K15" i="61"/>
  <c r="L15" i="56"/>
  <c r="M15" i="56" s="1"/>
  <c r="N15" i="56" s="1"/>
  <c r="O15" i="56" s="1"/>
  <c r="P15" i="56" s="1"/>
  <c r="Q15" i="56" s="1"/>
  <c r="J42" i="62"/>
  <c r="J49" i="62"/>
  <c r="P40" i="62"/>
  <c r="O45" i="62"/>
  <c r="J9" i="55"/>
  <c r="J41" i="62"/>
  <c r="K50" i="62"/>
  <c r="Q16" i="56" l="1"/>
  <c r="Q13" i="56"/>
  <c r="Q20" i="56"/>
  <c r="Q23" i="56"/>
  <c r="Q10" i="56"/>
  <c r="P49" i="82"/>
  <c r="Q14" i="56"/>
  <c r="K16" i="62"/>
  <c r="K11" i="59" s="1"/>
  <c r="K54" i="62"/>
  <c r="N14" i="62"/>
  <c r="N9" i="59" s="1"/>
  <c r="P14" i="62"/>
  <c r="P9" i="59" s="1"/>
  <c r="M19" i="56"/>
  <c r="N19" i="56" s="1"/>
  <c r="O19" i="56" s="1"/>
  <c r="P19" i="56" s="1"/>
  <c r="M22" i="56"/>
  <c r="N22" i="56" s="1"/>
  <c r="O22" i="56" s="1"/>
  <c r="P22" i="56" s="1"/>
  <c r="O49" i="82"/>
  <c r="K30" i="61"/>
  <c r="K40" i="61" s="1"/>
  <c r="R13" i="80" s="1"/>
  <c r="K30" i="84"/>
  <c r="K43" i="84" s="1"/>
  <c r="K31" i="59"/>
  <c r="J116" i="80"/>
  <c r="J118" i="80" s="1"/>
  <c r="K29" i="56"/>
  <c r="K14" i="62"/>
  <c r="K9" i="59" s="1"/>
  <c r="L54" i="62"/>
  <c r="L49" i="59" s="1"/>
  <c r="L16" i="62"/>
  <c r="L11" i="59" s="1"/>
  <c r="L37" i="84"/>
  <c r="P27" i="55"/>
  <c r="Q9" i="55"/>
  <c r="L27" i="55"/>
  <c r="K27" i="55"/>
  <c r="Q11" i="55"/>
  <c r="P16" i="62"/>
  <c r="P54" i="62"/>
  <c r="P39" i="61" s="1"/>
  <c r="W12" i="80" s="1"/>
  <c r="M24" i="56"/>
  <c r="N24" i="56" s="1"/>
  <c r="O24" i="56" s="1"/>
  <c r="P24" i="56" s="1"/>
  <c r="L14" i="62"/>
  <c r="J49" i="82"/>
  <c r="M8" i="56"/>
  <c r="L27" i="56"/>
  <c r="K49" i="82"/>
  <c r="M21" i="56"/>
  <c r="N21" i="56" s="1"/>
  <c r="O21" i="56" s="1"/>
  <c r="P21" i="56" s="1"/>
  <c r="O16" i="62"/>
  <c r="O54" i="62"/>
  <c r="O48" i="59" s="1"/>
  <c r="N20" i="80" s="1"/>
  <c r="K42" i="84"/>
  <c r="J14" i="62"/>
  <c r="J9" i="59" s="1"/>
  <c r="O14" i="62"/>
  <c r="O9" i="59" s="1"/>
  <c r="L49" i="82"/>
  <c r="N41" i="61"/>
  <c r="U14" i="80" s="1"/>
  <c r="L46" i="61"/>
  <c r="N16" i="62"/>
  <c r="N54" i="62"/>
  <c r="N45" i="59" s="1"/>
  <c r="M17" i="80" s="1"/>
  <c r="L38" i="84"/>
  <c r="L42" i="84"/>
  <c r="J27" i="55"/>
  <c r="J54" i="62"/>
  <c r="J41" i="84" s="1"/>
  <c r="J16" i="62"/>
  <c r="O27" i="55"/>
  <c r="N49" i="82"/>
  <c r="L47" i="84"/>
  <c r="L47" i="61"/>
  <c r="N40" i="59"/>
  <c r="M12" i="80" s="1"/>
  <c r="L48" i="84"/>
  <c r="L48" i="61"/>
  <c r="M18" i="56"/>
  <c r="N18" i="56" s="1"/>
  <c r="O18" i="56" s="1"/>
  <c r="P18" i="56" s="1"/>
  <c r="M27" i="55"/>
  <c r="L51" i="59"/>
  <c r="M49" i="82"/>
  <c r="L45" i="59"/>
  <c r="O46" i="84"/>
  <c r="N48" i="84"/>
  <c r="N48" i="61"/>
  <c r="U21" i="80" s="1"/>
  <c r="L44" i="59"/>
  <c r="N45" i="84"/>
  <c r="L41" i="84"/>
  <c r="L41" i="61"/>
  <c r="N27" i="55"/>
  <c r="P38" i="59"/>
  <c r="M14" i="62"/>
  <c r="M9" i="59" s="1"/>
  <c r="M16" i="62"/>
  <c r="M54" i="62"/>
  <c r="M46" i="59" s="1"/>
  <c r="L18" i="80" s="1"/>
  <c r="M37" i="84"/>
  <c r="P49" i="61"/>
  <c r="W22" i="80" s="1"/>
  <c r="P49" i="84"/>
  <c r="O42" i="59" l="1"/>
  <c r="N14" i="80" s="1"/>
  <c r="O46" i="61"/>
  <c r="V19" i="80" s="1"/>
  <c r="O40" i="61"/>
  <c r="V13" i="80" s="1"/>
  <c r="L42" i="61"/>
  <c r="O44" i="59"/>
  <c r="N16" i="80" s="1"/>
  <c r="L45" i="61"/>
  <c r="J44" i="61"/>
  <c r="Q17" i="80" s="1"/>
  <c r="O45" i="61"/>
  <c r="V18" i="80" s="1"/>
  <c r="Q22" i="56"/>
  <c r="M46" i="84"/>
  <c r="K46" i="84"/>
  <c r="K49" i="84"/>
  <c r="K42" i="61"/>
  <c r="R15" i="80" s="1"/>
  <c r="K45" i="84"/>
  <c r="K43" i="59"/>
  <c r="J15" i="80" s="1"/>
  <c r="K41" i="61"/>
  <c r="R14" i="80" s="1"/>
  <c r="K40" i="84"/>
  <c r="K38" i="84"/>
  <c r="K48" i="84"/>
  <c r="K50" i="61"/>
  <c r="R23" i="80" s="1"/>
  <c r="K41" i="84"/>
  <c r="O39" i="61"/>
  <c r="V12" i="80" s="1"/>
  <c r="P46" i="61"/>
  <c r="W19" i="80" s="1"/>
  <c r="K50" i="84"/>
  <c r="M40" i="84"/>
  <c r="O47" i="84"/>
  <c r="O37" i="61"/>
  <c r="V10" i="80" s="1"/>
  <c r="P40" i="61"/>
  <c r="W13" i="80" s="1"/>
  <c r="P40" i="84"/>
  <c r="J48" i="61"/>
  <c r="Q21" i="80" s="1"/>
  <c r="P50" i="61"/>
  <c r="W23" i="80" s="1"/>
  <c r="P43" i="61"/>
  <c r="W16" i="80" s="1"/>
  <c r="P42" i="84"/>
  <c r="K47" i="84"/>
  <c r="L39" i="61"/>
  <c r="S12" i="80" s="1"/>
  <c r="L49" i="84"/>
  <c r="J48" i="84"/>
  <c r="M39" i="84"/>
  <c r="P40" i="59"/>
  <c r="O12" i="80" s="1"/>
  <c r="P50" i="84"/>
  <c r="P42" i="61"/>
  <c r="W15" i="80" s="1"/>
  <c r="P47" i="84"/>
  <c r="K47" i="61"/>
  <c r="R20" i="80" s="1"/>
  <c r="P41" i="84"/>
  <c r="M39" i="61"/>
  <c r="T12" i="80" s="1"/>
  <c r="P47" i="61"/>
  <c r="W20" i="80" s="1"/>
  <c r="P44" i="84"/>
  <c r="L49" i="61"/>
  <c r="P44" i="61"/>
  <c r="W17" i="80" s="1"/>
  <c r="P38" i="61"/>
  <c r="W11" i="80" s="1"/>
  <c r="P46" i="84"/>
  <c r="P38" i="84"/>
  <c r="P48" i="61"/>
  <c r="W21" i="80" s="1"/>
  <c r="Q18" i="56"/>
  <c r="N37" i="84"/>
  <c r="P37" i="84"/>
  <c r="P45" i="61"/>
  <c r="W18" i="80" s="1"/>
  <c r="O38" i="61"/>
  <c r="V11" i="80" s="1"/>
  <c r="P45" i="84"/>
  <c r="K44" i="61"/>
  <c r="R17" i="80" s="1"/>
  <c r="P41" i="61"/>
  <c r="W14" i="80" s="1"/>
  <c r="O43" i="84"/>
  <c r="K45" i="61"/>
  <c r="R18" i="80" s="1"/>
  <c r="K49" i="61"/>
  <c r="R22" i="80" s="1"/>
  <c r="O44" i="84"/>
  <c r="P48" i="84"/>
  <c r="O37" i="84"/>
  <c r="L39" i="84"/>
  <c r="L37" i="61"/>
  <c r="S10" i="80" s="1"/>
  <c r="N37" i="61"/>
  <c r="N41" i="84"/>
  <c r="K37" i="61"/>
  <c r="K44" i="59"/>
  <c r="J16" i="80" s="1"/>
  <c r="J50" i="61"/>
  <c r="Q23" i="80" s="1"/>
  <c r="O42" i="61"/>
  <c r="V15" i="80" s="1"/>
  <c r="O43" i="61"/>
  <c r="V16" i="80" s="1"/>
  <c r="O38" i="84"/>
  <c r="L40" i="84"/>
  <c r="L44" i="61"/>
  <c r="K39" i="84"/>
  <c r="K38" i="59"/>
  <c r="N47" i="59"/>
  <c r="M19" i="80" s="1"/>
  <c r="N44" i="61"/>
  <c r="U17" i="80" s="1"/>
  <c r="O45" i="84"/>
  <c r="O48" i="61"/>
  <c r="V21" i="80" s="1"/>
  <c r="K38" i="61"/>
  <c r="R11" i="80" s="1"/>
  <c r="L44" i="84"/>
  <c r="K39" i="61"/>
  <c r="R12" i="80" s="1"/>
  <c r="N45" i="61"/>
  <c r="U18" i="80" s="1"/>
  <c r="N47" i="84"/>
  <c r="N50" i="84"/>
  <c r="O48" i="84"/>
  <c r="L50" i="61"/>
  <c r="S23" i="80" s="1"/>
  <c r="N41" i="59"/>
  <c r="M13" i="80" s="1"/>
  <c r="O40" i="84"/>
  <c r="N47" i="61"/>
  <c r="U20" i="80" s="1"/>
  <c r="N50" i="61"/>
  <c r="U23" i="80" s="1"/>
  <c r="L38" i="61"/>
  <c r="S11" i="80" s="1"/>
  <c r="L46" i="84"/>
  <c r="L45" i="84"/>
  <c r="K46" i="61"/>
  <c r="R19" i="80" s="1"/>
  <c r="K44" i="84"/>
  <c r="L50" i="84"/>
  <c r="K27" i="59"/>
  <c r="R10" i="80"/>
  <c r="K21" i="80"/>
  <c r="S15" i="80"/>
  <c r="M45" i="61"/>
  <c r="T18" i="80" s="1"/>
  <c r="M44" i="84"/>
  <c r="K116" i="80"/>
  <c r="K118" i="80" s="1"/>
  <c r="L29" i="56"/>
  <c r="P11" i="61"/>
  <c r="P11" i="84"/>
  <c r="S22" i="80"/>
  <c r="K43" i="61"/>
  <c r="R16" i="80" s="1"/>
  <c r="P11" i="59"/>
  <c r="P27" i="59" s="1"/>
  <c r="L43" i="84"/>
  <c r="L46" i="59"/>
  <c r="J47" i="59"/>
  <c r="I19" i="80" s="1"/>
  <c r="M50" i="59"/>
  <c r="L22" i="80" s="1"/>
  <c r="M29" i="59"/>
  <c r="M29" i="55"/>
  <c r="M48" i="84"/>
  <c r="J29" i="55"/>
  <c r="J29" i="59"/>
  <c r="U10" i="80"/>
  <c r="M44" i="61"/>
  <c r="T17" i="80" s="1"/>
  <c r="M27" i="56"/>
  <c r="N8" i="56"/>
  <c r="L32" i="62"/>
  <c r="L9" i="84"/>
  <c r="L9" i="61"/>
  <c r="Q14" i="62"/>
  <c r="J45" i="84"/>
  <c r="P29" i="55"/>
  <c r="P29" i="59"/>
  <c r="O41" i="84"/>
  <c r="L43" i="61"/>
  <c r="K17" i="80"/>
  <c r="K23" i="80"/>
  <c r="M48" i="61"/>
  <c r="T21" i="80" s="1"/>
  <c r="J37" i="84"/>
  <c r="N38" i="61"/>
  <c r="U11" i="80" s="1"/>
  <c r="N46" i="59"/>
  <c r="M18" i="80" s="1"/>
  <c r="N49" i="59"/>
  <c r="M21" i="80" s="1"/>
  <c r="N42" i="59"/>
  <c r="M14" i="80" s="1"/>
  <c r="N38" i="59"/>
  <c r="N50" i="59"/>
  <c r="M22" i="80" s="1"/>
  <c r="N39" i="59"/>
  <c r="M11" i="80" s="1"/>
  <c r="N44" i="59"/>
  <c r="M16" i="80" s="1"/>
  <c r="N43" i="59"/>
  <c r="M15" i="80" s="1"/>
  <c r="O44" i="61"/>
  <c r="V17" i="80" s="1"/>
  <c r="O47" i="59"/>
  <c r="N19" i="80" s="1"/>
  <c r="O41" i="59"/>
  <c r="N13" i="80" s="1"/>
  <c r="O49" i="59"/>
  <c r="N21" i="80" s="1"/>
  <c r="O45" i="59"/>
  <c r="N17" i="80" s="1"/>
  <c r="O43" i="59"/>
  <c r="N15" i="80" s="1"/>
  <c r="O40" i="59"/>
  <c r="N12" i="80" s="1"/>
  <c r="O38" i="59"/>
  <c r="O50" i="59"/>
  <c r="N22" i="80" s="1"/>
  <c r="N42" i="84"/>
  <c r="J42" i="84"/>
  <c r="J45" i="61"/>
  <c r="Q18" i="80" s="1"/>
  <c r="K29" i="59"/>
  <c r="K29" i="55"/>
  <c r="M42" i="61"/>
  <c r="T15" i="80" s="1"/>
  <c r="K32" i="62"/>
  <c r="K9" i="61"/>
  <c r="K9" i="84"/>
  <c r="J38" i="84"/>
  <c r="O41" i="61"/>
  <c r="V14" i="80" s="1"/>
  <c r="K37" i="84"/>
  <c r="L48" i="59"/>
  <c r="N48" i="59"/>
  <c r="M20" i="80" s="1"/>
  <c r="M37" i="61"/>
  <c r="M9" i="84"/>
  <c r="M9" i="61"/>
  <c r="M32" i="62"/>
  <c r="J44" i="84"/>
  <c r="M49" i="84"/>
  <c r="J37" i="61"/>
  <c r="N11" i="59"/>
  <c r="N27" i="59" s="1"/>
  <c r="N11" i="61"/>
  <c r="N11" i="84"/>
  <c r="O42" i="84"/>
  <c r="O39" i="84"/>
  <c r="S18" i="80"/>
  <c r="O50" i="84"/>
  <c r="O11" i="59"/>
  <c r="O27" i="59" s="1"/>
  <c r="O11" i="61"/>
  <c r="O11" i="84"/>
  <c r="N42" i="61"/>
  <c r="U15" i="80" s="1"/>
  <c r="J42" i="61"/>
  <c r="Q15" i="80" s="1"/>
  <c r="Q24" i="56"/>
  <c r="O49" i="84"/>
  <c r="N46" i="61"/>
  <c r="U19" i="80" s="1"/>
  <c r="M50" i="84"/>
  <c r="M42" i="84"/>
  <c r="J49" i="84"/>
  <c r="J38" i="61"/>
  <c r="Q11" i="80" s="1"/>
  <c r="Q19" i="56"/>
  <c r="N39" i="61"/>
  <c r="U12" i="80" s="1"/>
  <c r="J38" i="59"/>
  <c r="J45" i="59"/>
  <c r="I17" i="80" s="1"/>
  <c r="P47" i="59"/>
  <c r="O19" i="80" s="1"/>
  <c r="S14" i="80"/>
  <c r="S21" i="80"/>
  <c r="M49" i="61"/>
  <c r="T22" i="80" s="1"/>
  <c r="J11" i="84"/>
  <c r="J11" i="61"/>
  <c r="O9" i="61"/>
  <c r="O32" i="62"/>
  <c r="O9" i="84"/>
  <c r="J47" i="84"/>
  <c r="J46" i="84"/>
  <c r="O50" i="61"/>
  <c r="V23" i="80" s="1"/>
  <c r="M38" i="84"/>
  <c r="Q21" i="56"/>
  <c r="M47" i="84"/>
  <c r="O49" i="61"/>
  <c r="V22" i="80" s="1"/>
  <c r="N46" i="84"/>
  <c r="M50" i="61"/>
  <c r="T23" i="80" s="1"/>
  <c r="N39" i="84"/>
  <c r="K48" i="61"/>
  <c r="R21" i="80" s="1"/>
  <c r="K42" i="59"/>
  <c r="J14" i="80" s="1"/>
  <c r="K50" i="59"/>
  <c r="J22" i="80" s="1"/>
  <c r="K48" i="59"/>
  <c r="J20" i="80" s="1"/>
  <c r="K41" i="59"/>
  <c r="J13" i="80" s="1"/>
  <c r="K49" i="59"/>
  <c r="J21" i="80" s="1"/>
  <c r="K45" i="59"/>
  <c r="J17" i="80" s="1"/>
  <c r="K46" i="59"/>
  <c r="J18" i="80" s="1"/>
  <c r="K51" i="59"/>
  <c r="J23" i="80" s="1"/>
  <c r="K40" i="59"/>
  <c r="J12" i="80" s="1"/>
  <c r="O51" i="59"/>
  <c r="N23" i="80" s="1"/>
  <c r="P45" i="59"/>
  <c r="O17" i="80" s="1"/>
  <c r="K47" i="59"/>
  <c r="J19" i="80" s="1"/>
  <c r="J11" i="59"/>
  <c r="J27" i="59" s="1"/>
  <c r="S20" i="80"/>
  <c r="J49" i="61"/>
  <c r="Q22" i="80" s="1"/>
  <c r="J49" i="59"/>
  <c r="I21" i="80" s="1"/>
  <c r="J40" i="59"/>
  <c r="I12" i="80" s="1"/>
  <c r="J43" i="59"/>
  <c r="I15" i="80" s="1"/>
  <c r="J46" i="59"/>
  <c r="I18" i="80" s="1"/>
  <c r="J44" i="59"/>
  <c r="I16" i="80" s="1"/>
  <c r="J50" i="59"/>
  <c r="I22" i="80" s="1"/>
  <c r="J39" i="59"/>
  <c r="I11" i="80" s="1"/>
  <c r="J42" i="59"/>
  <c r="I14" i="80" s="1"/>
  <c r="J9" i="61"/>
  <c r="J9" i="84"/>
  <c r="J32" i="62"/>
  <c r="J47" i="61"/>
  <c r="Q20" i="80" s="1"/>
  <c r="J46" i="61"/>
  <c r="Q19" i="80" s="1"/>
  <c r="M41" i="84"/>
  <c r="M38" i="61"/>
  <c r="T11" i="80" s="1"/>
  <c r="M47" i="61"/>
  <c r="T20" i="80" s="1"/>
  <c r="M43" i="61"/>
  <c r="T16" i="80" s="1"/>
  <c r="N49" i="61"/>
  <c r="U22" i="80" s="1"/>
  <c r="J43" i="61"/>
  <c r="Q16" i="80" s="1"/>
  <c r="L9" i="59"/>
  <c r="J41" i="61"/>
  <c r="Q14" i="80" s="1"/>
  <c r="P39" i="84"/>
  <c r="N32" i="62"/>
  <c r="N9" i="84"/>
  <c r="N9" i="61"/>
  <c r="K11" i="61"/>
  <c r="K11" i="84"/>
  <c r="O46" i="59"/>
  <c r="N18" i="80" s="1"/>
  <c r="O39" i="59"/>
  <c r="N11" i="80" s="1"/>
  <c r="J51" i="59"/>
  <c r="I23" i="80" s="1"/>
  <c r="O10" i="80"/>
  <c r="J40" i="61"/>
  <c r="Q13" i="80" s="1"/>
  <c r="J39" i="84"/>
  <c r="M41" i="61"/>
  <c r="T14" i="80" s="1"/>
  <c r="N43" i="61"/>
  <c r="U16" i="80" s="1"/>
  <c r="P37" i="61"/>
  <c r="M43" i="84"/>
  <c r="N49" i="84"/>
  <c r="J43" i="84"/>
  <c r="L29" i="55"/>
  <c r="L29" i="59"/>
  <c r="L11" i="84"/>
  <c r="Q16" i="62"/>
  <c r="L11" i="61"/>
  <c r="N40" i="61"/>
  <c r="U13" i="80" s="1"/>
  <c r="K39" i="59"/>
  <c r="J11" i="80" s="1"/>
  <c r="N51" i="59"/>
  <c r="M23" i="80" s="1"/>
  <c r="J10" i="80"/>
  <c r="M46" i="61"/>
  <c r="T19" i="80" s="1"/>
  <c r="M38" i="59"/>
  <c r="M47" i="59"/>
  <c r="L19" i="80" s="1"/>
  <c r="M41" i="59"/>
  <c r="L13" i="80" s="1"/>
  <c r="M40" i="59"/>
  <c r="L12" i="80" s="1"/>
  <c r="M42" i="59"/>
  <c r="L14" i="80" s="1"/>
  <c r="M39" i="59"/>
  <c r="L11" i="80" s="1"/>
  <c r="M45" i="59"/>
  <c r="L17" i="80" s="1"/>
  <c r="M48" i="59"/>
  <c r="L20" i="80" s="1"/>
  <c r="M44" i="59"/>
  <c r="L16" i="80" s="1"/>
  <c r="M51" i="59"/>
  <c r="L23" i="80" s="1"/>
  <c r="M43" i="59"/>
  <c r="L15" i="80" s="1"/>
  <c r="M11" i="59"/>
  <c r="M11" i="61"/>
  <c r="M11" i="84"/>
  <c r="M40" i="61"/>
  <c r="T13" i="80" s="1"/>
  <c r="N29" i="59"/>
  <c r="N29" i="55"/>
  <c r="K16" i="80"/>
  <c r="N44" i="84"/>
  <c r="J50" i="84"/>
  <c r="O29" i="55"/>
  <c r="O29" i="59"/>
  <c r="J40" i="84"/>
  <c r="O47" i="61"/>
  <c r="V20" i="80" s="1"/>
  <c r="S19" i="80"/>
  <c r="J39" i="61"/>
  <c r="Q12" i="80" s="1"/>
  <c r="M45" i="84"/>
  <c r="N38" i="84"/>
  <c r="N43" i="84"/>
  <c r="P43" i="84"/>
  <c r="P50" i="59"/>
  <c r="O22" i="80" s="1"/>
  <c r="P41" i="59"/>
  <c r="O13" i="80" s="1"/>
  <c r="P51" i="59"/>
  <c r="O23" i="80" s="1"/>
  <c r="P44" i="59"/>
  <c r="O16" i="80" s="1"/>
  <c r="P48" i="59"/>
  <c r="O20" i="80" s="1"/>
  <c r="P49" i="59"/>
  <c r="O21" i="80" s="1"/>
  <c r="P42" i="59"/>
  <c r="O14" i="80" s="1"/>
  <c r="P39" i="59"/>
  <c r="O11" i="80" s="1"/>
  <c r="P46" i="59"/>
  <c r="O18" i="80" s="1"/>
  <c r="S17" i="80"/>
  <c r="Q27" i="55"/>
  <c r="L40" i="61"/>
  <c r="L42" i="59"/>
  <c r="L43" i="59"/>
  <c r="L39" i="59"/>
  <c r="L47" i="59"/>
  <c r="L41" i="59"/>
  <c r="L50" i="59"/>
  <c r="L40" i="59"/>
  <c r="L38" i="59"/>
  <c r="P9" i="84"/>
  <c r="P9" i="61"/>
  <c r="P32" i="62"/>
  <c r="N40" i="84"/>
  <c r="M49" i="59"/>
  <c r="L21" i="80" s="1"/>
  <c r="J41" i="59"/>
  <c r="I13" i="80" s="1"/>
  <c r="J48" i="59"/>
  <c r="I20" i="80" s="1"/>
  <c r="P43" i="59"/>
  <c r="O15" i="80" s="1"/>
  <c r="P27" i="61" l="1"/>
  <c r="P27" i="84"/>
  <c r="Q44" i="61"/>
  <c r="Q40" i="84"/>
  <c r="Q48" i="61"/>
  <c r="Q49" i="84"/>
  <c r="Q50" i="84"/>
  <c r="Q47" i="84"/>
  <c r="Q37" i="84"/>
  <c r="Q46" i="84"/>
  <c r="Q41" i="84"/>
  <c r="Q39" i="61"/>
  <c r="K52" i="84"/>
  <c r="Q45" i="84"/>
  <c r="N27" i="84"/>
  <c r="O27" i="61"/>
  <c r="L52" i="84"/>
  <c r="Q48" i="84"/>
  <c r="O52" i="84"/>
  <c r="Q39" i="84"/>
  <c r="P52" i="84"/>
  <c r="J27" i="61"/>
  <c r="N52" i="84"/>
  <c r="Q44" i="84"/>
  <c r="Q46" i="61"/>
  <c r="Q38" i="61"/>
  <c r="Q11" i="59"/>
  <c r="O27" i="84"/>
  <c r="Q42" i="84"/>
  <c r="Q38" i="84"/>
  <c r="Q44" i="59"/>
  <c r="J27" i="84"/>
  <c r="Q45" i="61"/>
  <c r="N27" i="61"/>
  <c r="Q42" i="59"/>
  <c r="K14" i="80"/>
  <c r="CR14" i="80" s="1"/>
  <c r="CS14" i="80" s="1"/>
  <c r="M27" i="59"/>
  <c r="CR23" i="80"/>
  <c r="CS23" i="80" s="1"/>
  <c r="AB23" i="80"/>
  <c r="AB21" i="80"/>
  <c r="CR21" i="80"/>
  <c r="CS21" i="80" s="1"/>
  <c r="M52" i="84"/>
  <c r="M27" i="61"/>
  <c r="K27" i="84"/>
  <c r="K54" i="84" s="1"/>
  <c r="Q50" i="61"/>
  <c r="M29" i="56"/>
  <c r="L116" i="80"/>
  <c r="L118" i="80" s="1"/>
  <c r="A29" i="55"/>
  <c r="A1" i="55" s="1"/>
  <c r="H18" i="79" s="1"/>
  <c r="Q43" i="84"/>
  <c r="Q42" i="61"/>
  <c r="K10" i="80"/>
  <c r="L53" i="59"/>
  <c r="Q38" i="59"/>
  <c r="S13" i="80"/>
  <c r="Q40" i="61"/>
  <c r="O29" i="61"/>
  <c r="O34" i="62"/>
  <c r="O29" i="84"/>
  <c r="O30" i="59"/>
  <c r="O33" i="59" s="1"/>
  <c r="Q41" i="61"/>
  <c r="M27" i="84"/>
  <c r="K27" i="61"/>
  <c r="N53" i="59"/>
  <c r="N55" i="59" s="1"/>
  <c r="M10" i="80"/>
  <c r="M6" i="80" s="1"/>
  <c r="M8" i="80" s="1"/>
  <c r="Q51" i="59"/>
  <c r="K12" i="80"/>
  <c r="Q40" i="59"/>
  <c r="Q47" i="61"/>
  <c r="T10" i="80"/>
  <c r="T6" i="80" s="1"/>
  <c r="M52" i="61"/>
  <c r="K30" i="59"/>
  <c r="K33" i="59" s="1"/>
  <c r="K34" i="62"/>
  <c r="K29" i="84"/>
  <c r="K29" i="61"/>
  <c r="AB17" i="80"/>
  <c r="O52" i="61"/>
  <c r="Q50" i="59"/>
  <c r="K22" i="80"/>
  <c r="CR22" i="80"/>
  <c r="CS22" i="80" s="1"/>
  <c r="AB22" i="80"/>
  <c r="Q45" i="59"/>
  <c r="Q32" i="62"/>
  <c r="V6" i="80"/>
  <c r="K13" i="80"/>
  <c r="CR13" i="80" s="1"/>
  <c r="CS13" i="80" s="1"/>
  <c r="Q41" i="59"/>
  <c r="M53" i="59"/>
  <c r="L10" i="80"/>
  <c r="L6" i="80" s="1"/>
  <c r="Q11" i="61"/>
  <c r="W10" i="80"/>
  <c r="W6" i="80" s="1"/>
  <c r="P52" i="61"/>
  <c r="Q9" i="59"/>
  <c r="L27" i="59"/>
  <c r="AB16" i="80"/>
  <c r="CR16" i="80"/>
  <c r="CS16" i="80" s="1"/>
  <c r="Q37" i="61"/>
  <c r="CR17" i="80"/>
  <c r="CS17" i="80" s="1"/>
  <c r="Q10" i="80"/>
  <c r="Q6" i="80" s="1"/>
  <c r="J52" i="61"/>
  <c r="Q48" i="59"/>
  <c r="K20" i="80"/>
  <c r="AB20" i="80" s="1"/>
  <c r="O53" i="59"/>
  <c r="O55" i="59" s="1"/>
  <c r="N10" i="80"/>
  <c r="N6" i="80" s="1"/>
  <c r="N8" i="80" s="1"/>
  <c r="S16" i="80"/>
  <c r="S6" i="80" s="1"/>
  <c r="Q43" i="61"/>
  <c r="L27" i="61"/>
  <c r="Q9" i="61"/>
  <c r="N52" i="61"/>
  <c r="Q49" i="61"/>
  <c r="Q49" i="59"/>
  <c r="K19" i="80"/>
  <c r="AB19" i="80" s="1"/>
  <c r="Q47" i="59"/>
  <c r="L52" i="61"/>
  <c r="I10" i="80"/>
  <c r="J53" i="59"/>
  <c r="J55" i="59" s="1"/>
  <c r="Q9" i="84"/>
  <c r="L27" i="84"/>
  <c r="U6" i="80"/>
  <c r="P34" i="62"/>
  <c r="P29" i="84"/>
  <c r="P29" i="61"/>
  <c r="P30" i="59"/>
  <c r="P33" i="59" s="1"/>
  <c r="K11" i="80"/>
  <c r="CR11" i="80" s="1"/>
  <c r="CS11" i="80" s="1"/>
  <c r="Q39" i="59"/>
  <c r="K53" i="59"/>
  <c r="K55" i="59" s="1"/>
  <c r="Q11" i="84"/>
  <c r="P53" i="59"/>
  <c r="P55" i="59" s="1"/>
  <c r="J30" i="59"/>
  <c r="J33" i="59" s="1"/>
  <c r="J29" i="61"/>
  <c r="J29" i="84"/>
  <c r="J34" i="62"/>
  <c r="J52" i="84"/>
  <c r="L29" i="61"/>
  <c r="L29" i="84"/>
  <c r="L30" i="59"/>
  <c r="L34" i="62"/>
  <c r="K52" i="61"/>
  <c r="Q43" i="59"/>
  <c r="K15" i="80"/>
  <c r="CR15" i="80" s="1"/>
  <c r="CS15" i="80" s="1"/>
  <c r="J6" i="80"/>
  <c r="J8" i="80" s="1"/>
  <c r="O6" i="80"/>
  <c r="O8" i="80" s="1"/>
  <c r="N30" i="59"/>
  <c r="N33" i="59" s="1"/>
  <c r="N34" i="62"/>
  <c r="N29" i="84"/>
  <c r="N32" i="84" s="1"/>
  <c r="N29" i="61"/>
  <c r="CR12" i="80"/>
  <c r="CS12" i="80" s="1"/>
  <c r="AB12" i="80"/>
  <c r="M30" i="59"/>
  <c r="M29" i="61"/>
  <c r="M29" i="84"/>
  <c r="M34" i="62"/>
  <c r="N27" i="56"/>
  <c r="O8" i="56"/>
  <c r="K18" i="80"/>
  <c r="AB18" i="80" s="1"/>
  <c r="Q46" i="59"/>
  <c r="R6" i="80"/>
  <c r="W8" i="80" l="1"/>
  <c r="P32" i="84"/>
  <c r="P32" i="61"/>
  <c r="P54" i="61"/>
  <c r="P54" i="84"/>
  <c r="O32" i="61"/>
  <c r="O54" i="84"/>
  <c r="N54" i="84"/>
  <c r="O54" i="61"/>
  <c r="M33" i="59"/>
  <c r="V8" i="80"/>
  <c r="J32" i="84"/>
  <c r="J54" i="84"/>
  <c r="J54" i="61"/>
  <c r="AB14" i="80"/>
  <c r="Q52" i="84"/>
  <c r="Q52" i="61"/>
  <c r="Q27" i="59"/>
  <c r="O32" i="84"/>
  <c r="Q8" i="80"/>
  <c r="K54" i="61"/>
  <c r="J32" i="61"/>
  <c r="R8" i="80"/>
  <c r="CR18" i="80"/>
  <c r="CS18" i="80" s="1"/>
  <c r="U8" i="80"/>
  <c r="N32" i="61"/>
  <c r="CR19" i="80"/>
  <c r="CS19" i="80" s="1"/>
  <c r="AB15" i="80"/>
  <c r="N54" i="61"/>
  <c r="L32" i="61"/>
  <c r="S8" i="80"/>
  <c r="L32" i="84"/>
  <c r="L8" i="80"/>
  <c r="M55" i="59"/>
  <c r="CR20" i="80"/>
  <c r="CS20" i="80" s="1"/>
  <c r="L55" i="59"/>
  <c r="K6" i="80"/>
  <c r="K8" i="80" s="1"/>
  <c r="M32" i="61"/>
  <c r="A34" i="62"/>
  <c r="A1" i="62" s="1"/>
  <c r="H19" i="79" s="1"/>
  <c r="Q27" i="84"/>
  <c r="AB11" i="80"/>
  <c r="M54" i="84"/>
  <c r="K32" i="84"/>
  <c r="L54" i="84"/>
  <c r="K32" i="61"/>
  <c r="I6" i="80"/>
  <c r="I8" i="80" s="1"/>
  <c r="CR10" i="80"/>
  <c r="AB10" i="80"/>
  <c r="L33" i="59"/>
  <c r="M32" i="84"/>
  <c r="P8" i="56"/>
  <c r="P27" i="56" s="1"/>
  <c r="O27" i="56"/>
  <c r="L54" i="61"/>
  <c r="AB13" i="80"/>
  <c r="M54" i="61"/>
  <c r="N29" i="56"/>
  <c r="M116" i="80"/>
  <c r="M118" i="80" s="1"/>
  <c r="Q27" i="61"/>
  <c r="T8" i="80"/>
  <c r="Q53" i="59"/>
  <c r="A33" i="59" l="1"/>
  <c r="A32" i="84"/>
  <c r="A54" i="61"/>
  <c r="A54" i="84"/>
  <c r="A55" i="59"/>
  <c r="A32" i="61"/>
  <c r="AB8" i="80"/>
  <c r="A1" i="80" s="1"/>
  <c r="H14" i="79" s="1"/>
  <c r="Q8" i="56"/>
  <c r="Q27" i="56" s="1"/>
  <c r="O29" i="56"/>
  <c r="N116" i="80"/>
  <c r="N118" i="80" s="1"/>
  <c r="O116" i="80"/>
  <c r="O118" i="80" s="1"/>
  <c r="P29" i="56"/>
  <c r="CS10" i="80"/>
  <c r="CS8" i="80" s="1"/>
  <c r="CR8" i="80"/>
  <c r="A1" i="59" l="1"/>
  <c r="H16" i="79" s="1"/>
  <c r="A1" i="84"/>
  <c r="H15" i="79" s="1"/>
  <c r="A1" i="61"/>
  <c r="H17" i="79" s="1"/>
  <c r="A29" i="56"/>
  <c r="A1" i="56" s="1"/>
  <c r="H21" i="79" s="1"/>
  <c r="H25" i="79" l="1"/>
  <c r="H6" i="79" s="1"/>
  <c r="H8" i="79" s="1"/>
  <c r="B2" i="79" s="1"/>
  <c r="B2" i="78" l="1"/>
  <c r="B2" i="76"/>
</calcChain>
</file>

<file path=xl/sharedStrings.xml><?xml version="1.0" encoding="utf-8"?>
<sst xmlns="http://schemas.openxmlformats.org/spreadsheetml/2006/main" count="1509" uniqueCount="322">
  <si>
    <t>Substations</t>
  </si>
  <si>
    <t>Distribution Lines</t>
  </si>
  <si>
    <t>Transmission Lines</t>
  </si>
  <si>
    <t>LV Services</t>
  </si>
  <si>
    <t>Distribution Substations</t>
  </si>
  <si>
    <t>Distribution Switchgear</t>
  </si>
  <si>
    <t>Protection</t>
  </si>
  <si>
    <t>SCADA</t>
  </si>
  <si>
    <t>Communications</t>
  </si>
  <si>
    <t>Land and Easements</t>
  </si>
  <si>
    <t>Property</t>
  </si>
  <si>
    <t>IT and Communications</t>
  </si>
  <si>
    <t>Motor Vehicles</t>
  </si>
  <si>
    <t>Plant and Equipment</t>
  </si>
  <si>
    <t>Metering Dedicated CTs and VTs</t>
  </si>
  <si>
    <t>Total</t>
  </si>
  <si>
    <t>N/A</t>
  </si>
  <si>
    <t>Unit</t>
  </si>
  <si>
    <t>Units</t>
  </si>
  <si>
    <t>REGULATORY REPORTING STATEMENT</t>
  </si>
  <si>
    <t>Power and Water Corporation</t>
  </si>
  <si>
    <t>2.5 CONNECTIONS</t>
  </si>
  <si>
    <t>2.5.1 - DESCRIPTOR METRICS</t>
  </si>
  <si>
    <t>VOLUMES AND EXPENDITURE - ALL</t>
  </si>
  <si>
    <t>VOLUMES AND EXPENDITURE</t>
  </si>
  <si>
    <t>2008-09</t>
  </si>
  <si>
    <t>2009-10</t>
  </si>
  <si>
    <t>2010-11</t>
  </si>
  <si>
    <t>2011-12</t>
  </si>
  <si>
    <t>2012-13</t>
  </si>
  <si>
    <t>2013-14</t>
  </si>
  <si>
    <t>2014-15</t>
  </si>
  <si>
    <t>2015-16</t>
  </si>
  <si>
    <t>2016-17</t>
  </si>
  <si>
    <t>RESIDENTIAL</t>
  </si>
  <si>
    <t>Underground connections</t>
  </si>
  <si>
    <t>0's</t>
  </si>
  <si>
    <t>Overhead connections</t>
  </si>
  <si>
    <t>Distribution substation installed (MVA added)</t>
  </si>
  <si>
    <t>MVA</t>
  </si>
  <si>
    <t>Distribution substations installed</t>
  </si>
  <si>
    <t>Distribution substation installed (total spend $0's)</t>
  </si>
  <si>
    <t>total spend $0s</t>
  </si>
  <si>
    <t>Augmentation HV (net circuit KM added)</t>
  </si>
  <si>
    <t>KM</t>
  </si>
  <si>
    <t>Augmentation HV (total spend $0's)</t>
  </si>
  <si>
    <t>Augmentation LV (net circuit KM added)</t>
  </si>
  <si>
    <t>Augmentation LV (total spend $0's)</t>
  </si>
  <si>
    <t>Mean days to connect residential customer with LV single phase connection</t>
  </si>
  <si>
    <t>Volume of GSL breaches for residential customers</t>
  </si>
  <si>
    <t>Volume of customer complaints relating to connection services</t>
  </si>
  <si>
    <t>GSL payments</t>
  </si>
  <si>
    <t>$0s</t>
  </si>
  <si>
    <t>COMMERCIAL/INDUSTRIAL</t>
  </si>
  <si>
    <t>Distribution substations installed (0's)</t>
  </si>
  <si>
    <t>Distribution substation installed (total spend ($0's)</t>
  </si>
  <si>
    <t>SUBDIVISION</t>
  </si>
  <si>
    <t>Cost per lot ($)</t>
  </si>
  <si>
    <t>EMBEDDED GENERATION</t>
  </si>
  <si>
    <t>VOLUMES AND EXPENDITURE - STANDARD CONTROL SERVICES</t>
  </si>
  <si>
    <t>2.5.2 - COST METRICS BY CONNECTION CLASSIFICATION</t>
  </si>
  <si>
    <t>EXPENDITURE - ALL</t>
  </si>
  <si>
    <t>EXPENDITURE
($0's)</t>
  </si>
  <si>
    <t>Simple connection LV</t>
  </si>
  <si>
    <t>Complex connection LV</t>
  </si>
  <si>
    <t>Complex connection HV</t>
  </si>
  <si>
    <t>Complex connection HV (customer connected at LV, minor HV works)</t>
  </si>
  <si>
    <t>Complex connection HV (customer connected at LV, upstream asset works)</t>
  </si>
  <si>
    <t>Complex connection HV (customer connected at HV)</t>
  </si>
  <si>
    <t>Complex connection sub-transmission</t>
  </si>
  <si>
    <t>Complex connection HV (no upstream asset works)</t>
  </si>
  <si>
    <t>Complex connection HV (with upstream asset works)</t>
  </si>
  <si>
    <t>Complex connection HV (small capacity)</t>
  </si>
  <si>
    <t>Complex connection HV (large capacity)</t>
  </si>
  <si>
    <t>EXPENDITURE - STANDARD CONTROL SERVICES</t>
  </si>
  <si>
    <t>EXPENDITURE - STANDARD CONTROL SERVICES - CAPITAL CONTRIBUTIONS</t>
  </si>
  <si>
    <t>2.5.3 - VOLUMES BY CONNECTION CLASSIFICATION</t>
  </si>
  <si>
    <t>NEW CONNECTIONS - ALL</t>
  </si>
  <si>
    <t>VOLUMES
(0's)</t>
  </si>
  <si>
    <t>NEW CONNECTIONS - STANDARD CONTROL SERVICES</t>
  </si>
  <si>
    <t>EXISTING CONNECTIONS</t>
  </si>
  <si>
    <t>Ref.</t>
  </si>
  <si>
    <t>Regulatory Asset Class</t>
  </si>
  <si>
    <t>Basis</t>
  </si>
  <si>
    <t>Timing</t>
  </si>
  <si>
    <t>Dollars</t>
  </si>
  <si>
    <t>Forecast volumes</t>
  </si>
  <si>
    <t>Per cent</t>
  </si>
  <si>
    <t>Nominal</t>
  </si>
  <si>
    <t>Customer Class</t>
  </si>
  <si>
    <t>Connection Type</t>
  </si>
  <si>
    <t>Number</t>
  </si>
  <si>
    <t>Unit rate</t>
  </si>
  <si>
    <t>End</t>
  </si>
  <si>
    <t>Gifted Assets Forecasts</t>
  </si>
  <si>
    <t>Outputs</t>
  </si>
  <si>
    <r>
      <t xml:space="preserve">There are </t>
    </r>
    <r>
      <rPr>
        <b/>
        <sz val="11"/>
        <color rgb="FFFF0000"/>
        <rFont val="Calibri"/>
        <family val="2"/>
        <scheme val="minor"/>
      </rPr>
      <t>THREE</t>
    </r>
    <r>
      <rPr>
        <sz val="11"/>
        <color theme="1"/>
        <rFont val="Calibri"/>
        <family val="2"/>
        <scheme val="minor"/>
      </rPr>
      <t xml:space="preserve"> tables on this worksheet - each has been 'grouped' (and sub-grouped) for easy navigation. See the </t>
    </r>
    <r>
      <rPr>
        <i/>
        <sz val="11"/>
        <color theme="1"/>
        <rFont val="Calibri"/>
        <family val="2"/>
        <scheme val="minor"/>
      </rPr>
      <t>Instructions</t>
    </r>
    <r>
      <rPr>
        <sz val="11"/>
        <color theme="1"/>
        <rFont val="Calibri"/>
        <family val="2"/>
        <scheme val="minor"/>
      </rPr>
      <t xml:space="preserve"> sheet on how to group or ungroup tables. </t>
    </r>
  </si>
  <si>
    <t>Gifted assets - Total</t>
  </si>
  <si>
    <t>Check</t>
  </si>
  <si>
    <t>Source</t>
  </si>
  <si>
    <t>RAB Asset Class</t>
  </si>
  <si>
    <t>Cash contributions - Total</t>
  </si>
  <si>
    <t>Cash Contribution Forecasts</t>
  </si>
  <si>
    <t>Assumption</t>
  </si>
  <si>
    <t>Ratio of cash contributions to net connection capex</t>
  </si>
  <si>
    <t>Assumptions</t>
  </si>
  <si>
    <t>2017-18</t>
  </si>
  <si>
    <t>CATEGORY ANALYSIS  2008-09 to 2017-18</t>
  </si>
  <si>
    <t>Model Lookup Tables</t>
  </si>
  <si>
    <t>Model Timing Assumptions</t>
  </si>
  <si>
    <t>Period Titles</t>
  </si>
  <si>
    <t>Financial year</t>
  </si>
  <si>
    <t>Financial year label</t>
  </si>
  <si>
    <t>Period heading</t>
  </si>
  <si>
    <t>Period type</t>
  </si>
  <si>
    <t>Estimate</t>
  </si>
  <si>
    <t>Forecast</t>
  </si>
  <si>
    <t>Unit / Dollar Basis / Timing</t>
  </si>
  <si>
    <t>Input Unit</t>
  </si>
  <si>
    <t>$Millions</t>
  </si>
  <si>
    <t>Input Dollar Basis</t>
  </si>
  <si>
    <t>Real $2021</t>
  </si>
  <si>
    <t>Output Dollar Basis</t>
  </si>
  <si>
    <t>Real $2024</t>
  </si>
  <si>
    <t>Input Timing</t>
  </si>
  <si>
    <t>Mid Period</t>
  </si>
  <si>
    <t>Output Timing</t>
  </si>
  <si>
    <t>End of Period</t>
  </si>
  <si>
    <t>Classification of Capex</t>
  </si>
  <si>
    <t>Capex Purpose</t>
  </si>
  <si>
    <t>Augex</t>
  </si>
  <si>
    <t>Repex</t>
  </si>
  <si>
    <t>Connections</t>
  </si>
  <si>
    <t>Non-Network</t>
  </si>
  <si>
    <t>IT</t>
  </si>
  <si>
    <t>Escalation</t>
  </si>
  <si>
    <t>Capitalised OH</t>
  </si>
  <si>
    <t>Metering</t>
  </si>
  <si>
    <t>RAB Asset Classes - SCS</t>
  </si>
  <si>
    <t>Property Leases</t>
  </si>
  <si>
    <t>Fleet Leases</t>
  </si>
  <si>
    <t>Buildings</t>
  </si>
  <si>
    <t>In-house Software</t>
  </si>
  <si>
    <t>RAB Asset Classes - ACS Metering</t>
  </si>
  <si>
    <t>Mechanical Meters</t>
  </si>
  <si>
    <t>Electronic Meters</t>
  </si>
  <si>
    <t>Metering Communications</t>
  </si>
  <si>
    <t>Metering Non Network Other</t>
  </si>
  <si>
    <t>Metering Non Network IT and Communications</t>
  </si>
  <si>
    <t>Fleet leases</t>
  </si>
  <si>
    <t>Total Gross Capex</t>
  </si>
  <si>
    <t>Total Capital Contributions</t>
  </si>
  <si>
    <t>Calculation - SCS - Cash Contributions</t>
  </si>
  <si>
    <t>Total Cash Contributions</t>
  </si>
  <si>
    <t>Output - SCS - Gross connection expenditure</t>
  </si>
  <si>
    <t>Direct costs (excluding overheads and escalation) by RAB asset class</t>
  </si>
  <si>
    <t>Various</t>
  </si>
  <si>
    <t>Calculated</t>
  </si>
  <si>
    <t>Output - SCS - Capital contributions (Cash contributions + Gifted assets)</t>
  </si>
  <si>
    <t>Total Gifted Assets</t>
  </si>
  <si>
    <t>Input - SCS - Gifted Assets</t>
  </si>
  <si>
    <t>RAB asset class allocation</t>
  </si>
  <si>
    <t>Direct costs (excluding overheads and escalation) by RIN category</t>
  </si>
  <si>
    <t>Applied Unit Rate</t>
  </si>
  <si>
    <t>2018-19</t>
  </si>
  <si>
    <t>2019-20</t>
  </si>
  <si>
    <t>2020-21</t>
  </si>
  <si>
    <t>2021-22</t>
  </si>
  <si>
    <t>Actual Reported Gifted Assets</t>
  </si>
  <si>
    <t>Inputs - Nominal Dollars</t>
  </si>
  <si>
    <t>Calculation - Real 2021 Dollars</t>
  </si>
  <si>
    <t>Item</t>
  </si>
  <si>
    <t>Percent</t>
  </si>
  <si>
    <t>Factor</t>
  </si>
  <si>
    <t>Nominal Mid to Real 2021 End</t>
  </si>
  <si>
    <t>Unlagged Index</t>
  </si>
  <si>
    <t>ABS</t>
  </si>
  <si>
    <t>Model Developer:</t>
  </si>
  <si>
    <t>PWC</t>
  </si>
  <si>
    <t>Purpose of the Model:</t>
  </si>
  <si>
    <t>The purpose of this model is to provide capex outputs which are required as part of the Power and Water Corporation - Determination 2024-29.</t>
  </si>
  <si>
    <t>Model Legend:</t>
  </si>
  <si>
    <t>Cells containing assumptions intended to be manipulated by model users</t>
  </si>
  <si>
    <t>Drop Down</t>
  </si>
  <si>
    <t>Cells containing a drop down list for users to select inputs</t>
  </si>
  <si>
    <t>Input</t>
  </si>
  <si>
    <t>Cells containing input texts/numbers NOT intended to be changed by model users</t>
  </si>
  <si>
    <t>Output</t>
  </si>
  <si>
    <t>Cells containing formulae NOT intended to be changed by model users</t>
  </si>
  <si>
    <t>Heading 1</t>
  </si>
  <si>
    <t>Level 1 heading NOT intended to be changed by model users</t>
  </si>
  <si>
    <t>Heading 2</t>
  </si>
  <si>
    <t>Level 2 heading NOT intended to be changed by model users</t>
  </si>
  <si>
    <t>Cells where inputs or outputs are not applicable</t>
  </si>
  <si>
    <t>Hyperlink</t>
  </si>
  <si>
    <t>Cells containing a hyperlink to another part of the workbook</t>
  </si>
  <si>
    <t>Cells representing there is an error in the nominated area of the workbook</t>
  </si>
  <si>
    <t>Cells representing there are no errors in the nominated area of the workbook</t>
  </si>
  <si>
    <t>Disclaimer:</t>
  </si>
  <si>
    <t>This model is confidential information of, and is owned by, Power and Water Corporation ABN 15 947 352 360 (PWC).  It may not be disclosed to, or used or relied on by, any person without the consent of PWC.
PWC has not verified the inputs or the outputs of this model and makes no representation or warranty as to the completeness, accuracy, reliability or appropriateness of the model, its inputs and outputs (including any forward looking statements) or how it functions.  To the extent permitted by law, any person using or relying on this model or its outputs does so at their own risk and agrees that PWC will not be liable to any person for any loss or damage of any kind arising out of or in any way connected with the use of this model (including negligence).   The references to PWC in this disclaimer includes their respective directors, officers, employees, contractors, advisers or agents.</t>
  </si>
  <si>
    <t>Table of Contents</t>
  </si>
  <si>
    <t>Inputs &amp; Admin</t>
  </si>
  <si>
    <t>Actual</t>
  </si>
  <si>
    <t>NB: recent AER practice is to exclude gifted assets</t>
  </si>
  <si>
    <t>No</t>
  </si>
  <si>
    <t xml:space="preserve">Forecast connection capex </t>
  </si>
  <si>
    <t>Yes</t>
  </si>
  <si>
    <t>Forecast capital contributions</t>
  </si>
  <si>
    <t>Include gifted assets in 2024-29</t>
  </si>
  <si>
    <t>Include gifted assets from 2021-24</t>
  </si>
  <si>
    <t>Total annual direct costs excl. type 2 capcons, unescalated (note: please include type 1 capital contributions as defined in table 24 and rebates where applicable)</t>
  </si>
  <si>
    <t>Total annual type 1 capital contributions, direct costs, unescalated (note: see table 24 for definitions of type 1 and 2 capcons)</t>
  </si>
  <si>
    <t>NOTE: fill in table only if you select 'DNSP defined' overhead allocation in table 35</t>
  </si>
  <si>
    <t>13. Project Details</t>
  </si>
  <si>
    <t>14. RIN and optional DNSP mapping categories</t>
  </si>
  <si>
    <t xml:space="preserve">17. Cost components as % of direct costs </t>
  </si>
  <si>
    <t>18. Capitalised overheads allocation</t>
  </si>
  <si>
    <t>19. Allocation of capitalised overheads - DNSP defined</t>
  </si>
  <si>
    <t>20. AER categories as % of direct costs (i.e. total costs reported in table 15, excluding capitalised overheads)</t>
  </si>
  <si>
    <t>21. PTRM asset classes as % of direct costs (i.e. total costs reported in table 15, excluding capitalised overheads)</t>
  </si>
  <si>
    <t>Workings</t>
  </si>
  <si>
    <t>% of total capitalised overheads allocated to project:</t>
  </si>
  <si>
    <t>Dx</t>
  </si>
  <si>
    <t>Ref</t>
  </si>
  <si>
    <t>Project / Program Name / Description</t>
  </si>
  <si>
    <t>Unique ID</t>
  </si>
  <si>
    <t>RIN categories</t>
  </si>
  <si>
    <t>DNSP category (free-fill)</t>
  </si>
  <si>
    <t>2022-23</t>
  </si>
  <si>
    <t>2023-24</t>
  </si>
  <si>
    <t>2024-25</t>
  </si>
  <si>
    <t>2025-26</t>
  </si>
  <si>
    <t>2026-27</t>
  </si>
  <si>
    <t>2027-28</t>
  </si>
  <si>
    <t>2028-29</t>
  </si>
  <si>
    <t>Internal labour</t>
  </si>
  <si>
    <t>Contract labour</t>
  </si>
  <si>
    <t>Non-labour</t>
  </si>
  <si>
    <t>Network Overheads Applies</t>
  </si>
  <si>
    <t>Corporate Overheads Applies</t>
  </si>
  <si>
    <t>% of total network overheads</t>
  </si>
  <si>
    <t>% of total corporate overheads</t>
  </si>
  <si>
    <t>Replacement</t>
  </si>
  <si>
    <t>DER capex</t>
  </si>
  <si>
    <t>Augmentation</t>
  </si>
  <si>
    <t>ICT capex</t>
  </si>
  <si>
    <t>Property capex</t>
  </si>
  <si>
    <t>Fleet capex</t>
  </si>
  <si>
    <t>Other non-network capex</t>
  </si>
  <si>
    <t/>
  </si>
  <si>
    <t>in-house software</t>
  </si>
  <si>
    <t>Equity raising costs</t>
  </si>
  <si>
    <t>Active Project</t>
  </si>
  <si>
    <t>Project Type</t>
  </si>
  <si>
    <t>Unallocated</t>
  </si>
  <si>
    <t>Non-network capex</t>
  </si>
  <si>
    <t>Capitalised network overheads</t>
  </si>
  <si>
    <t>Capitalised corporate overheads</t>
  </si>
  <si>
    <t>PWC Mapping</t>
  </si>
  <si>
    <t>[Network mapping 1]</t>
  </si>
  <si>
    <t>[Network mapping 2]</t>
  </si>
  <si>
    <t>[Network mapping 3]</t>
  </si>
  <si>
    <t>[Network mapping 4]</t>
  </si>
  <si>
    <t>[Network mapping 5]</t>
  </si>
  <si>
    <t>[Network mapping 6]</t>
  </si>
  <si>
    <t>[Network mapping 7]</t>
  </si>
  <si>
    <t>[Non Network mapping 1]</t>
  </si>
  <si>
    <t>[Non Network mapping 2]</t>
  </si>
  <si>
    <t>[Non Network mapping 3]</t>
  </si>
  <si>
    <t>[Non Network mapping 4]</t>
  </si>
  <si>
    <t>[Non Network mapping 5]</t>
  </si>
  <si>
    <t>[Non Network mapping 6]</t>
  </si>
  <si>
    <t>Export - AER Capex Forecast Model - Connection Projects</t>
  </si>
  <si>
    <t>C-BNI-01</t>
  </si>
  <si>
    <t>C-BNI-02</t>
  </si>
  <si>
    <t>C-BNI-03</t>
  </si>
  <si>
    <t>C-BNI-04</t>
  </si>
  <si>
    <t>C-BNI-05</t>
  </si>
  <si>
    <t>C-BNI-06</t>
  </si>
  <si>
    <t>C-BNI-07</t>
  </si>
  <si>
    <t>C-BNI-08</t>
  </si>
  <si>
    <t>C-BNI-09</t>
  </si>
  <si>
    <t>C-BNI-10</t>
  </si>
  <si>
    <t>C-BNI-11</t>
  </si>
  <si>
    <t>C-BNI-12</t>
  </si>
  <si>
    <t>C-BNI-13</t>
  </si>
  <si>
    <t>C-BNI-14</t>
  </si>
  <si>
    <t>24. Forecast type 2 capital contributions ($'000s 2020-21 June)</t>
  </si>
  <si>
    <t xml:space="preserve">Forecast type 2 capcons by RIN category: </t>
  </si>
  <si>
    <t>Total type 2 capital contributions</t>
  </si>
  <si>
    <t>16. Type 1 capital contributions included in table 15 ($'000s 2021-22 June)</t>
  </si>
  <si>
    <t>15. Unescalated direct costs (excluding type 2 capital contributions) ($'000s 2021-22 June)</t>
  </si>
  <si>
    <t>NB: Set to be consistent with the allowance for the current period which included gifted assets when rolling forward the TAB</t>
  </si>
  <si>
    <t>Power and Water Corporation (PWC)</t>
  </si>
  <si>
    <t>Connection Capex Forecast Model</t>
  </si>
  <si>
    <t>Cash contributions</t>
  </si>
  <si>
    <t>Gifted assets</t>
  </si>
  <si>
    <t>Calculations (SCS)</t>
  </si>
  <si>
    <t>Calculations (ACS)</t>
  </si>
  <si>
    <t>Not Applicable</t>
  </si>
  <si>
    <t>Direct costs (excluding overheads and escalation) by RIN categories</t>
  </si>
  <si>
    <t>Calculation - SCS - PWC Connection Expenditure</t>
  </si>
  <si>
    <t>PWC Connection Capex Forecasts</t>
  </si>
  <si>
    <t>Calculation - ACS - PWC Connection Expenditure</t>
  </si>
  <si>
    <t>PWC Connection Expenditure Forecasts</t>
  </si>
  <si>
    <t>Cash Contributions</t>
  </si>
  <si>
    <t>PWC Connection capex</t>
  </si>
  <si>
    <t>Net connection capex (SCS)</t>
  </si>
  <si>
    <t>Cash contributions (SCS)</t>
  </si>
  <si>
    <t>Note 1: There are no gifted assets for ACS Metering Services</t>
  </si>
  <si>
    <t>Contribution Rate | 2024-29 period</t>
  </si>
  <si>
    <t>◄ Generator connections set to zero</t>
  </si>
  <si>
    <t>Output - Reset RIN</t>
  </si>
  <si>
    <t>Summary of model checks</t>
  </si>
  <si>
    <t>Model title message</t>
  </si>
  <si>
    <t>Error message</t>
  </si>
  <si>
    <t>Alert message</t>
  </si>
  <si>
    <t>Model message</t>
  </si>
  <si>
    <t>Model checks</t>
  </si>
  <si>
    <t>Error checks</t>
  </si>
  <si>
    <t>Total errors</t>
  </si>
  <si>
    <t>Inflation Rate [EoP, June to 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</si>
</sst>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00_);_(&quot;$&quot;* \(#,##0.00\);_(&quot;$&quot;* &quot;-&quot;??_);_(@_)"/>
    <numFmt numFmtId="165" formatCode="_-* #,##0_-;[Red]\(#,##0\)_-;_-* &quot;-&quot;??_-;_-@_-"/>
    <numFmt numFmtId="166" formatCode="[Red]\●;[Red]\●;[Color10]\●"/>
    <numFmt numFmtId="167" formatCode="_(#,##0.0_);\(#,##0.0\);_(&quot;-&quot;_)"/>
    <numFmt numFmtId="168" formatCode="_(#,##0_);\(#,##0\);_(&quot;-&quot;_)"/>
    <numFmt numFmtId="169" formatCode="_(#,##0.0%_);\(#,##0.0%\);_(&quot;-&quot;_)"/>
    <numFmt numFmtId="170" formatCode="_(#,##0.00%_);\(#,##0.00%\);_(&quot;-&quot;_)"/>
    <numFmt numFmtId="171" formatCode="_(###0_);\(###0\);_(&quot;-&quot;_)"/>
    <numFmt numFmtId="172" formatCode="_(#,##0.0000_);\(#,##0.0000\);_(&quot;-&quot;_)"/>
    <numFmt numFmtId="173" formatCode="_(#,##0_);_(#,##0_);_(&quot;-&quot;_)"/>
    <numFmt numFmtId="174" formatCode="_-* #,##0_-;\-* #,##0_-;_-* &quot;-&quot;??_-;_-@_-"/>
    <numFmt numFmtId="175" formatCode="_(#,##0.00%_);_(#,##0.00%_);_(&quot;-&quot;_)"/>
    <numFmt numFmtId="176" formatCode="0.0"/>
  </numFmts>
  <fonts count="57" x14ac:knownFonts="1">
    <font>
      <sz val="11"/>
      <color theme="1"/>
      <name val="Calibri"/>
      <family val="2"/>
      <scheme val="minor"/>
    </font>
    <font>
      <sz val="11"/>
      <color theme="1"/>
      <name val="Calibri"/>
      <family val="2"/>
      <scheme val="minor"/>
    </font>
    <font>
      <i/>
      <sz val="11"/>
      <color theme="1"/>
      <name val="Calibri"/>
      <family val="2"/>
      <scheme val="minor"/>
    </font>
    <font>
      <sz val="10"/>
      <name val="Arial"/>
      <family val="2"/>
    </font>
    <font>
      <sz val="72"/>
      <color theme="0"/>
      <name val="Calibri"/>
      <family val="2"/>
      <scheme val="minor"/>
    </font>
    <font>
      <b/>
      <sz val="16"/>
      <color rgb="FFFFFFFF"/>
      <name val="Arial"/>
      <family val="2"/>
    </font>
    <font>
      <b/>
      <sz val="11"/>
      <color rgb="FFFF0000"/>
      <name val="Calibri"/>
      <family val="2"/>
      <scheme val="minor"/>
    </font>
    <font>
      <b/>
      <sz val="12"/>
      <color rgb="FFFFFFFF"/>
      <name val="Calibri"/>
      <family val="2"/>
      <scheme val="minor"/>
    </font>
    <font>
      <sz val="11"/>
      <color theme="1"/>
      <name val="Arial"/>
      <family val="2"/>
    </font>
    <font>
      <sz val="8"/>
      <name val="Helvetica"/>
      <family val="2"/>
    </font>
    <font>
      <b/>
      <sz val="15"/>
      <color theme="4"/>
      <name val="Helvetica"/>
      <family val="2"/>
    </font>
    <font>
      <sz val="8"/>
      <color rgb="FFFF0066"/>
      <name val="Helvetica"/>
      <family val="2"/>
    </font>
    <font>
      <b/>
      <sz val="12"/>
      <color theme="0"/>
      <name val="Helvetica"/>
      <family val="2"/>
    </font>
    <font>
      <b/>
      <sz val="11"/>
      <color theme="4"/>
      <name val="Helvetica"/>
      <family val="2"/>
    </font>
    <font>
      <b/>
      <sz val="10"/>
      <name val="Helvetica"/>
      <family val="2"/>
    </font>
    <font>
      <sz val="10"/>
      <color theme="1"/>
      <name val="Helvetica"/>
      <family val="2"/>
    </font>
    <font>
      <sz val="10"/>
      <color theme="4"/>
      <name val="Helvetica"/>
      <family val="2"/>
    </font>
    <font>
      <b/>
      <sz val="10"/>
      <color theme="1"/>
      <name val="Helvetica"/>
    </font>
    <font>
      <sz val="10"/>
      <name val="Arial"/>
      <family val="2"/>
    </font>
    <font>
      <b/>
      <sz val="16"/>
      <color indexed="9"/>
      <name val="Arial"/>
      <family val="2"/>
    </font>
    <font>
      <sz val="11"/>
      <color theme="1"/>
      <name val="Calibri"/>
      <family val="2"/>
      <scheme val="minor"/>
    </font>
    <font>
      <b/>
      <sz val="16"/>
      <color rgb="FFFFFFFF"/>
      <name val="Arial"/>
      <family val="2"/>
    </font>
    <font>
      <sz val="11"/>
      <color theme="0"/>
      <name val="Calibri"/>
      <family val="2"/>
      <scheme val="minor"/>
    </font>
    <font>
      <sz val="11"/>
      <name val="Calibri"/>
      <family val="2"/>
      <scheme val="minor"/>
    </font>
    <font>
      <sz val="10"/>
      <name val="Calibri"/>
      <family val="2"/>
      <scheme val="minor"/>
    </font>
    <font>
      <b/>
      <sz val="16"/>
      <color rgb="FFFFFFFF"/>
      <name val="Calibri"/>
      <family val="2"/>
      <scheme val="minor"/>
    </font>
    <font>
      <b/>
      <sz val="12"/>
      <color rgb="FFFFFFFF"/>
      <name val="Calibri"/>
      <family val="2"/>
      <scheme val="minor"/>
    </font>
    <font>
      <b/>
      <sz val="16"/>
      <name val="Calibri"/>
      <family val="2"/>
      <scheme val="minor"/>
    </font>
    <font>
      <b/>
      <sz val="10"/>
      <name val="Arial"/>
      <family val="2"/>
    </font>
    <font>
      <b/>
      <sz val="10"/>
      <name val="Calibri"/>
      <family val="2"/>
      <scheme val="minor"/>
    </font>
    <font>
      <b/>
      <sz val="11"/>
      <name val="Arial"/>
      <family val="2"/>
    </font>
    <font>
      <sz val="10"/>
      <color theme="0"/>
      <name val="Arial"/>
      <family val="2"/>
    </font>
    <font>
      <sz val="11"/>
      <color theme="1"/>
      <name val="Arial"/>
      <family val="2"/>
    </font>
    <font>
      <sz val="8"/>
      <name val="Helvetica"/>
      <family val="2"/>
    </font>
    <font>
      <b/>
      <sz val="15"/>
      <color theme="4"/>
      <name val="Helvetica"/>
      <family val="2"/>
    </font>
    <font>
      <sz val="8"/>
      <color rgb="FFFF0066"/>
      <name val="Helvetica"/>
      <family val="2"/>
    </font>
    <font>
      <b/>
      <sz val="12"/>
      <color theme="0"/>
      <name val="Helvetica"/>
      <family val="2"/>
    </font>
    <font>
      <b/>
      <sz val="11"/>
      <color theme="4"/>
      <name val="Helvetica"/>
      <family val="2"/>
    </font>
    <font>
      <b/>
      <sz val="10"/>
      <name val="Helvetica"/>
      <family val="2"/>
    </font>
    <font>
      <sz val="10"/>
      <color theme="1"/>
      <name val="Helvetica"/>
      <family val="2"/>
    </font>
    <font>
      <sz val="10"/>
      <color theme="4"/>
      <name val="Helvetica"/>
      <family val="2"/>
    </font>
    <font>
      <b/>
      <sz val="10"/>
      <color theme="1"/>
      <name val="Helvetica"/>
    </font>
    <font>
      <sz val="10"/>
      <name val="Helvetica"/>
    </font>
    <font>
      <i/>
      <sz val="8"/>
      <color rgb="FF92D050"/>
      <name val="Helvetica"/>
      <family val="2"/>
    </font>
    <font>
      <i/>
      <sz val="8"/>
      <color theme="6" tint="0.39994506668294322"/>
      <name val="Helvetica"/>
      <family val="2"/>
    </font>
    <font>
      <b/>
      <sz val="10"/>
      <color theme="4"/>
      <name val="Helvetica"/>
      <family val="2"/>
    </font>
    <font>
      <b/>
      <sz val="8"/>
      <color theme="0"/>
      <name val="Helvetica"/>
      <family val="2"/>
    </font>
    <font>
      <b/>
      <sz val="8"/>
      <color theme="4"/>
      <name val="Helvetica"/>
      <family val="2"/>
    </font>
    <font>
      <u/>
      <sz val="8"/>
      <color theme="10"/>
      <name val="Helvetica"/>
      <family val="2"/>
    </font>
    <font>
      <sz val="8"/>
      <name val="Calibri"/>
      <family val="2"/>
      <scheme val="minor"/>
    </font>
    <font>
      <b/>
      <sz val="10"/>
      <color theme="1"/>
      <name val="Arial"/>
      <family val="2"/>
    </font>
    <font>
      <i/>
      <sz val="8"/>
      <name val="Arial"/>
      <family val="2"/>
    </font>
    <font>
      <b/>
      <sz val="9"/>
      <color rgb="FFFFFF00"/>
      <name val="Arial"/>
      <family val="2"/>
    </font>
    <font>
      <b/>
      <sz val="11"/>
      <color theme="0"/>
      <name val="Arial"/>
      <family val="2"/>
    </font>
    <font>
      <b/>
      <sz val="10"/>
      <color theme="0"/>
      <name val="Arial"/>
      <family val="2"/>
    </font>
    <font>
      <i/>
      <sz val="10"/>
      <name val="Arial"/>
      <family val="2"/>
    </font>
    <font>
      <b/>
      <sz val="8"/>
      <name val="Arial"/>
      <family val="2"/>
    </font>
  </fonts>
  <fills count="23">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indexed="8"/>
        <bgColor indexed="64"/>
      </patternFill>
    </fill>
    <fill>
      <patternFill patternType="solid">
        <fgColor rgb="FF808080"/>
        <bgColor rgb="FF000000"/>
      </patternFill>
    </fill>
    <fill>
      <patternFill patternType="solid">
        <fgColor theme="9" tint="0.79998168889431442"/>
        <bgColor indexed="64"/>
      </patternFill>
    </fill>
    <fill>
      <patternFill patternType="solid">
        <fgColor rgb="FF000000"/>
        <bgColor rgb="FF000000"/>
      </patternFill>
    </fill>
    <fill>
      <patternFill patternType="solid">
        <fgColor theme="0" tint="-0.34998626667073579"/>
        <bgColor rgb="FF000000"/>
      </patternFill>
    </fill>
    <fill>
      <patternFill patternType="solid">
        <fgColor theme="0" tint="-0.14999847407452621"/>
        <bgColor indexed="64"/>
      </patternFill>
    </fill>
    <fill>
      <patternFill patternType="solid">
        <fgColor rgb="FFFFFFCC"/>
        <bgColor indexed="64"/>
      </patternFill>
    </fill>
    <fill>
      <patternFill patternType="solid">
        <fgColor rgb="FFD9D9D9"/>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4"/>
        <bgColor indexed="64"/>
      </patternFill>
    </fill>
    <fill>
      <patternFill patternType="solid">
        <fgColor theme="6" tint="0.39994506668294322"/>
        <bgColor indexed="64"/>
      </patternFill>
    </fill>
    <fill>
      <patternFill patternType="solid">
        <fgColor theme="4" tint="0.79998168889431442"/>
        <bgColor indexed="64"/>
      </patternFill>
    </fill>
    <fill>
      <patternFill patternType="lightUp"/>
    </fill>
    <fill>
      <patternFill patternType="solid">
        <fgColor theme="6" tint="0.59996337778862885"/>
        <bgColor indexed="64"/>
      </patternFill>
    </fill>
    <fill>
      <patternFill patternType="solid">
        <fgColor theme="9" tint="-0.499984740745262"/>
        <bgColor indexed="64"/>
      </patternFill>
    </fill>
    <fill>
      <patternFill patternType="solid">
        <fgColor rgb="FFC4D79B"/>
        <bgColor indexed="64"/>
      </patternFill>
    </fill>
    <fill>
      <patternFill patternType="solid">
        <fgColor theme="9" tint="-0.249977111117893"/>
        <bgColor indexed="64"/>
      </patternFill>
    </fill>
    <fill>
      <patternFill patternType="solid">
        <fgColor theme="7"/>
        <bgColor indexed="64"/>
      </patternFill>
    </fill>
  </fills>
  <borders count="103">
    <border>
      <left/>
      <right/>
      <top/>
      <bottom/>
      <diagonal/>
    </border>
    <border>
      <left/>
      <right/>
      <top style="thin">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auto="1"/>
      </right>
      <top style="medium">
        <color auto="1"/>
      </top>
      <bottom/>
      <diagonal/>
    </border>
    <border>
      <left style="medium">
        <color indexed="64"/>
      </left>
      <right/>
      <top/>
      <bottom/>
      <diagonal/>
    </border>
    <border>
      <left/>
      <right style="medium">
        <color indexed="64"/>
      </right>
      <top/>
      <bottom style="medium">
        <color indexed="64"/>
      </bottom>
      <diagonal/>
    </border>
    <border>
      <left style="medium">
        <color auto="1"/>
      </left>
      <right style="thin">
        <color theme="0" tint="-0.24994659260841701"/>
      </right>
      <top style="medium">
        <color auto="1"/>
      </top>
      <bottom style="medium">
        <color indexed="64"/>
      </bottom>
      <diagonal/>
    </border>
    <border>
      <left style="thin">
        <color theme="0" tint="-0.24994659260841701"/>
      </left>
      <right style="thin">
        <color theme="0" tint="-0.24994659260841701"/>
      </right>
      <top style="medium">
        <color auto="1"/>
      </top>
      <bottom style="medium">
        <color indexed="64"/>
      </bottom>
      <diagonal/>
    </border>
    <border>
      <left style="thin">
        <color theme="0" tint="-0.24994659260841701"/>
      </left>
      <right/>
      <top style="medium">
        <color auto="1"/>
      </top>
      <bottom style="medium">
        <color indexed="64"/>
      </bottom>
      <diagonal/>
    </border>
    <border>
      <left style="medium">
        <color indexed="64"/>
      </left>
      <right/>
      <top style="medium">
        <color indexed="64"/>
      </top>
      <bottom style="thin">
        <color theme="0" tint="-0.34998626667073579"/>
      </bottom>
      <diagonal/>
    </border>
    <border>
      <left style="medium">
        <color auto="1"/>
      </left>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34998626667073579"/>
      </top>
      <bottom style="thin">
        <color indexed="64"/>
      </bottom>
      <diagonal/>
    </border>
    <border>
      <left style="medium">
        <color auto="1"/>
      </left>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bottom style="thin">
        <color theme="0" tint="-0.34998626667073579"/>
      </bottom>
      <diagonal/>
    </border>
    <border>
      <left style="medium">
        <color auto="1"/>
      </left>
      <right/>
      <top/>
      <bottom style="thin">
        <color theme="0" tint="-0.24994659260841701"/>
      </bottom>
      <diagonal/>
    </border>
    <border>
      <left style="medium">
        <color auto="1"/>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medium">
        <color indexed="64"/>
      </right>
      <top style="thin">
        <color indexed="64"/>
      </top>
      <bottom style="thin">
        <color theme="0" tint="-0.24994659260841701"/>
      </bottom>
      <diagonal/>
    </border>
    <border>
      <left style="medium">
        <color indexed="64"/>
      </left>
      <right/>
      <top style="thin">
        <color theme="0" tint="-0.34998626667073579"/>
      </top>
      <bottom style="thin">
        <color theme="0" tint="-0.34998626667073579"/>
      </bottom>
      <diagonal/>
    </border>
    <border>
      <left style="medium">
        <color auto="1"/>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auto="1"/>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auto="1"/>
      </left>
      <right/>
      <top style="thin">
        <color theme="0" tint="-0.34998626667073579"/>
      </top>
      <bottom style="medium">
        <color auto="1"/>
      </bottom>
      <diagonal/>
    </border>
    <border>
      <left style="medium">
        <color auto="1"/>
      </left>
      <right/>
      <top style="thin">
        <color theme="0" tint="-0.24994659260841701"/>
      </top>
      <bottom style="medium">
        <color auto="1"/>
      </bottom>
      <diagonal/>
    </border>
    <border>
      <left style="medium">
        <color indexed="64"/>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auto="1"/>
      </left>
      <right style="medium">
        <color auto="1"/>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auto="1"/>
      </left>
      <right style="medium">
        <color auto="1"/>
      </right>
      <top style="thin">
        <color theme="0" tint="-0.34998626667073579"/>
      </top>
      <bottom/>
      <diagonal/>
    </border>
    <border>
      <left style="medium">
        <color indexed="64"/>
      </left>
      <right/>
      <top style="thin">
        <color theme="0" tint="-0.34998626667073579"/>
      </top>
      <bottom/>
      <diagonal/>
    </border>
    <border>
      <left style="medium">
        <color auto="1"/>
      </left>
      <right style="medium">
        <color auto="1"/>
      </right>
      <top style="thin">
        <color auto="1"/>
      </top>
      <bottom style="medium">
        <color auto="1"/>
      </bottom>
      <diagonal/>
    </border>
    <border>
      <left style="medium">
        <color indexed="64"/>
      </left>
      <right/>
      <top style="thin">
        <color indexed="64"/>
      </top>
      <bottom style="medium">
        <color auto="1"/>
      </bottom>
      <diagonal/>
    </border>
    <border>
      <left style="medium">
        <color auto="1"/>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medium">
        <color auto="1"/>
      </left>
      <right style="medium">
        <color indexed="64"/>
      </right>
      <top style="thin">
        <color theme="0" tint="-0.24994659260841701"/>
      </top>
      <bottom style="thin">
        <color indexed="64"/>
      </bottom>
      <diagonal/>
    </border>
    <border>
      <left style="medium">
        <color indexed="64"/>
      </left>
      <right style="medium">
        <color indexed="64"/>
      </right>
      <top style="thin">
        <color theme="0" tint="-0.34998626667073579"/>
      </top>
      <bottom style="medium">
        <color indexed="64"/>
      </bottom>
      <diagonal/>
    </border>
    <border>
      <left style="medium">
        <color indexed="64"/>
      </left>
      <right style="thin">
        <color theme="0" tint="-0.24994659260841701"/>
      </right>
      <top style="medium">
        <color indexed="64"/>
      </top>
      <bottom/>
      <diagonal/>
    </border>
    <border>
      <left style="thin">
        <color theme="0" tint="-0.24994659260841701"/>
      </left>
      <right style="thin">
        <color theme="0" tint="-0.24994659260841701"/>
      </right>
      <top style="medium">
        <color indexed="64"/>
      </top>
      <bottom/>
      <diagonal/>
    </border>
    <border>
      <left style="thin">
        <color theme="0" tint="-0.24994659260841701"/>
      </left>
      <right/>
      <top style="medium">
        <color auto="1"/>
      </top>
      <bottom/>
      <diagonal/>
    </border>
    <border>
      <left style="medium">
        <color auto="1"/>
      </left>
      <right/>
      <top style="medium">
        <color auto="1"/>
      </top>
      <bottom/>
      <diagonal/>
    </border>
    <border>
      <left/>
      <right/>
      <top style="medium">
        <color indexed="64"/>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style="thin">
        <color theme="0" tint="-0.34998626667073579"/>
      </top>
      <bottom style="medium">
        <color indexed="64"/>
      </bottom>
      <diagonal/>
    </border>
    <border>
      <left/>
      <right/>
      <top/>
      <bottom style="thin">
        <color theme="0" tint="-0.34998626667073579"/>
      </bottom>
      <diagonal/>
    </border>
    <border>
      <left/>
      <right style="thin">
        <color theme="0" tint="-0.24994659260841701"/>
      </right>
      <top style="medium">
        <color auto="1"/>
      </top>
      <bottom style="medium">
        <color auto="1"/>
      </bottom>
      <diagonal/>
    </border>
    <border>
      <left/>
      <right/>
      <top/>
      <bottom style="thin">
        <color auto="1"/>
      </bottom>
      <diagonal/>
    </border>
    <border>
      <left style="dotted">
        <color auto="1"/>
      </left>
      <right/>
      <top/>
      <bottom style="thin">
        <color auto="1"/>
      </bottom>
      <diagonal/>
    </border>
    <border>
      <left/>
      <right style="dotted">
        <color auto="1"/>
      </right>
      <top/>
      <bottom style="thin">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dotted">
        <color auto="1"/>
      </left>
      <right style="thin">
        <color theme="0"/>
      </right>
      <top style="thin">
        <color theme="0"/>
      </top>
      <bottom style="thin">
        <color theme="0"/>
      </bottom>
      <diagonal/>
    </border>
    <border>
      <left style="thin">
        <color theme="0"/>
      </left>
      <right style="dotted">
        <color auto="1"/>
      </right>
      <top style="thin">
        <color theme="0"/>
      </top>
      <bottom style="thin">
        <color theme="0"/>
      </bottom>
      <diagonal/>
    </border>
    <border>
      <left style="dotted">
        <color auto="1"/>
      </left>
      <right/>
      <top/>
      <bottom/>
      <diagonal/>
    </border>
    <border>
      <left/>
      <right style="dotted">
        <color auto="1"/>
      </right>
      <top/>
      <bottom/>
      <diagonal/>
    </border>
    <border>
      <left style="dotted">
        <color auto="1"/>
      </left>
      <right/>
      <top style="thin">
        <color auto="1"/>
      </top>
      <bottom/>
      <diagonal/>
    </border>
    <border>
      <left/>
      <right style="dotted">
        <color auto="1"/>
      </right>
      <top style="thin">
        <color auto="1"/>
      </top>
      <bottom/>
      <diagonal/>
    </border>
    <border>
      <left style="thin">
        <color theme="0" tint="-0.24994659260841701"/>
      </left>
      <right/>
      <top style="medium">
        <color auto="1"/>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style="thin">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theme="0" tint="-0.24994659260841701"/>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0"/>
      </bottom>
      <diagonal/>
    </border>
    <border>
      <left/>
      <right/>
      <top style="thin">
        <color theme="0"/>
      </top>
      <bottom/>
      <diagonal/>
    </border>
    <border>
      <left style="thin">
        <color theme="0"/>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28">
    <xf numFmtId="0" fontId="0" fillId="0" borderId="0"/>
    <xf numFmtId="0" fontId="3" fillId="0" borderId="0"/>
    <xf numFmtId="164" fontId="3"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5" fillId="5" borderId="0" applyAlignment="0">
      <alignment horizontal="left" vertical="center"/>
    </xf>
    <xf numFmtId="0" fontId="3" fillId="0" borderId="0"/>
    <xf numFmtId="0" fontId="7" fillId="7" borderId="0">
      <alignment vertical="center"/>
      <protection locked="0"/>
    </xf>
    <xf numFmtId="0" fontId="3" fillId="0" borderId="0"/>
    <xf numFmtId="165" fontId="8" fillId="10" borderId="20" applyFill="0" applyBorder="0">
      <alignment horizontal="right" indent="2"/>
      <protection locked="0"/>
    </xf>
    <xf numFmtId="166" fontId="9" fillId="0" borderId="0">
      <alignment horizontal="center" vertical="center"/>
    </xf>
    <xf numFmtId="0" fontId="10" fillId="0" borderId="0" applyFill="0" applyBorder="0">
      <alignment horizontal="left" vertical="center"/>
    </xf>
    <xf numFmtId="0" fontId="11" fillId="0" borderId="0"/>
    <xf numFmtId="0" fontId="12" fillId="14" borderId="0" applyBorder="0">
      <alignment horizontal="left" vertical="center"/>
    </xf>
    <xf numFmtId="0" fontId="13" fillId="15" borderId="0" applyBorder="0">
      <alignment horizontal="left" vertical="center"/>
    </xf>
    <xf numFmtId="0" fontId="14" fillId="0" borderId="0" applyFill="0" applyBorder="0">
      <alignment horizontal="left" vertical="center"/>
    </xf>
    <xf numFmtId="167" fontId="15" fillId="0" borderId="0" applyFill="0" applyBorder="0">
      <alignment horizontal="right" vertical="center"/>
    </xf>
    <xf numFmtId="0" fontId="16" fillId="16" borderId="76">
      <alignment horizontal="left" vertical="center"/>
      <protection locked="0"/>
    </xf>
    <xf numFmtId="0" fontId="15" fillId="0" borderId="0" applyFill="0" applyBorder="0">
      <alignment vertical="center"/>
    </xf>
    <xf numFmtId="167" fontId="16" fillId="16" borderId="76">
      <alignment horizontal="right" vertical="center"/>
      <protection locked="0"/>
    </xf>
    <xf numFmtId="169" fontId="15" fillId="0" borderId="0" applyFill="0" applyBorder="0">
      <alignment horizontal="right" vertical="center"/>
    </xf>
    <xf numFmtId="0" fontId="16" fillId="0" borderId="0" applyFill="0" applyBorder="0">
      <alignment horizontal="left" vertical="center"/>
    </xf>
    <xf numFmtId="0" fontId="45" fillId="0" borderId="0" applyFill="0" applyBorder="0">
      <alignment horizontal="left" vertical="center"/>
    </xf>
    <xf numFmtId="0" fontId="16" fillId="18" borderId="76">
      <alignment horizontal="center" vertical="center"/>
      <protection locked="0"/>
    </xf>
    <xf numFmtId="0" fontId="9" fillId="17" borderId="0"/>
    <xf numFmtId="0" fontId="48" fillId="0" borderId="0" applyNumberFormat="0" applyFill="0" applyBorder="0">
      <alignment horizontal="left" vertical="center"/>
    </xf>
    <xf numFmtId="169" fontId="16" fillId="16" borderId="76">
      <alignment horizontal="right" vertical="center"/>
      <protection locked="0"/>
    </xf>
  </cellStyleXfs>
  <cellXfs count="280">
    <xf numFmtId="0" fontId="0" fillId="0" borderId="0" xfId="0"/>
    <xf numFmtId="0" fontId="0" fillId="3" borderId="0" xfId="0" applyFill="1"/>
    <xf numFmtId="0" fontId="4" fillId="3" borderId="0" xfId="0" applyFont="1" applyFill="1"/>
    <xf numFmtId="166" fontId="9" fillId="0" borderId="0" xfId="11">
      <alignment horizontal="center" vertical="center"/>
    </xf>
    <xf numFmtId="0" fontId="10" fillId="0" borderId="0" xfId="12">
      <alignment horizontal="left" vertical="center"/>
    </xf>
    <xf numFmtId="0" fontId="11" fillId="0" borderId="0" xfId="13"/>
    <xf numFmtId="0" fontId="12" fillId="14" borderId="0" xfId="14">
      <alignment horizontal="left" vertical="center"/>
    </xf>
    <xf numFmtId="0" fontId="13" fillId="15" borderId="0" xfId="15">
      <alignment horizontal="left" vertical="center"/>
    </xf>
    <xf numFmtId="0" fontId="14" fillId="0" borderId="73" xfId="16" applyBorder="1" applyAlignment="1">
      <alignment horizontal="center" vertical="center"/>
    </xf>
    <xf numFmtId="0" fontId="14" fillId="0" borderId="73" xfId="16" applyBorder="1">
      <alignment horizontal="left" vertical="center"/>
    </xf>
    <xf numFmtId="0" fontId="14" fillId="0" borderId="73" xfId="16" applyBorder="1" applyAlignment="1">
      <alignment horizontal="center" vertical="center" wrapText="1"/>
    </xf>
    <xf numFmtId="0" fontId="14" fillId="0" borderId="74" xfId="16" applyBorder="1" applyAlignment="1">
      <alignment horizontal="center" vertical="center" wrapText="1"/>
    </xf>
    <xf numFmtId="0" fontId="14" fillId="0" borderId="75" xfId="16" applyBorder="1" applyAlignment="1">
      <alignment horizontal="center" vertical="center" wrapText="1"/>
    </xf>
    <xf numFmtId="168" fontId="15" fillId="0" borderId="0" xfId="17" applyNumberFormat="1" applyAlignment="1">
      <alignment horizontal="center" vertical="center"/>
    </xf>
    <xf numFmtId="0" fontId="15" fillId="0" borderId="0" xfId="19" applyFill="1" applyAlignment="1">
      <alignment horizontal="center" vertical="center"/>
    </xf>
    <xf numFmtId="0" fontId="11" fillId="0" borderId="80" xfId="13" applyBorder="1"/>
    <xf numFmtId="0" fontId="11" fillId="0" borderId="81" xfId="13" applyBorder="1"/>
    <xf numFmtId="0" fontId="14" fillId="0" borderId="1" xfId="16" applyFill="1" applyBorder="1" applyAlignment="1">
      <alignment horizontal="center" vertical="center"/>
    </xf>
    <xf numFmtId="167" fontId="17" fillId="0" borderId="1" xfId="17" applyFont="1" applyFill="1" applyBorder="1" applyAlignment="1">
      <alignment horizontal="center" vertical="center"/>
    </xf>
    <xf numFmtId="167" fontId="17" fillId="0" borderId="82" xfId="17" applyFont="1" applyFill="1" applyBorder="1" applyAlignment="1">
      <alignment horizontal="center" vertical="center"/>
    </xf>
    <xf numFmtId="167" fontId="17" fillId="0" borderId="83" xfId="17" applyFont="1" applyFill="1" applyBorder="1" applyAlignment="1">
      <alignment horizontal="center" vertical="center"/>
    </xf>
    <xf numFmtId="167" fontId="15" fillId="0" borderId="0" xfId="17" applyFill="1" applyAlignment="1">
      <alignment horizontal="center" vertical="center"/>
    </xf>
    <xf numFmtId="0" fontId="18" fillId="0" borderId="0" xfId="4" applyFont="1"/>
    <xf numFmtId="0" fontId="19" fillId="4" borderId="9" xfId="5" applyFont="1" applyFill="1" applyBorder="1" applyAlignment="1" applyProtection="1">
      <alignment vertical="center"/>
      <protection locked="0"/>
    </xf>
    <xf numFmtId="0" fontId="19" fillId="4" borderId="9" xfId="4" applyFont="1" applyFill="1" applyBorder="1" applyAlignment="1">
      <alignment vertical="center"/>
    </xf>
    <xf numFmtId="0" fontId="19" fillId="4" borderId="9" xfId="4" applyFont="1" applyFill="1" applyBorder="1" applyAlignment="1">
      <alignment horizontal="center" vertical="center"/>
    </xf>
    <xf numFmtId="0" fontId="20" fillId="0" borderId="0" xfId="0" applyFont="1"/>
    <xf numFmtId="0" fontId="19" fillId="4" borderId="0" xfId="5" applyFont="1" applyFill="1" applyAlignment="1">
      <alignment horizontal="left" vertical="center"/>
    </xf>
    <xf numFmtId="0" fontId="19" fillId="4" borderId="0" xfId="4" applyFont="1" applyFill="1" applyAlignment="1">
      <alignment horizontal="left" vertical="center"/>
    </xf>
    <xf numFmtId="0" fontId="19" fillId="4" borderId="0" xfId="4" applyFont="1" applyFill="1" applyAlignment="1">
      <alignment horizontal="center" vertical="center"/>
    </xf>
    <xf numFmtId="0" fontId="19" fillId="4" borderId="0" xfId="4" applyFont="1" applyFill="1" applyAlignment="1">
      <alignment vertical="center"/>
    </xf>
    <xf numFmtId="0" fontId="21" fillId="5" borderId="0" xfId="6" applyFont="1" applyAlignment="1">
      <alignment horizontal="left" vertical="center"/>
    </xf>
    <xf numFmtId="0" fontId="21" fillId="5" borderId="0" xfId="6" applyFont="1" applyAlignment="1">
      <alignment horizontal="center" vertical="center"/>
    </xf>
    <xf numFmtId="0" fontId="18" fillId="0" borderId="0" xfId="4" applyFont="1" applyAlignment="1">
      <alignment horizontal="center"/>
    </xf>
    <xf numFmtId="0" fontId="22" fillId="2" borderId="0" xfId="0" applyFont="1" applyFill="1"/>
    <xf numFmtId="0" fontId="24" fillId="2" borderId="0" xfId="7" applyFont="1" applyFill="1"/>
    <xf numFmtId="0" fontId="25" fillId="7" borderId="0" xfId="8" applyFont="1" applyProtection="1">
      <alignment vertical="center"/>
    </xf>
    <xf numFmtId="0" fontId="26" fillId="7" borderId="0" xfId="8" applyFont="1" applyProtection="1">
      <alignment vertical="center"/>
    </xf>
    <xf numFmtId="0" fontId="26" fillId="7" borderId="0" xfId="8" applyFont="1" applyAlignment="1" applyProtection="1">
      <alignment horizontal="center" vertical="center"/>
    </xf>
    <xf numFmtId="0" fontId="27" fillId="8" borderId="10" xfId="8" applyFont="1" applyFill="1" applyBorder="1" applyProtection="1">
      <alignment vertical="center"/>
    </xf>
    <xf numFmtId="0" fontId="26" fillId="8" borderId="11" xfId="8" applyFont="1" applyFill="1" applyBorder="1" applyProtection="1">
      <alignment vertical="center"/>
    </xf>
    <xf numFmtId="0" fontId="18" fillId="0" borderId="0" xfId="9" applyFont="1"/>
    <xf numFmtId="0" fontId="20" fillId="0" borderId="9" xfId="0" applyFont="1" applyBorder="1"/>
    <xf numFmtId="0" fontId="20" fillId="0" borderId="12" xfId="0" applyFont="1" applyBorder="1"/>
    <xf numFmtId="0" fontId="29" fillId="0" borderId="8" xfId="4" applyFont="1" applyBorder="1"/>
    <xf numFmtId="0" fontId="29" fillId="0" borderId="8" xfId="4" applyFont="1" applyBorder="1" applyAlignment="1">
      <alignment horizontal="left" indent="1"/>
    </xf>
    <xf numFmtId="0" fontId="29" fillId="0" borderId="14" xfId="4" applyFont="1" applyBorder="1" applyAlignment="1">
      <alignment horizontal="center"/>
    </xf>
    <xf numFmtId="0" fontId="30" fillId="9" borderId="15" xfId="4" applyFont="1" applyFill="1" applyBorder="1" applyAlignment="1">
      <alignment horizontal="center" vertical="center"/>
    </xf>
    <xf numFmtId="0" fontId="30" fillId="9" borderId="16" xfId="4" applyFont="1" applyFill="1" applyBorder="1" applyAlignment="1">
      <alignment horizontal="center" vertical="center"/>
    </xf>
    <xf numFmtId="0" fontId="30" fillId="9" borderId="17" xfId="4" applyFont="1" applyFill="1" applyBorder="1" applyAlignment="1">
      <alignment horizontal="center" vertical="center"/>
    </xf>
    <xf numFmtId="0" fontId="31" fillId="0" borderId="0" xfId="4" applyFont="1" applyProtection="1">
      <protection hidden="1"/>
    </xf>
    <xf numFmtId="0" fontId="18" fillId="2" borderId="7" xfId="4" applyFont="1" applyFill="1" applyBorder="1"/>
    <xf numFmtId="0" fontId="18" fillId="2" borderId="18" xfId="4" applyFont="1" applyFill="1" applyBorder="1" applyAlignment="1">
      <alignment horizontal="left" wrapText="1" indent="1"/>
    </xf>
    <xf numFmtId="0" fontId="18" fillId="2" borderId="19" xfId="4" applyFont="1" applyFill="1" applyBorder="1" applyAlignment="1">
      <alignment horizontal="center" wrapText="1"/>
    </xf>
    <xf numFmtId="165" fontId="32" fillId="11" borderId="21" xfId="10" applyFont="1" applyFill="1" applyBorder="1">
      <alignment horizontal="right" indent="2"/>
      <protection locked="0"/>
    </xf>
    <xf numFmtId="165" fontId="32" fillId="11" borderId="22" xfId="10" applyFont="1" applyFill="1" applyBorder="1">
      <alignment horizontal="right" indent="2"/>
      <protection locked="0"/>
    </xf>
    <xf numFmtId="1" fontId="32" fillId="10" borderId="22" xfId="10" applyNumberFormat="1" applyFont="1" applyFill="1" applyBorder="1">
      <alignment horizontal="right" indent="2"/>
      <protection locked="0"/>
    </xf>
    <xf numFmtId="1" fontId="32" fillId="10" borderId="23" xfId="10" applyNumberFormat="1" applyFont="1" applyFill="1" applyBorder="1">
      <alignment horizontal="right" indent="2"/>
      <protection locked="0"/>
    </xf>
    <xf numFmtId="0" fontId="18" fillId="2" borderId="6" xfId="4" applyFont="1" applyFill="1" applyBorder="1"/>
    <xf numFmtId="0" fontId="18" fillId="2" borderId="24" xfId="4" applyFont="1" applyFill="1" applyBorder="1" applyAlignment="1">
      <alignment horizontal="left" wrapText="1" indent="1"/>
    </xf>
    <xf numFmtId="0" fontId="18" fillId="2" borderId="25" xfId="4" applyFont="1" applyFill="1" applyBorder="1" applyAlignment="1">
      <alignment horizontal="center" wrapText="1"/>
    </xf>
    <xf numFmtId="165" fontId="32" fillId="11" borderId="26" xfId="10" applyFont="1" applyFill="1" applyBorder="1">
      <alignment horizontal="right" indent="2"/>
      <protection locked="0"/>
    </xf>
    <xf numFmtId="165" fontId="32" fillId="11" borderId="27" xfId="10" applyFont="1" applyFill="1" applyBorder="1">
      <alignment horizontal="right" indent="2"/>
      <protection locked="0"/>
    </xf>
    <xf numFmtId="1" fontId="32" fillId="10" borderId="27" xfId="10" applyNumberFormat="1" applyFont="1" applyFill="1" applyBorder="1">
      <alignment horizontal="right" indent="2"/>
      <protection locked="0"/>
    </xf>
    <xf numFmtId="1" fontId="32" fillId="10" borderId="28" xfId="10" applyNumberFormat="1" applyFont="1" applyFill="1" applyBorder="1">
      <alignment horizontal="right" indent="2"/>
      <protection locked="0"/>
    </xf>
    <xf numFmtId="0" fontId="18" fillId="2" borderId="29" xfId="4" applyFont="1" applyFill="1" applyBorder="1" applyAlignment="1">
      <alignment horizontal="left" wrapText="1" indent="1"/>
    </xf>
    <xf numFmtId="0" fontId="18" fillId="2" borderId="30" xfId="4" applyFont="1" applyFill="1" applyBorder="1" applyAlignment="1">
      <alignment horizontal="center" wrapText="1"/>
    </xf>
    <xf numFmtId="165" fontId="32" fillId="11" borderId="31" xfId="10" applyFont="1" applyFill="1" applyBorder="1">
      <alignment horizontal="right" indent="2"/>
      <protection locked="0"/>
    </xf>
    <xf numFmtId="165" fontId="32" fillId="11" borderId="32" xfId="10" applyFont="1" applyFill="1" applyBorder="1">
      <alignment horizontal="right" indent="2"/>
      <protection locked="0"/>
    </xf>
    <xf numFmtId="1" fontId="32" fillId="10" borderId="32" xfId="10" applyNumberFormat="1" applyFont="1" applyFill="1" applyBorder="1">
      <alignment horizontal="right" indent="2"/>
      <protection locked="0"/>
    </xf>
    <xf numFmtId="1" fontId="32" fillId="10" borderId="33" xfId="10" applyNumberFormat="1" applyFont="1" applyFill="1" applyBorder="1">
      <alignment horizontal="right" indent="2"/>
      <protection locked="0"/>
    </xf>
    <xf numFmtId="0" fontId="18" fillId="2" borderId="34" xfId="4" applyFont="1" applyFill="1" applyBorder="1" applyAlignment="1">
      <alignment horizontal="left" wrapText="1" indent="1"/>
    </xf>
    <xf numFmtId="0" fontId="18" fillId="2" borderId="35" xfId="4" applyFont="1" applyFill="1" applyBorder="1" applyAlignment="1">
      <alignment horizontal="center" wrapText="1"/>
    </xf>
    <xf numFmtId="165" fontId="32" fillId="11" borderId="36" xfId="10" applyFont="1" applyFill="1" applyBorder="1">
      <alignment horizontal="right" indent="2"/>
      <protection locked="0"/>
    </xf>
    <xf numFmtId="165" fontId="32" fillId="11" borderId="37" xfId="10" applyFont="1" applyFill="1" applyBorder="1">
      <alignment horizontal="right" indent="2"/>
      <protection locked="0"/>
    </xf>
    <xf numFmtId="1" fontId="32" fillId="10" borderId="37" xfId="10" applyNumberFormat="1" applyFont="1" applyFill="1" applyBorder="1">
      <alignment horizontal="right" indent="2"/>
      <protection locked="0"/>
    </xf>
    <xf numFmtId="1" fontId="32" fillId="10" borderId="38" xfId="10" applyNumberFormat="1" applyFont="1" applyFill="1" applyBorder="1">
      <alignment horizontal="right" indent="2"/>
      <protection locked="0"/>
    </xf>
    <xf numFmtId="165" fontId="32" fillId="11" borderId="39" xfId="10" applyFont="1" applyFill="1" applyBorder="1">
      <alignment horizontal="right" indent="2"/>
      <protection locked="0"/>
    </xf>
    <xf numFmtId="165" fontId="32" fillId="11" borderId="40" xfId="10" applyFont="1" applyFill="1" applyBorder="1">
      <alignment horizontal="right" indent="2"/>
      <protection locked="0"/>
    </xf>
    <xf numFmtId="1" fontId="32" fillId="10" borderId="40" xfId="10" applyNumberFormat="1" applyFont="1" applyFill="1" applyBorder="1">
      <alignment horizontal="right" indent="2"/>
      <protection locked="0"/>
    </xf>
    <xf numFmtId="1" fontId="32" fillId="10" borderId="41" xfId="10" applyNumberFormat="1" applyFont="1" applyFill="1" applyBorder="1">
      <alignment horizontal="right" indent="2"/>
      <protection locked="0"/>
    </xf>
    <xf numFmtId="165" fontId="32" fillId="11" borderId="42" xfId="10" applyFont="1" applyFill="1" applyBorder="1">
      <alignment horizontal="right" indent="2"/>
      <protection locked="0"/>
    </xf>
    <xf numFmtId="165" fontId="32" fillId="11" borderId="43" xfId="10" applyFont="1" applyFill="1" applyBorder="1">
      <alignment horizontal="right" indent="2"/>
      <protection locked="0"/>
    </xf>
    <xf numFmtId="1" fontId="32" fillId="10" borderId="43" xfId="10" applyNumberFormat="1" applyFont="1" applyFill="1" applyBorder="1">
      <alignment horizontal="right" indent="2"/>
      <protection locked="0"/>
    </xf>
    <xf numFmtId="1" fontId="32" fillId="10" borderId="44" xfId="10" applyNumberFormat="1" applyFont="1" applyFill="1" applyBorder="1">
      <alignment horizontal="right" indent="2"/>
      <protection locked="0"/>
    </xf>
    <xf numFmtId="0" fontId="18" fillId="2" borderId="3" xfId="4" applyFont="1" applyFill="1" applyBorder="1"/>
    <xf numFmtId="0" fontId="18" fillId="2" borderId="45" xfId="4" applyFont="1" applyFill="1" applyBorder="1" applyAlignment="1">
      <alignment horizontal="left" wrapText="1" indent="1"/>
    </xf>
    <xf numFmtId="0" fontId="18" fillId="2" borderId="46" xfId="4" applyFont="1" applyFill="1" applyBorder="1" applyAlignment="1">
      <alignment horizontal="center" wrapText="1"/>
    </xf>
    <xf numFmtId="165" fontId="32" fillId="11" borderId="47" xfId="10" applyFont="1" applyFill="1" applyBorder="1">
      <alignment horizontal="right" indent="2"/>
      <protection locked="0"/>
    </xf>
    <xf numFmtId="165" fontId="32" fillId="11" borderId="48" xfId="10" applyFont="1" applyFill="1" applyBorder="1">
      <alignment horizontal="right" indent="2"/>
      <protection locked="0"/>
    </xf>
    <xf numFmtId="1" fontId="32" fillId="10" borderId="48" xfId="10" applyNumberFormat="1" applyFont="1" applyFill="1" applyBorder="1">
      <alignment horizontal="right" indent="2"/>
      <protection locked="0"/>
    </xf>
    <xf numFmtId="1" fontId="32" fillId="10" borderId="49" xfId="10" applyNumberFormat="1" applyFont="1" applyFill="1" applyBorder="1">
      <alignment horizontal="right" indent="2"/>
      <protection locked="0"/>
    </xf>
    <xf numFmtId="0" fontId="18" fillId="2" borderId="50" xfId="4" applyFont="1" applyFill="1" applyBorder="1" applyAlignment="1">
      <alignment horizontal="left" wrapText="1" indent="1"/>
    </xf>
    <xf numFmtId="0" fontId="18" fillId="2" borderId="51" xfId="4" applyFont="1" applyFill="1" applyBorder="1" applyAlignment="1">
      <alignment horizontal="left" wrapText="1" indent="1"/>
    </xf>
    <xf numFmtId="0" fontId="18" fillId="2" borderId="52" xfId="4" applyFont="1" applyFill="1" applyBorder="1" applyAlignment="1">
      <alignment horizontal="left" wrapText="1" indent="1"/>
    </xf>
    <xf numFmtId="0" fontId="18" fillId="2" borderId="53" xfId="4" applyFont="1" applyFill="1" applyBorder="1" applyAlignment="1">
      <alignment horizontal="left" wrapText="1" indent="1"/>
    </xf>
    <xf numFmtId="0" fontId="18" fillId="2" borderId="34" xfId="4" applyFont="1" applyFill="1" applyBorder="1" applyAlignment="1">
      <alignment horizontal="center" wrapText="1"/>
    </xf>
    <xf numFmtId="0" fontId="18" fillId="2" borderId="54" xfId="4" applyFont="1" applyFill="1" applyBorder="1" applyAlignment="1">
      <alignment horizontal="left" wrapText="1" indent="1"/>
    </xf>
    <xf numFmtId="0" fontId="18" fillId="2" borderId="55" xfId="4" applyFont="1" applyFill="1" applyBorder="1" applyAlignment="1">
      <alignment horizontal="center" wrapText="1"/>
    </xf>
    <xf numFmtId="0" fontId="18" fillId="2" borderId="24" xfId="4" applyFont="1" applyFill="1" applyBorder="1" applyAlignment="1">
      <alignment horizontal="center" wrapText="1"/>
    </xf>
    <xf numFmtId="0" fontId="18" fillId="2" borderId="56" xfId="4" applyFont="1" applyFill="1" applyBorder="1" applyAlignment="1">
      <alignment horizontal="left" wrapText="1" indent="1"/>
    </xf>
    <xf numFmtId="0" fontId="18" fillId="2" borderId="57" xfId="4" applyFont="1" applyFill="1" applyBorder="1" applyAlignment="1">
      <alignment horizontal="center" wrapText="1"/>
    </xf>
    <xf numFmtId="165" fontId="32" fillId="11" borderId="58" xfId="10" applyFont="1" applyFill="1" applyBorder="1">
      <alignment horizontal="right" indent="2"/>
      <protection locked="0"/>
    </xf>
    <xf numFmtId="165" fontId="32" fillId="11" borderId="59" xfId="10" applyFont="1" applyFill="1" applyBorder="1">
      <alignment horizontal="right" indent="2"/>
      <protection locked="0"/>
    </xf>
    <xf numFmtId="1" fontId="32" fillId="10" borderId="59" xfId="10" applyNumberFormat="1" applyFont="1" applyFill="1" applyBorder="1">
      <alignment horizontal="right" indent="2"/>
      <protection locked="0"/>
    </xf>
    <xf numFmtId="1" fontId="32" fillId="10" borderId="60" xfId="10" applyNumberFormat="1" applyFont="1" applyFill="1" applyBorder="1">
      <alignment horizontal="right" indent="2"/>
      <protection locked="0"/>
    </xf>
    <xf numFmtId="0" fontId="18" fillId="2" borderId="61" xfId="4" applyFont="1" applyFill="1" applyBorder="1" applyAlignment="1">
      <alignment horizontal="center" wrapText="1"/>
    </xf>
    <xf numFmtId="0" fontId="18" fillId="2" borderId="62" xfId="4" applyFont="1" applyFill="1" applyBorder="1" applyAlignment="1">
      <alignment horizontal="left" wrapText="1" indent="1"/>
    </xf>
    <xf numFmtId="0" fontId="18" fillId="2" borderId="45" xfId="4" applyFont="1" applyFill="1" applyBorder="1" applyAlignment="1">
      <alignment horizontal="center" wrapText="1"/>
    </xf>
    <xf numFmtId="0" fontId="30" fillId="9" borderId="63" xfId="4" applyFont="1" applyFill="1" applyBorder="1" applyAlignment="1">
      <alignment horizontal="center" vertical="center"/>
    </xf>
    <xf numFmtId="0" fontId="30" fillId="9" borderId="64" xfId="4" applyFont="1" applyFill="1" applyBorder="1" applyAlignment="1">
      <alignment horizontal="center" vertical="center"/>
    </xf>
    <xf numFmtId="0" fontId="30" fillId="9" borderId="65" xfId="4" applyFont="1" applyFill="1" applyBorder="1" applyAlignment="1">
      <alignment horizontal="center" vertical="center"/>
    </xf>
    <xf numFmtId="0" fontId="20" fillId="0" borderId="0" xfId="0" applyFont="1" applyAlignment="1">
      <alignment horizontal="center"/>
    </xf>
    <xf numFmtId="0" fontId="25" fillId="8" borderId="11" xfId="8" applyFont="1" applyFill="1" applyBorder="1" applyProtection="1">
      <alignment vertical="center"/>
    </xf>
    <xf numFmtId="0" fontId="30" fillId="12" borderId="15" xfId="4" applyFont="1" applyFill="1" applyBorder="1" applyAlignment="1">
      <alignment horizontal="center" vertical="center"/>
    </xf>
    <xf numFmtId="0" fontId="30" fillId="12" borderId="16" xfId="4" applyFont="1" applyFill="1" applyBorder="1" applyAlignment="1">
      <alignment horizontal="center" vertical="center"/>
    </xf>
    <xf numFmtId="0" fontId="30" fillId="12" borderId="17" xfId="4" applyFont="1" applyFill="1" applyBorder="1" applyAlignment="1">
      <alignment horizontal="center" vertical="center"/>
    </xf>
    <xf numFmtId="0" fontId="18" fillId="2" borderId="13" xfId="5" applyFont="1" applyFill="1" applyBorder="1"/>
    <xf numFmtId="0" fontId="18" fillId="2" borderId="18" xfId="5" applyFont="1" applyFill="1" applyBorder="1" applyAlignment="1">
      <alignment horizontal="left" indent="1"/>
    </xf>
    <xf numFmtId="0" fontId="18" fillId="2" borderId="67" xfId="5" applyFont="1" applyFill="1" applyBorder="1"/>
    <xf numFmtId="0" fontId="18" fillId="2" borderId="34" xfId="5" applyFont="1" applyFill="1" applyBorder="1" applyAlignment="1">
      <alignment horizontal="left" indent="1"/>
    </xf>
    <xf numFmtId="0" fontId="18" fillId="2" borderId="68" xfId="5" applyFont="1" applyFill="1" applyBorder="1"/>
    <xf numFmtId="0" fontId="18" fillId="2" borderId="2" xfId="5" applyFont="1" applyFill="1" applyBorder="1"/>
    <xf numFmtId="0" fontId="18" fillId="2" borderId="55" xfId="5" applyFont="1" applyFill="1" applyBorder="1" applyAlignment="1">
      <alignment horizontal="left" indent="1"/>
    </xf>
    <xf numFmtId="0" fontId="18" fillId="2" borderId="69" xfId="5" applyFont="1" applyFill="1" applyBorder="1"/>
    <xf numFmtId="0" fontId="18" fillId="2" borderId="66" xfId="5" applyFont="1" applyFill="1" applyBorder="1"/>
    <xf numFmtId="0" fontId="18" fillId="2" borderId="45" xfId="5" applyFont="1" applyFill="1" applyBorder="1" applyAlignment="1">
      <alignment horizontal="left" indent="1"/>
    </xf>
    <xf numFmtId="0" fontId="18" fillId="2" borderId="70" xfId="5" applyFont="1" applyFill="1" applyBorder="1"/>
    <xf numFmtId="0" fontId="18" fillId="2" borderId="29" xfId="5" applyFont="1" applyFill="1" applyBorder="1" applyAlignment="1">
      <alignment horizontal="left" indent="1"/>
    </xf>
    <xf numFmtId="0" fontId="18" fillId="2" borderId="71" xfId="5" applyFont="1" applyFill="1" applyBorder="1"/>
    <xf numFmtId="0" fontId="30" fillId="13" borderId="72" xfId="4" applyFont="1" applyFill="1" applyBorder="1" applyAlignment="1">
      <alignment horizontal="center" vertical="center"/>
    </xf>
    <xf numFmtId="0" fontId="30" fillId="13" borderId="16" xfId="4" applyFont="1" applyFill="1" applyBorder="1" applyAlignment="1">
      <alignment horizontal="center" vertical="center"/>
    </xf>
    <xf numFmtId="0" fontId="30" fillId="13" borderId="17" xfId="4" applyFont="1" applyFill="1" applyBorder="1" applyAlignment="1">
      <alignment horizontal="center" vertical="center"/>
    </xf>
    <xf numFmtId="1" fontId="32" fillId="10" borderId="21" xfId="10" applyNumberFormat="1" applyFont="1" applyFill="1" applyBorder="1">
      <alignment horizontal="right" indent="2"/>
      <protection locked="0"/>
    </xf>
    <xf numFmtId="1" fontId="32" fillId="10" borderId="36" xfId="10" applyNumberFormat="1" applyFont="1" applyFill="1" applyBorder="1">
      <alignment horizontal="right" indent="2"/>
      <protection locked="0"/>
    </xf>
    <xf numFmtId="1" fontId="32" fillId="10" borderId="47" xfId="10" applyNumberFormat="1" applyFont="1" applyFill="1" applyBorder="1">
      <alignment horizontal="right" indent="2"/>
      <protection locked="0"/>
    </xf>
    <xf numFmtId="0" fontId="14" fillId="0" borderId="1" xfId="16" applyFill="1" applyBorder="1">
      <alignment horizontal="left" vertical="center"/>
    </xf>
    <xf numFmtId="0" fontId="15" fillId="0" borderId="0" xfId="19" applyFill="1">
      <alignment vertical="center"/>
    </xf>
    <xf numFmtId="166" fontId="33" fillId="0" borderId="0" xfId="11" applyFont="1">
      <alignment horizontal="center" vertical="center"/>
    </xf>
    <xf numFmtId="0" fontId="34" fillId="0" borderId="0" xfId="12" applyFont="1">
      <alignment horizontal="left" vertical="center"/>
    </xf>
    <xf numFmtId="0" fontId="35" fillId="0" borderId="0" xfId="13" applyFont="1"/>
    <xf numFmtId="0" fontId="36" fillId="14" borderId="0" xfId="14" applyFont="1">
      <alignment horizontal="left" vertical="center"/>
    </xf>
    <xf numFmtId="0" fontId="37" fillId="15" borderId="0" xfId="15" applyFont="1">
      <alignment horizontal="left" vertical="center"/>
    </xf>
    <xf numFmtId="0" fontId="38" fillId="0" borderId="73" xfId="16" applyFont="1" applyBorder="1" applyAlignment="1">
      <alignment horizontal="center" vertical="center"/>
    </xf>
    <xf numFmtId="0" fontId="38" fillId="0" borderId="73" xfId="16" applyFont="1" applyBorder="1">
      <alignment horizontal="left" vertical="center"/>
    </xf>
    <xf numFmtId="0" fontId="38" fillId="0" borderId="73" xfId="16" applyFont="1" applyBorder="1" applyAlignment="1">
      <alignment horizontal="center" vertical="center" wrapText="1"/>
    </xf>
    <xf numFmtId="168" fontId="39" fillId="0" borderId="0" xfId="17" applyNumberFormat="1" applyFont="1" applyAlignment="1">
      <alignment horizontal="center" vertical="center"/>
    </xf>
    <xf numFmtId="0" fontId="40" fillId="16" borderId="76" xfId="18" applyFont="1">
      <alignment horizontal="left" vertical="center"/>
      <protection locked="0"/>
    </xf>
    <xf numFmtId="0" fontId="39" fillId="0" borderId="0" xfId="19" applyFont="1" applyFill="1" applyAlignment="1">
      <alignment horizontal="center" vertical="center"/>
    </xf>
    <xf numFmtId="167" fontId="40" fillId="16" borderId="77" xfId="20" applyFont="1" applyBorder="1" applyAlignment="1">
      <alignment horizontal="center" vertical="center"/>
      <protection locked="0"/>
    </xf>
    <xf numFmtId="167" fontId="40" fillId="16" borderId="78" xfId="20" applyFont="1" applyBorder="1" applyAlignment="1">
      <alignment horizontal="center" vertical="center"/>
      <protection locked="0"/>
    </xf>
    <xf numFmtId="167" fontId="40" fillId="16" borderId="76" xfId="20" applyFont="1" applyAlignment="1">
      <alignment horizontal="center" vertical="center"/>
      <protection locked="0"/>
    </xf>
    <xf numFmtId="0" fontId="35" fillId="0" borderId="80" xfId="13" applyFont="1" applyBorder="1"/>
    <xf numFmtId="0" fontId="35" fillId="0" borderId="81" xfId="13" applyFont="1" applyBorder="1"/>
    <xf numFmtId="0" fontId="38" fillId="0" borderId="1" xfId="16" applyFont="1" applyFill="1" applyBorder="1">
      <alignment horizontal="left" vertical="center"/>
    </xf>
    <xf numFmtId="0" fontId="38" fillId="0" borderId="1" xfId="16" applyFont="1" applyFill="1" applyBorder="1" applyAlignment="1">
      <alignment horizontal="center" vertical="center"/>
    </xf>
    <xf numFmtId="167" fontId="41" fillId="0" borderId="1" xfId="17" applyFont="1" applyFill="1" applyBorder="1" applyAlignment="1">
      <alignment horizontal="center" vertical="center"/>
    </xf>
    <xf numFmtId="167" fontId="41" fillId="0" borderId="82" xfId="17" applyFont="1" applyFill="1" applyBorder="1" applyAlignment="1">
      <alignment horizontal="center" vertical="center"/>
    </xf>
    <xf numFmtId="167" fontId="41" fillId="0" borderId="83" xfId="17" applyFont="1" applyFill="1" applyBorder="1" applyAlignment="1">
      <alignment horizontal="center" vertical="center"/>
    </xf>
    <xf numFmtId="0" fontId="39" fillId="0" borderId="0" xfId="19" applyFont="1" applyFill="1">
      <alignment vertical="center"/>
    </xf>
    <xf numFmtId="168" fontId="40" fillId="16" borderId="76" xfId="20" applyNumberFormat="1" applyFont="1" applyAlignment="1">
      <alignment horizontal="center" vertical="center"/>
      <protection locked="0"/>
    </xf>
    <xf numFmtId="168" fontId="41" fillId="0" borderId="1" xfId="17" applyNumberFormat="1" applyFont="1" applyFill="1" applyBorder="1" applyAlignment="1">
      <alignment horizontal="center" vertical="center"/>
    </xf>
    <xf numFmtId="168" fontId="41" fillId="0" borderId="82" xfId="17" applyNumberFormat="1" applyFont="1" applyFill="1" applyBorder="1" applyAlignment="1">
      <alignment horizontal="center" vertical="center"/>
    </xf>
    <xf numFmtId="168" fontId="41" fillId="0" borderId="83" xfId="17" applyNumberFormat="1" applyFont="1" applyFill="1" applyBorder="1" applyAlignment="1">
      <alignment horizontal="center" vertical="center"/>
    </xf>
    <xf numFmtId="0" fontId="42" fillId="0" borderId="0" xfId="16" applyFont="1" applyBorder="1">
      <alignment horizontal="left" vertical="center"/>
    </xf>
    <xf numFmtId="0" fontId="42" fillId="0" borderId="0" xfId="16" applyFont="1" applyFill="1" applyBorder="1" applyAlignment="1">
      <alignment horizontal="center" vertical="center" wrapText="1"/>
    </xf>
    <xf numFmtId="169" fontId="39" fillId="9" borderId="77" xfId="21" applyFont="1" applyFill="1" applyBorder="1" applyAlignment="1">
      <alignment horizontal="center" vertical="center"/>
    </xf>
    <xf numFmtId="10" fontId="20" fillId="0" borderId="0" xfId="3" applyNumberFormat="1" applyFont="1"/>
    <xf numFmtId="167" fontId="16" fillId="16" borderId="76" xfId="20" applyAlignment="1">
      <alignment horizontal="center" vertical="center"/>
      <protection locked="0"/>
    </xf>
    <xf numFmtId="167" fontId="15" fillId="0" borderId="77" xfId="17" applyFill="1" applyBorder="1" applyAlignment="1">
      <alignment horizontal="center" vertical="center"/>
    </xf>
    <xf numFmtId="167" fontId="15" fillId="0" borderId="78" xfId="17" applyFill="1" applyBorder="1" applyAlignment="1">
      <alignment horizontal="center" vertical="center"/>
    </xf>
    <xf numFmtId="167" fontId="15" fillId="0" borderId="76" xfId="17" applyFill="1" applyBorder="1" applyAlignment="1">
      <alignment horizontal="center" vertical="center"/>
    </xf>
    <xf numFmtId="167" fontId="15" fillId="0" borderId="79" xfId="17" applyFill="1" applyBorder="1" applyAlignment="1">
      <alignment horizontal="center" vertical="center"/>
    </xf>
    <xf numFmtId="0" fontId="43" fillId="0" borderId="0" xfId="19" applyFont="1" applyFill="1">
      <alignment vertical="center"/>
    </xf>
    <xf numFmtId="0" fontId="44" fillId="0" borderId="0" xfId="19" applyFont="1" applyFill="1">
      <alignment vertical="center"/>
    </xf>
    <xf numFmtId="0" fontId="16" fillId="0" borderId="0" xfId="22">
      <alignment horizontal="left" vertical="center"/>
    </xf>
    <xf numFmtId="171" fontId="16" fillId="16" borderId="76" xfId="20" applyNumberFormat="1" applyAlignment="1">
      <alignment horizontal="center" vertical="center"/>
      <protection locked="0"/>
    </xf>
    <xf numFmtId="171" fontId="15" fillId="0" borderId="0" xfId="17" applyNumberFormat="1" applyAlignment="1">
      <alignment horizontal="center" vertical="center"/>
    </xf>
    <xf numFmtId="171" fontId="15" fillId="0" borderId="0" xfId="19" applyNumberFormat="1" applyAlignment="1">
      <alignment horizontal="center" vertical="center"/>
    </xf>
    <xf numFmtId="0" fontId="15" fillId="0" borderId="0" xfId="19" applyAlignment="1">
      <alignment horizontal="center" vertical="center"/>
    </xf>
    <xf numFmtId="0" fontId="16" fillId="0" borderId="0" xfId="22" applyAlignment="1">
      <alignment horizontal="center" vertical="center"/>
    </xf>
    <xf numFmtId="0" fontId="16" fillId="16" borderId="76" xfId="18" applyAlignment="1">
      <alignment horizontal="center" vertical="center"/>
      <protection locked="0"/>
    </xf>
    <xf numFmtId="0" fontId="11" fillId="0" borderId="0" xfId="13" applyAlignment="1">
      <alignment horizontal="center"/>
    </xf>
    <xf numFmtId="0" fontId="16" fillId="16" borderId="76" xfId="18">
      <alignment horizontal="left" vertical="center"/>
      <protection locked="0"/>
    </xf>
    <xf numFmtId="0" fontId="15" fillId="0" borderId="0" xfId="19" applyBorder="1">
      <alignment vertical="center"/>
    </xf>
    <xf numFmtId="168" fontId="15" fillId="0" borderId="76" xfId="17" applyNumberFormat="1" applyFill="1" applyBorder="1" applyAlignment="1">
      <alignment horizontal="center" vertical="center"/>
    </xf>
    <xf numFmtId="168" fontId="15" fillId="0" borderId="77" xfId="17" applyNumberFormat="1" applyFill="1" applyBorder="1" applyAlignment="1">
      <alignment horizontal="center" vertical="center"/>
    </xf>
    <xf numFmtId="168" fontId="15" fillId="0" borderId="78" xfId="17" applyNumberFormat="1" applyFill="1" applyBorder="1" applyAlignment="1">
      <alignment horizontal="center" vertical="center"/>
    </xf>
    <xf numFmtId="168" fontId="15" fillId="0" borderId="79" xfId="17" applyNumberFormat="1" applyFill="1" applyBorder="1" applyAlignment="1">
      <alignment horizontal="center" vertical="center"/>
    </xf>
    <xf numFmtId="1" fontId="32" fillId="10" borderId="84" xfId="10" applyNumberFormat="1" applyFont="1" applyFill="1" applyBorder="1">
      <alignment horizontal="right" indent="2"/>
      <protection locked="0"/>
    </xf>
    <xf numFmtId="1" fontId="32" fillId="10" borderId="85" xfId="10" applyNumberFormat="1" applyFont="1" applyFill="1" applyBorder="1">
      <alignment horizontal="right" indent="2"/>
      <protection locked="0"/>
    </xf>
    <xf numFmtId="1" fontId="32" fillId="10" borderId="86" xfId="10" applyNumberFormat="1" applyFont="1" applyFill="1" applyBorder="1">
      <alignment horizontal="right" indent="2"/>
      <protection locked="0"/>
    </xf>
    <xf numFmtId="1" fontId="32" fillId="10" borderId="87" xfId="10" applyNumberFormat="1" applyFont="1" applyFill="1" applyBorder="1">
      <alignment horizontal="right" indent="2"/>
      <protection locked="0"/>
    </xf>
    <xf numFmtId="1" fontId="32" fillId="10" borderId="88" xfId="10" applyNumberFormat="1" applyFont="1" applyFill="1" applyBorder="1">
      <alignment horizontal="right" indent="2"/>
      <protection locked="0"/>
    </xf>
    <xf numFmtId="1" fontId="32" fillId="10" borderId="89" xfId="10" applyNumberFormat="1" applyFont="1" applyFill="1" applyBorder="1">
      <alignment horizontal="right" indent="2"/>
      <protection locked="0"/>
    </xf>
    <xf numFmtId="1" fontId="32" fillId="10" borderId="90" xfId="10" applyNumberFormat="1" applyFont="1" applyFill="1" applyBorder="1">
      <alignment horizontal="right" indent="2"/>
      <protection locked="0"/>
    </xf>
    <xf numFmtId="1" fontId="32" fillId="10" borderId="91" xfId="10" applyNumberFormat="1" applyFont="1" applyFill="1" applyBorder="1">
      <alignment horizontal="right" indent="2"/>
      <protection locked="0"/>
    </xf>
    <xf numFmtId="0" fontId="14" fillId="0" borderId="73" xfId="16" applyFill="1" applyBorder="1" applyAlignment="1">
      <alignment horizontal="center" vertical="center" wrapText="1"/>
    </xf>
    <xf numFmtId="0" fontId="38" fillId="0" borderId="73" xfId="16" applyFont="1" applyFill="1" applyBorder="1" applyAlignment="1">
      <alignment horizontal="center" vertical="center" wrapText="1"/>
    </xf>
    <xf numFmtId="0" fontId="38" fillId="0" borderId="74" xfId="16" applyFont="1" applyFill="1" applyBorder="1" applyAlignment="1">
      <alignment horizontal="center" vertical="center" wrapText="1"/>
    </xf>
    <xf numFmtId="167" fontId="16" fillId="16" borderId="77" xfId="20" applyBorder="1" applyAlignment="1">
      <alignment horizontal="center" vertical="center"/>
      <protection locked="0"/>
    </xf>
    <xf numFmtId="167" fontId="16" fillId="16" borderId="78" xfId="20" applyBorder="1" applyAlignment="1">
      <alignment horizontal="center" vertical="center"/>
      <protection locked="0"/>
    </xf>
    <xf numFmtId="172" fontId="15" fillId="0" borderId="76" xfId="17" applyNumberFormat="1" applyFill="1" applyBorder="1" applyAlignment="1">
      <alignment horizontal="center" vertical="center"/>
    </xf>
    <xf numFmtId="170" fontId="16" fillId="16" borderId="76" xfId="21" applyNumberFormat="1" applyFont="1" applyFill="1" applyBorder="1" applyAlignment="1">
      <alignment horizontal="center" vertical="center"/>
    </xf>
    <xf numFmtId="0" fontId="14" fillId="0" borderId="0" xfId="16" applyBorder="1" applyAlignment="1">
      <alignment horizontal="center" vertical="center"/>
    </xf>
    <xf numFmtId="20" fontId="11" fillId="0" borderId="0" xfId="13" quotePrefix="1" applyNumberFormat="1"/>
    <xf numFmtId="0" fontId="45" fillId="0" borderId="0" xfId="23" applyFill="1" applyBorder="1" applyAlignment="1">
      <alignment vertical="center"/>
    </xf>
    <xf numFmtId="0" fontId="16" fillId="0" borderId="0" xfId="22" applyFill="1">
      <alignment horizontal="left" vertical="center"/>
    </xf>
    <xf numFmtId="0" fontId="45" fillId="0" borderId="0" xfId="23" applyFill="1">
      <alignment horizontal="left" vertical="center"/>
    </xf>
    <xf numFmtId="0" fontId="11" fillId="0" borderId="92" xfId="13" applyBorder="1"/>
    <xf numFmtId="0" fontId="11" fillId="0" borderId="1" xfId="13" applyBorder="1"/>
    <xf numFmtId="0" fontId="11" fillId="0" borderId="93" xfId="13" applyBorder="1"/>
    <xf numFmtId="0" fontId="11" fillId="0" borderId="94" xfId="13" applyBorder="1"/>
    <xf numFmtId="0" fontId="16" fillId="0" borderId="0" xfId="22" applyBorder="1">
      <alignment horizontal="left" vertical="center"/>
    </xf>
    <xf numFmtId="0" fontId="11" fillId="0" borderId="95" xfId="13" applyBorder="1"/>
    <xf numFmtId="0" fontId="16" fillId="18" borderId="76" xfId="24">
      <alignment horizontal="center" vertical="center"/>
      <protection locked="0"/>
    </xf>
    <xf numFmtId="0" fontId="45" fillId="0" borderId="0" xfId="23" applyBorder="1" applyAlignment="1">
      <alignment horizontal="center" vertical="center"/>
    </xf>
    <xf numFmtId="0" fontId="46" fillId="14" borderId="0" xfId="14" applyFont="1" applyBorder="1" applyAlignment="1">
      <alignment horizontal="center" vertical="center"/>
    </xf>
    <xf numFmtId="0" fontId="47" fillId="15" borderId="0" xfId="15" applyFont="1" applyBorder="1" applyAlignment="1">
      <alignment horizontal="center" vertical="center"/>
    </xf>
    <xf numFmtId="0" fontId="9" fillId="17" borderId="0" xfId="25"/>
    <xf numFmtId="0" fontId="48" fillId="0" borderId="0" xfId="26" applyAlignment="1">
      <alignment horizontal="center" vertical="center"/>
    </xf>
    <xf numFmtId="0" fontId="11" fillId="0" borderId="96" xfId="13" applyBorder="1"/>
    <xf numFmtId="0" fontId="11" fillId="0" borderId="73" xfId="13" applyBorder="1"/>
    <xf numFmtId="0" fontId="11" fillId="0" borderId="97" xfId="13" applyBorder="1"/>
    <xf numFmtId="0" fontId="48" fillId="0" borderId="0" xfId="26" applyBorder="1">
      <alignment horizontal="left" vertical="center"/>
    </xf>
    <xf numFmtId="0" fontId="48" fillId="0" borderId="0" xfId="26">
      <alignment horizontal="left" vertical="center"/>
    </xf>
    <xf numFmtId="0" fontId="15" fillId="0" borderId="0" xfId="19">
      <alignment vertical="center"/>
    </xf>
    <xf numFmtId="0" fontId="15" fillId="0" borderId="1" xfId="19" applyBorder="1">
      <alignment vertical="center"/>
    </xf>
    <xf numFmtId="166" fontId="9" fillId="0" borderId="1" xfId="11" applyBorder="1" applyAlignment="1">
      <alignment horizontal="center"/>
    </xf>
    <xf numFmtId="0" fontId="15" fillId="0" borderId="0" xfId="19" applyFill="1" applyAlignment="1">
      <alignment horizontal="right" vertical="center"/>
    </xf>
    <xf numFmtId="166" fontId="49" fillId="0" borderId="0" xfId="11" applyFont="1">
      <alignment horizontal="center" vertical="center"/>
    </xf>
    <xf numFmtId="0" fontId="3" fillId="0" borderId="0" xfId="13" applyFont="1"/>
    <xf numFmtId="0" fontId="3" fillId="0" borderId="0" xfId="13" applyFont="1" applyAlignment="1">
      <alignment horizontal="center"/>
    </xf>
    <xf numFmtId="0" fontId="3" fillId="0" borderId="0" xfId="13" applyFont="1" applyAlignment="1">
      <alignment horizontal="center" vertical="center"/>
    </xf>
    <xf numFmtId="0" fontId="12" fillId="0" borderId="0" xfId="14" applyFill="1">
      <alignment horizontal="left" vertical="center"/>
    </xf>
    <xf numFmtId="0" fontId="50" fillId="0" borderId="0" xfId="13" applyFont="1"/>
    <xf numFmtId="167" fontId="15" fillId="0" borderId="0" xfId="17" applyAlignment="1">
      <alignment horizontal="center" vertical="center"/>
    </xf>
    <xf numFmtId="174" fontId="53" fillId="20" borderId="0" xfId="13" applyNumberFormat="1" applyFont="1" applyFill="1"/>
    <xf numFmtId="0" fontId="3" fillId="20" borderId="0" xfId="13" applyFont="1" applyFill="1"/>
    <xf numFmtId="174" fontId="53" fillId="20" borderId="0" xfId="13" applyNumberFormat="1" applyFont="1" applyFill="1" applyAlignment="1">
      <alignment horizontal="centerContinuous"/>
    </xf>
    <xf numFmtId="0" fontId="56" fillId="20" borderId="100" xfId="13" applyFont="1" applyFill="1" applyBorder="1" applyAlignment="1">
      <alignment horizontal="center" vertical="center"/>
    </xf>
    <xf numFmtId="0" fontId="56" fillId="20" borderId="100" xfId="13" applyFont="1" applyFill="1" applyBorder="1" applyAlignment="1">
      <alignment horizontal="left" vertical="center" wrapText="1"/>
    </xf>
    <xf numFmtId="0" fontId="56" fillId="20" borderId="100" xfId="13" applyFont="1" applyFill="1" applyBorder="1" applyAlignment="1">
      <alignment horizontal="center" vertical="center" wrapText="1"/>
    </xf>
    <xf numFmtId="0" fontId="56" fillId="20" borderId="0" xfId="13" applyFont="1" applyFill="1" applyAlignment="1">
      <alignment horizontal="center" vertical="center" wrapText="1"/>
    </xf>
    <xf numFmtId="169" fontId="16" fillId="16" borderId="76" xfId="27" applyAlignment="1">
      <alignment horizontal="center" vertical="center"/>
      <protection locked="0"/>
    </xf>
    <xf numFmtId="169" fontId="16" fillId="17" borderId="76" xfId="27" applyFill="1" applyAlignment="1">
      <alignment horizontal="center" vertical="center"/>
      <protection locked="0"/>
    </xf>
    <xf numFmtId="175" fontId="3" fillId="0" borderId="0" xfId="13" applyNumberFormat="1" applyFont="1"/>
    <xf numFmtId="0" fontId="15" fillId="17" borderId="0" xfId="19" applyFill="1">
      <alignment vertical="center"/>
    </xf>
    <xf numFmtId="0" fontId="4" fillId="3" borderId="0" xfId="0" applyFont="1" applyFill="1" applyAlignment="1">
      <alignment horizontal="centerContinuous" wrapText="1"/>
    </xf>
    <xf numFmtId="0" fontId="0" fillId="3" borderId="0" xfId="0" applyFill="1" applyAlignment="1">
      <alignment horizontal="centerContinuous" wrapText="1"/>
    </xf>
    <xf numFmtId="0" fontId="11" fillId="17" borderId="0" xfId="13" applyFill="1"/>
    <xf numFmtId="176" fontId="32" fillId="10" borderId="23" xfId="10" applyNumberFormat="1" applyFont="1" applyFill="1" applyBorder="1">
      <alignment horizontal="right" indent="2"/>
      <protection locked="0"/>
    </xf>
    <xf numFmtId="176" fontId="32" fillId="10" borderId="38" xfId="10" applyNumberFormat="1" applyFont="1" applyFill="1" applyBorder="1">
      <alignment horizontal="right" indent="2"/>
      <protection locked="0"/>
    </xf>
    <xf numFmtId="176" fontId="32" fillId="10" borderId="49" xfId="10" applyNumberFormat="1" applyFont="1" applyFill="1" applyBorder="1">
      <alignment horizontal="right" indent="2"/>
      <protection locked="0"/>
    </xf>
    <xf numFmtId="167" fontId="40" fillId="0" borderId="76" xfId="20" applyFont="1" applyFill="1" applyAlignment="1">
      <alignment horizontal="center" vertical="center"/>
      <protection locked="0"/>
    </xf>
    <xf numFmtId="1" fontId="32" fillId="22" borderId="90" xfId="10" applyNumberFormat="1" applyFont="1" applyFill="1" applyBorder="1">
      <alignment horizontal="right" indent="2"/>
      <protection locked="0"/>
    </xf>
    <xf numFmtId="1" fontId="32" fillId="22" borderId="87" xfId="10" applyNumberFormat="1" applyFont="1" applyFill="1" applyBorder="1">
      <alignment horizontal="right" indent="2"/>
      <protection locked="0"/>
    </xf>
    <xf numFmtId="0" fontId="16" fillId="0" borderId="0" xfId="22" applyFill="1" applyAlignment="1">
      <alignment horizontal="left" vertical="center" wrapText="1"/>
    </xf>
    <xf numFmtId="174" fontId="53" fillId="20" borderId="0" xfId="13" applyNumberFormat="1" applyFont="1" applyFill="1" applyAlignment="1">
      <alignment horizontal="center"/>
    </xf>
    <xf numFmtId="0" fontId="54" fillId="20" borderId="0" xfId="13" applyFont="1" applyFill="1" applyAlignment="1">
      <alignment horizontal="center"/>
    </xf>
    <xf numFmtId="0" fontId="54" fillId="20" borderId="99" xfId="13" applyFont="1" applyFill="1" applyBorder="1" applyAlignment="1">
      <alignment horizontal="center" vertical="center"/>
    </xf>
    <xf numFmtId="0" fontId="54" fillId="20" borderId="0" xfId="13" applyFont="1" applyFill="1" applyAlignment="1">
      <alignment horizontal="center" vertical="center"/>
    </xf>
    <xf numFmtId="0" fontId="55" fillId="0" borderId="0" xfId="13" applyFont="1" applyAlignment="1">
      <alignment horizontal="center" vertical="center"/>
    </xf>
    <xf numFmtId="173" fontId="51" fillId="0" borderId="98" xfId="13" applyNumberFormat="1" applyFont="1" applyBorder="1" applyAlignment="1">
      <alignment horizontal="center" vertical="center" wrapText="1"/>
    </xf>
    <xf numFmtId="0" fontId="52" fillId="19" borderId="0" xfId="13" applyFont="1" applyFill="1" applyAlignment="1">
      <alignment horizontal="center" vertical="center" wrapText="1"/>
    </xf>
    <xf numFmtId="0" fontId="54" fillId="21" borderId="0" xfId="13" applyFont="1" applyFill="1" applyAlignment="1">
      <alignment horizontal="center"/>
    </xf>
    <xf numFmtId="167" fontId="16" fillId="16" borderId="76" xfId="20" applyAlignment="1">
      <alignment horizontal="center" vertical="center"/>
      <protection locked="0"/>
    </xf>
    <xf numFmtId="0" fontId="14" fillId="0" borderId="0" xfId="16" applyBorder="1" applyAlignment="1">
      <alignment horizontal="center" vertical="center"/>
    </xf>
    <xf numFmtId="0" fontId="15" fillId="0" borderId="76" xfId="19" applyFill="1" applyBorder="1" applyAlignment="1">
      <alignment horizontal="center" vertical="center"/>
    </xf>
    <xf numFmtId="167" fontId="16" fillId="16" borderId="77" xfId="20" applyBorder="1" applyAlignment="1">
      <alignment horizontal="center" vertical="center"/>
      <protection locked="0"/>
    </xf>
    <xf numFmtId="167" fontId="16" fillId="16" borderId="101" xfId="20" applyBorder="1" applyAlignment="1">
      <alignment horizontal="center" vertical="center"/>
      <protection locked="0"/>
    </xf>
    <xf numFmtId="167" fontId="16" fillId="16" borderId="102" xfId="20" applyBorder="1" applyAlignment="1">
      <alignment horizontal="center" vertical="center"/>
      <protection locked="0"/>
    </xf>
    <xf numFmtId="0" fontId="30" fillId="13" borderId="10" xfId="9" applyFont="1" applyFill="1" applyBorder="1" applyAlignment="1">
      <alignment horizontal="center" vertical="center"/>
    </xf>
    <xf numFmtId="0" fontId="30" fillId="13" borderId="11" xfId="9" applyFont="1" applyFill="1" applyBorder="1" applyAlignment="1">
      <alignment horizontal="center" vertical="center"/>
    </xf>
    <xf numFmtId="0" fontId="23" fillId="6" borderId="4" xfId="7" applyFont="1" applyFill="1" applyBorder="1" applyAlignment="1">
      <alignment horizontal="left" vertical="top" wrapText="1"/>
    </xf>
    <xf numFmtId="0" fontId="23" fillId="6" borderId="5" xfId="7" applyFont="1" applyFill="1" applyBorder="1" applyAlignment="1">
      <alignment horizontal="left" vertical="top" wrapText="1"/>
    </xf>
    <xf numFmtId="0" fontId="28" fillId="9" borderId="10" xfId="9" applyFont="1" applyFill="1" applyBorder="1" applyAlignment="1">
      <alignment horizontal="center" vertical="center" wrapText="1"/>
    </xf>
    <xf numFmtId="0" fontId="28" fillId="9" borderId="11" xfId="9" applyFont="1" applyFill="1" applyBorder="1" applyAlignment="1">
      <alignment horizontal="center" vertical="center" wrapText="1"/>
    </xf>
    <xf numFmtId="0" fontId="30" fillId="12" borderId="10" xfId="9" applyFont="1" applyFill="1" applyBorder="1" applyAlignment="1">
      <alignment horizontal="center" vertical="center"/>
    </xf>
    <xf numFmtId="0" fontId="30" fillId="12" borderId="11" xfId="9" applyFont="1" applyFill="1" applyBorder="1" applyAlignment="1">
      <alignment horizontal="center" vertical="center"/>
    </xf>
  </cellXfs>
  <cellStyles count="28">
    <cellStyle name="Check RedRedGreen" xfId="11" xr:uid="{F8115F7E-277B-46F9-9FD2-DF283B33F7E1}"/>
    <cellStyle name="Currency 2" xfId="2" xr:uid="{00000000-0005-0000-0000-000001000000}"/>
    <cellStyle name="dms_NUM_0dp" xfId="10" xr:uid="{8E1098E0-53F7-4D54-8E5A-3E606097AB50}"/>
    <cellStyle name="Dropdown" xfId="24" xr:uid="{4B627085-63BC-4ED0-9B84-3F286627BE62}"/>
    <cellStyle name="Heading 1 2" xfId="14" xr:uid="{9355F418-AE00-4521-8E90-C55AA0C833E0}"/>
    <cellStyle name="Heading 2 Input" xfId="15" xr:uid="{FA2A5A58-6C44-46A2-9598-F0E7F0034B32}"/>
    <cellStyle name="Heading 3 Input" xfId="23" xr:uid="{61B3D9E8-1618-442B-9EB0-C6975E3CE73B}"/>
    <cellStyle name="Heading 3 Output" xfId="16" xr:uid="{F9ECD577-A7B3-4549-A9A4-C9D60526352D}"/>
    <cellStyle name="Heading 4 Assumptions" xfId="18" xr:uid="{1616079E-7661-461B-9C0A-F390DABF8810}"/>
    <cellStyle name="Heading 4 Input" xfId="22" xr:uid="{C10A586E-4B2C-4322-890A-3777545B86C8}"/>
    <cellStyle name="Heading 4 Output" xfId="19" xr:uid="{58A21B9B-8467-44C7-81C3-4A0624C10E98}"/>
    <cellStyle name="Hyperlink 2" xfId="26" xr:uid="{444C2F52-6F0E-490B-B024-B49229DD8F2C}"/>
    <cellStyle name="Normal" xfId="0" builtinId="0"/>
    <cellStyle name="Normal 10" xfId="5" xr:uid="{A57221CD-0178-44C6-9C5F-FFE617700F78}"/>
    <cellStyle name="Normal 13" xfId="9" xr:uid="{54E32636-4673-4C36-83EA-1B2D5414C598}"/>
    <cellStyle name="Normal 2" xfId="1" xr:uid="{00000000-0005-0000-0000-000003000000}"/>
    <cellStyle name="Normal 2 2" xfId="13" xr:uid="{DFAFEAC3-9A40-4A49-855A-B493F4DF973B}"/>
    <cellStyle name="Normal 2 2 2" xfId="4" xr:uid="{3C18A3C5-3291-40C9-AF6C-C7B1780DD4DD}"/>
    <cellStyle name="Normal 4" xfId="7" xr:uid="{7FBBF160-8FED-4E26-985A-65BB08E3C6B6}"/>
    <cellStyle name="Not Applicable" xfId="25" xr:uid="{34CF57A0-F4F4-40D1-93ED-727D283331B8}"/>
    <cellStyle name="Number" xfId="17" xr:uid="{C5116AF7-CC26-4B92-A086-8BCDB4CBA7E6}"/>
    <cellStyle name="Number Assumptions" xfId="20" xr:uid="{1334AE07-CA01-45ED-B0AE-EAD63EE5FF0C}"/>
    <cellStyle name="Percent" xfId="3" builtinId="5"/>
    <cellStyle name="Percentage" xfId="21" xr:uid="{B50B3A06-7E1B-4C8E-B35E-C801C1E791AC}"/>
    <cellStyle name="Percentage Assumptions" xfId="27" xr:uid="{49293C88-346C-4287-B8BA-C7BF9DEF7E23}"/>
    <cellStyle name="RIN_TL2" xfId="6" xr:uid="{BA736695-6DC2-42E0-A895-51A844681EBF}"/>
    <cellStyle name="RIN_TL3" xfId="8" xr:uid="{D399E973-F746-418B-A3D7-A11670322435}"/>
    <cellStyle name="Sheet Title Input" xfId="12" xr:uid="{81395ADF-2882-4100-AF1C-C877F7A011A2}"/>
  </cellStyles>
  <dxfs count="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xdr:row>
      <xdr:rowOff>76200</xdr:rowOff>
    </xdr:from>
    <xdr:to>
      <xdr:col>5</xdr:col>
      <xdr:colOff>371750</xdr:colOff>
      <xdr:row>8</xdr:row>
      <xdr:rowOff>104839</xdr:rowOff>
    </xdr:to>
    <xdr:pic>
      <xdr:nvPicPr>
        <xdr:cNvPr id="2" name="Picture 1">
          <a:extLst>
            <a:ext uri="{FF2B5EF4-FFF2-40B4-BE49-F238E27FC236}">
              <a16:creationId xmlns:a16="http://schemas.microsoft.com/office/drawing/2014/main" id="{F41579C4-2038-4995-8A3E-CC6CA9775A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876300"/>
          <a:ext cx="1962425" cy="457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1780</xdr:colOff>
      <xdr:row>4</xdr:row>
      <xdr:rowOff>644</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092393" cy="1524644"/>
          <a:chOff x="165320" y="2985326"/>
          <a:chExt cx="963805" cy="1410158"/>
        </a:xfrm>
      </xdr:grpSpPr>
      <xdr:grpSp>
        <xdr:nvGrpSpPr>
          <xdr:cNvPr id="3" name="Group 2">
            <a:extLst>
              <a:ext uri="{FF2B5EF4-FFF2-40B4-BE49-F238E27FC236}">
                <a16:creationId xmlns:a16="http://schemas.microsoft.com/office/drawing/2014/main" id="{00000000-0008-0000-08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8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8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8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394608</xdr:colOff>
      <xdr:row>0</xdr:row>
      <xdr:rowOff>0</xdr:rowOff>
    </xdr:from>
    <xdr:to>
      <xdr:col>10</xdr:col>
      <xdr:colOff>156645</xdr:colOff>
      <xdr:row>3</xdr:row>
      <xdr:rowOff>12</xdr:rowOff>
    </xdr:to>
    <xdr:grpSp>
      <xdr:nvGrpSpPr>
        <xdr:cNvPr id="8" name="Group 7">
          <a:extLst>
            <a:ext uri="{FF2B5EF4-FFF2-40B4-BE49-F238E27FC236}">
              <a16:creationId xmlns:a16="http://schemas.microsoft.com/office/drawing/2014/main" id="{00000000-0008-0000-0800-000008000000}"/>
            </a:ext>
          </a:extLst>
        </xdr:cNvPr>
        <xdr:cNvGrpSpPr/>
      </xdr:nvGrpSpPr>
      <xdr:grpSpPr>
        <a:xfrm>
          <a:off x="11819846" y="0"/>
          <a:ext cx="6429537" cy="1143012"/>
          <a:chOff x="6257924" y="76200"/>
          <a:chExt cx="5973778" cy="1034035"/>
        </a:xfrm>
      </xdr:grpSpPr>
      <xdr:grpSp>
        <xdr:nvGrpSpPr>
          <xdr:cNvPr id="9" name="Group 8">
            <a:extLst>
              <a:ext uri="{FF2B5EF4-FFF2-40B4-BE49-F238E27FC236}">
                <a16:creationId xmlns:a16="http://schemas.microsoft.com/office/drawing/2014/main" id="{00000000-0008-0000-0800-000009000000}"/>
              </a:ext>
            </a:extLst>
          </xdr:cNvPr>
          <xdr:cNvGrpSpPr/>
        </xdr:nvGrpSpPr>
        <xdr:grpSpPr>
          <a:xfrm>
            <a:off x="6257924" y="94034"/>
            <a:ext cx="1753561" cy="971060"/>
            <a:chOff x="11448892" y="2483864"/>
            <a:chExt cx="1750813" cy="517167"/>
          </a:xfrm>
        </xdr:grpSpPr>
        <xdr:sp macro="[0]!MarkConfidential" textlink="">
          <xdr:nvSpPr>
            <xdr:cNvPr id="16" name="Rounded Rectangle 26">
              <a:extLst>
                <a:ext uri="{FF2B5EF4-FFF2-40B4-BE49-F238E27FC236}">
                  <a16:creationId xmlns:a16="http://schemas.microsoft.com/office/drawing/2014/main" id="{00000000-0008-0000-0800-00001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7" name="Rounded Rectangle 27">
              <a:extLst>
                <a:ext uri="{FF2B5EF4-FFF2-40B4-BE49-F238E27FC236}">
                  <a16:creationId xmlns:a16="http://schemas.microsoft.com/office/drawing/2014/main" id="{00000000-0008-0000-0800-00001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0800-00000A000000}"/>
              </a:ext>
            </a:extLst>
          </xdr:cNvPr>
          <xdr:cNvGrpSpPr/>
        </xdr:nvGrpSpPr>
        <xdr:grpSpPr>
          <a:xfrm>
            <a:off x="9047916" y="76200"/>
            <a:ext cx="3183786" cy="1034035"/>
            <a:chOff x="8959453" y="47625"/>
            <a:chExt cx="3191911" cy="1037397"/>
          </a:xfrm>
        </xdr:grpSpPr>
        <xdr:sp macro="" textlink="">
          <xdr:nvSpPr>
            <xdr:cNvPr id="11" name="Rounded Rectangle 15">
              <a:extLst>
                <a:ext uri="{FF2B5EF4-FFF2-40B4-BE49-F238E27FC236}">
                  <a16:creationId xmlns:a16="http://schemas.microsoft.com/office/drawing/2014/main" id="{00000000-0008-0000-0800-00000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00000000-0008-0000-0800-00000C000000}"/>
                </a:ext>
              </a:extLst>
            </xdr:cNvPr>
            <xdr:cNvGrpSpPr/>
          </xdr:nvGrpSpPr>
          <xdr:grpSpPr>
            <a:xfrm>
              <a:off x="10422881" y="79536"/>
              <a:ext cx="1576451" cy="972629"/>
              <a:chOff x="24351211" y="420304"/>
              <a:chExt cx="1935032" cy="711040"/>
            </a:xfrm>
          </xdr:grpSpPr>
          <xdr:sp macro="[0]!dms_ReturnNonAmended" textlink="">
            <xdr:nvSpPr>
              <xdr:cNvPr id="14" name="Rounded Rectangle 24">
                <a:extLst>
                  <a:ext uri="{FF2B5EF4-FFF2-40B4-BE49-F238E27FC236}">
                    <a16:creationId xmlns:a16="http://schemas.microsoft.com/office/drawing/2014/main" id="{00000000-0008-0000-0800-00000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5">
                <a:extLst>
                  <a:ext uri="{FF2B5EF4-FFF2-40B4-BE49-F238E27FC236}">
                    <a16:creationId xmlns:a16="http://schemas.microsoft.com/office/drawing/2014/main" id="{00000000-0008-0000-0800-00000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3">
              <a:extLst>
                <a:ext uri="{FF2B5EF4-FFF2-40B4-BE49-F238E27FC236}">
                  <a16:creationId xmlns:a16="http://schemas.microsoft.com/office/drawing/2014/main" id="{00000000-0008-0000-0800-00000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313A3-83BB-45E0-B2CF-21AB32C239DB}">
  <sheetPr codeName="Sheet6"/>
  <dimension ref="B2:X32"/>
  <sheetViews>
    <sheetView showGridLines="0" tabSelected="1" zoomScaleNormal="100" workbookViewId="0"/>
  </sheetViews>
  <sheetFormatPr defaultColWidth="7.3984375" defaultRowHeight="10.15" x14ac:dyDescent="0.3"/>
  <cols>
    <col min="1" max="1" width="3.59765625" style="5" customWidth="1"/>
    <col min="2" max="3" width="4.59765625" style="5" customWidth="1"/>
    <col min="4" max="4" width="10" style="5" customWidth="1"/>
    <col min="5" max="5" width="7.3984375" style="5"/>
    <col min="6" max="13" width="8.59765625" style="5" customWidth="1"/>
    <col min="14" max="16384" width="7.3984375" style="5"/>
  </cols>
  <sheetData>
    <row r="2" spans="2:15" ht="11.25" customHeight="1" x14ac:dyDescent="0.3"/>
    <row r="3" spans="2:15" ht="18.75" x14ac:dyDescent="0.3">
      <c r="B3" s="4" t="s">
        <v>294</v>
      </c>
    </row>
    <row r="4" spans="2:15" ht="11.25" customHeight="1" x14ac:dyDescent="0.3"/>
    <row r="5" spans="2:15" ht="11.25" customHeight="1" x14ac:dyDescent="0.3">
      <c r="N5" s="205"/>
      <c r="O5" s="205"/>
    </row>
    <row r="6" spans="2:15" ht="11.25" customHeight="1" x14ac:dyDescent="0.3">
      <c r="N6" s="205"/>
      <c r="O6" s="205"/>
    </row>
    <row r="7" spans="2:15" ht="11.25" customHeight="1" x14ac:dyDescent="0.3">
      <c r="N7" s="205"/>
      <c r="O7" s="205"/>
    </row>
    <row r="8" spans="2:15" ht="11.25" customHeight="1" x14ac:dyDescent="0.3"/>
    <row r="11" spans="2:15" ht="13.15" x14ac:dyDescent="0.3">
      <c r="C11" s="206" t="s">
        <v>177</v>
      </c>
      <c r="F11" s="207" t="s">
        <v>293</v>
      </c>
    </row>
    <row r="13" spans="2:15" ht="13.15" x14ac:dyDescent="0.3">
      <c r="C13" s="208" t="s">
        <v>179</v>
      </c>
    </row>
    <row r="14" spans="2:15" ht="12.75" x14ac:dyDescent="0.3">
      <c r="C14" s="207" t="s">
        <v>180</v>
      </c>
    </row>
    <row r="16" spans="2:15" ht="13.15" x14ac:dyDescent="0.3">
      <c r="C16" s="208" t="s">
        <v>181</v>
      </c>
    </row>
    <row r="18" spans="3:24" x14ac:dyDescent="0.3">
      <c r="C18" s="209"/>
      <c r="D18" s="210"/>
      <c r="E18" s="210"/>
      <c r="F18" s="210"/>
      <c r="G18" s="210"/>
      <c r="H18" s="210"/>
      <c r="I18" s="210"/>
      <c r="J18" s="210"/>
      <c r="K18" s="210"/>
      <c r="L18" s="210"/>
      <c r="M18" s="211"/>
    </row>
    <row r="19" spans="3:24" ht="12.75" x14ac:dyDescent="0.3">
      <c r="C19" s="212"/>
      <c r="D19" s="181" t="s">
        <v>105</v>
      </c>
      <c r="F19" s="213" t="s">
        <v>182</v>
      </c>
      <c r="M19" s="214"/>
    </row>
    <row r="20" spans="3:24" ht="12.75" x14ac:dyDescent="0.3">
      <c r="C20" s="212"/>
      <c r="D20" s="215" t="s">
        <v>183</v>
      </c>
      <c r="F20" s="213" t="s">
        <v>184</v>
      </c>
      <c r="M20" s="214"/>
    </row>
    <row r="21" spans="3:24" ht="13.15" x14ac:dyDescent="0.3">
      <c r="C21" s="212"/>
      <c r="D21" s="216" t="s">
        <v>185</v>
      </c>
      <c r="F21" s="213" t="s">
        <v>186</v>
      </c>
      <c r="M21" s="214"/>
    </row>
    <row r="22" spans="3:24" ht="13.15" x14ac:dyDescent="0.3">
      <c r="C22" s="212"/>
      <c r="D22" s="204" t="s">
        <v>187</v>
      </c>
      <c r="F22" s="213" t="s">
        <v>188</v>
      </c>
      <c r="M22" s="214"/>
    </row>
    <row r="23" spans="3:24" ht="12.75" x14ac:dyDescent="0.3">
      <c r="C23" s="212"/>
      <c r="D23" s="217" t="s">
        <v>189</v>
      </c>
      <c r="F23" s="213" t="s">
        <v>190</v>
      </c>
      <c r="M23" s="214"/>
    </row>
    <row r="24" spans="3:24" ht="12.75" x14ac:dyDescent="0.3">
      <c r="C24" s="212"/>
      <c r="D24" s="218" t="s">
        <v>191</v>
      </c>
      <c r="F24" s="213" t="s">
        <v>192</v>
      </c>
      <c r="M24" s="214"/>
    </row>
    <row r="25" spans="3:24" ht="12.75" x14ac:dyDescent="0.3">
      <c r="C25" s="212"/>
      <c r="D25" s="219"/>
      <c r="F25" s="213" t="s">
        <v>193</v>
      </c>
      <c r="M25" s="214"/>
    </row>
    <row r="26" spans="3:24" ht="12.75" x14ac:dyDescent="0.3">
      <c r="C26" s="212"/>
      <c r="D26" s="220" t="s">
        <v>194</v>
      </c>
      <c r="F26" s="213" t="s">
        <v>195</v>
      </c>
      <c r="M26" s="214"/>
    </row>
    <row r="27" spans="3:24" ht="12.75" x14ac:dyDescent="0.3">
      <c r="C27" s="212"/>
      <c r="D27" s="3">
        <v>1</v>
      </c>
      <c r="F27" s="213" t="s">
        <v>196</v>
      </c>
      <c r="M27" s="214"/>
    </row>
    <row r="28" spans="3:24" ht="12.75" x14ac:dyDescent="0.3">
      <c r="C28" s="212"/>
      <c r="D28" s="3">
        <v>0</v>
      </c>
      <c r="F28" s="213" t="s">
        <v>197</v>
      </c>
      <c r="M28" s="214"/>
    </row>
    <row r="29" spans="3:24" x14ac:dyDescent="0.3">
      <c r="C29" s="221"/>
      <c r="D29" s="222"/>
      <c r="E29" s="222"/>
      <c r="F29" s="222"/>
      <c r="G29" s="222"/>
      <c r="H29" s="222"/>
      <c r="I29" s="222"/>
      <c r="J29" s="222"/>
      <c r="K29" s="222"/>
      <c r="L29" s="222"/>
      <c r="M29" s="223"/>
    </row>
    <row r="31" spans="3:24" ht="13.15" x14ac:dyDescent="0.3">
      <c r="C31" s="208" t="s">
        <v>198</v>
      </c>
      <c r="D31" s="224"/>
    </row>
    <row r="32" spans="3:24" ht="81" customHeight="1" x14ac:dyDescent="0.3">
      <c r="C32" s="257" t="s">
        <v>199</v>
      </c>
      <c r="D32" s="257"/>
      <c r="E32" s="257"/>
      <c r="F32" s="257"/>
      <c r="G32" s="257"/>
      <c r="H32" s="257"/>
      <c r="I32" s="257"/>
      <c r="J32" s="257"/>
      <c r="K32" s="257"/>
      <c r="L32" s="257"/>
      <c r="M32" s="257"/>
      <c r="N32" s="257"/>
      <c r="O32" s="257"/>
      <c r="P32" s="257"/>
      <c r="Q32" s="257"/>
      <c r="R32" s="257"/>
      <c r="S32" s="257"/>
      <c r="T32" s="257"/>
      <c r="U32" s="257"/>
      <c r="V32" s="257"/>
      <c r="W32" s="257"/>
      <c r="X32" s="257"/>
    </row>
  </sheetData>
  <mergeCells count="1">
    <mergeCell ref="C32:X32"/>
  </mergeCells>
  <pageMargins left="0.7" right="0.7" top="0.75" bottom="0.75" header="0.3" footer="0.3"/>
  <pageSetup paperSize="9" scale="7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D4C7D-7B3B-4B26-9E5F-9FF026368C0B}">
  <sheetPr codeName="Sheet9"/>
  <dimension ref="A1:V56"/>
  <sheetViews>
    <sheetView showGridLines="0" zoomScaleNormal="100" workbookViewId="0">
      <pane xSplit="5" ySplit="1" topLeftCell="F2" activePane="bottomRight" state="frozen"/>
      <selection activeCell="I5" sqref="I5"/>
      <selection pane="topRight" activeCell="I5" sqref="I5"/>
      <selection pane="bottomLeft" activeCell="I5" sqref="I5"/>
      <selection pane="bottomRight" activeCell="F2" sqref="F2"/>
    </sheetView>
  </sheetViews>
  <sheetFormatPr defaultColWidth="7.3984375" defaultRowHeight="10.15" x14ac:dyDescent="0.3"/>
  <cols>
    <col min="1" max="1" width="2.6640625" style="140" customWidth="1"/>
    <col min="2" max="2" width="2.265625" style="140" customWidth="1"/>
    <col min="3" max="3" width="5.265625" style="140" customWidth="1"/>
    <col min="4" max="4" width="28.86328125" style="140" customWidth="1"/>
    <col min="5" max="5" width="47.33203125" style="140" customWidth="1"/>
    <col min="6" max="8" width="12.59765625" style="140" customWidth="1"/>
    <col min="9" max="18" width="10.1328125" style="140" customWidth="1"/>
    <col min="19" max="19" width="7.3984375" style="140"/>
    <col min="20" max="20" width="10.1328125" style="140" customWidth="1"/>
    <col min="21" max="26" width="7.3984375" style="140"/>
    <col min="27" max="30" width="10.3984375" style="140" customWidth="1"/>
    <col min="31" max="16384" width="7.3984375" style="140"/>
  </cols>
  <sheetData>
    <row r="1" spans="1:20" ht="18.75" x14ac:dyDescent="0.3">
      <c r="A1" s="138">
        <f ca="1">IF(SUM($A3:$A56)&gt;0,1,0)</f>
        <v>0</v>
      </c>
      <c r="B1" s="139" t="s">
        <v>152</v>
      </c>
    </row>
    <row r="3" spans="1:20" s="141" customFormat="1" ht="15" x14ac:dyDescent="0.45">
      <c r="B3" s="141" t="s">
        <v>102</v>
      </c>
    </row>
    <row r="4" spans="1:20" s="5" customFormat="1" ht="11.25" customHeight="1" x14ac:dyDescent="0.3"/>
    <row r="5" spans="1:20" s="142" customFormat="1" ht="13.9" x14ac:dyDescent="0.45">
      <c r="C5" s="142" t="s">
        <v>105</v>
      </c>
    </row>
    <row r="6" spans="1:20" ht="11.25" customHeight="1" x14ac:dyDescent="0.3"/>
    <row r="7" spans="1:20" ht="13.15" x14ac:dyDescent="0.3">
      <c r="D7" s="144" t="s">
        <v>103</v>
      </c>
      <c r="E7" s="144"/>
      <c r="F7" s="145" t="s">
        <v>17</v>
      </c>
      <c r="G7" s="145" t="s">
        <v>83</v>
      </c>
      <c r="H7" s="145" t="s">
        <v>84</v>
      </c>
      <c r="I7" s="10" t="str">
        <f>Lookups!H$11</f>
        <v>FY22</v>
      </c>
      <c r="J7" s="10" t="str">
        <f>Lookups!I$11</f>
        <v>FY23</v>
      </c>
      <c r="K7" s="10" t="str">
        <f>Lookups!J$11</f>
        <v>FY24</v>
      </c>
    </row>
    <row r="8" spans="1:20" ht="12.75" x14ac:dyDescent="0.3">
      <c r="C8" s="146"/>
      <c r="D8" s="164" t="s">
        <v>104</v>
      </c>
      <c r="E8" s="164"/>
      <c r="F8" s="165" t="s">
        <v>87</v>
      </c>
      <c r="G8" s="148" t="s">
        <v>16</v>
      </c>
      <c r="H8" s="148" t="s">
        <v>16</v>
      </c>
      <c r="I8" s="166">
        <v>0.2</v>
      </c>
      <c r="J8" s="166">
        <v>0.2</v>
      </c>
      <c r="K8" s="166">
        <v>0.2</v>
      </c>
    </row>
    <row r="9" spans="1:20" ht="11.25" customHeight="1" x14ac:dyDescent="0.3">
      <c r="T9" s="148"/>
    </row>
    <row r="10" spans="1:20" s="142" customFormat="1" ht="13.9" x14ac:dyDescent="0.45">
      <c r="C10" s="7" t="s">
        <v>155</v>
      </c>
    </row>
    <row r="11" spans="1:20" ht="11.25" customHeight="1" x14ac:dyDescent="0.3"/>
    <row r="12" spans="1:20" ht="26.25" x14ac:dyDescent="0.3">
      <c r="C12" s="143" t="s">
        <v>81</v>
      </c>
      <c r="D12" s="9" t="s">
        <v>100</v>
      </c>
      <c r="E12" s="145" t="s">
        <v>99</v>
      </c>
      <c r="F12" s="145" t="s">
        <v>17</v>
      </c>
      <c r="G12" s="145" t="s">
        <v>83</v>
      </c>
      <c r="H12" s="145" t="s">
        <v>84</v>
      </c>
      <c r="J12" s="10" t="str">
        <f>Lookups!I$11</f>
        <v>FY23</v>
      </c>
      <c r="K12" s="10" t="str">
        <f>Lookups!J$11</f>
        <v>FY24</v>
      </c>
      <c r="L12" s="11" t="str">
        <f>Lookups!K$11</f>
        <v>FY25</v>
      </c>
      <c r="M12" s="10" t="str">
        <f>Lookups!L$11</f>
        <v>FY26</v>
      </c>
      <c r="N12" s="10" t="str">
        <f>Lookups!M$11</f>
        <v>FY27</v>
      </c>
      <c r="O12" s="10" t="str">
        <f>Lookups!N$11</f>
        <v>FY28</v>
      </c>
      <c r="P12" s="12" t="str">
        <f>Lookups!O$11</f>
        <v>FY29</v>
      </c>
      <c r="Q12" s="10" t="str">
        <f>Lookups!Q$11</f>
        <v>Total FY25 to FY29</v>
      </c>
    </row>
    <row r="13" spans="1:20" ht="12.75" x14ac:dyDescent="0.3">
      <c r="C13" s="146">
        <f>N(C12)+1</f>
        <v>1</v>
      </c>
      <c r="D13" s="137" t="str">
        <f>Lookups!$D$41</f>
        <v>Substations</v>
      </c>
      <c r="E13" s="14" t="s">
        <v>157</v>
      </c>
      <c r="F13" s="14" t="str">
        <f t="shared" ref="F13:F30" si="0">Input_Unit</f>
        <v>$Millions</v>
      </c>
      <c r="G13" s="14" t="str">
        <f t="shared" ref="G13:G30" si="1">Input_Dollar_Basis</f>
        <v>Real $2021</v>
      </c>
      <c r="H13" s="14" t="str">
        <f t="shared" ref="H13:H30" si="2">End_Period</f>
        <v>End of Period</v>
      </c>
      <c r="J13" s="171">
        <f t="shared" ref="J13:P22" ca="1" si="3">SUMIF($R$39:$T$52,$D13,J$39:J$52)/10^6</f>
        <v>0</v>
      </c>
      <c r="K13" s="169">
        <f t="shared" ca="1" si="3"/>
        <v>0</v>
      </c>
      <c r="L13" s="170">
        <f t="shared" ca="1" si="3"/>
        <v>0</v>
      </c>
      <c r="M13" s="171">
        <f t="shared" ca="1" si="3"/>
        <v>0</v>
      </c>
      <c r="N13" s="171">
        <f t="shared" ca="1" si="3"/>
        <v>0</v>
      </c>
      <c r="O13" s="171">
        <f t="shared" ca="1" si="3"/>
        <v>0</v>
      </c>
      <c r="P13" s="172">
        <f t="shared" ca="1" si="3"/>
        <v>0</v>
      </c>
      <c r="Q13" s="21">
        <f t="shared" ref="Q13:Q30" ca="1" si="4">SUM(L13:P13)</f>
        <v>0</v>
      </c>
    </row>
    <row r="14" spans="1:20" ht="12.75" x14ac:dyDescent="0.3">
      <c r="C14" s="146">
        <f t="shared" ref="C14:C30" si="5">N(C13)+1</f>
        <v>2</v>
      </c>
      <c r="D14" s="137" t="str">
        <f>Lookups!$D$42</f>
        <v>Distribution Lines</v>
      </c>
      <c r="E14" s="14" t="s">
        <v>157</v>
      </c>
      <c r="F14" s="14" t="str">
        <f t="shared" si="0"/>
        <v>$Millions</v>
      </c>
      <c r="G14" s="14" t="str">
        <f t="shared" si="1"/>
        <v>Real $2021</v>
      </c>
      <c r="H14" s="14" t="str">
        <f t="shared" si="2"/>
        <v>End of Period</v>
      </c>
      <c r="J14" s="171">
        <f t="shared" ca="1" si="3"/>
        <v>0.50668216686962175</v>
      </c>
      <c r="K14" s="169">
        <f t="shared" ca="1" si="3"/>
        <v>0.5151531209447523</v>
      </c>
      <c r="L14" s="170">
        <f t="shared" ca="1" si="3"/>
        <v>5.1096131161547681E-2</v>
      </c>
      <c r="M14" s="171">
        <f t="shared" ca="1" si="3"/>
        <v>5.1096131161547681E-2</v>
      </c>
      <c r="N14" s="171">
        <f t="shared" ca="1" si="3"/>
        <v>5.1096131161547681E-2</v>
      </c>
      <c r="O14" s="171">
        <f t="shared" ca="1" si="3"/>
        <v>5.1096131161547681E-2</v>
      </c>
      <c r="P14" s="172">
        <f t="shared" ca="1" si="3"/>
        <v>5.1096131161547681E-2</v>
      </c>
      <c r="Q14" s="21">
        <f t="shared" ca="1" si="4"/>
        <v>0.25548065580773838</v>
      </c>
    </row>
    <row r="15" spans="1:20" ht="12.75" x14ac:dyDescent="0.3">
      <c r="C15" s="146">
        <f t="shared" si="5"/>
        <v>3</v>
      </c>
      <c r="D15" s="137" t="str">
        <f>Lookups!$D$43</f>
        <v>Transmission Lines</v>
      </c>
      <c r="E15" s="14" t="s">
        <v>157</v>
      </c>
      <c r="F15" s="14" t="str">
        <f t="shared" si="0"/>
        <v>$Millions</v>
      </c>
      <c r="G15" s="14" t="str">
        <f t="shared" si="1"/>
        <v>Real $2021</v>
      </c>
      <c r="H15" s="14" t="str">
        <f t="shared" si="2"/>
        <v>End of Period</v>
      </c>
      <c r="J15" s="171">
        <f t="shared" ca="1" si="3"/>
        <v>0</v>
      </c>
      <c r="K15" s="169">
        <f t="shared" ca="1" si="3"/>
        <v>0</v>
      </c>
      <c r="L15" s="170">
        <f t="shared" ca="1" si="3"/>
        <v>0</v>
      </c>
      <c r="M15" s="171">
        <f t="shared" ca="1" si="3"/>
        <v>0</v>
      </c>
      <c r="N15" s="171">
        <f t="shared" ca="1" si="3"/>
        <v>0</v>
      </c>
      <c r="O15" s="171">
        <f t="shared" ca="1" si="3"/>
        <v>0</v>
      </c>
      <c r="P15" s="172">
        <f t="shared" ca="1" si="3"/>
        <v>0</v>
      </c>
      <c r="Q15" s="21">
        <f t="shared" ca="1" si="4"/>
        <v>0</v>
      </c>
    </row>
    <row r="16" spans="1:20" ht="12.75" x14ac:dyDescent="0.3">
      <c r="C16" s="146">
        <f t="shared" si="5"/>
        <v>4</v>
      </c>
      <c r="D16" s="137" t="str">
        <f>Lookups!$D$44</f>
        <v>LV Services</v>
      </c>
      <c r="E16" s="14" t="s">
        <v>157</v>
      </c>
      <c r="F16" s="14" t="str">
        <f t="shared" si="0"/>
        <v>$Millions</v>
      </c>
      <c r="G16" s="14" t="str">
        <f t="shared" si="1"/>
        <v>Real $2021</v>
      </c>
      <c r="H16" s="14" t="str">
        <f t="shared" si="2"/>
        <v>End of Period</v>
      </c>
      <c r="J16" s="171">
        <f t="shared" ca="1" si="3"/>
        <v>0.14548835792610851</v>
      </c>
      <c r="K16" s="169">
        <f t="shared" ca="1" si="3"/>
        <v>0.14650690802946562</v>
      </c>
      <c r="L16" s="170">
        <f t="shared" ca="1" si="3"/>
        <v>0.10612964596105277</v>
      </c>
      <c r="M16" s="171">
        <f t="shared" ca="1" si="3"/>
        <v>0.10678336997578304</v>
      </c>
      <c r="N16" s="171">
        <f t="shared" ca="1" si="3"/>
        <v>0.10745312207587296</v>
      </c>
      <c r="O16" s="171">
        <f t="shared" ca="1" si="3"/>
        <v>0.1081393299001613</v>
      </c>
      <c r="P16" s="172">
        <f t="shared" ca="1" si="3"/>
        <v>0.1088424326719053</v>
      </c>
      <c r="Q16" s="21">
        <f t="shared" ca="1" si="4"/>
        <v>0.53734790058477533</v>
      </c>
    </row>
    <row r="17" spans="3:17" ht="12.75" x14ac:dyDescent="0.3">
      <c r="C17" s="146">
        <f t="shared" si="5"/>
        <v>5</v>
      </c>
      <c r="D17" s="137" t="str">
        <f>Lookups!$D$45</f>
        <v>Distribution Substations</v>
      </c>
      <c r="E17" s="14" t="s">
        <v>157</v>
      </c>
      <c r="F17" s="14" t="str">
        <f t="shared" si="0"/>
        <v>$Millions</v>
      </c>
      <c r="G17" s="14" t="str">
        <f t="shared" si="1"/>
        <v>Real $2021</v>
      </c>
      <c r="H17" s="14" t="str">
        <f t="shared" si="2"/>
        <v>End of Period</v>
      </c>
      <c r="J17" s="171">
        <f t="shared" ca="1" si="3"/>
        <v>0</v>
      </c>
      <c r="K17" s="169">
        <f t="shared" ca="1" si="3"/>
        <v>0</v>
      </c>
      <c r="L17" s="170">
        <f t="shared" ca="1" si="3"/>
        <v>0</v>
      </c>
      <c r="M17" s="171">
        <f t="shared" ca="1" si="3"/>
        <v>0</v>
      </c>
      <c r="N17" s="171">
        <f t="shared" ca="1" si="3"/>
        <v>0</v>
      </c>
      <c r="O17" s="171">
        <f t="shared" ca="1" si="3"/>
        <v>0</v>
      </c>
      <c r="P17" s="172">
        <f t="shared" ca="1" si="3"/>
        <v>0</v>
      </c>
      <c r="Q17" s="21">
        <f t="shared" ca="1" si="4"/>
        <v>0</v>
      </c>
    </row>
    <row r="18" spans="3:17" ht="12.75" x14ac:dyDescent="0.3">
      <c r="C18" s="146">
        <f t="shared" si="5"/>
        <v>6</v>
      </c>
      <c r="D18" s="137" t="str">
        <f>Lookups!$D$46</f>
        <v>Distribution Switchgear</v>
      </c>
      <c r="E18" s="14" t="s">
        <v>157</v>
      </c>
      <c r="F18" s="14" t="str">
        <f t="shared" si="0"/>
        <v>$Millions</v>
      </c>
      <c r="G18" s="14" t="str">
        <f t="shared" si="1"/>
        <v>Real $2021</v>
      </c>
      <c r="H18" s="14" t="str">
        <f t="shared" si="2"/>
        <v>End of Period</v>
      </c>
      <c r="J18" s="171">
        <f t="shared" ca="1" si="3"/>
        <v>0</v>
      </c>
      <c r="K18" s="169">
        <f t="shared" ca="1" si="3"/>
        <v>0</v>
      </c>
      <c r="L18" s="170">
        <f t="shared" ca="1" si="3"/>
        <v>0</v>
      </c>
      <c r="M18" s="171">
        <f t="shared" ca="1" si="3"/>
        <v>0</v>
      </c>
      <c r="N18" s="171">
        <f t="shared" ca="1" si="3"/>
        <v>0</v>
      </c>
      <c r="O18" s="171">
        <f t="shared" ca="1" si="3"/>
        <v>0</v>
      </c>
      <c r="P18" s="172">
        <f t="shared" ca="1" si="3"/>
        <v>0</v>
      </c>
      <c r="Q18" s="21">
        <f t="shared" ca="1" si="4"/>
        <v>0</v>
      </c>
    </row>
    <row r="19" spans="3:17" ht="12.75" x14ac:dyDescent="0.3">
      <c r="C19" s="146">
        <f t="shared" si="5"/>
        <v>7</v>
      </c>
      <c r="D19" s="137" t="str">
        <f>Lookups!$D$47</f>
        <v>Protection</v>
      </c>
      <c r="E19" s="14" t="s">
        <v>157</v>
      </c>
      <c r="F19" s="14" t="str">
        <f t="shared" si="0"/>
        <v>$Millions</v>
      </c>
      <c r="G19" s="14" t="str">
        <f t="shared" si="1"/>
        <v>Real $2021</v>
      </c>
      <c r="H19" s="14" t="str">
        <f t="shared" si="2"/>
        <v>End of Period</v>
      </c>
      <c r="J19" s="171">
        <f t="shared" ca="1" si="3"/>
        <v>0</v>
      </c>
      <c r="K19" s="169">
        <f t="shared" ca="1" si="3"/>
        <v>0</v>
      </c>
      <c r="L19" s="170">
        <f t="shared" ca="1" si="3"/>
        <v>0</v>
      </c>
      <c r="M19" s="171">
        <f t="shared" ca="1" si="3"/>
        <v>0</v>
      </c>
      <c r="N19" s="171">
        <f t="shared" ca="1" si="3"/>
        <v>0</v>
      </c>
      <c r="O19" s="171">
        <f t="shared" ca="1" si="3"/>
        <v>0</v>
      </c>
      <c r="P19" s="172">
        <f t="shared" ca="1" si="3"/>
        <v>0</v>
      </c>
      <c r="Q19" s="21">
        <f t="shared" ca="1" si="4"/>
        <v>0</v>
      </c>
    </row>
    <row r="20" spans="3:17" ht="12.75" x14ac:dyDescent="0.3">
      <c r="C20" s="146">
        <f t="shared" si="5"/>
        <v>8</v>
      </c>
      <c r="D20" s="137" t="str">
        <f>Lookups!$D$48</f>
        <v>SCADA</v>
      </c>
      <c r="E20" s="14" t="s">
        <v>157</v>
      </c>
      <c r="F20" s="14" t="str">
        <f t="shared" si="0"/>
        <v>$Millions</v>
      </c>
      <c r="G20" s="14" t="str">
        <f t="shared" si="1"/>
        <v>Real $2021</v>
      </c>
      <c r="H20" s="14" t="str">
        <f t="shared" si="2"/>
        <v>End of Period</v>
      </c>
      <c r="J20" s="171">
        <f t="shared" ca="1" si="3"/>
        <v>0</v>
      </c>
      <c r="K20" s="169">
        <f t="shared" ca="1" si="3"/>
        <v>0</v>
      </c>
      <c r="L20" s="170">
        <f t="shared" ca="1" si="3"/>
        <v>0</v>
      </c>
      <c r="M20" s="171">
        <f t="shared" ca="1" si="3"/>
        <v>0</v>
      </c>
      <c r="N20" s="171">
        <f t="shared" ca="1" si="3"/>
        <v>0</v>
      </c>
      <c r="O20" s="171">
        <f t="shared" ca="1" si="3"/>
        <v>0</v>
      </c>
      <c r="P20" s="172">
        <f t="shared" ca="1" si="3"/>
        <v>0</v>
      </c>
      <c r="Q20" s="21">
        <f t="shared" ca="1" si="4"/>
        <v>0</v>
      </c>
    </row>
    <row r="21" spans="3:17" ht="12.75" x14ac:dyDescent="0.3">
      <c r="C21" s="146">
        <f t="shared" si="5"/>
        <v>9</v>
      </c>
      <c r="D21" s="137" t="str">
        <f>Lookups!$D$49</f>
        <v>Communications</v>
      </c>
      <c r="E21" s="14" t="s">
        <v>157</v>
      </c>
      <c r="F21" s="14" t="str">
        <f t="shared" si="0"/>
        <v>$Millions</v>
      </c>
      <c r="G21" s="14" t="str">
        <f t="shared" si="1"/>
        <v>Real $2021</v>
      </c>
      <c r="H21" s="14" t="str">
        <f t="shared" si="2"/>
        <v>End of Period</v>
      </c>
      <c r="J21" s="171">
        <f t="shared" ca="1" si="3"/>
        <v>0</v>
      </c>
      <c r="K21" s="169">
        <f t="shared" ca="1" si="3"/>
        <v>0</v>
      </c>
      <c r="L21" s="170">
        <f t="shared" ca="1" si="3"/>
        <v>0</v>
      </c>
      <c r="M21" s="171">
        <f t="shared" ca="1" si="3"/>
        <v>0</v>
      </c>
      <c r="N21" s="171">
        <f t="shared" ca="1" si="3"/>
        <v>0</v>
      </c>
      <c r="O21" s="171">
        <f t="shared" ca="1" si="3"/>
        <v>0</v>
      </c>
      <c r="P21" s="172">
        <f t="shared" ca="1" si="3"/>
        <v>0</v>
      </c>
      <c r="Q21" s="21">
        <f t="shared" ca="1" si="4"/>
        <v>0</v>
      </c>
    </row>
    <row r="22" spans="3:17" ht="12.75" x14ac:dyDescent="0.3">
      <c r="C22" s="146">
        <f t="shared" si="5"/>
        <v>10</v>
      </c>
      <c r="D22" s="137" t="str">
        <f>Lookups!$D$50</f>
        <v>Land and Easements</v>
      </c>
      <c r="E22" s="14" t="s">
        <v>157</v>
      </c>
      <c r="F22" s="14" t="str">
        <f t="shared" si="0"/>
        <v>$Millions</v>
      </c>
      <c r="G22" s="14" t="str">
        <f t="shared" si="1"/>
        <v>Real $2021</v>
      </c>
      <c r="H22" s="14" t="str">
        <f t="shared" si="2"/>
        <v>End of Period</v>
      </c>
      <c r="J22" s="171">
        <f t="shared" ca="1" si="3"/>
        <v>0</v>
      </c>
      <c r="K22" s="169">
        <f t="shared" ca="1" si="3"/>
        <v>0</v>
      </c>
      <c r="L22" s="170">
        <f t="shared" ca="1" si="3"/>
        <v>0</v>
      </c>
      <c r="M22" s="171">
        <f t="shared" ca="1" si="3"/>
        <v>0</v>
      </c>
      <c r="N22" s="171">
        <f t="shared" ca="1" si="3"/>
        <v>0</v>
      </c>
      <c r="O22" s="171">
        <f t="shared" ca="1" si="3"/>
        <v>0</v>
      </c>
      <c r="P22" s="172">
        <f t="shared" ca="1" si="3"/>
        <v>0</v>
      </c>
      <c r="Q22" s="21">
        <f t="shared" ca="1" si="4"/>
        <v>0</v>
      </c>
    </row>
    <row r="23" spans="3:17" ht="12.75" x14ac:dyDescent="0.3">
      <c r="C23" s="146">
        <f t="shared" si="5"/>
        <v>11</v>
      </c>
      <c r="D23" s="137" t="str">
        <f>Lookups!$D$51</f>
        <v>Property</v>
      </c>
      <c r="E23" s="14" t="s">
        <v>157</v>
      </c>
      <c r="F23" s="14" t="str">
        <f t="shared" si="0"/>
        <v>$Millions</v>
      </c>
      <c r="G23" s="14" t="str">
        <f t="shared" si="1"/>
        <v>Real $2021</v>
      </c>
      <c r="H23" s="14" t="str">
        <f t="shared" si="2"/>
        <v>End of Period</v>
      </c>
      <c r="J23" s="171">
        <f t="shared" ref="J23:P30" ca="1" si="6">SUMIF($R$39:$T$52,$D23,J$39:J$52)/10^6</f>
        <v>0</v>
      </c>
      <c r="K23" s="169">
        <f t="shared" ca="1" si="6"/>
        <v>0</v>
      </c>
      <c r="L23" s="170">
        <f t="shared" ca="1" si="6"/>
        <v>0</v>
      </c>
      <c r="M23" s="171">
        <f t="shared" ca="1" si="6"/>
        <v>0</v>
      </c>
      <c r="N23" s="171">
        <f t="shared" ca="1" si="6"/>
        <v>0</v>
      </c>
      <c r="O23" s="171">
        <f t="shared" ca="1" si="6"/>
        <v>0</v>
      </c>
      <c r="P23" s="172">
        <f t="shared" ca="1" si="6"/>
        <v>0</v>
      </c>
      <c r="Q23" s="21">
        <f t="shared" ca="1" si="4"/>
        <v>0</v>
      </c>
    </row>
    <row r="24" spans="3:17" ht="12.75" x14ac:dyDescent="0.3">
      <c r="C24" s="146">
        <f t="shared" si="5"/>
        <v>12</v>
      </c>
      <c r="D24" s="137" t="str">
        <f>Lookups!$D$52</f>
        <v>IT and Communications</v>
      </c>
      <c r="E24" s="14" t="s">
        <v>157</v>
      </c>
      <c r="F24" s="14" t="str">
        <f t="shared" si="0"/>
        <v>$Millions</v>
      </c>
      <c r="G24" s="14" t="str">
        <f t="shared" si="1"/>
        <v>Real $2021</v>
      </c>
      <c r="H24" s="14" t="str">
        <f t="shared" si="2"/>
        <v>End of Period</v>
      </c>
      <c r="J24" s="171">
        <f t="shared" ca="1" si="6"/>
        <v>0</v>
      </c>
      <c r="K24" s="169">
        <f t="shared" ca="1" si="6"/>
        <v>0</v>
      </c>
      <c r="L24" s="170">
        <f t="shared" ca="1" si="6"/>
        <v>0</v>
      </c>
      <c r="M24" s="171">
        <f t="shared" ca="1" si="6"/>
        <v>0</v>
      </c>
      <c r="N24" s="171">
        <f t="shared" ca="1" si="6"/>
        <v>0</v>
      </c>
      <c r="O24" s="171">
        <f t="shared" ca="1" si="6"/>
        <v>0</v>
      </c>
      <c r="P24" s="172">
        <f t="shared" ca="1" si="6"/>
        <v>0</v>
      </c>
      <c r="Q24" s="21">
        <f t="shared" ca="1" si="4"/>
        <v>0</v>
      </c>
    </row>
    <row r="25" spans="3:17" ht="12.75" x14ac:dyDescent="0.3">
      <c r="C25" s="146">
        <f t="shared" si="5"/>
        <v>13</v>
      </c>
      <c r="D25" s="137" t="str">
        <f>Lookups!$D$53</f>
        <v>Motor Vehicles</v>
      </c>
      <c r="E25" s="14" t="s">
        <v>157</v>
      </c>
      <c r="F25" s="14" t="str">
        <f t="shared" si="0"/>
        <v>$Millions</v>
      </c>
      <c r="G25" s="14" t="str">
        <f t="shared" si="1"/>
        <v>Real $2021</v>
      </c>
      <c r="H25" s="14" t="str">
        <f t="shared" si="2"/>
        <v>End of Period</v>
      </c>
      <c r="J25" s="171">
        <f t="shared" ca="1" si="6"/>
        <v>0</v>
      </c>
      <c r="K25" s="169">
        <f t="shared" ca="1" si="6"/>
        <v>0</v>
      </c>
      <c r="L25" s="170">
        <f t="shared" ca="1" si="6"/>
        <v>0</v>
      </c>
      <c r="M25" s="171">
        <f t="shared" ca="1" si="6"/>
        <v>0</v>
      </c>
      <c r="N25" s="171">
        <f t="shared" ca="1" si="6"/>
        <v>0</v>
      </c>
      <c r="O25" s="171">
        <f t="shared" ca="1" si="6"/>
        <v>0</v>
      </c>
      <c r="P25" s="172">
        <f t="shared" ca="1" si="6"/>
        <v>0</v>
      </c>
      <c r="Q25" s="21">
        <f t="shared" ca="1" si="4"/>
        <v>0</v>
      </c>
    </row>
    <row r="26" spans="3:17" ht="12.75" x14ac:dyDescent="0.3">
      <c r="C26" s="146">
        <f t="shared" si="5"/>
        <v>14</v>
      </c>
      <c r="D26" s="137" t="str">
        <f>Lookups!$D$54</f>
        <v>Plant and Equipment</v>
      </c>
      <c r="E26" s="14" t="s">
        <v>157</v>
      </c>
      <c r="F26" s="14" t="str">
        <f t="shared" si="0"/>
        <v>$Millions</v>
      </c>
      <c r="G26" s="14" t="str">
        <f t="shared" si="1"/>
        <v>Real $2021</v>
      </c>
      <c r="H26" s="14" t="str">
        <f t="shared" si="2"/>
        <v>End of Period</v>
      </c>
      <c r="J26" s="171">
        <f t="shared" ca="1" si="6"/>
        <v>0</v>
      </c>
      <c r="K26" s="169">
        <f t="shared" ca="1" si="6"/>
        <v>0</v>
      </c>
      <c r="L26" s="170">
        <f t="shared" ca="1" si="6"/>
        <v>0</v>
      </c>
      <c r="M26" s="171">
        <f t="shared" ca="1" si="6"/>
        <v>0</v>
      </c>
      <c r="N26" s="171">
        <f t="shared" ca="1" si="6"/>
        <v>0</v>
      </c>
      <c r="O26" s="171">
        <f t="shared" ca="1" si="6"/>
        <v>0</v>
      </c>
      <c r="P26" s="172">
        <f t="shared" ca="1" si="6"/>
        <v>0</v>
      </c>
      <c r="Q26" s="21">
        <f t="shared" ca="1" si="4"/>
        <v>0</v>
      </c>
    </row>
    <row r="27" spans="3:17" ht="12.75" x14ac:dyDescent="0.3">
      <c r="C27" s="146">
        <f t="shared" si="5"/>
        <v>15</v>
      </c>
      <c r="D27" s="137" t="str">
        <f>Lookups!$D$55</f>
        <v>Property Leases</v>
      </c>
      <c r="E27" s="14" t="s">
        <v>157</v>
      </c>
      <c r="F27" s="14" t="str">
        <f t="shared" si="0"/>
        <v>$Millions</v>
      </c>
      <c r="G27" s="14" t="str">
        <f t="shared" si="1"/>
        <v>Real $2021</v>
      </c>
      <c r="H27" s="14" t="str">
        <f t="shared" si="2"/>
        <v>End of Period</v>
      </c>
      <c r="J27" s="171">
        <f t="shared" ca="1" si="6"/>
        <v>0</v>
      </c>
      <c r="K27" s="169">
        <f t="shared" ca="1" si="6"/>
        <v>0</v>
      </c>
      <c r="L27" s="170">
        <f t="shared" ca="1" si="6"/>
        <v>0</v>
      </c>
      <c r="M27" s="171">
        <f t="shared" ca="1" si="6"/>
        <v>0</v>
      </c>
      <c r="N27" s="171">
        <f t="shared" ca="1" si="6"/>
        <v>0</v>
      </c>
      <c r="O27" s="171">
        <f t="shared" ca="1" si="6"/>
        <v>0</v>
      </c>
      <c r="P27" s="172">
        <f t="shared" ca="1" si="6"/>
        <v>0</v>
      </c>
      <c r="Q27" s="21">
        <f t="shared" ca="1" si="4"/>
        <v>0</v>
      </c>
    </row>
    <row r="28" spans="3:17" ht="12.75" x14ac:dyDescent="0.3">
      <c r="C28" s="146">
        <f t="shared" si="5"/>
        <v>16</v>
      </c>
      <c r="D28" s="137" t="str">
        <f>Lookups!$D$56</f>
        <v>Fleet Leases</v>
      </c>
      <c r="E28" s="14" t="s">
        <v>157</v>
      </c>
      <c r="F28" s="14" t="str">
        <f t="shared" si="0"/>
        <v>$Millions</v>
      </c>
      <c r="G28" s="14" t="str">
        <f t="shared" si="1"/>
        <v>Real $2021</v>
      </c>
      <c r="H28" s="14" t="str">
        <f t="shared" si="2"/>
        <v>End of Period</v>
      </c>
      <c r="J28" s="171">
        <f t="shared" ca="1" si="6"/>
        <v>0</v>
      </c>
      <c r="K28" s="169">
        <f t="shared" ca="1" si="6"/>
        <v>0</v>
      </c>
      <c r="L28" s="170">
        <f t="shared" ca="1" si="6"/>
        <v>0</v>
      </c>
      <c r="M28" s="171">
        <f t="shared" ca="1" si="6"/>
        <v>0</v>
      </c>
      <c r="N28" s="171">
        <f t="shared" ca="1" si="6"/>
        <v>0</v>
      </c>
      <c r="O28" s="171">
        <f t="shared" ca="1" si="6"/>
        <v>0</v>
      </c>
      <c r="P28" s="172">
        <f t="shared" ca="1" si="6"/>
        <v>0</v>
      </c>
      <c r="Q28" s="21">
        <f t="shared" ca="1" si="4"/>
        <v>0</v>
      </c>
    </row>
    <row r="29" spans="3:17" ht="12.75" x14ac:dyDescent="0.3">
      <c r="C29" s="146">
        <f t="shared" si="5"/>
        <v>17</v>
      </c>
      <c r="D29" s="137" t="str">
        <f>Lookups!$D$57</f>
        <v>Buildings</v>
      </c>
      <c r="E29" s="14" t="s">
        <v>157</v>
      </c>
      <c r="F29" s="14" t="str">
        <f t="shared" si="0"/>
        <v>$Millions</v>
      </c>
      <c r="G29" s="14" t="str">
        <f t="shared" si="1"/>
        <v>Real $2021</v>
      </c>
      <c r="H29" s="14" t="str">
        <f t="shared" si="2"/>
        <v>End of Period</v>
      </c>
      <c r="J29" s="171">
        <f t="shared" ca="1" si="6"/>
        <v>0</v>
      </c>
      <c r="K29" s="169">
        <f t="shared" ca="1" si="6"/>
        <v>0</v>
      </c>
      <c r="L29" s="170">
        <f t="shared" ca="1" si="6"/>
        <v>0</v>
      </c>
      <c r="M29" s="171">
        <f t="shared" ca="1" si="6"/>
        <v>0</v>
      </c>
      <c r="N29" s="171">
        <f t="shared" ca="1" si="6"/>
        <v>0</v>
      </c>
      <c r="O29" s="171">
        <f t="shared" ca="1" si="6"/>
        <v>0</v>
      </c>
      <c r="P29" s="172">
        <f t="shared" ca="1" si="6"/>
        <v>0</v>
      </c>
      <c r="Q29" s="21">
        <f t="shared" ca="1" si="4"/>
        <v>0</v>
      </c>
    </row>
    <row r="30" spans="3:17" ht="12.75" x14ac:dyDescent="0.3">
      <c r="C30" s="146">
        <f t="shared" si="5"/>
        <v>18</v>
      </c>
      <c r="D30" s="137" t="str">
        <f>Lookups!$D$58</f>
        <v>In-house Software</v>
      </c>
      <c r="E30" s="14" t="s">
        <v>157</v>
      </c>
      <c r="F30" s="14" t="str">
        <f t="shared" si="0"/>
        <v>$Millions</v>
      </c>
      <c r="G30" s="14" t="str">
        <f t="shared" si="1"/>
        <v>Real $2021</v>
      </c>
      <c r="H30" s="14" t="str">
        <f t="shared" si="2"/>
        <v>End of Period</v>
      </c>
      <c r="J30" s="171">
        <f t="shared" ca="1" si="6"/>
        <v>0</v>
      </c>
      <c r="K30" s="169">
        <f t="shared" ca="1" si="6"/>
        <v>0</v>
      </c>
      <c r="L30" s="170">
        <f t="shared" ca="1" si="6"/>
        <v>0</v>
      </c>
      <c r="M30" s="171">
        <f t="shared" ca="1" si="6"/>
        <v>0</v>
      </c>
      <c r="N30" s="171">
        <f t="shared" ca="1" si="6"/>
        <v>0</v>
      </c>
      <c r="O30" s="171">
        <f t="shared" ca="1" si="6"/>
        <v>0</v>
      </c>
      <c r="P30" s="172">
        <f t="shared" ca="1" si="6"/>
        <v>0</v>
      </c>
      <c r="Q30" s="21">
        <f t="shared" ca="1" si="4"/>
        <v>0</v>
      </c>
    </row>
    <row r="31" spans="3:17" x14ac:dyDescent="0.3">
      <c r="E31" s="5"/>
      <c r="F31" s="5"/>
      <c r="G31" s="5"/>
      <c r="H31" s="5"/>
      <c r="L31" s="152"/>
      <c r="P31" s="153"/>
      <c r="Q31" s="5"/>
    </row>
    <row r="32" spans="3:17" ht="13.15" x14ac:dyDescent="0.3">
      <c r="D32" s="154" t="s">
        <v>153</v>
      </c>
      <c r="E32" s="17" t="s">
        <v>157</v>
      </c>
      <c r="F32" s="17" t="str">
        <f>Input_Unit</f>
        <v>$Millions</v>
      </c>
      <c r="G32" s="17" t="str">
        <f>Input_Dollar_Basis</f>
        <v>Real $2021</v>
      </c>
      <c r="H32" s="17" t="str">
        <f>End_Period</f>
        <v>End of Period</v>
      </c>
      <c r="J32" s="156">
        <f t="shared" ref="J32" ca="1" si="7">SUM(J13:J30)</f>
        <v>0.65217052479573023</v>
      </c>
      <c r="K32" s="156">
        <f t="shared" ref="K32:P32" ca="1" si="8">SUM(K13:K30)</f>
        <v>0.66166002897421794</v>
      </c>
      <c r="L32" s="157">
        <f t="shared" ca="1" si="8"/>
        <v>0.15722577712260044</v>
      </c>
      <c r="M32" s="156">
        <f t="shared" ca="1" si="8"/>
        <v>0.15787950113733074</v>
      </c>
      <c r="N32" s="156">
        <f t="shared" ca="1" si="8"/>
        <v>0.15854925323742064</v>
      </c>
      <c r="O32" s="156">
        <f t="shared" ca="1" si="8"/>
        <v>0.15923546106170899</v>
      </c>
      <c r="P32" s="158">
        <f t="shared" ca="1" si="8"/>
        <v>0.15993856383345298</v>
      </c>
      <c r="Q32" s="18">
        <f ca="1">SUM(Q13:Q30)</f>
        <v>0.79282855639251371</v>
      </c>
    </row>
    <row r="34" spans="1:22" ht="11.25" customHeight="1" x14ac:dyDescent="0.3">
      <c r="A34" s="138">
        <f ca="1">IF(SUM($J34:$P34)&gt;0,1,0)</f>
        <v>0</v>
      </c>
      <c r="D34" s="159" t="s">
        <v>98</v>
      </c>
      <c r="J34" s="138">
        <f t="shared" ref="J34:P34" ca="1" si="9">IF(ROUND(J32-J54/10^6,4)&lt;&gt;0,1,0)</f>
        <v>0</v>
      </c>
      <c r="K34" s="138">
        <f t="shared" ca="1" si="9"/>
        <v>0</v>
      </c>
      <c r="L34" s="138">
        <f t="shared" ca="1" si="9"/>
        <v>0</v>
      </c>
      <c r="M34" s="138">
        <f t="shared" ca="1" si="9"/>
        <v>0</v>
      </c>
      <c r="N34" s="138">
        <f t="shared" ca="1" si="9"/>
        <v>0</v>
      </c>
      <c r="O34" s="138">
        <f t="shared" ca="1" si="9"/>
        <v>0</v>
      </c>
      <c r="P34" s="138">
        <f t="shared" ca="1" si="9"/>
        <v>0</v>
      </c>
    </row>
    <row r="36" spans="1:22" s="142" customFormat="1" ht="13.9" x14ac:dyDescent="0.45">
      <c r="C36" s="142" t="s">
        <v>162</v>
      </c>
    </row>
    <row r="37" spans="1:22" ht="11.25" customHeight="1" x14ac:dyDescent="0.3"/>
    <row r="38" spans="1:22" ht="13.15" x14ac:dyDescent="0.3">
      <c r="C38" s="143" t="s">
        <v>81</v>
      </c>
      <c r="D38" s="144" t="s">
        <v>89</v>
      </c>
      <c r="E38" s="144" t="s">
        <v>90</v>
      </c>
      <c r="F38" s="145" t="s">
        <v>17</v>
      </c>
      <c r="G38" s="145" t="s">
        <v>83</v>
      </c>
      <c r="H38" s="145" t="s">
        <v>84</v>
      </c>
      <c r="J38" s="10" t="str">
        <f>Lookups!I$11</f>
        <v>FY23</v>
      </c>
      <c r="K38" s="10" t="str">
        <f>Lookups!J$11</f>
        <v>FY24</v>
      </c>
      <c r="L38" s="11" t="str">
        <f>Lookups!K$11</f>
        <v>FY25</v>
      </c>
      <c r="M38" s="10" t="str">
        <f>Lookups!L$11</f>
        <v>FY26</v>
      </c>
      <c r="N38" s="10" t="str">
        <f>Lookups!M$11</f>
        <v>FY27</v>
      </c>
      <c r="O38" s="10" t="str">
        <f>Lookups!N$11</f>
        <v>FY28</v>
      </c>
      <c r="P38" s="12" t="str">
        <f>Lookups!O$11</f>
        <v>FY29</v>
      </c>
      <c r="R38" s="267" t="str">
        <f>'Net connection capex (SCS)'!R33</f>
        <v>RAB asset class allocation</v>
      </c>
      <c r="S38" s="267"/>
      <c r="T38" s="267"/>
      <c r="V38" s="9" t="s">
        <v>310</v>
      </c>
    </row>
    <row r="39" spans="1:22" ht="12.75" x14ac:dyDescent="0.3">
      <c r="C39" s="146">
        <f>N(C38)+1</f>
        <v>1</v>
      </c>
      <c r="D39" s="184" t="str">
        <f>'Net connection capex (SCS)'!D34</f>
        <v>RESIDENTIAL</v>
      </c>
      <c r="E39" s="184" t="str">
        <f>'Net connection capex (SCS)'!E34</f>
        <v>Simple connection LV</v>
      </c>
      <c r="F39" s="148" t="str">
        <f>Dollars</f>
        <v>Dollars</v>
      </c>
      <c r="G39" s="148" t="str">
        <f t="shared" ref="G39:G52" si="10">Input_Dollar_Basis</f>
        <v>Real $2021</v>
      </c>
      <c r="H39" s="148" t="str">
        <f t="shared" ref="H39:H52" si="11">End_Period</f>
        <v>End of Period</v>
      </c>
      <c r="J39" s="185">
        <f>'Net connection capex (SCS)'!J34*J$8</f>
        <v>40619.73021847161</v>
      </c>
      <c r="K39" s="186">
        <f>'Net connection capex (SCS)'!K34*K$8</f>
        <v>41015.374361387512</v>
      </c>
      <c r="L39" s="187">
        <f>'Net connection capex (SCS)'!L34*$V39</f>
        <v>0</v>
      </c>
      <c r="M39" s="185">
        <f>'Net connection capex (SCS)'!M34*$V39</f>
        <v>0</v>
      </c>
      <c r="N39" s="185">
        <f>'Net connection capex (SCS)'!N34*$V39</f>
        <v>0</v>
      </c>
      <c r="O39" s="185">
        <f>'Net connection capex (SCS)'!O34*$V39</f>
        <v>0</v>
      </c>
      <c r="P39" s="188">
        <f>'Net connection capex (SCS)'!P34*$V39</f>
        <v>0</v>
      </c>
      <c r="R39" s="268" t="str">
        <f>'Net connection capex (SCS)'!R34</f>
        <v>LV Services</v>
      </c>
      <c r="S39" s="268"/>
      <c r="T39" s="268"/>
      <c r="V39" s="166">
        <v>0</v>
      </c>
    </row>
    <row r="40" spans="1:22" ht="12.75" x14ac:dyDescent="0.3">
      <c r="C40" s="146">
        <f t="shared" ref="C40:C52" si="12">N(C39)+1</f>
        <v>2</v>
      </c>
      <c r="D40" s="184"/>
      <c r="E40" s="184" t="str">
        <f>'Net connection capex (SCS)'!E35</f>
        <v>Complex connection LV</v>
      </c>
      <c r="F40" s="148" t="s">
        <v>85</v>
      </c>
      <c r="G40" s="148" t="str">
        <f t="shared" si="10"/>
        <v>Real $2021</v>
      </c>
      <c r="H40" s="148" t="str">
        <f t="shared" si="11"/>
        <v>End of Period</v>
      </c>
      <c r="J40" s="185">
        <f>'Net connection capex (SCS)'!J35*J$8</f>
        <v>15733.654318432182</v>
      </c>
      <c r="K40" s="186">
        <f>'Net connection capex (SCS)'!K35*K$8</f>
        <v>15775.732986776124</v>
      </c>
      <c r="L40" s="187">
        <f>'Net connection capex (SCS)'!L35*$V40</f>
        <v>15817.811655120066</v>
      </c>
      <c r="M40" s="185">
        <f>'Net connection capex (SCS)'!M35*$V40</f>
        <v>15859.890323464017</v>
      </c>
      <c r="N40" s="185">
        <f>'Net connection capex (SCS)'!N35*$V40</f>
        <v>15901.96899180796</v>
      </c>
      <c r="O40" s="185">
        <f>'Net connection capex (SCS)'!O35*$V40</f>
        <v>15944.047660151913</v>
      </c>
      <c r="P40" s="188">
        <f>'Net connection capex (SCS)'!P35*$V40</f>
        <v>15986.126328495855</v>
      </c>
      <c r="R40" s="268" t="str">
        <f>'Net connection capex (SCS)'!R35</f>
        <v>LV Services</v>
      </c>
      <c r="S40" s="268"/>
      <c r="T40" s="268"/>
      <c r="V40" s="166">
        <v>0.2</v>
      </c>
    </row>
    <row r="41" spans="1:22" ht="12.75" x14ac:dyDescent="0.3">
      <c r="C41" s="146">
        <f t="shared" si="12"/>
        <v>3</v>
      </c>
      <c r="D41" s="184"/>
      <c r="E41" s="184" t="str">
        <f>'Net connection capex (SCS)'!E36</f>
        <v>Complex connection HV</v>
      </c>
      <c r="F41" s="148" t="s">
        <v>85</v>
      </c>
      <c r="G41" s="148" t="str">
        <f t="shared" si="10"/>
        <v>Real $2021</v>
      </c>
      <c r="H41" s="148" t="str">
        <f t="shared" si="11"/>
        <v>End of Period</v>
      </c>
      <c r="J41" s="185">
        <f>'Net connection capex (SCS)'!J36*J$8</f>
        <v>51096.131161547681</v>
      </c>
      <c r="K41" s="186">
        <f>'Net connection capex (SCS)'!K36*K$8</f>
        <v>51096.131161547681</v>
      </c>
      <c r="L41" s="187">
        <f>'Net connection capex (SCS)'!L36*$V41</f>
        <v>51096.131161547681</v>
      </c>
      <c r="M41" s="185">
        <f>'Net connection capex (SCS)'!M36*$V41</f>
        <v>51096.131161547681</v>
      </c>
      <c r="N41" s="185">
        <f>'Net connection capex (SCS)'!N36*$V41</f>
        <v>51096.131161547681</v>
      </c>
      <c r="O41" s="185">
        <f>'Net connection capex (SCS)'!O36*$V41</f>
        <v>51096.131161547681</v>
      </c>
      <c r="P41" s="188">
        <f>'Net connection capex (SCS)'!P36*$V41</f>
        <v>51096.131161547681</v>
      </c>
      <c r="R41" s="268" t="str">
        <f>'Net connection capex (SCS)'!R36</f>
        <v>Distribution Lines</v>
      </c>
      <c r="S41" s="268"/>
      <c r="T41" s="268"/>
      <c r="V41" s="166">
        <v>0.2</v>
      </c>
    </row>
    <row r="42" spans="1:22" ht="12.75" x14ac:dyDescent="0.3">
      <c r="C42" s="146">
        <f t="shared" si="12"/>
        <v>4</v>
      </c>
      <c r="D42" s="184" t="str">
        <f>'Net connection capex (SCS)'!D37</f>
        <v>COMMERCIAL/INDUSTRIAL</v>
      </c>
      <c r="E42" s="184" t="str">
        <f>'Net connection capex (SCS)'!E37</f>
        <v>Simple connection LV</v>
      </c>
      <c r="F42" s="148" t="s">
        <v>85</v>
      </c>
      <c r="G42" s="148" t="str">
        <f t="shared" si="10"/>
        <v>Real $2021</v>
      </c>
      <c r="H42" s="148" t="str">
        <f t="shared" si="11"/>
        <v>End of Period</v>
      </c>
      <c r="J42" s="185">
        <f>'Net connection capex (SCS)'!J37*J$8</f>
        <v>19760.685213432396</v>
      </c>
      <c r="K42" s="186">
        <f>'Net connection capex (SCS)'!K37*K$8</f>
        <v>20341.51250552967</v>
      </c>
      <c r="L42" s="187">
        <f>'Net connection capex (SCS)'!L37*$V42</f>
        <v>20937.546130160401</v>
      </c>
      <c r="M42" s="185">
        <f>'Net connection capex (SCS)'!M37*$V42</f>
        <v>21549.191476546723</v>
      </c>
      <c r="N42" s="185">
        <f>'Net connection capex (SCS)'!N37*$V42</f>
        <v>22176.864908292686</v>
      </c>
      <c r="O42" s="185">
        <f>'Net connection capex (SCS)'!O37*$V42</f>
        <v>22820.994064237086</v>
      </c>
      <c r="P42" s="188">
        <f>'Net connection capex (SCS)'!P37*$V42</f>
        <v>23482.018167637128</v>
      </c>
      <c r="R42" s="268" t="str">
        <f>'Net connection capex (SCS)'!R37</f>
        <v>LV Services</v>
      </c>
      <c r="S42" s="268"/>
      <c r="T42" s="268"/>
      <c r="V42" s="166">
        <v>0.2</v>
      </c>
    </row>
    <row r="43" spans="1:22" ht="12.75" x14ac:dyDescent="0.3">
      <c r="C43" s="146">
        <f t="shared" si="12"/>
        <v>5</v>
      </c>
      <c r="D43" s="184"/>
      <c r="E43" s="184" t="str">
        <f>'Net connection capex (SCS)'!E38</f>
        <v>Complex connection HV (customer connected at LV, minor HV works)</v>
      </c>
      <c r="F43" s="148" t="s">
        <v>85</v>
      </c>
      <c r="G43" s="148" t="str">
        <f t="shared" si="10"/>
        <v>Real $2021</v>
      </c>
      <c r="H43" s="148" t="str">
        <f t="shared" si="11"/>
        <v>End of Period</v>
      </c>
      <c r="J43" s="185">
        <f>'Net connection capex (SCS)'!J38*J$8</f>
        <v>244572.24668720984</v>
      </c>
      <c r="K43" s="186">
        <f>'Net connection capex (SCS)'!K38*K$8</f>
        <v>236739.42029680728</v>
      </c>
      <c r="L43" s="187">
        <f>'Net connection capex (SCS)'!L38*$V43</f>
        <v>0</v>
      </c>
      <c r="M43" s="185">
        <f>'Net connection capex (SCS)'!M38*$V43</f>
        <v>0</v>
      </c>
      <c r="N43" s="185">
        <f>'Net connection capex (SCS)'!N38*$V43</f>
        <v>0</v>
      </c>
      <c r="O43" s="185">
        <f>'Net connection capex (SCS)'!O38*$V43</f>
        <v>0</v>
      </c>
      <c r="P43" s="188">
        <f>'Net connection capex (SCS)'!P38*$V43</f>
        <v>0</v>
      </c>
      <c r="R43" s="268" t="str">
        <f>'Net connection capex (SCS)'!R38</f>
        <v>Distribution Lines</v>
      </c>
      <c r="S43" s="268"/>
      <c r="T43" s="268"/>
      <c r="V43" s="166">
        <v>0</v>
      </c>
    </row>
    <row r="44" spans="1:22" ht="12.75" x14ac:dyDescent="0.3">
      <c r="C44" s="146">
        <f t="shared" si="12"/>
        <v>6</v>
      </c>
      <c r="D44" s="184"/>
      <c r="E44" s="184" t="str">
        <f>'Net connection capex (SCS)'!E39</f>
        <v>Complex connection HV (customer connected at LV, upstream asset works)</v>
      </c>
      <c r="F44" s="148" t="s">
        <v>85</v>
      </c>
      <c r="G44" s="148" t="str">
        <f t="shared" si="10"/>
        <v>Real $2021</v>
      </c>
      <c r="H44" s="148" t="str">
        <f t="shared" si="11"/>
        <v>End of Period</v>
      </c>
      <c r="J44" s="185">
        <f>'Net connection capex (SCS)'!J39*J$8</f>
        <v>51140.84121374847</v>
      </c>
      <c r="K44" s="186">
        <f>'Net connection capex (SCS)'!K39*K$8</f>
        <v>51001.791837154189</v>
      </c>
      <c r="L44" s="187">
        <f>'Net connection capex (SCS)'!L39*$V44</f>
        <v>0</v>
      </c>
      <c r="M44" s="185">
        <f>'Net connection capex (SCS)'!M39*$V44</f>
        <v>0</v>
      </c>
      <c r="N44" s="185">
        <f>'Net connection capex (SCS)'!N39*$V44</f>
        <v>0</v>
      </c>
      <c r="O44" s="185">
        <f>'Net connection capex (SCS)'!O39*$V44</f>
        <v>0</v>
      </c>
      <c r="P44" s="188">
        <f>'Net connection capex (SCS)'!P39*$V44</f>
        <v>0</v>
      </c>
      <c r="R44" s="268" t="str">
        <f>'Net connection capex (SCS)'!R39</f>
        <v>Distribution Lines</v>
      </c>
      <c r="S44" s="268"/>
      <c r="T44" s="268"/>
      <c r="V44" s="166">
        <v>0</v>
      </c>
    </row>
    <row r="45" spans="1:22" ht="12.75" x14ac:dyDescent="0.3">
      <c r="C45" s="146">
        <f t="shared" si="12"/>
        <v>7</v>
      </c>
      <c r="D45" s="184"/>
      <c r="E45" s="184" t="str">
        <f>'Net connection capex (SCS)'!E40</f>
        <v>Complex connection HV (customer connected at HV)</v>
      </c>
      <c r="F45" s="148" t="s">
        <v>85</v>
      </c>
      <c r="G45" s="148" t="str">
        <f t="shared" si="10"/>
        <v>Real $2021</v>
      </c>
      <c r="H45" s="148" t="str">
        <f t="shared" si="11"/>
        <v>End of Period</v>
      </c>
      <c r="J45" s="185">
        <f>'Net connection capex (SCS)'!J40*J$8</f>
        <v>110130.8923874076</v>
      </c>
      <c r="K45" s="186">
        <f>'Net connection capex (SCS)'!K40*K$8</f>
        <v>126573.72222953493</v>
      </c>
      <c r="L45" s="187">
        <f>'Net connection capex (SCS)'!L40*$V45</f>
        <v>0</v>
      </c>
      <c r="M45" s="185">
        <f>'Net connection capex (SCS)'!M40*$V45</f>
        <v>0</v>
      </c>
      <c r="N45" s="185">
        <f>'Net connection capex (SCS)'!N40*$V45</f>
        <v>0</v>
      </c>
      <c r="O45" s="185">
        <f>'Net connection capex (SCS)'!O40*$V45</f>
        <v>0</v>
      </c>
      <c r="P45" s="188">
        <f>'Net connection capex (SCS)'!P40*$V45</f>
        <v>0</v>
      </c>
      <c r="R45" s="268" t="str">
        <f>'Net connection capex (SCS)'!R40</f>
        <v>Distribution Lines</v>
      </c>
      <c r="S45" s="268"/>
      <c r="T45" s="268"/>
      <c r="V45" s="166">
        <v>0</v>
      </c>
    </row>
    <row r="46" spans="1:22" ht="12.75" x14ac:dyDescent="0.3">
      <c r="C46" s="146">
        <f t="shared" si="12"/>
        <v>8</v>
      </c>
      <c r="D46" s="184"/>
      <c r="E46" s="184" t="str">
        <f>'Net connection capex (SCS)'!E41</f>
        <v>Complex connection sub-transmission</v>
      </c>
      <c r="F46" s="148" t="s">
        <v>85</v>
      </c>
      <c r="G46" s="148" t="str">
        <f t="shared" si="10"/>
        <v>Real $2021</v>
      </c>
      <c r="H46" s="148" t="str">
        <f t="shared" si="11"/>
        <v>End of Period</v>
      </c>
      <c r="J46" s="185">
        <f>'Net connection capex (SCS)'!J41*J$8</f>
        <v>0</v>
      </c>
      <c r="K46" s="186">
        <f>'Net connection capex (SCS)'!K41*K$8</f>
        <v>0</v>
      </c>
      <c r="L46" s="187">
        <f>'Net connection capex (SCS)'!L41*$V46</f>
        <v>0</v>
      </c>
      <c r="M46" s="185">
        <f>'Net connection capex (SCS)'!M41*$V46</f>
        <v>0</v>
      </c>
      <c r="N46" s="185">
        <f>'Net connection capex (SCS)'!N41*$V46</f>
        <v>0</v>
      </c>
      <c r="O46" s="185">
        <f>'Net connection capex (SCS)'!O41*$V46</f>
        <v>0</v>
      </c>
      <c r="P46" s="188">
        <f>'Net connection capex (SCS)'!P41*$V46</f>
        <v>0</v>
      </c>
      <c r="R46" s="268" t="str">
        <f>'Net connection capex (SCS)'!R41</f>
        <v>Distribution Lines</v>
      </c>
      <c r="S46" s="268"/>
      <c r="T46" s="268"/>
      <c r="V46" s="166">
        <v>0</v>
      </c>
    </row>
    <row r="47" spans="1:22" ht="12.75" x14ac:dyDescent="0.3">
      <c r="C47" s="146">
        <f t="shared" si="12"/>
        <v>9</v>
      </c>
      <c r="D47" s="184" t="str">
        <f>'Net connection capex (SCS)'!D42</f>
        <v>SUBDIVISION</v>
      </c>
      <c r="E47" s="184" t="str">
        <f>'Net connection capex (SCS)'!E42</f>
        <v>Complex connection LV</v>
      </c>
      <c r="F47" s="148" t="s">
        <v>85</v>
      </c>
      <c r="G47" s="148" t="str">
        <f t="shared" si="10"/>
        <v>Real $2021</v>
      </c>
      <c r="H47" s="148" t="str">
        <f t="shared" si="11"/>
        <v>End of Period</v>
      </c>
      <c r="J47" s="185">
        <f>'Net connection capex (SCS)'!J42*J$8</f>
        <v>69374.288175772308</v>
      </c>
      <c r="K47" s="186">
        <f>'Net connection capex (SCS)'!K42*K$8</f>
        <v>69374.288175772308</v>
      </c>
      <c r="L47" s="187">
        <f>'Net connection capex (SCS)'!L42*$V47</f>
        <v>69374.288175772308</v>
      </c>
      <c r="M47" s="185">
        <f>'Net connection capex (SCS)'!M42*$V47</f>
        <v>69374.288175772308</v>
      </c>
      <c r="N47" s="185">
        <f>'Net connection capex (SCS)'!N42*$V47</f>
        <v>69374.288175772308</v>
      </c>
      <c r="O47" s="185">
        <f>'Net connection capex (SCS)'!O42*$V47</f>
        <v>69374.288175772308</v>
      </c>
      <c r="P47" s="188">
        <f>'Net connection capex (SCS)'!P42*$V47</f>
        <v>69374.288175772308</v>
      </c>
      <c r="R47" s="268" t="str">
        <f>'Net connection capex (SCS)'!R42</f>
        <v>LV Services</v>
      </c>
      <c r="S47" s="268"/>
      <c r="T47" s="268"/>
      <c r="V47" s="166">
        <v>0.2</v>
      </c>
    </row>
    <row r="48" spans="1:22" ht="12.75" x14ac:dyDescent="0.3">
      <c r="C48" s="146">
        <f t="shared" si="12"/>
        <v>10</v>
      </c>
      <c r="D48" s="184"/>
      <c r="E48" s="184" t="str">
        <f>'Net connection capex (SCS)'!E43</f>
        <v>Complex connection HV (no upstream asset works)</v>
      </c>
      <c r="F48" s="148" t="s">
        <v>85</v>
      </c>
      <c r="G48" s="148" t="str">
        <f t="shared" si="10"/>
        <v>Real $2021</v>
      </c>
      <c r="H48" s="148" t="str">
        <f t="shared" si="11"/>
        <v>End of Period</v>
      </c>
      <c r="J48" s="185">
        <f>'Net connection capex (SCS)'!J43*J$8</f>
        <v>25634.111403585834</v>
      </c>
      <c r="K48" s="186">
        <f>'Net connection capex (SCS)'!K43*K$8</f>
        <v>25634.111403585834</v>
      </c>
      <c r="L48" s="187">
        <f>'Net connection capex (SCS)'!L43*$V48</f>
        <v>0</v>
      </c>
      <c r="M48" s="185">
        <f>'Net connection capex (SCS)'!M43*$V48</f>
        <v>0</v>
      </c>
      <c r="N48" s="185">
        <f>'Net connection capex (SCS)'!N43*$V48</f>
        <v>0</v>
      </c>
      <c r="O48" s="185">
        <f>'Net connection capex (SCS)'!O43*$V48</f>
        <v>0</v>
      </c>
      <c r="P48" s="188">
        <f>'Net connection capex (SCS)'!P43*$V48</f>
        <v>0</v>
      </c>
      <c r="R48" s="268" t="str">
        <f>'Net connection capex (SCS)'!R43</f>
        <v>Distribution Lines</v>
      </c>
      <c r="S48" s="268"/>
      <c r="T48" s="268"/>
      <c r="V48" s="166">
        <v>0</v>
      </c>
    </row>
    <row r="49" spans="2:22" ht="12.75" x14ac:dyDescent="0.3">
      <c r="C49" s="146">
        <f t="shared" si="12"/>
        <v>11</v>
      </c>
      <c r="D49" s="184"/>
      <c r="E49" s="184" t="str">
        <f>'Net connection capex (SCS)'!E44</f>
        <v>Complex connection HV (with upstream asset works)</v>
      </c>
      <c r="F49" s="148" t="s">
        <v>85</v>
      </c>
      <c r="G49" s="148" t="str">
        <f t="shared" si="10"/>
        <v>Real $2021</v>
      </c>
      <c r="H49" s="148" t="str">
        <f t="shared" si="11"/>
        <v>End of Period</v>
      </c>
      <c r="J49" s="185">
        <f>'Net connection capex (SCS)'!J44*J$8</f>
        <v>24107.944016122401</v>
      </c>
      <c r="K49" s="186">
        <f>'Net connection capex (SCS)'!K44*K$8</f>
        <v>24107.944016122401</v>
      </c>
      <c r="L49" s="187">
        <f>'Net connection capex (SCS)'!L44*$V49</f>
        <v>0</v>
      </c>
      <c r="M49" s="185">
        <f>'Net connection capex (SCS)'!M44*$V49</f>
        <v>0</v>
      </c>
      <c r="N49" s="185">
        <f>'Net connection capex (SCS)'!N44*$V49</f>
        <v>0</v>
      </c>
      <c r="O49" s="185">
        <f>'Net connection capex (SCS)'!O44*$V49</f>
        <v>0</v>
      </c>
      <c r="P49" s="188">
        <f>'Net connection capex (SCS)'!P44*$V49</f>
        <v>0</v>
      </c>
      <c r="R49" s="268" t="str">
        <f>'Net connection capex (SCS)'!R44</f>
        <v>Distribution Lines</v>
      </c>
      <c r="S49" s="268"/>
      <c r="T49" s="268"/>
      <c r="V49" s="166">
        <v>0</v>
      </c>
    </row>
    <row r="50" spans="2:22" ht="12.75" x14ac:dyDescent="0.3">
      <c r="C50" s="146">
        <f t="shared" si="12"/>
        <v>12</v>
      </c>
      <c r="D50" s="184" t="str">
        <f>'Net connection capex (SCS)'!D45</f>
        <v>EMBEDDED GENERATION</v>
      </c>
      <c r="E50" s="184" t="str">
        <f>'Net connection capex (SCS)'!E45</f>
        <v>Simple connection LV</v>
      </c>
      <c r="F50" s="148" t="s">
        <v>85</v>
      </c>
      <c r="G50" s="148" t="str">
        <f t="shared" si="10"/>
        <v>Real $2021</v>
      </c>
      <c r="H50" s="148" t="str">
        <f t="shared" si="11"/>
        <v>End of Period</v>
      </c>
      <c r="J50" s="185">
        <f>'Net connection capex (SCS)'!J45*J$8</f>
        <v>0</v>
      </c>
      <c r="K50" s="186">
        <f>'Net connection capex (SCS)'!K45*K$8</f>
        <v>0</v>
      </c>
      <c r="L50" s="187">
        <f>'Net connection capex (SCS)'!L45*$V50</f>
        <v>0</v>
      </c>
      <c r="M50" s="185">
        <f>'Net connection capex (SCS)'!M45*$V50</f>
        <v>0</v>
      </c>
      <c r="N50" s="185">
        <f>'Net connection capex (SCS)'!N45*$V50</f>
        <v>0</v>
      </c>
      <c r="O50" s="185">
        <f>'Net connection capex (SCS)'!O45*$V50</f>
        <v>0</v>
      </c>
      <c r="P50" s="188">
        <f>'Net connection capex (SCS)'!P45*$V50</f>
        <v>0</v>
      </c>
      <c r="R50" s="268" t="str">
        <f>'Net connection capex (SCS)'!R45</f>
        <v>LV Services</v>
      </c>
      <c r="S50" s="268"/>
      <c r="T50" s="268"/>
      <c r="V50" s="166">
        <v>0</v>
      </c>
    </row>
    <row r="51" spans="2:22" ht="12.75" x14ac:dyDescent="0.3">
      <c r="C51" s="146">
        <f t="shared" si="12"/>
        <v>13</v>
      </c>
      <c r="D51" s="184"/>
      <c r="E51" s="184" t="str">
        <f>'Net connection capex (SCS)'!E46</f>
        <v>Complex connection HV (small capacity)</v>
      </c>
      <c r="F51" s="148" t="s">
        <v>85</v>
      </c>
      <c r="G51" s="148" t="str">
        <f t="shared" si="10"/>
        <v>Real $2021</v>
      </c>
      <c r="H51" s="148" t="str">
        <f t="shared" si="11"/>
        <v>End of Period</v>
      </c>
      <c r="J51" s="185">
        <f>'Net connection capex (SCS)'!J46*J$8</f>
        <v>0</v>
      </c>
      <c r="K51" s="186">
        <f>'Net connection capex (SCS)'!K46*K$8</f>
        <v>0</v>
      </c>
      <c r="L51" s="187">
        <f>'Net connection capex (SCS)'!L46*$V51</f>
        <v>0</v>
      </c>
      <c r="M51" s="185">
        <f>'Net connection capex (SCS)'!M46*$V51</f>
        <v>0</v>
      </c>
      <c r="N51" s="185">
        <f>'Net connection capex (SCS)'!N46*$V51</f>
        <v>0</v>
      </c>
      <c r="O51" s="185">
        <f>'Net connection capex (SCS)'!O46*$V51</f>
        <v>0</v>
      </c>
      <c r="P51" s="188">
        <f>'Net connection capex (SCS)'!P46*$V51</f>
        <v>0</v>
      </c>
      <c r="R51" s="268" t="str">
        <f>'Net connection capex (SCS)'!R46</f>
        <v>Distribution Lines</v>
      </c>
      <c r="S51" s="268"/>
      <c r="T51" s="268"/>
      <c r="V51" s="166">
        <v>0</v>
      </c>
    </row>
    <row r="52" spans="2:22" ht="12.75" x14ac:dyDescent="0.3">
      <c r="C52" s="146">
        <f t="shared" si="12"/>
        <v>14</v>
      </c>
      <c r="D52" s="184"/>
      <c r="E52" s="184" t="str">
        <f>'Net connection capex (SCS)'!E47</f>
        <v>Complex connection HV (large capacity)</v>
      </c>
      <c r="F52" s="148" t="s">
        <v>85</v>
      </c>
      <c r="G52" s="148" t="str">
        <f t="shared" si="10"/>
        <v>Real $2021</v>
      </c>
      <c r="H52" s="148" t="str">
        <f t="shared" si="11"/>
        <v>End of Period</v>
      </c>
      <c r="J52" s="185">
        <f>'Net connection capex (SCS)'!J47*J$8</f>
        <v>0</v>
      </c>
      <c r="K52" s="186">
        <f>'Net connection capex (SCS)'!K47*K$8</f>
        <v>0</v>
      </c>
      <c r="L52" s="187">
        <f>'Net connection capex (SCS)'!L47*$V52</f>
        <v>0</v>
      </c>
      <c r="M52" s="185">
        <f>'Net connection capex (SCS)'!M47*$V52</f>
        <v>0</v>
      </c>
      <c r="N52" s="185">
        <f>'Net connection capex (SCS)'!N47*$V52</f>
        <v>0</v>
      </c>
      <c r="O52" s="185">
        <f>'Net connection capex (SCS)'!O47*$V52</f>
        <v>0</v>
      </c>
      <c r="P52" s="188">
        <f>'Net connection capex (SCS)'!P47*$V52</f>
        <v>0</v>
      </c>
      <c r="R52" s="268" t="str">
        <f>'Net connection capex (SCS)'!R47</f>
        <v>Distribution Lines</v>
      </c>
      <c r="S52" s="268"/>
      <c r="T52" s="268"/>
      <c r="V52" s="166">
        <v>0</v>
      </c>
    </row>
    <row r="53" spans="2:22" x14ac:dyDescent="0.3">
      <c r="L53" s="152"/>
      <c r="P53" s="153"/>
    </row>
    <row r="54" spans="2:22" ht="13.15" x14ac:dyDescent="0.3">
      <c r="D54" s="154" t="s">
        <v>15</v>
      </c>
      <c r="E54" s="154"/>
      <c r="F54" s="155" t="s">
        <v>85</v>
      </c>
      <c r="G54" s="155" t="str">
        <f>Input_Dollar_Basis</f>
        <v>Real $2021</v>
      </c>
      <c r="H54" s="155" t="str">
        <f>End_Period</f>
        <v>End of Period</v>
      </c>
      <c r="J54" s="161">
        <f t="shared" ref="J54" si="13">SUM(J39:J52)</f>
        <v>652170.52479573037</v>
      </c>
      <c r="K54" s="161">
        <f t="shared" ref="K54:P54" si="14">SUM(K39:K52)</f>
        <v>661660.02897421794</v>
      </c>
      <c r="L54" s="162">
        <f t="shared" si="14"/>
        <v>157225.77712260047</v>
      </c>
      <c r="M54" s="161">
        <f t="shared" si="14"/>
        <v>157879.50113733072</v>
      </c>
      <c r="N54" s="161">
        <f t="shared" si="14"/>
        <v>158549.25323742063</v>
      </c>
      <c r="O54" s="161">
        <f t="shared" si="14"/>
        <v>159235.46106170898</v>
      </c>
      <c r="P54" s="163">
        <f t="shared" si="14"/>
        <v>159938.56383345296</v>
      </c>
    </row>
    <row r="56" spans="2:22" s="141" customFormat="1" ht="15" x14ac:dyDescent="0.45">
      <c r="B56" s="141" t="s">
        <v>93</v>
      </c>
    </row>
  </sheetData>
  <autoFilter ref="C12:P30" xr:uid="{00000000-0009-0000-0000-000001000000}"/>
  <mergeCells count="15">
    <mergeCell ref="R51:T51"/>
    <mergeCell ref="R52:T52"/>
    <mergeCell ref="R47:T47"/>
    <mergeCell ref="R48:T48"/>
    <mergeCell ref="R49:T49"/>
    <mergeCell ref="R46:T46"/>
    <mergeCell ref="R41:T41"/>
    <mergeCell ref="R42:T42"/>
    <mergeCell ref="R43:T43"/>
    <mergeCell ref="R50:T50"/>
    <mergeCell ref="R38:T38"/>
    <mergeCell ref="R39:T39"/>
    <mergeCell ref="R40:T40"/>
    <mergeCell ref="R44:T44"/>
    <mergeCell ref="R45:T45"/>
  </mergeCells>
  <dataValidations count="1">
    <dataValidation type="list" allowBlank="1" showInputMessage="1" showErrorMessage="1" sqref="R39:T52" xr:uid="{EDC11F79-B77B-4C38-8023-8420735FCF19}">
      <formula1>$D$13:$D$30</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5C31F-0DE8-4552-98E9-6AF89D1BD65D}">
  <sheetPr codeName="Sheet10">
    <tabColor theme="4" tint="-0.249977111117893"/>
  </sheetPr>
  <dimension ref="A1:J199"/>
  <sheetViews>
    <sheetView workbookViewId="0"/>
  </sheetViews>
  <sheetFormatPr defaultColWidth="0" defaultRowHeight="14.25" x14ac:dyDescent="0.45"/>
  <cols>
    <col min="1" max="10" width="9" customWidth="1"/>
    <col min="11" max="16384" width="9" hidden="1"/>
  </cols>
  <sheetData>
    <row r="1" spans="2:9" s="1" customFormat="1" x14ac:dyDescent="0.45"/>
    <row r="2" spans="2:9" s="1" customFormat="1" x14ac:dyDescent="0.45"/>
    <row r="3" spans="2:9" s="1" customFormat="1" x14ac:dyDescent="0.45"/>
    <row r="4" spans="2:9" s="1" customFormat="1" x14ac:dyDescent="0.45"/>
    <row r="5" spans="2:9" s="1" customFormat="1" x14ac:dyDescent="0.45"/>
    <row r="6" spans="2:9" s="1" customFormat="1" x14ac:dyDescent="0.45"/>
    <row r="7" spans="2:9" s="1" customFormat="1" x14ac:dyDescent="0.45"/>
    <row r="8" spans="2:9" s="1" customFormat="1" ht="164.65" customHeight="1" x14ac:dyDescent="2.65">
      <c r="B8" s="248" t="s">
        <v>298</v>
      </c>
      <c r="C8" s="249"/>
      <c r="D8" s="249"/>
      <c r="E8" s="249"/>
      <c r="F8" s="249"/>
      <c r="G8" s="249"/>
      <c r="H8" s="249"/>
      <c r="I8" s="249"/>
    </row>
    <row r="9" spans="2:9" s="1" customFormat="1" x14ac:dyDescent="0.45"/>
    <row r="10" spans="2:9" s="1" customFormat="1" x14ac:dyDescent="0.45"/>
    <row r="11" spans="2:9" s="1" customFormat="1" x14ac:dyDescent="0.45"/>
    <row r="12" spans="2:9" s="1" customFormat="1" x14ac:dyDescent="0.45"/>
    <row r="13" spans="2:9" s="1" customFormat="1" x14ac:dyDescent="0.45"/>
    <row r="14" spans="2:9" s="1" customFormat="1" x14ac:dyDescent="0.45"/>
    <row r="15" spans="2:9" s="1" customFormat="1" x14ac:dyDescent="0.45"/>
    <row r="16" spans="2:9" s="1" customFormat="1" x14ac:dyDescent="0.45"/>
    <row r="17" s="1" customFormat="1" x14ac:dyDescent="0.45"/>
    <row r="18" s="1" customFormat="1" x14ac:dyDescent="0.45"/>
    <row r="19" s="1" customFormat="1" x14ac:dyDescent="0.45"/>
    <row r="20" s="1" customFormat="1" x14ac:dyDescent="0.45"/>
    <row r="21" s="1" customFormat="1" x14ac:dyDescent="0.45"/>
    <row r="22" s="1" customFormat="1" x14ac:dyDescent="0.45"/>
    <row r="23" s="1" customFormat="1" x14ac:dyDescent="0.45"/>
    <row r="24" s="1" customFormat="1" x14ac:dyDescent="0.45"/>
    <row r="25" s="1" customFormat="1" x14ac:dyDescent="0.45"/>
    <row r="26" s="1" customFormat="1" x14ac:dyDescent="0.45"/>
    <row r="27" s="1" customFormat="1" x14ac:dyDescent="0.45"/>
    <row r="28" s="1" customFormat="1" x14ac:dyDescent="0.45"/>
    <row r="29" s="1" customFormat="1" x14ac:dyDescent="0.45"/>
    <row r="30" s="1" customFormat="1" x14ac:dyDescent="0.45"/>
    <row r="31" s="1" customFormat="1" x14ac:dyDescent="0.45"/>
    <row r="32" s="1" customFormat="1" x14ac:dyDescent="0.45"/>
    <row r="33" s="1" customFormat="1" x14ac:dyDescent="0.45"/>
    <row r="34" s="1" customFormat="1" x14ac:dyDescent="0.45"/>
    <row r="35" s="1" customFormat="1" x14ac:dyDescent="0.45"/>
    <row r="36" s="1" customFormat="1" x14ac:dyDescent="0.45"/>
    <row r="37" s="1" customFormat="1" x14ac:dyDescent="0.45"/>
    <row r="38" s="1" customFormat="1" x14ac:dyDescent="0.45"/>
    <row r="39" s="1" customFormat="1" x14ac:dyDescent="0.45"/>
    <row r="40" s="1" customFormat="1" x14ac:dyDescent="0.45"/>
    <row r="41" s="1" customFormat="1" x14ac:dyDescent="0.45"/>
    <row r="42" s="1" customFormat="1" x14ac:dyDescent="0.45"/>
    <row r="43" s="1" customFormat="1" x14ac:dyDescent="0.45"/>
    <row r="44" s="1" customFormat="1" x14ac:dyDescent="0.45"/>
    <row r="45" s="1" customFormat="1" x14ac:dyDescent="0.45"/>
    <row r="46" s="1" customFormat="1" x14ac:dyDescent="0.45"/>
    <row r="47" s="1" customFormat="1" x14ac:dyDescent="0.45"/>
    <row r="48" s="1" customFormat="1" x14ac:dyDescent="0.45"/>
    <row r="49" s="1" customFormat="1" x14ac:dyDescent="0.45"/>
    <row r="50" s="1" customFormat="1" x14ac:dyDescent="0.45"/>
    <row r="51" s="1" customFormat="1" x14ac:dyDescent="0.45"/>
    <row r="52" s="1" customFormat="1" x14ac:dyDescent="0.45"/>
    <row r="53" s="1" customFormat="1" x14ac:dyDescent="0.45"/>
    <row r="54" s="1" customFormat="1" x14ac:dyDescent="0.45"/>
    <row r="55" s="1" customFormat="1" x14ac:dyDescent="0.45"/>
    <row r="56" s="1" customFormat="1" x14ac:dyDescent="0.45"/>
    <row r="57" s="1" customFormat="1" x14ac:dyDescent="0.45"/>
    <row r="58" s="1" customFormat="1" x14ac:dyDescent="0.45"/>
    <row r="59" s="1" customFormat="1" x14ac:dyDescent="0.45"/>
    <row r="60" s="1" customFormat="1" x14ac:dyDescent="0.45"/>
    <row r="61" s="1" customFormat="1" x14ac:dyDescent="0.45"/>
    <row r="62" s="1" customFormat="1" x14ac:dyDescent="0.45"/>
    <row r="63" s="1" customFormat="1" x14ac:dyDescent="0.45"/>
    <row r="64" s="1" customFormat="1" x14ac:dyDescent="0.45"/>
    <row r="65" s="1" customFormat="1" x14ac:dyDescent="0.45"/>
    <row r="66" s="1" customFormat="1" x14ac:dyDescent="0.45"/>
    <row r="67" s="1" customFormat="1" x14ac:dyDescent="0.45"/>
    <row r="68" s="1" customFormat="1" x14ac:dyDescent="0.45"/>
    <row r="69" s="1" customFormat="1" x14ac:dyDescent="0.45"/>
    <row r="70" s="1" customFormat="1" x14ac:dyDescent="0.45"/>
    <row r="71" s="1" customFormat="1" x14ac:dyDescent="0.45"/>
    <row r="72" s="1" customFormat="1" x14ac:dyDescent="0.45"/>
    <row r="73" s="1" customFormat="1" x14ac:dyDescent="0.45"/>
    <row r="74" s="1" customFormat="1" x14ac:dyDescent="0.45"/>
    <row r="75" s="1" customFormat="1" x14ac:dyDescent="0.45"/>
    <row r="76" s="1" customFormat="1" x14ac:dyDescent="0.45"/>
    <row r="77" s="1" customFormat="1" x14ac:dyDescent="0.45"/>
    <row r="78" s="1" customFormat="1" x14ac:dyDescent="0.45"/>
    <row r="79" s="1" customFormat="1" x14ac:dyDescent="0.45"/>
    <row r="80" s="1" customFormat="1" x14ac:dyDescent="0.45"/>
    <row r="81" s="1" customFormat="1" x14ac:dyDescent="0.45"/>
    <row r="82" s="1" customFormat="1" x14ac:dyDescent="0.45"/>
    <row r="83" s="1" customFormat="1" x14ac:dyDescent="0.45"/>
    <row r="84" s="1" customFormat="1" x14ac:dyDescent="0.45"/>
    <row r="85" s="1" customFormat="1" x14ac:dyDescent="0.45"/>
    <row r="86" s="1" customFormat="1" x14ac:dyDescent="0.45"/>
    <row r="87" s="1" customFormat="1" x14ac:dyDescent="0.45"/>
    <row r="88" s="1" customFormat="1" x14ac:dyDescent="0.45"/>
    <row r="89" s="1" customFormat="1" x14ac:dyDescent="0.45"/>
    <row r="90" s="1" customFormat="1" x14ac:dyDescent="0.45"/>
    <row r="91" s="1" customFormat="1" x14ac:dyDescent="0.45"/>
    <row r="92" s="1" customFormat="1" x14ac:dyDescent="0.45"/>
    <row r="93" s="1" customFormat="1" x14ac:dyDescent="0.45"/>
    <row r="94" s="1" customFormat="1" x14ac:dyDescent="0.45"/>
    <row r="95" s="1" customFormat="1" x14ac:dyDescent="0.45"/>
    <row r="96" s="1" customFormat="1" x14ac:dyDescent="0.45"/>
    <row r="97" s="1" customFormat="1" x14ac:dyDescent="0.45"/>
    <row r="98" s="1" customFormat="1" x14ac:dyDescent="0.45"/>
    <row r="99" s="1" customFormat="1" x14ac:dyDescent="0.45"/>
    <row r="100" s="1" customFormat="1" x14ac:dyDescent="0.45"/>
    <row r="101" s="1" customFormat="1" x14ac:dyDescent="0.45"/>
    <row r="102" s="1" customFormat="1" x14ac:dyDescent="0.45"/>
    <row r="103" s="1" customFormat="1" x14ac:dyDescent="0.45"/>
    <row r="104" s="1" customFormat="1" x14ac:dyDescent="0.45"/>
    <row r="105" s="1" customFormat="1" x14ac:dyDescent="0.45"/>
    <row r="106" s="1" customFormat="1" x14ac:dyDescent="0.45"/>
    <row r="107" s="1" customFormat="1" x14ac:dyDescent="0.45"/>
    <row r="108" s="1" customFormat="1" x14ac:dyDescent="0.45"/>
    <row r="109" s="1" customFormat="1" x14ac:dyDescent="0.45"/>
    <row r="110" s="1" customFormat="1" x14ac:dyDescent="0.45"/>
    <row r="111" s="1" customFormat="1" x14ac:dyDescent="0.45"/>
    <row r="112" s="1" customFormat="1" x14ac:dyDescent="0.45"/>
    <row r="113" s="1" customFormat="1" x14ac:dyDescent="0.45"/>
    <row r="114" s="1" customFormat="1" x14ac:dyDescent="0.45"/>
    <row r="115" s="1" customFormat="1" x14ac:dyDescent="0.45"/>
    <row r="116" s="1" customFormat="1" x14ac:dyDescent="0.45"/>
    <row r="117" s="1" customFormat="1" x14ac:dyDescent="0.45"/>
    <row r="118" s="1" customFormat="1" x14ac:dyDescent="0.45"/>
    <row r="119" s="1" customFormat="1" x14ac:dyDescent="0.45"/>
    <row r="120" s="1" customFormat="1" x14ac:dyDescent="0.45"/>
    <row r="121" s="1" customFormat="1" x14ac:dyDescent="0.45"/>
    <row r="122" s="1" customFormat="1" x14ac:dyDescent="0.45"/>
    <row r="123" s="1" customFormat="1" x14ac:dyDescent="0.45"/>
    <row r="124" s="1" customFormat="1" x14ac:dyDescent="0.45"/>
    <row r="125" s="1" customFormat="1" x14ac:dyDescent="0.45"/>
    <row r="126" s="1" customFormat="1" x14ac:dyDescent="0.45"/>
    <row r="127" s="1" customFormat="1" x14ac:dyDescent="0.45"/>
    <row r="128" s="1" customFormat="1" x14ac:dyDescent="0.45"/>
    <row r="129" s="1" customFormat="1" x14ac:dyDescent="0.45"/>
    <row r="130" s="1" customFormat="1" x14ac:dyDescent="0.45"/>
    <row r="131" s="1" customFormat="1" x14ac:dyDescent="0.45"/>
    <row r="132" s="1" customFormat="1" x14ac:dyDescent="0.45"/>
    <row r="133" s="1" customFormat="1" x14ac:dyDescent="0.45"/>
    <row r="134" s="1" customFormat="1" x14ac:dyDescent="0.45"/>
    <row r="135" s="1" customFormat="1" x14ac:dyDescent="0.45"/>
    <row r="136" s="1" customFormat="1" x14ac:dyDescent="0.45"/>
    <row r="137" s="1" customFormat="1" x14ac:dyDescent="0.45"/>
    <row r="138" s="1" customFormat="1" x14ac:dyDescent="0.45"/>
    <row r="139" s="1" customFormat="1" x14ac:dyDescent="0.45"/>
    <row r="140" s="1" customFormat="1" x14ac:dyDescent="0.45"/>
    <row r="141" s="1" customFormat="1" x14ac:dyDescent="0.45"/>
    <row r="142" s="1" customFormat="1" x14ac:dyDescent="0.45"/>
    <row r="143" s="1" customFormat="1" x14ac:dyDescent="0.45"/>
    <row r="144" s="1" customFormat="1" x14ac:dyDescent="0.45"/>
    <row r="145" s="1" customFormat="1" x14ac:dyDescent="0.45"/>
    <row r="146" s="1" customFormat="1" x14ac:dyDescent="0.45"/>
    <row r="147" s="1" customFormat="1" x14ac:dyDescent="0.45"/>
    <row r="148" s="1" customFormat="1" x14ac:dyDescent="0.45"/>
    <row r="149" s="1" customFormat="1" x14ac:dyDescent="0.45"/>
    <row r="150" s="1" customFormat="1" x14ac:dyDescent="0.45"/>
    <row r="151" s="1" customFormat="1" x14ac:dyDescent="0.45"/>
    <row r="152" s="1" customFormat="1" x14ac:dyDescent="0.45"/>
    <row r="153" s="1" customFormat="1" x14ac:dyDescent="0.45"/>
    <row r="154" s="1" customFormat="1" x14ac:dyDescent="0.45"/>
    <row r="155" s="1" customFormat="1" x14ac:dyDescent="0.45"/>
    <row r="156" s="1" customFormat="1" x14ac:dyDescent="0.45"/>
    <row r="157" s="1" customFormat="1" x14ac:dyDescent="0.45"/>
    <row r="158" s="1" customFormat="1" x14ac:dyDescent="0.45"/>
    <row r="159" s="1" customFormat="1" x14ac:dyDescent="0.45"/>
    <row r="160" s="1" customFormat="1" x14ac:dyDescent="0.45"/>
    <row r="161" s="1" customFormat="1" x14ac:dyDescent="0.45"/>
    <row r="162" s="1" customFormat="1" x14ac:dyDescent="0.45"/>
    <row r="163" s="1" customFormat="1" x14ac:dyDescent="0.45"/>
    <row r="164" s="1" customFormat="1" x14ac:dyDescent="0.45"/>
    <row r="165" s="1" customFormat="1" x14ac:dyDescent="0.45"/>
    <row r="166" s="1" customFormat="1" x14ac:dyDescent="0.45"/>
    <row r="167" s="1" customFormat="1" x14ac:dyDescent="0.45"/>
    <row r="168" s="1" customFormat="1" x14ac:dyDescent="0.45"/>
    <row r="169" s="1" customFormat="1" x14ac:dyDescent="0.45"/>
    <row r="170" s="1" customFormat="1" x14ac:dyDescent="0.45"/>
    <row r="171" s="1" customFormat="1" x14ac:dyDescent="0.45"/>
    <row r="172" s="1" customFormat="1" x14ac:dyDescent="0.45"/>
    <row r="173" s="1" customFormat="1" x14ac:dyDescent="0.45"/>
    <row r="174" s="1" customFormat="1" x14ac:dyDescent="0.45"/>
    <row r="175" s="1" customFormat="1" x14ac:dyDescent="0.45"/>
    <row r="176" s="1" customFormat="1" x14ac:dyDescent="0.45"/>
    <row r="177" s="1" customFormat="1" x14ac:dyDescent="0.45"/>
    <row r="178" s="1" customFormat="1" x14ac:dyDescent="0.45"/>
    <row r="179" s="1" customFormat="1" x14ac:dyDescent="0.45"/>
    <row r="180" s="1" customFormat="1" x14ac:dyDescent="0.45"/>
    <row r="181" s="1" customFormat="1" x14ac:dyDescent="0.45"/>
    <row r="182" s="1" customFormat="1" x14ac:dyDescent="0.45"/>
    <row r="183" s="1" customFormat="1" x14ac:dyDescent="0.45"/>
    <row r="184" s="1" customFormat="1" x14ac:dyDescent="0.45"/>
    <row r="185" s="1" customFormat="1" x14ac:dyDescent="0.45"/>
    <row r="186" s="1" customFormat="1" x14ac:dyDescent="0.45"/>
    <row r="187" s="1" customFormat="1" x14ac:dyDescent="0.45"/>
    <row r="188" s="1" customFormat="1" x14ac:dyDescent="0.45"/>
    <row r="189" s="1" customFormat="1" x14ac:dyDescent="0.45"/>
    <row r="190" s="1" customFormat="1" x14ac:dyDescent="0.45"/>
    <row r="191" s="1" customFormat="1" x14ac:dyDescent="0.45"/>
    <row r="192" s="1" customFormat="1" x14ac:dyDescent="0.45"/>
    <row r="193" s="1" customFormat="1" x14ac:dyDescent="0.45"/>
    <row r="194" s="1" customFormat="1" x14ac:dyDescent="0.45"/>
    <row r="195" s="1" customFormat="1" x14ac:dyDescent="0.45"/>
    <row r="196" s="1" customFormat="1" x14ac:dyDescent="0.45"/>
    <row r="197" s="1" customFormat="1" x14ac:dyDescent="0.45"/>
    <row r="198" s="1" customFormat="1" x14ac:dyDescent="0.45"/>
    <row r="199" s="1" customFormat="1" x14ac:dyDescent="0.45"/>
  </sheetData>
  <pageMargins left="0.7" right="0.7" top="0.75" bottom="0.75" header="0.3" footer="0.3"/>
  <pageSetup paperSize="9" orientation="portrait" horizontalDpi="300" verticalDpi="0" copies="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BC057-15BC-450D-AD43-4AED4BE62069}">
  <sheetPr codeName="Sheet11">
    <tabColor theme="4" tint="0.59999389629810485"/>
  </sheetPr>
  <dimension ref="A1:T92"/>
  <sheetViews>
    <sheetView showGridLines="0" zoomScaleNormal="100" workbookViewId="0">
      <pane xSplit="5" ySplit="1" topLeftCell="F2" activePane="bottomRight" state="frozen"/>
      <selection activeCell="I5" sqref="I5"/>
      <selection pane="topRight" activeCell="I5" sqref="I5"/>
      <selection pane="bottomLeft" activeCell="I5" sqref="I5"/>
      <selection pane="bottomRight" activeCell="F2" sqref="F2"/>
    </sheetView>
  </sheetViews>
  <sheetFormatPr defaultColWidth="7.3984375" defaultRowHeight="10.15" x14ac:dyDescent="0.3"/>
  <cols>
    <col min="1" max="1" width="2.6640625" style="140" customWidth="1"/>
    <col min="2" max="2" width="2.265625" style="140" customWidth="1"/>
    <col min="3" max="3" width="5.265625" style="140" customWidth="1"/>
    <col min="4" max="4" width="28.86328125" style="140" customWidth="1"/>
    <col min="5" max="5" width="31" style="140" customWidth="1"/>
    <col min="6" max="8" width="12.59765625" style="140" customWidth="1"/>
    <col min="9" max="17" width="10.1328125" style="140" customWidth="1"/>
    <col min="18" max="18" width="10" style="140" customWidth="1"/>
    <col min="19" max="22" width="10.1328125" style="140" customWidth="1"/>
    <col min="23" max="16384" width="7.3984375" style="140"/>
  </cols>
  <sheetData>
    <row r="1" spans="1:17" ht="18.75" x14ac:dyDescent="0.3">
      <c r="A1" s="138">
        <f>IF(SUM($A3:$A92)&gt;0,1,0)</f>
        <v>0</v>
      </c>
      <c r="B1" s="139" t="s">
        <v>303</v>
      </c>
    </row>
    <row r="3" spans="1:17" s="141" customFormat="1" ht="15" x14ac:dyDescent="0.45">
      <c r="B3" s="141" t="s">
        <v>304</v>
      </c>
    </row>
    <row r="4" spans="1:17" s="5" customFormat="1" ht="11.25" customHeight="1" x14ac:dyDescent="0.3"/>
    <row r="5" spans="1:17" s="142" customFormat="1" ht="13.9" x14ac:dyDescent="0.45">
      <c r="C5" s="142" t="s">
        <v>155</v>
      </c>
    </row>
    <row r="6" spans="1:17" ht="11.25" customHeight="1" x14ac:dyDescent="0.3"/>
    <row r="7" spans="1:17" ht="26.25" x14ac:dyDescent="0.3">
      <c r="C7" s="143" t="s">
        <v>81</v>
      </c>
      <c r="D7" s="9" t="s">
        <v>100</v>
      </c>
      <c r="E7" s="145" t="s">
        <v>99</v>
      </c>
      <c r="F7" s="145" t="s">
        <v>17</v>
      </c>
      <c r="G7" s="145" t="s">
        <v>83</v>
      </c>
      <c r="H7" s="145" t="s">
        <v>84</v>
      </c>
      <c r="J7" s="10" t="str">
        <f>Lookups!I$11</f>
        <v>FY23</v>
      </c>
      <c r="K7" s="10" t="str">
        <f>Lookups!J$11</f>
        <v>FY24</v>
      </c>
      <c r="L7" s="11" t="str">
        <f>Lookups!K$11</f>
        <v>FY25</v>
      </c>
      <c r="M7" s="10" t="str">
        <f>Lookups!L$11</f>
        <v>FY26</v>
      </c>
      <c r="N7" s="10" t="str">
        <f>Lookups!M$11</f>
        <v>FY27</v>
      </c>
      <c r="O7" s="10" t="str">
        <f>Lookups!N$11</f>
        <v>FY28</v>
      </c>
      <c r="P7" s="12" t="str">
        <f>Lookups!O$11</f>
        <v>FY29</v>
      </c>
      <c r="Q7" s="10" t="str">
        <f>Lookups!Q$11</f>
        <v>Total FY25 to FY29</v>
      </c>
    </row>
    <row r="8" spans="1:17" ht="12.75" x14ac:dyDescent="0.3">
      <c r="C8" s="146">
        <f>N(C7)+1</f>
        <v>1</v>
      </c>
      <c r="D8" s="137" t="str">
        <f>Lookups!$D$41</f>
        <v>Substations</v>
      </c>
      <c r="E8" s="14" t="s">
        <v>157</v>
      </c>
      <c r="F8" s="14" t="str">
        <f t="shared" ref="F8:F25" si="0">Input_Unit</f>
        <v>$Millions</v>
      </c>
      <c r="G8" s="14" t="str">
        <f t="shared" ref="G8:G25" si="1">Input_Dollar_Basis</f>
        <v>Real $2021</v>
      </c>
      <c r="H8" s="14" t="str">
        <f t="shared" ref="H8:H25" si="2">End_Period</f>
        <v>End of Period</v>
      </c>
      <c r="J8" s="171">
        <f t="shared" ref="J8:P23" ca="1" si="3">SUMIF($R$34:$T$47,$D8,J$34:J$47)/10^6</f>
        <v>0</v>
      </c>
      <c r="K8" s="169">
        <f t="shared" ca="1" si="3"/>
        <v>0</v>
      </c>
      <c r="L8" s="170">
        <f t="shared" ca="1" si="3"/>
        <v>0</v>
      </c>
      <c r="M8" s="171">
        <f t="shared" ca="1" si="3"/>
        <v>0</v>
      </c>
      <c r="N8" s="171">
        <f t="shared" ca="1" si="3"/>
        <v>0</v>
      </c>
      <c r="O8" s="171">
        <f t="shared" ca="1" si="3"/>
        <v>0</v>
      </c>
      <c r="P8" s="172">
        <f t="shared" ca="1" si="3"/>
        <v>0</v>
      </c>
      <c r="Q8" s="21">
        <f t="shared" ref="Q8:Q25" ca="1" si="4">SUM(L8:P8)</f>
        <v>0</v>
      </c>
    </row>
    <row r="9" spans="1:17" ht="12.75" x14ac:dyDescent="0.3">
      <c r="C9" s="146">
        <f t="shared" ref="C9:C25" si="5">N(C8)+1</f>
        <v>2</v>
      </c>
      <c r="D9" s="137" t="str">
        <f>Lookups!$D$42</f>
        <v>Distribution Lines</v>
      </c>
      <c r="E9" s="14" t="s">
        <v>157</v>
      </c>
      <c r="F9" s="14" t="str">
        <f t="shared" si="0"/>
        <v>$Millions</v>
      </c>
      <c r="G9" s="14" t="str">
        <f t="shared" si="1"/>
        <v>Real $2021</v>
      </c>
      <c r="H9" s="14" t="str">
        <f t="shared" si="2"/>
        <v>End of Period</v>
      </c>
      <c r="J9" s="171">
        <f t="shared" ca="1" si="3"/>
        <v>0</v>
      </c>
      <c r="K9" s="169">
        <f t="shared" ca="1" si="3"/>
        <v>0</v>
      </c>
      <c r="L9" s="170">
        <f t="shared" ca="1" si="3"/>
        <v>0</v>
      </c>
      <c r="M9" s="171">
        <f t="shared" ca="1" si="3"/>
        <v>0</v>
      </c>
      <c r="N9" s="171">
        <f t="shared" ca="1" si="3"/>
        <v>0</v>
      </c>
      <c r="O9" s="171">
        <f t="shared" ca="1" si="3"/>
        <v>0</v>
      </c>
      <c r="P9" s="172">
        <f t="shared" ca="1" si="3"/>
        <v>0</v>
      </c>
      <c r="Q9" s="21">
        <f t="shared" ca="1" si="4"/>
        <v>0</v>
      </c>
    </row>
    <row r="10" spans="1:17" ht="12.75" x14ac:dyDescent="0.3">
      <c r="C10" s="146">
        <f t="shared" si="5"/>
        <v>3</v>
      </c>
      <c r="D10" s="137" t="str">
        <f>Lookups!$D$43</f>
        <v>Transmission Lines</v>
      </c>
      <c r="E10" s="14" t="s">
        <v>157</v>
      </c>
      <c r="F10" s="14" t="str">
        <f t="shared" si="0"/>
        <v>$Millions</v>
      </c>
      <c r="G10" s="14" t="str">
        <f t="shared" si="1"/>
        <v>Real $2021</v>
      </c>
      <c r="H10" s="14" t="str">
        <f t="shared" si="2"/>
        <v>End of Period</v>
      </c>
      <c r="J10" s="171">
        <f t="shared" ca="1" si="3"/>
        <v>0</v>
      </c>
      <c r="K10" s="169">
        <f t="shared" ca="1" si="3"/>
        <v>0</v>
      </c>
      <c r="L10" s="170">
        <f t="shared" ca="1" si="3"/>
        <v>0</v>
      </c>
      <c r="M10" s="171">
        <f t="shared" ca="1" si="3"/>
        <v>0</v>
      </c>
      <c r="N10" s="171">
        <f t="shared" ca="1" si="3"/>
        <v>0</v>
      </c>
      <c r="O10" s="171">
        <f t="shared" ca="1" si="3"/>
        <v>0</v>
      </c>
      <c r="P10" s="172">
        <f t="shared" ca="1" si="3"/>
        <v>0</v>
      </c>
      <c r="Q10" s="21">
        <f t="shared" ca="1" si="4"/>
        <v>0</v>
      </c>
    </row>
    <row r="11" spans="1:17" ht="12.75" x14ac:dyDescent="0.3">
      <c r="C11" s="146">
        <f t="shared" si="5"/>
        <v>4</v>
      </c>
      <c r="D11" s="137" t="str">
        <f>Lookups!$D$44</f>
        <v>LV Services</v>
      </c>
      <c r="E11" s="14" t="s">
        <v>157</v>
      </c>
      <c r="F11" s="14" t="str">
        <f t="shared" si="0"/>
        <v>$Millions</v>
      </c>
      <c r="G11" s="14" t="str">
        <f t="shared" si="1"/>
        <v>Real $2021</v>
      </c>
      <c r="H11" s="14" t="str">
        <f t="shared" si="2"/>
        <v>End of Period</v>
      </c>
      <c r="J11" s="171">
        <f t="shared" ca="1" si="3"/>
        <v>0</v>
      </c>
      <c r="K11" s="169">
        <f t="shared" ca="1" si="3"/>
        <v>0</v>
      </c>
      <c r="L11" s="170">
        <f t="shared" ca="1" si="3"/>
        <v>0</v>
      </c>
      <c r="M11" s="171">
        <f t="shared" ca="1" si="3"/>
        <v>0</v>
      </c>
      <c r="N11" s="171">
        <f t="shared" ca="1" si="3"/>
        <v>0</v>
      </c>
      <c r="O11" s="171">
        <f t="shared" ca="1" si="3"/>
        <v>0</v>
      </c>
      <c r="P11" s="172">
        <f t="shared" ca="1" si="3"/>
        <v>0</v>
      </c>
      <c r="Q11" s="21">
        <f t="shared" ca="1" si="4"/>
        <v>0</v>
      </c>
    </row>
    <row r="12" spans="1:17" ht="12.75" x14ac:dyDescent="0.3">
      <c r="C12" s="146">
        <f t="shared" si="5"/>
        <v>5</v>
      </c>
      <c r="D12" s="137" t="str">
        <f>Lookups!$D$45</f>
        <v>Distribution Substations</v>
      </c>
      <c r="E12" s="14" t="s">
        <v>157</v>
      </c>
      <c r="F12" s="14" t="str">
        <f t="shared" si="0"/>
        <v>$Millions</v>
      </c>
      <c r="G12" s="14" t="str">
        <f t="shared" si="1"/>
        <v>Real $2021</v>
      </c>
      <c r="H12" s="14" t="str">
        <f t="shared" si="2"/>
        <v>End of Period</v>
      </c>
      <c r="J12" s="171">
        <f t="shared" ca="1" si="3"/>
        <v>0</v>
      </c>
      <c r="K12" s="169">
        <f t="shared" ca="1" si="3"/>
        <v>0</v>
      </c>
      <c r="L12" s="170">
        <f t="shared" ca="1" si="3"/>
        <v>0</v>
      </c>
      <c r="M12" s="171">
        <f t="shared" ca="1" si="3"/>
        <v>0</v>
      </c>
      <c r="N12" s="171">
        <f t="shared" ca="1" si="3"/>
        <v>0</v>
      </c>
      <c r="O12" s="171">
        <f t="shared" ca="1" si="3"/>
        <v>0</v>
      </c>
      <c r="P12" s="172">
        <f t="shared" ca="1" si="3"/>
        <v>0</v>
      </c>
      <c r="Q12" s="21">
        <f t="shared" ca="1" si="4"/>
        <v>0</v>
      </c>
    </row>
    <row r="13" spans="1:17" ht="12.75" x14ac:dyDescent="0.3">
      <c r="C13" s="146">
        <f t="shared" si="5"/>
        <v>6</v>
      </c>
      <c r="D13" s="137" t="str">
        <f>Lookups!$D$46</f>
        <v>Distribution Switchgear</v>
      </c>
      <c r="E13" s="14" t="s">
        <v>157</v>
      </c>
      <c r="F13" s="14" t="str">
        <f t="shared" si="0"/>
        <v>$Millions</v>
      </c>
      <c r="G13" s="14" t="str">
        <f t="shared" si="1"/>
        <v>Real $2021</v>
      </c>
      <c r="H13" s="14" t="str">
        <f t="shared" si="2"/>
        <v>End of Period</v>
      </c>
      <c r="J13" s="171">
        <f t="shared" ca="1" si="3"/>
        <v>0</v>
      </c>
      <c r="K13" s="169">
        <f t="shared" ca="1" si="3"/>
        <v>0</v>
      </c>
      <c r="L13" s="170">
        <f t="shared" ca="1" si="3"/>
        <v>0</v>
      </c>
      <c r="M13" s="171">
        <f t="shared" ca="1" si="3"/>
        <v>0</v>
      </c>
      <c r="N13" s="171">
        <f t="shared" ca="1" si="3"/>
        <v>0</v>
      </c>
      <c r="O13" s="171">
        <f t="shared" ca="1" si="3"/>
        <v>0</v>
      </c>
      <c r="P13" s="172">
        <f t="shared" ca="1" si="3"/>
        <v>0</v>
      </c>
      <c r="Q13" s="21">
        <f t="shared" ca="1" si="4"/>
        <v>0</v>
      </c>
    </row>
    <row r="14" spans="1:17" ht="12.75" x14ac:dyDescent="0.3">
      <c r="C14" s="146">
        <f t="shared" si="5"/>
        <v>7</v>
      </c>
      <c r="D14" s="137" t="str">
        <f>Lookups!$D$47</f>
        <v>Protection</v>
      </c>
      <c r="E14" s="14" t="s">
        <v>157</v>
      </c>
      <c r="F14" s="14" t="str">
        <f t="shared" si="0"/>
        <v>$Millions</v>
      </c>
      <c r="G14" s="14" t="str">
        <f t="shared" si="1"/>
        <v>Real $2021</v>
      </c>
      <c r="H14" s="14" t="str">
        <f t="shared" si="2"/>
        <v>End of Period</v>
      </c>
      <c r="J14" s="171">
        <f t="shared" ca="1" si="3"/>
        <v>0</v>
      </c>
      <c r="K14" s="169">
        <f t="shared" ca="1" si="3"/>
        <v>0</v>
      </c>
      <c r="L14" s="170">
        <f t="shared" ca="1" si="3"/>
        <v>0</v>
      </c>
      <c r="M14" s="171">
        <f t="shared" ca="1" si="3"/>
        <v>0</v>
      </c>
      <c r="N14" s="171">
        <f t="shared" ca="1" si="3"/>
        <v>0</v>
      </c>
      <c r="O14" s="171">
        <f t="shared" ca="1" si="3"/>
        <v>0</v>
      </c>
      <c r="P14" s="172">
        <f t="shared" ca="1" si="3"/>
        <v>0</v>
      </c>
      <c r="Q14" s="21">
        <f t="shared" ca="1" si="4"/>
        <v>0</v>
      </c>
    </row>
    <row r="15" spans="1:17" ht="12.75" x14ac:dyDescent="0.3">
      <c r="C15" s="146">
        <f t="shared" si="5"/>
        <v>8</v>
      </c>
      <c r="D15" s="137" t="str">
        <f>Lookups!$D$48</f>
        <v>SCADA</v>
      </c>
      <c r="E15" s="14" t="s">
        <v>157</v>
      </c>
      <c r="F15" s="14" t="str">
        <f t="shared" si="0"/>
        <v>$Millions</v>
      </c>
      <c r="G15" s="14" t="str">
        <f t="shared" si="1"/>
        <v>Real $2021</v>
      </c>
      <c r="H15" s="14" t="str">
        <f t="shared" si="2"/>
        <v>End of Period</v>
      </c>
      <c r="J15" s="171">
        <f t="shared" ca="1" si="3"/>
        <v>0</v>
      </c>
      <c r="K15" s="169">
        <f t="shared" ca="1" si="3"/>
        <v>0</v>
      </c>
      <c r="L15" s="170">
        <f t="shared" ca="1" si="3"/>
        <v>0</v>
      </c>
      <c r="M15" s="171">
        <f t="shared" ca="1" si="3"/>
        <v>0</v>
      </c>
      <c r="N15" s="171">
        <f t="shared" ca="1" si="3"/>
        <v>0</v>
      </c>
      <c r="O15" s="171">
        <f t="shared" ca="1" si="3"/>
        <v>0</v>
      </c>
      <c r="P15" s="172">
        <f t="shared" ca="1" si="3"/>
        <v>0</v>
      </c>
      <c r="Q15" s="21">
        <f t="shared" ca="1" si="4"/>
        <v>0</v>
      </c>
    </row>
    <row r="16" spans="1:17" ht="12.75" x14ac:dyDescent="0.3">
      <c r="C16" s="146">
        <f t="shared" si="5"/>
        <v>9</v>
      </c>
      <c r="D16" s="137" t="str">
        <f>Lookups!$D$49</f>
        <v>Communications</v>
      </c>
      <c r="E16" s="14" t="s">
        <v>157</v>
      </c>
      <c r="F16" s="14" t="str">
        <f t="shared" si="0"/>
        <v>$Millions</v>
      </c>
      <c r="G16" s="14" t="str">
        <f t="shared" si="1"/>
        <v>Real $2021</v>
      </c>
      <c r="H16" s="14" t="str">
        <f t="shared" si="2"/>
        <v>End of Period</v>
      </c>
      <c r="J16" s="171">
        <f t="shared" ca="1" si="3"/>
        <v>0</v>
      </c>
      <c r="K16" s="169">
        <f t="shared" ca="1" si="3"/>
        <v>0</v>
      </c>
      <c r="L16" s="170">
        <f t="shared" ca="1" si="3"/>
        <v>0</v>
      </c>
      <c r="M16" s="171">
        <f t="shared" ca="1" si="3"/>
        <v>0</v>
      </c>
      <c r="N16" s="171">
        <f t="shared" ca="1" si="3"/>
        <v>0</v>
      </c>
      <c r="O16" s="171">
        <f t="shared" ca="1" si="3"/>
        <v>0</v>
      </c>
      <c r="P16" s="172">
        <f t="shared" ca="1" si="3"/>
        <v>0</v>
      </c>
      <c r="Q16" s="21">
        <f t="shared" ca="1" si="4"/>
        <v>0</v>
      </c>
    </row>
    <row r="17" spans="1:17" ht="12.75" x14ac:dyDescent="0.3">
      <c r="C17" s="146">
        <f t="shared" si="5"/>
        <v>10</v>
      </c>
      <c r="D17" s="137" t="str">
        <f>Lookups!$D$50</f>
        <v>Land and Easements</v>
      </c>
      <c r="E17" s="14" t="s">
        <v>157</v>
      </c>
      <c r="F17" s="14" t="str">
        <f t="shared" si="0"/>
        <v>$Millions</v>
      </c>
      <c r="G17" s="14" t="str">
        <f t="shared" si="1"/>
        <v>Real $2021</v>
      </c>
      <c r="H17" s="14" t="str">
        <f t="shared" si="2"/>
        <v>End of Period</v>
      </c>
      <c r="J17" s="171">
        <f t="shared" ca="1" si="3"/>
        <v>0</v>
      </c>
      <c r="K17" s="169">
        <f t="shared" ca="1" si="3"/>
        <v>0</v>
      </c>
      <c r="L17" s="170">
        <f t="shared" ca="1" si="3"/>
        <v>0</v>
      </c>
      <c r="M17" s="171">
        <f t="shared" ca="1" si="3"/>
        <v>0</v>
      </c>
      <c r="N17" s="171">
        <f t="shared" ca="1" si="3"/>
        <v>0</v>
      </c>
      <c r="O17" s="171">
        <f t="shared" ca="1" si="3"/>
        <v>0</v>
      </c>
      <c r="P17" s="172">
        <f t="shared" ca="1" si="3"/>
        <v>0</v>
      </c>
      <c r="Q17" s="21">
        <f t="shared" ca="1" si="4"/>
        <v>0</v>
      </c>
    </row>
    <row r="18" spans="1:17" ht="12.75" x14ac:dyDescent="0.3">
      <c r="C18" s="146">
        <f t="shared" si="5"/>
        <v>11</v>
      </c>
      <c r="D18" s="137" t="str">
        <f>Lookups!$D$51</f>
        <v>Property</v>
      </c>
      <c r="E18" s="14" t="s">
        <v>157</v>
      </c>
      <c r="F18" s="14" t="str">
        <f t="shared" si="0"/>
        <v>$Millions</v>
      </c>
      <c r="G18" s="14" t="str">
        <f t="shared" si="1"/>
        <v>Real $2021</v>
      </c>
      <c r="H18" s="14" t="str">
        <f t="shared" si="2"/>
        <v>End of Period</v>
      </c>
      <c r="J18" s="171">
        <f t="shared" ca="1" si="3"/>
        <v>0</v>
      </c>
      <c r="K18" s="169">
        <f t="shared" ca="1" si="3"/>
        <v>0</v>
      </c>
      <c r="L18" s="170">
        <f t="shared" ca="1" si="3"/>
        <v>0</v>
      </c>
      <c r="M18" s="171">
        <f t="shared" ca="1" si="3"/>
        <v>0</v>
      </c>
      <c r="N18" s="171">
        <f t="shared" ca="1" si="3"/>
        <v>0</v>
      </c>
      <c r="O18" s="171">
        <f t="shared" ca="1" si="3"/>
        <v>0</v>
      </c>
      <c r="P18" s="172">
        <f t="shared" ca="1" si="3"/>
        <v>0</v>
      </c>
      <c r="Q18" s="21">
        <f t="shared" ca="1" si="4"/>
        <v>0</v>
      </c>
    </row>
    <row r="19" spans="1:17" ht="12.75" x14ac:dyDescent="0.3">
      <c r="C19" s="146">
        <f t="shared" si="5"/>
        <v>12</v>
      </c>
      <c r="D19" s="137" t="str">
        <f>Lookups!$D$52</f>
        <v>IT and Communications</v>
      </c>
      <c r="E19" s="14" t="s">
        <v>157</v>
      </c>
      <c r="F19" s="14" t="str">
        <f t="shared" si="0"/>
        <v>$Millions</v>
      </c>
      <c r="G19" s="14" t="str">
        <f t="shared" si="1"/>
        <v>Real $2021</v>
      </c>
      <c r="H19" s="14" t="str">
        <f t="shared" si="2"/>
        <v>End of Period</v>
      </c>
      <c r="J19" s="171">
        <f t="shared" ca="1" si="3"/>
        <v>0</v>
      </c>
      <c r="K19" s="169">
        <f t="shared" ca="1" si="3"/>
        <v>0</v>
      </c>
      <c r="L19" s="170">
        <f t="shared" ca="1" si="3"/>
        <v>0</v>
      </c>
      <c r="M19" s="171">
        <f t="shared" ca="1" si="3"/>
        <v>0</v>
      </c>
      <c r="N19" s="171">
        <f t="shared" ca="1" si="3"/>
        <v>0</v>
      </c>
      <c r="O19" s="171">
        <f t="shared" ca="1" si="3"/>
        <v>0</v>
      </c>
      <c r="P19" s="172">
        <f t="shared" ca="1" si="3"/>
        <v>0</v>
      </c>
      <c r="Q19" s="21">
        <f t="shared" ca="1" si="4"/>
        <v>0</v>
      </c>
    </row>
    <row r="20" spans="1:17" ht="12.75" x14ac:dyDescent="0.3">
      <c r="C20" s="146">
        <f t="shared" si="5"/>
        <v>13</v>
      </c>
      <c r="D20" s="137" t="str">
        <f>Lookups!$D$53</f>
        <v>Motor Vehicles</v>
      </c>
      <c r="E20" s="14" t="s">
        <v>157</v>
      </c>
      <c r="F20" s="14" t="str">
        <f t="shared" si="0"/>
        <v>$Millions</v>
      </c>
      <c r="G20" s="14" t="str">
        <f t="shared" si="1"/>
        <v>Real $2021</v>
      </c>
      <c r="H20" s="14" t="str">
        <f t="shared" si="2"/>
        <v>End of Period</v>
      </c>
      <c r="J20" s="171">
        <f t="shared" ca="1" si="3"/>
        <v>0</v>
      </c>
      <c r="K20" s="169">
        <f t="shared" ca="1" si="3"/>
        <v>0</v>
      </c>
      <c r="L20" s="170">
        <f t="shared" ca="1" si="3"/>
        <v>0</v>
      </c>
      <c r="M20" s="171">
        <f t="shared" ca="1" si="3"/>
        <v>0</v>
      </c>
      <c r="N20" s="171">
        <f t="shared" ca="1" si="3"/>
        <v>0</v>
      </c>
      <c r="O20" s="171">
        <f t="shared" ca="1" si="3"/>
        <v>0</v>
      </c>
      <c r="P20" s="172">
        <f t="shared" ca="1" si="3"/>
        <v>0</v>
      </c>
      <c r="Q20" s="21">
        <f t="shared" ca="1" si="4"/>
        <v>0</v>
      </c>
    </row>
    <row r="21" spans="1:17" ht="12.75" x14ac:dyDescent="0.3">
      <c r="C21" s="146">
        <f t="shared" si="5"/>
        <v>14</v>
      </c>
      <c r="D21" s="137" t="str">
        <f>Lookups!$D$54</f>
        <v>Plant and Equipment</v>
      </c>
      <c r="E21" s="14" t="s">
        <v>157</v>
      </c>
      <c r="F21" s="14" t="str">
        <f t="shared" si="0"/>
        <v>$Millions</v>
      </c>
      <c r="G21" s="14" t="str">
        <f t="shared" si="1"/>
        <v>Real $2021</v>
      </c>
      <c r="H21" s="14" t="str">
        <f t="shared" si="2"/>
        <v>End of Period</v>
      </c>
      <c r="J21" s="171">
        <f t="shared" ca="1" si="3"/>
        <v>0</v>
      </c>
      <c r="K21" s="169">
        <f t="shared" ca="1" si="3"/>
        <v>0</v>
      </c>
      <c r="L21" s="170">
        <f t="shared" ca="1" si="3"/>
        <v>0</v>
      </c>
      <c r="M21" s="171">
        <f t="shared" ca="1" si="3"/>
        <v>0</v>
      </c>
      <c r="N21" s="171">
        <f t="shared" ca="1" si="3"/>
        <v>0</v>
      </c>
      <c r="O21" s="171">
        <f t="shared" ca="1" si="3"/>
        <v>0</v>
      </c>
      <c r="P21" s="172">
        <f t="shared" ca="1" si="3"/>
        <v>0</v>
      </c>
      <c r="Q21" s="21">
        <f t="shared" ca="1" si="4"/>
        <v>0</v>
      </c>
    </row>
    <row r="22" spans="1:17" ht="12.75" x14ac:dyDescent="0.3">
      <c r="C22" s="146">
        <f t="shared" si="5"/>
        <v>15</v>
      </c>
      <c r="D22" s="137" t="str">
        <f>Lookups!$D$55</f>
        <v>Property Leases</v>
      </c>
      <c r="E22" s="14" t="s">
        <v>157</v>
      </c>
      <c r="F22" s="14" t="str">
        <f t="shared" si="0"/>
        <v>$Millions</v>
      </c>
      <c r="G22" s="14" t="str">
        <f t="shared" si="1"/>
        <v>Real $2021</v>
      </c>
      <c r="H22" s="14" t="str">
        <f t="shared" si="2"/>
        <v>End of Period</v>
      </c>
      <c r="J22" s="171">
        <f t="shared" ca="1" si="3"/>
        <v>0</v>
      </c>
      <c r="K22" s="169">
        <f t="shared" ca="1" si="3"/>
        <v>0</v>
      </c>
      <c r="L22" s="170">
        <f t="shared" ca="1" si="3"/>
        <v>0</v>
      </c>
      <c r="M22" s="171">
        <f t="shared" ca="1" si="3"/>
        <v>0</v>
      </c>
      <c r="N22" s="171">
        <f t="shared" ca="1" si="3"/>
        <v>0</v>
      </c>
      <c r="O22" s="171">
        <f t="shared" ca="1" si="3"/>
        <v>0</v>
      </c>
      <c r="P22" s="172">
        <f t="shared" ca="1" si="3"/>
        <v>0</v>
      </c>
      <c r="Q22" s="21">
        <f t="shared" ca="1" si="4"/>
        <v>0</v>
      </c>
    </row>
    <row r="23" spans="1:17" ht="12.75" x14ac:dyDescent="0.3">
      <c r="C23" s="146">
        <f t="shared" si="5"/>
        <v>16</v>
      </c>
      <c r="D23" s="137" t="str">
        <f>Lookups!$D$56</f>
        <v>Fleet Leases</v>
      </c>
      <c r="E23" s="14" t="s">
        <v>157</v>
      </c>
      <c r="F23" s="14" t="str">
        <f t="shared" si="0"/>
        <v>$Millions</v>
      </c>
      <c r="G23" s="14" t="str">
        <f t="shared" si="1"/>
        <v>Real $2021</v>
      </c>
      <c r="H23" s="14" t="str">
        <f t="shared" si="2"/>
        <v>End of Period</v>
      </c>
      <c r="J23" s="171">
        <f t="shared" ca="1" si="3"/>
        <v>0</v>
      </c>
      <c r="K23" s="169">
        <f t="shared" ca="1" si="3"/>
        <v>0</v>
      </c>
      <c r="L23" s="170">
        <f t="shared" ca="1" si="3"/>
        <v>0</v>
      </c>
      <c r="M23" s="171">
        <f t="shared" ca="1" si="3"/>
        <v>0</v>
      </c>
      <c r="N23" s="171">
        <f t="shared" ca="1" si="3"/>
        <v>0</v>
      </c>
      <c r="O23" s="171">
        <f t="shared" ca="1" si="3"/>
        <v>0</v>
      </c>
      <c r="P23" s="172">
        <f t="shared" ca="1" si="3"/>
        <v>0</v>
      </c>
      <c r="Q23" s="21">
        <f t="shared" ca="1" si="4"/>
        <v>0</v>
      </c>
    </row>
    <row r="24" spans="1:17" ht="12.75" x14ac:dyDescent="0.3">
      <c r="C24" s="146">
        <f t="shared" si="5"/>
        <v>17</v>
      </c>
      <c r="D24" s="137" t="str">
        <f>Lookups!$D$57</f>
        <v>Buildings</v>
      </c>
      <c r="E24" s="14" t="s">
        <v>157</v>
      </c>
      <c r="F24" s="14" t="str">
        <f t="shared" si="0"/>
        <v>$Millions</v>
      </c>
      <c r="G24" s="14" t="str">
        <f t="shared" si="1"/>
        <v>Real $2021</v>
      </c>
      <c r="H24" s="14" t="str">
        <f t="shared" si="2"/>
        <v>End of Period</v>
      </c>
      <c r="J24" s="171">
        <f t="shared" ref="J24:P25" ca="1" si="6">SUMIF($R$34:$T$47,$D24,J$34:J$47)/10^6</f>
        <v>0</v>
      </c>
      <c r="K24" s="169">
        <f t="shared" ca="1" si="6"/>
        <v>0</v>
      </c>
      <c r="L24" s="170">
        <f t="shared" ca="1" si="6"/>
        <v>0</v>
      </c>
      <c r="M24" s="171">
        <f t="shared" ca="1" si="6"/>
        <v>0</v>
      </c>
      <c r="N24" s="171">
        <f t="shared" ca="1" si="6"/>
        <v>0</v>
      </c>
      <c r="O24" s="171">
        <f t="shared" ca="1" si="6"/>
        <v>0</v>
      </c>
      <c r="P24" s="172">
        <f t="shared" ca="1" si="6"/>
        <v>0</v>
      </c>
      <c r="Q24" s="21">
        <f t="shared" ca="1" si="4"/>
        <v>0</v>
      </c>
    </row>
    <row r="25" spans="1:17" ht="12.75" x14ac:dyDescent="0.3">
      <c r="C25" s="146">
        <f t="shared" si="5"/>
        <v>18</v>
      </c>
      <c r="D25" s="137" t="str">
        <f>Lookups!$D$58</f>
        <v>In-house Software</v>
      </c>
      <c r="E25" s="14" t="s">
        <v>157</v>
      </c>
      <c r="F25" s="14" t="str">
        <f t="shared" si="0"/>
        <v>$Millions</v>
      </c>
      <c r="G25" s="14" t="str">
        <f t="shared" si="1"/>
        <v>Real $2021</v>
      </c>
      <c r="H25" s="14" t="str">
        <f t="shared" si="2"/>
        <v>End of Period</v>
      </c>
      <c r="J25" s="171">
        <f t="shared" ca="1" si="6"/>
        <v>0</v>
      </c>
      <c r="K25" s="169">
        <f t="shared" ca="1" si="6"/>
        <v>0</v>
      </c>
      <c r="L25" s="170">
        <f t="shared" ca="1" si="6"/>
        <v>0</v>
      </c>
      <c r="M25" s="171">
        <f t="shared" ca="1" si="6"/>
        <v>0</v>
      </c>
      <c r="N25" s="171">
        <f t="shared" ca="1" si="6"/>
        <v>0</v>
      </c>
      <c r="O25" s="171">
        <f t="shared" ca="1" si="6"/>
        <v>0</v>
      </c>
      <c r="P25" s="172">
        <f t="shared" ca="1" si="6"/>
        <v>0</v>
      </c>
      <c r="Q25" s="21">
        <f t="shared" ca="1" si="4"/>
        <v>0</v>
      </c>
    </row>
    <row r="26" spans="1:17" x14ac:dyDescent="0.3">
      <c r="E26" s="5"/>
      <c r="F26" s="5"/>
      <c r="G26" s="5"/>
      <c r="H26" s="5"/>
      <c r="L26" s="152"/>
      <c r="P26" s="153"/>
      <c r="Q26" s="5"/>
    </row>
    <row r="27" spans="1:17" ht="13.15" x14ac:dyDescent="0.3">
      <c r="D27" s="154" t="s">
        <v>15</v>
      </c>
      <c r="E27" s="17" t="s">
        <v>157</v>
      </c>
      <c r="F27" s="17" t="str">
        <f>Input_Unit</f>
        <v>$Millions</v>
      </c>
      <c r="G27" s="17" t="str">
        <f>Input_Dollar_Basis</f>
        <v>Real $2021</v>
      </c>
      <c r="H27" s="17" t="str">
        <f>End_Period</f>
        <v>End of Period</v>
      </c>
      <c r="J27" s="156">
        <f t="shared" ref="J27:P27" ca="1" si="7">SUM(J8:J25)</f>
        <v>0</v>
      </c>
      <c r="K27" s="156">
        <f t="shared" ca="1" si="7"/>
        <v>0</v>
      </c>
      <c r="L27" s="157">
        <f t="shared" ca="1" si="7"/>
        <v>0</v>
      </c>
      <c r="M27" s="156">
        <f t="shared" ca="1" si="7"/>
        <v>0</v>
      </c>
      <c r="N27" s="156">
        <f t="shared" ca="1" si="7"/>
        <v>0</v>
      </c>
      <c r="O27" s="156">
        <f t="shared" ca="1" si="7"/>
        <v>0</v>
      </c>
      <c r="P27" s="158">
        <f t="shared" ca="1" si="7"/>
        <v>0</v>
      </c>
      <c r="Q27" s="18">
        <f ca="1">SUM(Q8:Q25)</f>
        <v>0</v>
      </c>
    </row>
    <row r="28" spans="1:17" ht="4.5" customHeight="1" x14ac:dyDescent="0.3"/>
    <row r="29" spans="1:17" ht="11.25" customHeight="1" x14ac:dyDescent="0.3">
      <c r="A29" s="138">
        <f>IF(SUM($J29:$P29)&gt;0,1,0)</f>
        <v>0</v>
      </c>
      <c r="D29" s="159" t="s">
        <v>98</v>
      </c>
      <c r="J29" s="138" t="s">
        <v>16</v>
      </c>
      <c r="K29" s="138" t="s">
        <v>16</v>
      </c>
      <c r="L29" s="138" t="s">
        <v>16</v>
      </c>
      <c r="M29" s="138" t="s">
        <v>16</v>
      </c>
      <c r="N29" s="138" t="s">
        <v>16</v>
      </c>
      <c r="O29" s="138" t="s">
        <v>16</v>
      </c>
      <c r="P29" s="138" t="s">
        <v>16</v>
      </c>
    </row>
    <row r="30" spans="1:17" s="5" customFormat="1" ht="4.5" customHeight="1" x14ac:dyDescent="0.3"/>
    <row r="31" spans="1:17" s="142" customFormat="1" ht="13.9" x14ac:dyDescent="0.45">
      <c r="C31" s="142" t="s">
        <v>162</v>
      </c>
    </row>
    <row r="32" spans="1:17" ht="11.25" customHeight="1" x14ac:dyDescent="0.3"/>
    <row r="33" spans="3:20" ht="13.15" x14ac:dyDescent="0.3">
      <c r="C33" s="143" t="s">
        <v>81</v>
      </c>
      <c r="D33" s="144" t="s">
        <v>89</v>
      </c>
      <c r="E33" s="144" t="s">
        <v>90</v>
      </c>
      <c r="F33" s="145" t="s">
        <v>17</v>
      </c>
      <c r="G33" s="145" t="s">
        <v>83</v>
      </c>
      <c r="H33" s="145" t="s">
        <v>84</v>
      </c>
      <c r="J33" s="10" t="str">
        <f>Lookups!I$11</f>
        <v>FY23</v>
      </c>
      <c r="K33" s="10" t="str">
        <f>Lookups!J$11</f>
        <v>FY24</v>
      </c>
      <c r="L33" s="11" t="str">
        <f>Lookups!K$11</f>
        <v>FY25</v>
      </c>
      <c r="M33" s="10" t="str">
        <f>Lookups!L$11</f>
        <v>FY26</v>
      </c>
      <c r="N33" s="10" t="str">
        <f>Lookups!M$11</f>
        <v>FY27</v>
      </c>
      <c r="O33" s="10" t="str">
        <f>Lookups!N$11</f>
        <v>FY28</v>
      </c>
      <c r="P33" s="12" t="str">
        <f>Lookups!O$11</f>
        <v>FY29</v>
      </c>
      <c r="R33" s="267" t="s">
        <v>161</v>
      </c>
      <c r="S33" s="267"/>
      <c r="T33" s="267"/>
    </row>
    <row r="34" spans="3:20" ht="12.75" x14ac:dyDescent="0.3">
      <c r="C34" s="146">
        <f>N(C33)+1</f>
        <v>1</v>
      </c>
      <c r="D34" s="184" t="str">
        <f>'Net connection capex (SCS)'!D34</f>
        <v>RESIDENTIAL</v>
      </c>
      <c r="E34" s="184" t="str">
        <f>'Net connection capex (SCS)'!E34</f>
        <v>Simple connection LV</v>
      </c>
      <c r="F34" s="148" t="str">
        <f t="shared" ref="F34:F47" si="8">Dollars</f>
        <v>Dollars</v>
      </c>
      <c r="G34" s="148" t="str">
        <f t="shared" ref="G34:G47" si="9">Input_Dollar_Basis</f>
        <v>Real $2021</v>
      </c>
      <c r="H34" s="148" t="str">
        <f t="shared" ref="H34:H47" si="10">End_Period</f>
        <v>End of Period</v>
      </c>
      <c r="J34" s="185">
        <f t="shared" ref="J34:P47" si="11">IF($N77="",0,J54*$N77)</f>
        <v>0</v>
      </c>
      <c r="K34" s="186">
        <f t="shared" si="11"/>
        <v>0</v>
      </c>
      <c r="L34" s="187">
        <f t="shared" si="11"/>
        <v>0</v>
      </c>
      <c r="M34" s="185">
        <f t="shared" si="11"/>
        <v>0</v>
      </c>
      <c r="N34" s="185">
        <f t="shared" si="11"/>
        <v>0</v>
      </c>
      <c r="O34" s="185">
        <f t="shared" si="11"/>
        <v>0</v>
      </c>
      <c r="P34" s="188">
        <f t="shared" si="11"/>
        <v>0</v>
      </c>
      <c r="R34" s="269" t="s">
        <v>299</v>
      </c>
      <c r="S34" s="270"/>
      <c r="T34" s="271"/>
    </row>
    <row r="35" spans="3:20" ht="12.75" x14ac:dyDescent="0.3">
      <c r="C35" s="146">
        <f t="shared" ref="C35:C47" si="12">N(C34)+1</f>
        <v>2</v>
      </c>
      <c r="D35" s="184"/>
      <c r="E35" s="184" t="str">
        <f>'Net connection capex (SCS)'!E35</f>
        <v>Complex connection LV</v>
      </c>
      <c r="F35" s="148" t="str">
        <f t="shared" si="8"/>
        <v>Dollars</v>
      </c>
      <c r="G35" s="148" t="str">
        <f t="shared" si="9"/>
        <v>Real $2021</v>
      </c>
      <c r="H35" s="148" t="str">
        <f t="shared" si="10"/>
        <v>End of Period</v>
      </c>
      <c r="J35" s="185">
        <f t="shared" si="11"/>
        <v>0</v>
      </c>
      <c r="K35" s="186">
        <f t="shared" si="11"/>
        <v>0</v>
      </c>
      <c r="L35" s="187">
        <f t="shared" si="11"/>
        <v>0</v>
      </c>
      <c r="M35" s="185">
        <f t="shared" si="11"/>
        <v>0</v>
      </c>
      <c r="N35" s="185">
        <f t="shared" si="11"/>
        <v>0</v>
      </c>
      <c r="O35" s="185">
        <f t="shared" si="11"/>
        <v>0</v>
      </c>
      <c r="P35" s="188">
        <f t="shared" si="11"/>
        <v>0</v>
      </c>
      <c r="R35" s="269" t="s">
        <v>299</v>
      </c>
      <c r="S35" s="270"/>
      <c r="T35" s="271"/>
    </row>
    <row r="36" spans="3:20" ht="12.75" x14ac:dyDescent="0.3">
      <c r="C36" s="146">
        <f t="shared" si="12"/>
        <v>3</v>
      </c>
      <c r="D36" s="184"/>
      <c r="E36" s="184" t="str">
        <f>'Net connection capex (SCS)'!E36</f>
        <v>Complex connection HV</v>
      </c>
      <c r="F36" s="148" t="str">
        <f t="shared" si="8"/>
        <v>Dollars</v>
      </c>
      <c r="G36" s="148" t="str">
        <f t="shared" si="9"/>
        <v>Real $2021</v>
      </c>
      <c r="H36" s="148" t="str">
        <f t="shared" si="10"/>
        <v>End of Period</v>
      </c>
      <c r="J36" s="185">
        <f t="shared" si="11"/>
        <v>0</v>
      </c>
      <c r="K36" s="186">
        <f t="shared" si="11"/>
        <v>0</v>
      </c>
      <c r="L36" s="187">
        <f t="shared" si="11"/>
        <v>0</v>
      </c>
      <c r="M36" s="185">
        <f t="shared" si="11"/>
        <v>0</v>
      </c>
      <c r="N36" s="185">
        <f t="shared" si="11"/>
        <v>0</v>
      </c>
      <c r="O36" s="185">
        <f t="shared" si="11"/>
        <v>0</v>
      </c>
      <c r="P36" s="188">
        <f t="shared" si="11"/>
        <v>0</v>
      </c>
      <c r="R36" s="269" t="s">
        <v>299</v>
      </c>
      <c r="S36" s="270"/>
      <c r="T36" s="271"/>
    </row>
    <row r="37" spans="3:20" ht="12.75" x14ac:dyDescent="0.3">
      <c r="C37" s="146">
        <f t="shared" si="12"/>
        <v>4</v>
      </c>
      <c r="D37" s="184" t="str">
        <f>'Net connection capex (SCS)'!D37</f>
        <v>COMMERCIAL/INDUSTRIAL</v>
      </c>
      <c r="E37" s="184" t="str">
        <f>'Net connection capex (SCS)'!E37</f>
        <v>Simple connection LV</v>
      </c>
      <c r="F37" s="148" t="str">
        <f t="shared" si="8"/>
        <v>Dollars</v>
      </c>
      <c r="G37" s="148" t="str">
        <f t="shared" si="9"/>
        <v>Real $2021</v>
      </c>
      <c r="H37" s="148" t="str">
        <f t="shared" si="10"/>
        <v>End of Period</v>
      </c>
      <c r="J37" s="185">
        <f t="shared" si="11"/>
        <v>0</v>
      </c>
      <c r="K37" s="186">
        <f t="shared" si="11"/>
        <v>0</v>
      </c>
      <c r="L37" s="187">
        <f t="shared" si="11"/>
        <v>0</v>
      </c>
      <c r="M37" s="185">
        <f t="shared" si="11"/>
        <v>0</v>
      </c>
      <c r="N37" s="185">
        <f t="shared" si="11"/>
        <v>0</v>
      </c>
      <c r="O37" s="185">
        <f t="shared" si="11"/>
        <v>0</v>
      </c>
      <c r="P37" s="188">
        <f t="shared" si="11"/>
        <v>0</v>
      </c>
      <c r="R37" s="269" t="s">
        <v>299</v>
      </c>
      <c r="S37" s="270"/>
      <c r="T37" s="271"/>
    </row>
    <row r="38" spans="3:20" ht="12.75" x14ac:dyDescent="0.3">
      <c r="C38" s="146">
        <f t="shared" si="12"/>
        <v>5</v>
      </c>
      <c r="D38" s="184"/>
      <c r="E38" s="184" t="str">
        <f>'Net connection capex (SCS)'!E38</f>
        <v>Complex connection HV (customer connected at LV, minor HV works)</v>
      </c>
      <c r="F38" s="148" t="str">
        <f t="shared" si="8"/>
        <v>Dollars</v>
      </c>
      <c r="G38" s="148" t="str">
        <f t="shared" si="9"/>
        <v>Real $2021</v>
      </c>
      <c r="H38" s="148" t="str">
        <f t="shared" si="10"/>
        <v>End of Period</v>
      </c>
      <c r="J38" s="185">
        <f t="shared" si="11"/>
        <v>0</v>
      </c>
      <c r="K38" s="186">
        <f t="shared" si="11"/>
        <v>0</v>
      </c>
      <c r="L38" s="187">
        <f t="shared" si="11"/>
        <v>1144532.9695320234</v>
      </c>
      <c r="M38" s="185">
        <f t="shared" si="11"/>
        <v>1105368.8375799945</v>
      </c>
      <c r="N38" s="185">
        <f t="shared" si="11"/>
        <v>1066204.7056279818</v>
      </c>
      <c r="O38" s="185">
        <f t="shared" si="11"/>
        <v>1027040.5736759687</v>
      </c>
      <c r="P38" s="188">
        <f t="shared" si="11"/>
        <v>987876.44172395603</v>
      </c>
      <c r="R38" s="269" t="s">
        <v>299</v>
      </c>
      <c r="S38" s="270"/>
      <c r="T38" s="271"/>
    </row>
    <row r="39" spans="3:20" ht="12.75" x14ac:dyDescent="0.3">
      <c r="C39" s="146">
        <f t="shared" si="12"/>
        <v>6</v>
      </c>
      <c r="D39" s="184"/>
      <c r="E39" s="184" t="str">
        <f>'Net connection capex (SCS)'!E39</f>
        <v>Complex connection HV (customer connected at LV, upstream asset works)</v>
      </c>
      <c r="F39" s="148" t="str">
        <f t="shared" si="8"/>
        <v>Dollars</v>
      </c>
      <c r="G39" s="148" t="str">
        <f t="shared" si="9"/>
        <v>Real $2021</v>
      </c>
      <c r="H39" s="148" t="str">
        <f t="shared" si="10"/>
        <v>End of Period</v>
      </c>
      <c r="J39" s="185">
        <f t="shared" si="11"/>
        <v>0</v>
      </c>
      <c r="K39" s="186">
        <f t="shared" si="11"/>
        <v>0</v>
      </c>
      <c r="L39" s="187">
        <f t="shared" si="11"/>
        <v>254295.51041139523</v>
      </c>
      <c r="M39" s="185">
        <f t="shared" si="11"/>
        <v>253563.37449707964</v>
      </c>
      <c r="N39" s="185">
        <f t="shared" si="11"/>
        <v>252812.05305801693</v>
      </c>
      <c r="O39" s="185">
        <f t="shared" si="11"/>
        <v>252041.03421300981</v>
      </c>
      <c r="P39" s="188">
        <f t="shared" si="11"/>
        <v>251249.79221437982</v>
      </c>
      <c r="R39" s="269" t="s">
        <v>299</v>
      </c>
      <c r="S39" s="270"/>
      <c r="T39" s="271"/>
    </row>
    <row r="40" spans="3:20" ht="12.75" x14ac:dyDescent="0.3">
      <c r="C40" s="146">
        <f t="shared" si="12"/>
        <v>7</v>
      </c>
      <c r="D40" s="184"/>
      <c r="E40" s="184" t="str">
        <f>'Net connection capex (SCS)'!E40</f>
        <v>Complex connection HV (customer connected at HV)</v>
      </c>
      <c r="F40" s="148" t="str">
        <f t="shared" si="8"/>
        <v>Dollars</v>
      </c>
      <c r="G40" s="148" t="str">
        <f t="shared" si="9"/>
        <v>Real $2021</v>
      </c>
      <c r="H40" s="148" t="str">
        <f t="shared" si="10"/>
        <v>End of Period</v>
      </c>
      <c r="J40" s="185">
        <f t="shared" si="11"/>
        <v>0</v>
      </c>
      <c r="K40" s="186">
        <f t="shared" si="11"/>
        <v>0</v>
      </c>
      <c r="L40" s="187">
        <f t="shared" si="11"/>
        <v>715082.76035829121</v>
      </c>
      <c r="M40" s="185">
        <f t="shared" si="11"/>
        <v>797296.90956892772</v>
      </c>
      <c r="N40" s="185">
        <f t="shared" si="11"/>
        <v>879511.05877954431</v>
      </c>
      <c r="O40" s="185">
        <f t="shared" si="11"/>
        <v>961725.20799018105</v>
      </c>
      <c r="P40" s="188">
        <f t="shared" si="11"/>
        <v>1043939.3572008174</v>
      </c>
      <c r="R40" s="269" t="s">
        <v>299</v>
      </c>
      <c r="S40" s="270"/>
      <c r="T40" s="271"/>
    </row>
    <row r="41" spans="3:20" ht="12.75" x14ac:dyDescent="0.3">
      <c r="C41" s="146">
        <f t="shared" si="12"/>
        <v>8</v>
      </c>
      <c r="D41" s="184"/>
      <c r="E41" s="184" t="str">
        <f>'Net connection capex (SCS)'!E41</f>
        <v>Complex connection sub-transmission</v>
      </c>
      <c r="F41" s="148" t="str">
        <f t="shared" si="8"/>
        <v>Dollars</v>
      </c>
      <c r="G41" s="148" t="str">
        <f t="shared" si="9"/>
        <v>Real $2021</v>
      </c>
      <c r="H41" s="148" t="str">
        <f t="shared" si="10"/>
        <v>End of Period</v>
      </c>
      <c r="J41" s="185">
        <f t="shared" si="11"/>
        <v>0</v>
      </c>
      <c r="K41" s="186">
        <f t="shared" si="11"/>
        <v>0</v>
      </c>
      <c r="L41" s="187">
        <f t="shared" si="11"/>
        <v>0</v>
      </c>
      <c r="M41" s="185">
        <f t="shared" si="11"/>
        <v>0</v>
      </c>
      <c r="N41" s="185">
        <f t="shared" si="11"/>
        <v>0</v>
      </c>
      <c r="O41" s="185">
        <f t="shared" si="11"/>
        <v>0</v>
      </c>
      <c r="P41" s="188">
        <f t="shared" si="11"/>
        <v>0</v>
      </c>
      <c r="R41" s="269" t="s">
        <v>299</v>
      </c>
      <c r="S41" s="270"/>
      <c r="T41" s="271"/>
    </row>
    <row r="42" spans="3:20" ht="12.75" x14ac:dyDescent="0.3">
      <c r="C42" s="146">
        <f t="shared" si="12"/>
        <v>9</v>
      </c>
      <c r="D42" s="184" t="str">
        <f>'Net connection capex (SCS)'!D42</f>
        <v>SUBDIVISION</v>
      </c>
      <c r="E42" s="184" t="str">
        <f>'Net connection capex (SCS)'!E42</f>
        <v>Complex connection LV</v>
      </c>
      <c r="F42" s="148" t="str">
        <f t="shared" si="8"/>
        <v>Dollars</v>
      </c>
      <c r="G42" s="148" t="str">
        <f t="shared" si="9"/>
        <v>Real $2021</v>
      </c>
      <c r="H42" s="148" t="str">
        <f t="shared" si="10"/>
        <v>End of Period</v>
      </c>
      <c r="J42" s="185">
        <f t="shared" si="11"/>
        <v>0</v>
      </c>
      <c r="K42" s="186">
        <f t="shared" si="11"/>
        <v>0</v>
      </c>
      <c r="L42" s="187">
        <f t="shared" si="11"/>
        <v>0</v>
      </c>
      <c r="M42" s="185">
        <f t="shared" si="11"/>
        <v>0</v>
      </c>
      <c r="N42" s="185">
        <f t="shared" si="11"/>
        <v>0</v>
      </c>
      <c r="O42" s="185">
        <f t="shared" si="11"/>
        <v>0</v>
      </c>
      <c r="P42" s="188">
        <f t="shared" si="11"/>
        <v>0</v>
      </c>
      <c r="R42" s="269" t="s">
        <v>299</v>
      </c>
      <c r="S42" s="270"/>
      <c r="T42" s="271"/>
    </row>
    <row r="43" spans="3:20" ht="12.75" x14ac:dyDescent="0.3">
      <c r="C43" s="146">
        <f t="shared" si="12"/>
        <v>10</v>
      </c>
      <c r="D43" s="184"/>
      <c r="E43" s="184" t="str">
        <f>'Net connection capex (SCS)'!E43</f>
        <v>Complex connection HV (no upstream asset works)</v>
      </c>
      <c r="F43" s="148" t="str">
        <f t="shared" si="8"/>
        <v>Dollars</v>
      </c>
      <c r="G43" s="148" t="str">
        <f t="shared" si="9"/>
        <v>Real $2021</v>
      </c>
      <c r="H43" s="148" t="str">
        <f t="shared" si="10"/>
        <v>End of Period</v>
      </c>
      <c r="J43" s="185">
        <f t="shared" si="11"/>
        <v>0</v>
      </c>
      <c r="K43" s="186">
        <f t="shared" si="11"/>
        <v>0</v>
      </c>
      <c r="L43" s="187">
        <f t="shared" si="11"/>
        <v>128170.55701792915</v>
      </c>
      <c r="M43" s="185">
        <f t="shared" si="11"/>
        <v>128170.55701792915</v>
      </c>
      <c r="N43" s="185">
        <f t="shared" si="11"/>
        <v>128170.55701792915</v>
      </c>
      <c r="O43" s="185">
        <f t="shared" si="11"/>
        <v>128170.55701792915</v>
      </c>
      <c r="P43" s="188">
        <f t="shared" si="11"/>
        <v>128170.55701792915</v>
      </c>
      <c r="R43" s="269" t="s">
        <v>299</v>
      </c>
      <c r="S43" s="270"/>
      <c r="T43" s="271"/>
    </row>
    <row r="44" spans="3:20" ht="12.75" x14ac:dyDescent="0.3">
      <c r="C44" s="146">
        <f t="shared" si="12"/>
        <v>11</v>
      </c>
      <c r="D44" s="184"/>
      <c r="E44" s="184" t="str">
        <f>'Net connection capex (SCS)'!E44</f>
        <v>Complex connection HV (with upstream asset works)</v>
      </c>
      <c r="F44" s="148" t="str">
        <f t="shared" si="8"/>
        <v>Dollars</v>
      </c>
      <c r="G44" s="148" t="str">
        <f t="shared" si="9"/>
        <v>Real $2021</v>
      </c>
      <c r="H44" s="148" t="str">
        <f t="shared" si="10"/>
        <v>End of Period</v>
      </c>
      <c r="J44" s="185">
        <f t="shared" si="11"/>
        <v>0</v>
      </c>
      <c r="K44" s="186">
        <f t="shared" si="11"/>
        <v>0</v>
      </c>
      <c r="L44" s="187">
        <f t="shared" si="11"/>
        <v>120539.72008061199</v>
      </c>
      <c r="M44" s="185">
        <f t="shared" si="11"/>
        <v>120539.72008061199</v>
      </c>
      <c r="N44" s="185">
        <f t="shared" si="11"/>
        <v>120539.72008061199</v>
      </c>
      <c r="O44" s="185">
        <f t="shared" si="11"/>
        <v>120539.72008061199</v>
      </c>
      <c r="P44" s="188">
        <f t="shared" si="11"/>
        <v>120539.72008061199</v>
      </c>
      <c r="R44" s="269" t="s">
        <v>299</v>
      </c>
      <c r="S44" s="270"/>
      <c r="T44" s="271"/>
    </row>
    <row r="45" spans="3:20" ht="12.75" x14ac:dyDescent="0.3">
      <c r="C45" s="146">
        <f t="shared" si="12"/>
        <v>12</v>
      </c>
      <c r="D45" s="184" t="str">
        <f>'Net connection capex (SCS)'!D45</f>
        <v>EMBEDDED GENERATION</v>
      </c>
      <c r="E45" s="184" t="str">
        <f>'Net connection capex (SCS)'!E45</f>
        <v>Simple connection LV</v>
      </c>
      <c r="F45" s="148" t="str">
        <f t="shared" si="8"/>
        <v>Dollars</v>
      </c>
      <c r="G45" s="148" t="str">
        <f t="shared" si="9"/>
        <v>Real $2021</v>
      </c>
      <c r="H45" s="148" t="str">
        <f t="shared" si="10"/>
        <v>End of Period</v>
      </c>
      <c r="J45" s="185">
        <f t="shared" si="11"/>
        <v>0</v>
      </c>
      <c r="K45" s="186">
        <f t="shared" si="11"/>
        <v>0</v>
      </c>
      <c r="L45" s="187">
        <f t="shared" si="11"/>
        <v>0</v>
      </c>
      <c r="M45" s="185">
        <f t="shared" si="11"/>
        <v>0</v>
      </c>
      <c r="N45" s="185">
        <f t="shared" si="11"/>
        <v>0</v>
      </c>
      <c r="O45" s="185">
        <f t="shared" si="11"/>
        <v>0</v>
      </c>
      <c r="P45" s="188">
        <f t="shared" si="11"/>
        <v>0</v>
      </c>
      <c r="R45" s="269" t="s">
        <v>299</v>
      </c>
      <c r="S45" s="270"/>
      <c r="T45" s="271"/>
    </row>
    <row r="46" spans="3:20" ht="12.75" x14ac:dyDescent="0.3">
      <c r="C46" s="146">
        <f t="shared" si="12"/>
        <v>13</v>
      </c>
      <c r="D46" s="184"/>
      <c r="E46" s="184" t="str">
        <f>'Net connection capex (SCS)'!E46</f>
        <v>Complex connection HV (small capacity)</v>
      </c>
      <c r="F46" s="148" t="str">
        <f t="shared" si="8"/>
        <v>Dollars</v>
      </c>
      <c r="G46" s="148" t="str">
        <f t="shared" si="9"/>
        <v>Real $2021</v>
      </c>
      <c r="H46" s="148" t="str">
        <f t="shared" si="10"/>
        <v>End of Period</v>
      </c>
      <c r="J46" s="185">
        <f t="shared" si="11"/>
        <v>0</v>
      </c>
      <c r="K46" s="186">
        <f t="shared" si="11"/>
        <v>0</v>
      </c>
      <c r="L46" s="187">
        <f t="shared" si="11"/>
        <v>0</v>
      </c>
      <c r="M46" s="185">
        <f t="shared" si="11"/>
        <v>0</v>
      </c>
      <c r="N46" s="185">
        <f t="shared" si="11"/>
        <v>0</v>
      </c>
      <c r="O46" s="185">
        <f t="shared" si="11"/>
        <v>0</v>
      </c>
      <c r="P46" s="188">
        <f t="shared" si="11"/>
        <v>0</v>
      </c>
      <c r="R46" s="269" t="s">
        <v>299</v>
      </c>
      <c r="S46" s="270"/>
      <c r="T46" s="271"/>
    </row>
    <row r="47" spans="3:20" ht="12.75" x14ac:dyDescent="0.3">
      <c r="C47" s="146">
        <f t="shared" si="12"/>
        <v>14</v>
      </c>
      <c r="D47" s="184"/>
      <c r="E47" s="184" t="str">
        <f>'Net connection capex (SCS)'!E47</f>
        <v>Complex connection HV (large capacity)</v>
      </c>
      <c r="F47" s="148" t="str">
        <f t="shared" si="8"/>
        <v>Dollars</v>
      </c>
      <c r="G47" s="148" t="str">
        <f t="shared" si="9"/>
        <v>Real $2021</v>
      </c>
      <c r="H47" s="148" t="str">
        <f t="shared" si="10"/>
        <v>End of Period</v>
      </c>
      <c r="J47" s="185">
        <f t="shared" si="11"/>
        <v>0</v>
      </c>
      <c r="K47" s="186">
        <f t="shared" si="11"/>
        <v>0</v>
      </c>
      <c r="L47" s="187">
        <f t="shared" si="11"/>
        <v>0</v>
      </c>
      <c r="M47" s="185">
        <f t="shared" si="11"/>
        <v>0</v>
      </c>
      <c r="N47" s="185">
        <f t="shared" si="11"/>
        <v>0</v>
      </c>
      <c r="O47" s="185">
        <f t="shared" si="11"/>
        <v>0</v>
      </c>
      <c r="P47" s="188">
        <f t="shared" si="11"/>
        <v>0</v>
      </c>
      <c r="R47" s="269" t="s">
        <v>299</v>
      </c>
      <c r="S47" s="270"/>
      <c r="T47" s="271"/>
    </row>
    <row r="48" spans="3:20" x14ac:dyDescent="0.3">
      <c r="L48" s="152"/>
      <c r="P48" s="153"/>
    </row>
    <row r="49" spans="3:16" ht="13.15" x14ac:dyDescent="0.3">
      <c r="D49" s="154" t="s">
        <v>15</v>
      </c>
      <c r="E49" s="154"/>
      <c r="F49" s="155" t="str">
        <f>Dollars</f>
        <v>Dollars</v>
      </c>
      <c r="G49" s="155" t="str">
        <f>Input_Dollar_Basis</f>
        <v>Real $2021</v>
      </c>
      <c r="H49" s="155" t="str">
        <f>End_Period</f>
        <v>End of Period</v>
      </c>
      <c r="J49" s="161">
        <f t="shared" ref="J49:P49" si="13">SUM(J34:J47)</f>
        <v>0</v>
      </c>
      <c r="K49" s="161">
        <f t="shared" si="13"/>
        <v>0</v>
      </c>
      <c r="L49" s="162">
        <f t="shared" si="13"/>
        <v>2362621.5174002508</v>
      </c>
      <c r="M49" s="161">
        <f t="shared" si="13"/>
        <v>2404939.3987445431</v>
      </c>
      <c r="N49" s="161">
        <f t="shared" si="13"/>
        <v>2447238.094564084</v>
      </c>
      <c r="O49" s="161">
        <f t="shared" si="13"/>
        <v>2489517.0929777008</v>
      </c>
      <c r="P49" s="163">
        <f t="shared" si="13"/>
        <v>2531775.8682376947</v>
      </c>
    </row>
    <row r="50" spans="3:16" ht="4.5" customHeight="1" x14ac:dyDescent="0.3"/>
    <row r="51" spans="3:16" s="142" customFormat="1" ht="13.9" x14ac:dyDescent="0.45">
      <c r="C51" s="142" t="s">
        <v>86</v>
      </c>
    </row>
    <row r="52" spans="3:16" ht="11.25" customHeight="1" x14ac:dyDescent="0.3"/>
    <row r="53" spans="3:16" ht="13.15" x14ac:dyDescent="0.3">
      <c r="C53" s="143" t="s">
        <v>81</v>
      </c>
      <c r="D53" s="144" t="s">
        <v>89</v>
      </c>
      <c r="E53" s="144" t="s">
        <v>90</v>
      </c>
      <c r="F53" s="145" t="s">
        <v>17</v>
      </c>
      <c r="G53" s="145" t="s">
        <v>83</v>
      </c>
      <c r="H53" s="145" t="s">
        <v>84</v>
      </c>
      <c r="J53" s="197" t="str">
        <f>Lookups!I$11</f>
        <v>FY23</v>
      </c>
      <c r="K53" s="197" t="str">
        <f>Lookups!J$11</f>
        <v>FY24</v>
      </c>
      <c r="L53" s="11" t="str">
        <f>Lookups!K$11</f>
        <v>FY25</v>
      </c>
      <c r="M53" s="10" t="str">
        <f>Lookups!L$11</f>
        <v>FY26</v>
      </c>
      <c r="N53" s="10" t="str">
        <f>Lookups!M$11</f>
        <v>FY27</v>
      </c>
      <c r="O53" s="10" t="str">
        <f>Lookups!N$11</f>
        <v>FY28</v>
      </c>
      <c r="P53" s="12" t="str">
        <f>Lookups!O$11</f>
        <v>FY29</v>
      </c>
    </row>
    <row r="54" spans="3:16" ht="12.75" x14ac:dyDescent="0.3">
      <c r="C54" s="146">
        <f>N(C53)+1</f>
        <v>1</v>
      </c>
      <c r="D54" s="184" t="str">
        <f>$D$34</f>
        <v>RESIDENTIAL</v>
      </c>
      <c r="E54" s="184" t="str">
        <f>$E$34</f>
        <v>Simple connection LV</v>
      </c>
      <c r="F54" s="148" t="s">
        <v>91</v>
      </c>
      <c r="G54" s="148" t="s">
        <v>16</v>
      </c>
      <c r="H54" s="148" t="s">
        <v>16</v>
      </c>
      <c r="J54" s="149"/>
      <c r="K54" s="149"/>
      <c r="L54" s="150"/>
      <c r="M54" s="149"/>
      <c r="N54" s="149"/>
      <c r="O54" s="149"/>
      <c r="P54" s="149"/>
    </row>
    <row r="55" spans="3:16" ht="12.75" x14ac:dyDescent="0.3">
      <c r="C55" s="146">
        <f t="shared" ref="C55:C67" si="14">N(C54)+1</f>
        <v>2</v>
      </c>
      <c r="D55" s="184"/>
      <c r="E55" s="184" t="str">
        <f>$E$35</f>
        <v>Complex connection LV</v>
      </c>
      <c r="F55" s="148" t="s">
        <v>91</v>
      </c>
      <c r="G55" s="148" t="s">
        <v>16</v>
      </c>
      <c r="H55" s="148" t="s">
        <v>16</v>
      </c>
      <c r="J55" s="149"/>
      <c r="K55" s="149"/>
      <c r="L55" s="150"/>
      <c r="M55" s="149"/>
      <c r="N55" s="149"/>
      <c r="O55" s="149"/>
      <c r="P55" s="149"/>
    </row>
    <row r="56" spans="3:16" ht="12.75" x14ac:dyDescent="0.3">
      <c r="C56" s="146">
        <f t="shared" si="14"/>
        <v>3</v>
      </c>
      <c r="D56" s="184"/>
      <c r="E56" s="184" t="str">
        <f>$E$36</f>
        <v>Complex connection HV</v>
      </c>
      <c r="F56" s="148" t="s">
        <v>91</v>
      </c>
      <c r="G56" s="148" t="s">
        <v>16</v>
      </c>
      <c r="H56" s="148" t="s">
        <v>16</v>
      </c>
      <c r="J56" s="149"/>
      <c r="K56" s="149"/>
      <c r="L56" s="150"/>
      <c r="M56" s="149"/>
      <c r="N56" s="149"/>
      <c r="O56" s="149"/>
      <c r="P56" s="149"/>
    </row>
    <row r="57" spans="3:16" ht="12.75" x14ac:dyDescent="0.3">
      <c r="C57" s="146">
        <f t="shared" si="14"/>
        <v>4</v>
      </c>
      <c r="D57" s="184" t="str">
        <f>$D$37</f>
        <v>COMMERCIAL/INDUSTRIAL</v>
      </c>
      <c r="E57" s="184" t="str">
        <f>$E$37</f>
        <v>Simple connection LV</v>
      </c>
      <c r="F57" s="148" t="s">
        <v>91</v>
      </c>
      <c r="G57" s="148" t="s">
        <v>16</v>
      </c>
      <c r="H57" s="148" t="s">
        <v>16</v>
      </c>
      <c r="J57" s="149"/>
      <c r="K57" s="149"/>
      <c r="L57" s="150"/>
      <c r="M57" s="149"/>
      <c r="N57" s="149"/>
      <c r="O57" s="149"/>
      <c r="P57" s="149"/>
    </row>
    <row r="58" spans="3:16" ht="12.75" x14ac:dyDescent="0.3">
      <c r="C58" s="146">
        <f t="shared" si="14"/>
        <v>5</v>
      </c>
      <c r="D58" s="184"/>
      <c r="E58" s="184" t="str">
        <f>$E$38</f>
        <v>Complex connection HV (customer connected at LV, minor HV works)</v>
      </c>
      <c r="F58" s="148" t="s">
        <v>91</v>
      </c>
      <c r="G58" s="148" t="s">
        <v>16</v>
      </c>
      <c r="H58" s="148" t="s">
        <v>16</v>
      </c>
      <c r="J58" s="149"/>
      <c r="K58" s="149"/>
      <c r="L58" s="150">
        <v>28.122882787321011</v>
      </c>
      <c r="M58" s="149">
        <v>27.160561629543942</v>
      </c>
      <c r="N58" s="149">
        <v>26.198240471767271</v>
      </c>
      <c r="O58" s="149">
        <v>25.235919313990593</v>
      </c>
      <c r="P58" s="149">
        <v>24.273598156213922</v>
      </c>
    </row>
    <row r="59" spans="3:16" ht="12.75" x14ac:dyDescent="0.3">
      <c r="C59" s="146">
        <f t="shared" si="14"/>
        <v>6</v>
      </c>
      <c r="D59" s="184"/>
      <c r="E59" s="184" t="str">
        <f>$E$39</f>
        <v>Complex connection HV (customer connected at LV, upstream asset works)</v>
      </c>
      <c r="F59" s="148" t="s">
        <v>91</v>
      </c>
      <c r="G59" s="148" t="s">
        <v>16</v>
      </c>
      <c r="H59" s="148" t="s">
        <v>16</v>
      </c>
      <c r="J59" s="149"/>
      <c r="K59" s="149"/>
      <c r="L59" s="150">
        <v>2.6399391215631769</v>
      </c>
      <c r="M59" s="149">
        <v>2.6323385381341722</v>
      </c>
      <c r="N59" s="149">
        <v>2.624538782422237</v>
      </c>
      <c r="O59" s="149">
        <v>2.6165345403925455</v>
      </c>
      <c r="P59" s="149">
        <v>2.6083203540570183</v>
      </c>
    </row>
    <row r="60" spans="3:16" ht="12.75" x14ac:dyDescent="0.3">
      <c r="C60" s="146">
        <f t="shared" si="14"/>
        <v>7</v>
      </c>
      <c r="D60" s="184"/>
      <c r="E60" s="184" t="str">
        <f>$E$40</f>
        <v>Complex connection HV (customer connected at HV)</v>
      </c>
      <c r="F60" s="148" t="s">
        <v>91</v>
      </c>
      <c r="G60" s="148" t="s">
        <v>16</v>
      </c>
      <c r="H60" s="148" t="s">
        <v>16</v>
      </c>
      <c r="J60" s="149"/>
      <c r="K60" s="149"/>
      <c r="L60" s="150">
        <v>3.9244309844134726</v>
      </c>
      <c r="M60" s="149">
        <v>4.3756287651539196</v>
      </c>
      <c r="N60" s="149">
        <v>4.8268265458942583</v>
      </c>
      <c r="O60" s="149">
        <v>5.2780243266347071</v>
      </c>
      <c r="P60" s="149">
        <v>5.7292221073751541</v>
      </c>
    </row>
    <row r="61" spans="3:16" ht="12.75" x14ac:dyDescent="0.3">
      <c r="C61" s="146">
        <f t="shared" si="14"/>
        <v>8</v>
      </c>
      <c r="D61" s="184"/>
      <c r="E61" s="184" t="str">
        <f>$E$41</f>
        <v>Complex connection sub-transmission</v>
      </c>
      <c r="F61" s="148" t="s">
        <v>91</v>
      </c>
      <c r="G61" s="148" t="s">
        <v>16</v>
      </c>
      <c r="H61" s="148" t="s">
        <v>16</v>
      </c>
      <c r="J61" s="149"/>
      <c r="K61" s="149"/>
      <c r="L61" s="150">
        <v>0</v>
      </c>
      <c r="M61" s="149">
        <v>0</v>
      </c>
      <c r="N61" s="149">
        <v>0</v>
      </c>
      <c r="O61" s="149">
        <v>0</v>
      </c>
      <c r="P61" s="149">
        <v>0</v>
      </c>
    </row>
    <row r="62" spans="3:16" ht="12.75" x14ac:dyDescent="0.3">
      <c r="C62" s="146">
        <f t="shared" si="14"/>
        <v>9</v>
      </c>
      <c r="D62" s="184" t="str">
        <f>$D$42</f>
        <v>SUBDIVISION</v>
      </c>
      <c r="E62" s="184" t="str">
        <f>$E$42</f>
        <v>Complex connection LV</v>
      </c>
      <c r="F62" s="148" t="s">
        <v>91</v>
      </c>
      <c r="G62" s="148" t="s">
        <v>16</v>
      </c>
      <c r="H62" s="148" t="s">
        <v>16</v>
      </c>
      <c r="J62" s="149"/>
      <c r="K62" s="149"/>
      <c r="L62" s="150"/>
      <c r="M62" s="149"/>
      <c r="N62" s="149"/>
      <c r="O62" s="149"/>
      <c r="P62" s="149"/>
    </row>
    <row r="63" spans="3:16" ht="12.75" x14ac:dyDescent="0.3">
      <c r="C63" s="146">
        <f t="shared" si="14"/>
        <v>10</v>
      </c>
      <c r="D63" s="184"/>
      <c r="E63" s="184" t="str">
        <f>$E$43</f>
        <v>Complex connection HV (no upstream asset works)</v>
      </c>
      <c r="F63" s="148" t="s">
        <v>91</v>
      </c>
      <c r="G63" s="148" t="s">
        <v>16</v>
      </c>
      <c r="H63" s="148" t="s">
        <v>16</v>
      </c>
      <c r="J63" s="149"/>
      <c r="K63" s="149"/>
      <c r="L63" s="150">
        <v>3</v>
      </c>
      <c r="M63" s="149">
        <v>3</v>
      </c>
      <c r="N63" s="149">
        <v>3</v>
      </c>
      <c r="O63" s="149">
        <v>3</v>
      </c>
      <c r="P63" s="149">
        <v>3</v>
      </c>
    </row>
    <row r="64" spans="3:16" ht="12.75" x14ac:dyDescent="0.3">
      <c r="C64" s="146">
        <f t="shared" si="14"/>
        <v>11</v>
      </c>
      <c r="D64" s="184"/>
      <c r="E64" s="184" t="str">
        <f>$E$44</f>
        <v>Complex connection HV (with upstream asset works)</v>
      </c>
      <c r="F64" s="148" t="s">
        <v>91</v>
      </c>
      <c r="G64" s="148" t="s">
        <v>16</v>
      </c>
      <c r="H64" s="148" t="s">
        <v>16</v>
      </c>
      <c r="J64" s="149"/>
      <c r="K64" s="149"/>
      <c r="L64" s="150">
        <v>3</v>
      </c>
      <c r="M64" s="149">
        <v>3</v>
      </c>
      <c r="N64" s="149">
        <v>3</v>
      </c>
      <c r="O64" s="149">
        <v>3</v>
      </c>
      <c r="P64" s="149">
        <v>3</v>
      </c>
    </row>
    <row r="65" spans="3:16" ht="12.75" x14ac:dyDescent="0.3">
      <c r="C65" s="146">
        <f t="shared" si="14"/>
        <v>12</v>
      </c>
      <c r="D65" s="184" t="str">
        <f>$D$45</f>
        <v>EMBEDDED GENERATION</v>
      </c>
      <c r="E65" s="184" t="str">
        <f>$E$45</f>
        <v>Simple connection LV</v>
      </c>
      <c r="F65" s="148" t="s">
        <v>91</v>
      </c>
      <c r="G65" s="148" t="s">
        <v>16</v>
      </c>
      <c r="H65" s="148" t="s">
        <v>16</v>
      </c>
      <c r="J65" s="149"/>
      <c r="K65" s="149"/>
      <c r="L65" s="150"/>
      <c r="M65" s="149"/>
      <c r="N65" s="149"/>
      <c r="O65" s="149"/>
      <c r="P65" s="149"/>
    </row>
    <row r="66" spans="3:16" ht="12.75" x14ac:dyDescent="0.3">
      <c r="C66" s="146">
        <f t="shared" si="14"/>
        <v>13</v>
      </c>
      <c r="D66" s="184"/>
      <c r="E66" s="184" t="str">
        <f>$E$46</f>
        <v>Complex connection HV (small capacity)</v>
      </c>
      <c r="F66" s="148" t="s">
        <v>91</v>
      </c>
      <c r="G66" s="148" t="s">
        <v>16</v>
      </c>
      <c r="H66" s="148" t="s">
        <v>16</v>
      </c>
      <c r="J66" s="149"/>
      <c r="K66" s="149"/>
      <c r="L66" s="150">
        <v>0</v>
      </c>
      <c r="M66" s="149">
        <v>0</v>
      </c>
      <c r="N66" s="149">
        <v>0</v>
      </c>
      <c r="O66" s="149">
        <v>0</v>
      </c>
      <c r="P66" s="149">
        <v>0</v>
      </c>
    </row>
    <row r="67" spans="3:16" ht="12.75" x14ac:dyDescent="0.3">
      <c r="C67" s="146">
        <f t="shared" si="14"/>
        <v>14</v>
      </c>
      <c r="D67" s="184"/>
      <c r="E67" s="184" t="str">
        <f>$E$47</f>
        <v>Complex connection HV (large capacity)</v>
      </c>
      <c r="F67" s="148" t="s">
        <v>91</v>
      </c>
      <c r="G67" s="148" t="s">
        <v>16</v>
      </c>
      <c r="H67" s="148" t="s">
        <v>16</v>
      </c>
      <c r="J67" s="149"/>
      <c r="K67" s="149"/>
      <c r="L67" s="150">
        <v>0</v>
      </c>
      <c r="M67" s="149">
        <v>0</v>
      </c>
      <c r="N67" s="149">
        <v>0</v>
      </c>
      <c r="O67" s="149">
        <v>0</v>
      </c>
      <c r="P67" s="149">
        <v>0</v>
      </c>
    </row>
    <row r="68" spans="3:16" x14ac:dyDescent="0.3">
      <c r="K68" s="153"/>
      <c r="L68" s="152"/>
      <c r="P68" s="153"/>
    </row>
    <row r="69" spans="3:16" ht="13.15" x14ac:dyDescent="0.3">
      <c r="D69" s="154" t="s">
        <v>15</v>
      </c>
      <c r="E69" s="154"/>
      <c r="F69" s="155" t="str">
        <f>F54</f>
        <v>Number</v>
      </c>
      <c r="G69" s="155" t="s">
        <v>16</v>
      </c>
      <c r="H69" s="155" t="s">
        <v>16</v>
      </c>
      <c r="J69" s="156">
        <f t="shared" ref="J69" si="15">SUM(J54:J67)</f>
        <v>0</v>
      </c>
      <c r="K69" s="158">
        <f t="shared" ref="K69:P69" si="16">SUM(K54:K67)</f>
        <v>0</v>
      </c>
      <c r="L69" s="157">
        <f t="shared" si="16"/>
        <v>40.687252893297661</v>
      </c>
      <c r="M69" s="156">
        <f t="shared" si="16"/>
        <v>40.168528932832032</v>
      </c>
      <c r="N69" s="156">
        <f t="shared" si="16"/>
        <v>39.649605800083769</v>
      </c>
      <c r="O69" s="156">
        <f t="shared" si="16"/>
        <v>39.13047818101785</v>
      </c>
      <c r="P69" s="158">
        <f t="shared" si="16"/>
        <v>38.611140617646093</v>
      </c>
    </row>
    <row r="70" spans="3:16" ht="4.5" customHeight="1" x14ac:dyDescent="0.3"/>
    <row r="71" spans="3:16" s="142" customFormat="1" ht="13.9" x14ac:dyDescent="0.45">
      <c r="C71" s="142" t="s">
        <v>92</v>
      </c>
    </row>
    <row r="72" spans="3:16" ht="11.25" customHeight="1" x14ac:dyDescent="0.3"/>
    <row r="73" spans="3:16" ht="13.15" x14ac:dyDescent="0.3">
      <c r="C73" s="143" t="s">
        <v>81</v>
      </c>
      <c r="D73" s="144" t="s">
        <v>89</v>
      </c>
      <c r="E73" s="144" t="s">
        <v>90</v>
      </c>
      <c r="F73" s="145" t="s">
        <v>17</v>
      </c>
      <c r="G73" s="145" t="s">
        <v>83</v>
      </c>
      <c r="H73" s="145" t="s">
        <v>84</v>
      </c>
      <c r="I73" s="198" t="str">
        <f>I76</f>
        <v>FY19</v>
      </c>
      <c r="J73" s="198" t="str">
        <f t="shared" ref="J73:L73" si="17">J76</f>
        <v>FY20</v>
      </c>
      <c r="K73" s="198" t="str">
        <f t="shared" si="17"/>
        <v>FY21</v>
      </c>
      <c r="L73" s="198" t="str">
        <f t="shared" si="17"/>
        <v>FY22</v>
      </c>
    </row>
    <row r="74" spans="3:16" ht="12.75" x14ac:dyDescent="0.3">
      <c r="C74" s="146"/>
      <c r="D74" s="164" t="str">
        <f>'Gifted assets'!D65</f>
        <v>Nominal Mid to Real 2021 End</v>
      </c>
      <c r="E74" s="164"/>
      <c r="F74" s="165" t="str">
        <f>'Gifted assets'!F65</f>
        <v>Factor</v>
      </c>
      <c r="G74" s="165" t="str">
        <f>'Gifted assets'!G65</f>
        <v>N/A</v>
      </c>
      <c r="H74" s="165" t="str">
        <f>'Gifted assets'!H65</f>
        <v>N/A</v>
      </c>
      <c r="I74" s="202">
        <f>'Gifted assets'!M65</f>
        <v>1.0430527558684535</v>
      </c>
      <c r="J74" s="202">
        <f>'Gifted assets'!N65</f>
        <v>1.0366507933377533</v>
      </c>
      <c r="K74" s="202">
        <f>'Gifted assets'!O65</f>
        <v>1.019049330730136</v>
      </c>
      <c r="L74" s="202">
        <f>'Gifted assets'!P65</f>
        <v>0.970623220902322</v>
      </c>
    </row>
    <row r="75" spans="3:16" ht="11.25" customHeight="1" x14ac:dyDescent="0.3">
      <c r="N75" s="148" t="str">
        <f t="shared" ref="N75" si="18">Input_Dollar_Basis</f>
        <v>Real $2021</v>
      </c>
    </row>
    <row r="76" spans="3:16" ht="26.25" x14ac:dyDescent="0.3">
      <c r="C76" s="143" t="s">
        <v>81</v>
      </c>
      <c r="D76" s="144" t="s">
        <v>89</v>
      </c>
      <c r="E76" s="144" t="s">
        <v>90</v>
      </c>
      <c r="F76" s="145" t="s">
        <v>17</v>
      </c>
      <c r="G76" s="145" t="s">
        <v>83</v>
      </c>
      <c r="H76" s="145" t="s">
        <v>84</v>
      </c>
      <c r="I76" s="198" t="str">
        <f>"FY"&amp;RIGHT(J76,2)-1</f>
        <v>FY19</v>
      </c>
      <c r="J76" s="199" t="str">
        <f>"FY"&amp;RIGHT(K76,2)-1</f>
        <v>FY20</v>
      </c>
      <c r="K76" s="198" t="str">
        <f>"FY"&amp;RIGHT(L76,2)-1</f>
        <v>FY21</v>
      </c>
      <c r="L76" s="198" t="str">
        <f>"FY"&amp;RIGHT(J53,2)-1</f>
        <v>FY22</v>
      </c>
      <c r="N76" s="198" t="s">
        <v>163</v>
      </c>
    </row>
    <row r="77" spans="3:16" ht="12.75" x14ac:dyDescent="0.3">
      <c r="C77" s="146">
        <f>N(C76)+1</f>
        <v>1</v>
      </c>
      <c r="D77" s="184" t="str">
        <f>$D$34</f>
        <v>RESIDENTIAL</v>
      </c>
      <c r="E77" s="184" t="str">
        <f>$E$34</f>
        <v>Simple connection LV</v>
      </c>
      <c r="F77" s="148" t="str">
        <f t="shared" ref="F77:F90" si="19">Dollars</f>
        <v>Dollars</v>
      </c>
      <c r="G77" s="148" t="str">
        <f t="shared" ref="G77:G90" si="20">Nominal</f>
        <v>Nominal</v>
      </c>
      <c r="H77" s="148" t="str">
        <f t="shared" ref="H77:H90" si="21">Mid_Period</f>
        <v>Mid Period</v>
      </c>
      <c r="I77" s="171">
        <f>'Net connection capex (SCS)'!I77</f>
        <v>502.22932330827069</v>
      </c>
      <c r="J77" s="171">
        <f>'Net connection capex (SCS)'!J77</f>
        <v>900.42105263157896</v>
      </c>
      <c r="K77" s="171">
        <f>'Net connection capex (SCS)'!K77</f>
        <v>1274.331550802139</v>
      </c>
      <c r="L77" s="171">
        <f>'Net connection capex (SCS)'!L77</f>
        <v>1417.0074074074073</v>
      </c>
      <c r="N77" s="171">
        <f>'Net connection capex (SCS)'!N77</f>
        <v>1032.8152215241562</v>
      </c>
    </row>
    <row r="78" spans="3:16" ht="12.75" x14ac:dyDescent="0.3">
      <c r="C78" s="146">
        <f t="shared" ref="C78:C90" si="22">N(C77)+1</f>
        <v>2</v>
      </c>
      <c r="D78" s="184"/>
      <c r="E78" s="184" t="str">
        <f>$E$35</f>
        <v>Complex connection LV</v>
      </c>
      <c r="F78" s="148" t="str">
        <f t="shared" si="19"/>
        <v>Dollars</v>
      </c>
      <c r="G78" s="148" t="str">
        <f t="shared" si="20"/>
        <v>Nominal</v>
      </c>
      <c r="H78" s="148" t="str">
        <f t="shared" si="21"/>
        <v>Mid Period</v>
      </c>
      <c r="I78" s="171">
        <f>'Net connection capex (SCS)'!I78</f>
        <v>15125</v>
      </c>
      <c r="J78" s="171">
        <f>'Net connection capex (SCS)'!J78</f>
        <v>18315.857142857141</v>
      </c>
      <c r="K78" s="171">
        <f>'Net connection capex (SCS)'!K78</f>
        <v>19393.75</v>
      </c>
      <c r="L78" s="171">
        <f>'Net connection capex (SCS)'!L78</f>
        <v>17126.5</v>
      </c>
      <c r="N78" s="171">
        <f>'Net connection capex (SCS)'!N78</f>
        <v>17787.47183023634</v>
      </c>
    </row>
    <row r="79" spans="3:16" ht="12.75" x14ac:dyDescent="0.3">
      <c r="C79" s="146">
        <f t="shared" si="22"/>
        <v>3</v>
      </c>
      <c r="D79" s="184"/>
      <c r="E79" s="184" t="str">
        <f>$E$36</f>
        <v>Complex connection HV</v>
      </c>
      <c r="F79" s="148" t="str">
        <f t="shared" si="19"/>
        <v>Dollars</v>
      </c>
      <c r="G79" s="148" t="str">
        <f t="shared" si="20"/>
        <v>Nominal</v>
      </c>
      <c r="H79" s="148" t="str">
        <f t="shared" si="21"/>
        <v>Mid Period</v>
      </c>
      <c r="I79" s="171">
        <f>'Net connection capex (SCS)'!I79</f>
        <v>21783</v>
      </c>
      <c r="J79" s="171">
        <f>'Net connection capex (SCS)'!J79</f>
        <v>20653.583333333332</v>
      </c>
      <c r="K79" s="171">
        <f>'Net connection capex (SCS)'!K79</f>
        <v>16977.666666666668</v>
      </c>
      <c r="L79" s="171">
        <f>'Net connection capex (SCS)'!L79</f>
        <v>24445.909090909092</v>
      </c>
      <c r="N79" s="171">
        <f>'Net connection capex (SCS)'!N79</f>
        <v>21290.054650644866</v>
      </c>
    </row>
    <row r="80" spans="3:16" ht="12.75" x14ac:dyDescent="0.3">
      <c r="C80" s="146">
        <f t="shared" si="22"/>
        <v>4</v>
      </c>
      <c r="D80" s="184" t="str">
        <f>$D$37</f>
        <v>COMMERCIAL/INDUSTRIAL</v>
      </c>
      <c r="E80" s="184" t="str">
        <f>$E$37</f>
        <v>Simple connection LV</v>
      </c>
      <c r="F80" s="148" t="str">
        <f t="shared" si="19"/>
        <v>Dollars</v>
      </c>
      <c r="G80" s="148" t="str">
        <f t="shared" si="20"/>
        <v>Nominal</v>
      </c>
      <c r="H80" s="148" t="str">
        <f t="shared" si="21"/>
        <v>Mid Period</v>
      </c>
      <c r="I80" s="171">
        <f>'Net connection capex (SCS)'!I80</f>
        <v>1859.8571428571429</v>
      </c>
      <c r="J80" s="171">
        <f>'Net connection capex (SCS)'!J80</f>
        <v>4215.4444444444443</v>
      </c>
      <c r="K80" s="171">
        <f>'Net connection capex (SCS)'!K80</f>
        <v>3159.3125</v>
      </c>
      <c r="L80" s="171">
        <f>'Net connection capex (SCS)'!L80</f>
        <v>5648.9615384615381</v>
      </c>
      <c r="N80" s="171">
        <f>'Net connection capex (SCS)'!N80</f>
        <v>3753.0953694726395</v>
      </c>
    </row>
    <row r="81" spans="2:14" ht="12.75" x14ac:dyDescent="0.3">
      <c r="C81" s="146">
        <f t="shared" si="22"/>
        <v>5</v>
      </c>
      <c r="D81" s="184"/>
      <c r="E81" s="184" t="str">
        <f>$E$38</f>
        <v>Complex connection HV (customer connected at LV, minor HV works)</v>
      </c>
      <c r="F81" s="148" t="str">
        <f t="shared" si="19"/>
        <v>Dollars</v>
      </c>
      <c r="G81" s="148" t="str">
        <f t="shared" si="20"/>
        <v>Nominal</v>
      </c>
      <c r="H81" s="148" t="str">
        <f t="shared" si="21"/>
        <v>Mid Period</v>
      </c>
      <c r="I81" s="171">
        <f>'Net connection capex (SCS)'!I81</f>
        <v>44504.119047619046</v>
      </c>
      <c r="J81" s="171">
        <f>'Net connection capex (SCS)'!J81</f>
        <v>34335.919999999998</v>
      </c>
      <c r="K81" s="171">
        <f>'Net connection capex (SCS)'!K81</f>
        <v>43513.052631578947</v>
      </c>
      <c r="L81" s="171">
        <f>'Net connection capex (SCS)'!L81</f>
        <v>37536.529411764706</v>
      </c>
      <c r="N81" s="171">
        <f>'Net connection capex (SCS)'!N81</f>
        <v>40697.569242368976</v>
      </c>
    </row>
    <row r="82" spans="2:14" ht="12.75" x14ac:dyDescent="0.3">
      <c r="C82" s="146">
        <f t="shared" si="22"/>
        <v>6</v>
      </c>
      <c r="D82" s="184"/>
      <c r="E82" s="184" t="str">
        <f>$E$39</f>
        <v>Complex connection HV (customer connected at LV, upstream asset works)</v>
      </c>
      <c r="F82" s="148" t="str">
        <f t="shared" si="19"/>
        <v>Dollars</v>
      </c>
      <c r="G82" s="148" t="str">
        <f t="shared" si="20"/>
        <v>Nominal</v>
      </c>
      <c r="H82" s="148" t="str">
        <f t="shared" si="21"/>
        <v>Mid Period</v>
      </c>
      <c r="I82" s="171">
        <f>'Net connection capex (SCS)'!I82</f>
        <v>66696</v>
      </c>
      <c r="J82" s="171">
        <f>'Net connection capex (SCS)'!J82</f>
        <v>44497.25</v>
      </c>
      <c r="K82" s="171">
        <f>'Net connection capex (SCS)'!K82</f>
        <v>172492</v>
      </c>
      <c r="L82" s="171">
        <f>'Net connection capex (SCS)'!L82</f>
        <v>96671.6</v>
      </c>
      <c r="N82" s="171">
        <f>'Net connection capex (SCS)'!N82</f>
        <v>96326.278259333572</v>
      </c>
    </row>
    <row r="83" spans="2:14" ht="12.75" x14ac:dyDescent="0.3">
      <c r="C83" s="146">
        <f t="shared" si="22"/>
        <v>7</v>
      </c>
      <c r="D83" s="184"/>
      <c r="E83" s="184" t="str">
        <f>$E$40</f>
        <v>Complex connection HV (customer connected at HV)</v>
      </c>
      <c r="F83" s="148" t="str">
        <f t="shared" si="19"/>
        <v>Dollars</v>
      </c>
      <c r="G83" s="148" t="str">
        <f t="shared" si="20"/>
        <v>Nominal</v>
      </c>
      <c r="H83" s="148" t="str">
        <f t="shared" si="21"/>
        <v>Mid Period</v>
      </c>
      <c r="I83" s="171" t="str">
        <f>'Net connection capex (SCS)'!I83</f>
        <v/>
      </c>
      <c r="J83" s="171">
        <f>'Net connection capex (SCS)'!J83</f>
        <v>5599.5</v>
      </c>
      <c r="K83" s="171">
        <f>'Net connection capex (SCS)'!K83</f>
        <v>405290</v>
      </c>
      <c r="L83" s="171">
        <f>'Net connection capex (SCS)'!L83</f>
        <v>131692.79999999999</v>
      </c>
      <c r="N83" s="171">
        <f>'Net connection capex (SCS)'!N83</f>
        <v>182213.10635818564</v>
      </c>
    </row>
    <row r="84" spans="2:14" ht="12.75" x14ac:dyDescent="0.3">
      <c r="C84" s="146">
        <f t="shared" si="22"/>
        <v>8</v>
      </c>
      <c r="D84" s="184"/>
      <c r="E84" s="184" t="str">
        <f>$E$41</f>
        <v>Complex connection sub-transmission</v>
      </c>
      <c r="F84" s="148" t="str">
        <f t="shared" si="19"/>
        <v>Dollars</v>
      </c>
      <c r="G84" s="148" t="str">
        <f t="shared" si="20"/>
        <v>Nominal</v>
      </c>
      <c r="H84" s="148" t="str">
        <f t="shared" si="21"/>
        <v>Mid Period</v>
      </c>
      <c r="I84" s="171" t="str">
        <f>'Net connection capex (SCS)'!I84</f>
        <v/>
      </c>
      <c r="J84" s="171" t="str">
        <f>'Net connection capex (SCS)'!J84</f>
        <v/>
      </c>
      <c r="K84" s="171" t="str">
        <f>'Net connection capex (SCS)'!K84</f>
        <v/>
      </c>
      <c r="L84" s="171" t="str">
        <f>'Net connection capex (SCS)'!L84</f>
        <v/>
      </c>
      <c r="N84" s="171" t="str">
        <f>'Net connection capex (SCS)'!N84</f>
        <v/>
      </c>
    </row>
    <row r="85" spans="2:14" ht="12.75" x14ac:dyDescent="0.3">
      <c r="C85" s="146">
        <f t="shared" si="22"/>
        <v>9</v>
      </c>
      <c r="D85" s="184" t="str">
        <f>$D$42</f>
        <v>SUBDIVISION</v>
      </c>
      <c r="E85" s="184" t="str">
        <f>$E$42</f>
        <v>Complex connection LV</v>
      </c>
      <c r="F85" s="148" t="str">
        <f t="shared" si="19"/>
        <v>Dollars</v>
      </c>
      <c r="G85" s="148" t="str">
        <f t="shared" si="20"/>
        <v>Nominal</v>
      </c>
      <c r="H85" s="148" t="str">
        <f t="shared" si="21"/>
        <v>Mid Period</v>
      </c>
      <c r="I85" s="171">
        <f>'Net connection capex (SCS)'!I85</f>
        <v>546.51935483870966</v>
      </c>
      <c r="J85" s="171">
        <f>'Net connection capex (SCS)'!J85</f>
        <v>768.43373493975901</v>
      </c>
      <c r="K85" s="171">
        <f>'Net connection capex (SCS)'!K85</f>
        <v>1715.8840579710145</v>
      </c>
      <c r="L85" s="171">
        <f>'Net connection capex (SCS)'!L85</f>
        <v>1719.737556561086</v>
      </c>
      <c r="N85" s="171">
        <f>'Net connection capex (SCS)'!N85</f>
        <v>1196.1084168236605</v>
      </c>
    </row>
    <row r="86" spans="2:14" ht="12.75" x14ac:dyDescent="0.3">
      <c r="C86" s="146">
        <f t="shared" si="22"/>
        <v>10</v>
      </c>
      <c r="D86" s="184"/>
      <c r="E86" s="184" t="str">
        <f>$E$43</f>
        <v>Complex connection HV (no upstream asset works)</v>
      </c>
      <c r="F86" s="148" t="str">
        <f t="shared" si="19"/>
        <v>Dollars</v>
      </c>
      <c r="G86" s="148" t="str">
        <f t="shared" si="20"/>
        <v>Nominal</v>
      </c>
      <c r="H86" s="148" t="str">
        <f t="shared" si="21"/>
        <v>Mid Period</v>
      </c>
      <c r="I86" s="171">
        <f>'Net connection capex (SCS)'!I86</f>
        <v>16848</v>
      </c>
      <c r="J86" s="171">
        <f>'Net connection capex (SCS)'!J86</f>
        <v>564.75</v>
      </c>
      <c r="K86" s="171">
        <f>'Net connection capex (SCS)'!K86</f>
        <v>84749</v>
      </c>
      <c r="L86" s="171">
        <f>'Net connection capex (SCS)'!L86</f>
        <v>68380.666666666672</v>
      </c>
      <c r="N86" s="171">
        <f>'Net connection capex (SCS)'!N86</f>
        <v>42723.519005976385</v>
      </c>
    </row>
    <row r="87" spans="2:14" ht="12.75" x14ac:dyDescent="0.3">
      <c r="C87" s="146">
        <f t="shared" si="22"/>
        <v>11</v>
      </c>
      <c r="D87" s="184"/>
      <c r="E87" s="184" t="str">
        <f>$E$44</f>
        <v>Complex connection HV (with upstream asset works)</v>
      </c>
      <c r="F87" s="148" t="str">
        <f t="shared" si="19"/>
        <v>Dollars</v>
      </c>
      <c r="G87" s="148" t="str">
        <f t="shared" si="20"/>
        <v>Nominal</v>
      </c>
      <c r="H87" s="148" t="str">
        <f t="shared" si="21"/>
        <v>Mid Period</v>
      </c>
      <c r="I87" s="171">
        <f>'Net connection capex (SCS)'!I87</f>
        <v>23247</v>
      </c>
      <c r="J87" s="171">
        <f>'Net connection capex (SCS)'!J87</f>
        <v>49811.5</v>
      </c>
      <c r="K87" s="171">
        <f>'Net connection capex (SCS)'!K87</f>
        <v>43820</v>
      </c>
      <c r="L87" s="171" t="str">
        <f>'Net connection capex (SCS)'!L87</f>
        <v/>
      </c>
      <c r="N87" s="171">
        <f>'Net connection capex (SCS)'!N87</f>
        <v>40179.906693537334</v>
      </c>
    </row>
    <row r="88" spans="2:14" ht="12.75" x14ac:dyDescent="0.3">
      <c r="C88" s="146">
        <f t="shared" si="22"/>
        <v>12</v>
      </c>
      <c r="D88" s="184" t="str">
        <f>$D$45</f>
        <v>EMBEDDED GENERATION</v>
      </c>
      <c r="E88" s="184" t="str">
        <f>$E$45</f>
        <v>Simple connection LV</v>
      </c>
      <c r="F88" s="148" t="str">
        <f t="shared" si="19"/>
        <v>Dollars</v>
      </c>
      <c r="G88" s="148" t="str">
        <f t="shared" si="20"/>
        <v>Nominal</v>
      </c>
      <c r="H88" s="148" t="str">
        <f t="shared" si="21"/>
        <v>Mid Period</v>
      </c>
      <c r="I88" s="171" t="str">
        <f>'Net connection capex (SCS)'!I88</f>
        <v/>
      </c>
      <c r="J88" s="171" t="str">
        <f>'Net connection capex (SCS)'!J88</f>
        <v/>
      </c>
      <c r="K88" s="171" t="str">
        <f>'Net connection capex (SCS)'!K88</f>
        <v/>
      </c>
      <c r="L88" s="171" t="str">
        <f>'Net connection capex (SCS)'!L88</f>
        <v/>
      </c>
      <c r="N88" s="171" t="str">
        <f>'Net connection capex (SCS)'!N88</f>
        <v/>
      </c>
    </row>
    <row r="89" spans="2:14" ht="12.75" x14ac:dyDescent="0.3">
      <c r="C89" s="146">
        <f t="shared" si="22"/>
        <v>13</v>
      </c>
      <c r="D89" s="184"/>
      <c r="E89" s="184" t="str">
        <f>$E$46</f>
        <v>Complex connection HV (small capacity)</v>
      </c>
      <c r="F89" s="148" t="str">
        <f t="shared" si="19"/>
        <v>Dollars</v>
      </c>
      <c r="G89" s="148" t="str">
        <f t="shared" si="20"/>
        <v>Nominal</v>
      </c>
      <c r="H89" s="148" t="str">
        <f t="shared" si="21"/>
        <v>Mid Period</v>
      </c>
      <c r="I89" s="171" t="str">
        <f>'Net connection capex (SCS)'!I89</f>
        <v/>
      </c>
      <c r="J89" s="171" t="str">
        <f>'Net connection capex (SCS)'!J89</f>
        <v/>
      </c>
      <c r="K89" s="171" t="str">
        <f>'Net connection capex (SCS)'!K89</f>
        <v/>
      </c>
      <c r="L89" s="171" t="str">
        <f>'Net connection capex (SCS)'!L89</f>
        <v/>
      </c>
      <c r="N89" s="171" t="str">
        <f>'Net connection capex (SCS)'!N89</f>
        <v/>
      </c>
    </row>
    <row r="90" spans="2:14" ht="12.75" x14ac:dyDescent="0.3">
      <c r="C90" s="146">
        <f t="shared" si="22"/>
        <v>14</v>
      </c>
      <c r="D90" s="184"/>
      <c r="E90" s="184" t="str">
        <f>$E$47</f>
        <v>Complex connection HV (large capacity)</v>
      </c>
      <c r="F90" s="148" t="str">
        <f t="shared" si="19"/>
        <v>Dollars</v>
      </c>
      <c r="G90" s="148" t="str">
        <f t="shared" si="20"/>
        <v>Nominal</v>
      </c>
      <c r="H90" s="148" t="str">
        <f t="shared" si="21"/>
        <v>Mid Period</v>
      </c>
      <c r="I90" s="171" t="str">
        <f>'Net connection capex (SCS)'!I90</f>
        <v/>
      </c>
      <c r="J90" s="171" t="str">
        <f>'Net connection capex (SCS)'!J90</f>
        <v/>
      </c>
      <c r="K90" s="171" t="str">
        <f>'Net connection capex (SCS)'!K90</f>
        <v/>
      </c>
      <c r="L90" s="171" t="str">
        <f>'Net connection capex (SCS)'!L90</f>
        <v/>
      </c>
      <c r="N90" s="171" t="str">
        <f>'Net connection capex (SCS)'!N90</f>
        <v/>
      </c>
    </row>
    <row r="91" spans="2:14" ht="4.5" customHeight="1" x14ac:dyDescent="0.3"/>
    <row r="92" spans="2:14" s="141" customFormat="1" ht="15" x14ac:dyDescent="0.45">
      <c r="B92" s="141" t="s">
        <v>93</v>
      </c>
    </row>
  </sheetData>
  <autoFilter ref="C7:O25" xr:uid="{00000000-0009-0000-0000-000001000000}"/>
  <mergeCells count="15">
    <mergeCell ref="R38:T38"/>
    <mergeCell ref="R33:T33"/>
    <mergeCell ref="R34:T34"/>
    <mergeCell ref="R35:T35"/>
    <mergeCell ref="R36:T36"/>
    <mergeCell ref="R37:T37"/>
    <mergeCell ref="R45:T45"/>
    <mergeCell ref="R46:T46"/>
    <mergeCell ref="R47:T47"/>
    <mergeCell ref="R39:T39"/>
    <mergeCell ref="R40:T40"/>
    <mergeCell ref="R41:T41"/>
    <mergeCell ref="R42:T42"/>
    <mergeCell ref="R43:T43"/>
    <mergeCell ref="R44:T4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FDECE-AA6E-4C41-A44D-064001A03ED9}">
  <sheetPr codeName="Sheet12">
    <tabColor theme="4" tint="-0.249977111117893"/>
  </sheetPr>
  <dimension ref="A1:J199"/>
  <sheetViews>
    <sheetView workbookViewId="0"/>
  </sheetViews>
  <sheetFormatPr defaultColWidth="0" defaultRowHeight="14.25" x14ac:dyDescent="0.45"/>
  <cols>
    <col min="1" max="10" width="9" customWidth="1"/>
    <col min="11" max="16384" width="9" hidden="1"/>
  </cols>
  <sheetData>
    <row r="1" spans="2:2" s="1" customFormat="1" x14ac:dyDescent="0.45"/>
    <row r="2" spans="2:2" s="1" customFormat="1" x14ac:dyDescent="0.45"/>
    <row r="3" spans="2:2" s="1" customFormat="1" x14ac:dyDescent="0.45"/>
    <row r="4" spans="2:2" s="1" customFormat="1" x14ac:dyDescent="0.45"/>
    <row r="5" spans="2:2" s="1" customFormat="1" x14ac:dyDescent="0.45"/>
    <row r="6" spans="2:2" s="1" customFormat="1" x14ac:dyDescent="0.45"/>
    <row r="7" spans="2:2" s="1" customFormat="1" x14ac:dyDescent="0.45"/>
    <row r="8" spans="2:2" s="1" customFormat="1" ht="91.9" x14ac:dyDescent="2.65">
      <c r="B8" s="2" t="s">
        <v>201</v>
      </c>
    </row>
    <row r="9" spans="2:2" s="1" customFormat="1" x14ac:dyDescent="0.45"/>
    <row r="10" spans="2:2" s="1" customFormat="1" x14ac:dyDescent="0.45"/>
    <row r="11" spans="2:2" s="1" customFormat="1" x14ac:dyDescent="0.45"/>
    <row r="12" spans="2:2" s="1" customFormat="1" x14ac:dyDescent="0.45"/>
    <row r="13" spans="2:2" s="1" customFormat="1" x14ac:dyDescent="0.45"/>
    <row r="14" spans="2:2" s="1" customFormat="1" x14ac:dyDescent="0.45"/>
    <row r="15" spans="2:2" s="1" customFormat="1" x14ac:dyDescent="0.45"/>
    <row r="16" spans="2:2" s="1" customFormat="1" x14ac:dyDescent="0.45"/>
    <row r="17" s="1" customFormat="1" x14ac:dyDescent="0.45"/>
    <row r="18" s="1" customFormat="1" x14ac:dyDescent="0.45"/>
    <row r="19" s="1" customFormat="1" x14ac:dyDescent="0.45"/>
    <row r="20" s="1" customFormat="1" x14ac:dyDescent="0.45"/>
    <row r="21" s="1" customFormat="1" x14ac:dyDescent="0.45"/>
    <row r="22" s="1" customFormat="1" x14ac:dyDescent="0.45"/>
    <row r="23" s="1" customFormat="1" x14ac:dyDescent="0.45"/>
    <row r="24" s="1" customFormat="1" x14ac:dyDescent="0.45"/>
    <row r="25" s="1" customFormat="1" x14ac:dyDescent="0.45"/>
    <row r="26" s="1" customFormat="1" x14ac:dyDescent="0.45"/>
    <row r="27" s="1" customFormat="1" x14ac:dyDescent="0.45"/>
    <row r="28" s="1" customFormat="1" x14ac:dyDescent="0.45"/>
    <row r="29" s="1" customFormat="1" x14ac:dyDescent="0.45"/>
    <row r="30" s="1" customFormat="1" x14ac:dyDescent="0.45"/>
    <row r="31" s="1" customFormat="1" x14ac:dyDescent="0.45"/>
    <row r="32" s="1" customFormat="1" x14ac:dyDescent="0.45"/>
    <row r="33" s="1" customFormat="1" x14ac:dyDescent="0.45"/>
    <row r="34" s="1" customFormat="1" x14ac:dyDescent="0.45"/>
    <row r="35" s="1" customFormat="1" x14ac:dyDescent="0.45"/>
    <row r="36" s="1" customFormat="1" x14ac:dyDescent="0.45"/>
    <row r="37" s="1" customFormat="1" x14ac:dyDescent="0.45"/>
    <row r="38" s="1" customFormat="1" x14ac:dyDescent="0.45"/>
    <row r="39" s="1" customFormat="1" x14ac:dyDescent="0.45"/>
    <row r="40" s="1" customFormat="1" x14ac:dyDescent="0.45"/>
    <row r="41" s="1" customFormat="1" x14ac:dyDescent="0.45"/>
    <row r="42" s="1" customFormat="1" x14ac:dyDescent="0.45"/>
    <row r="43" s="1" customFormat="1" x14ac:dyDescent="0.45"/>
    <row r="44" s="1" customFormat="1" x14ac:dyDescent="0.45"/>
    <row r="45" s="1" customFormat="1" x14ac:dyDescent="0.45"/>
    <row r="46" s="1" customFormat="1" x14ac:dyDescent="0.45"/>
    <row r="47" s="1" customFormat="1" x14ac:dyDescent="0.45"/>
    <row r="48" s="1" customFormat="1" x14ac:dyDescent="0.45"/>
    <row r="49" s="1" customFormat="1" x14ac:dyDescent="0.45"/>
    <row r="50" s="1" customFormat="1" x14ac:dyDescent="0.45"/>
    <row r="51" s="1" customFormat="1" x14ac:dyDescent="0.45"/>
    <row r="52" s="1" customFormat="1" x14ac:dyDescent="0.45"/>
    <row r="53" s="1" customFormat="1" x14ac:dyDescent="0.45"/>
    <row r="54" s="1" customFormat="1" x14ac:dyDescent="0.45"/>
    <row r="55" s="1" customFormat="1" x14ac:dyDescent="0.45"/>
    <row r="56" s="1" customFormat="1" x14ac:dyDescent="0.45"/>
    <row r="57" s="1" customFormat="1" x14ac:dyDescent="0.45"/>
    <row r="58" s="1" customFormat="1" x14ac:dyDescent="0.45"/>
    <row r="59" s="1" customFormat="1" x14ac:dyDescent="0.45"/>
    <row r="60" s="1" customFormat="1" x14ac:dyDescent="0.45"/>
    <row r="61" s="1" customFormat="1" x14ac:dyDescent="0.45"/>
    <row r="62" s="1" customFormat="1" x14ac:dyDescent="0.45"/>
    <row r="63" s="1" customFormat="1" x14ac:dyDescent="0.45"/>
    <row r="64" s="1" customFormat="1" x14ac:dyDescent="0.45"/>
    <row r="65" s="1" customFormat="1" x14ac:dyDescent="0.45"/>
    <row r="66" s="1" customFormat="1" x14ac:dyDescent="0.45"/>
    <row r="67" s="1" customFormat="1" x14ac:dyDescent="0.45"/>
    <row r="68" s="1" customFormat="1" x14ac:dyDescent="0.45"/>
    <row r="69" s="1" customFormat="1" x14ac:dyDescent="0.45"/>
    <row r="70" s="1" customFormat="1" x14ac:dyDescent="0.45"/>
    <row r="71" s="1" customFormat="1" x14ac:dyDescent="0.45"/>
    <row r="72" s="1" customFormat="1" x14ac:dyDescent="0.45"/>
    <row r="73" s="1" customFormat="1" x14ac:dyDescent="0.45"/>
    <row r="74" s="1" customFormat="1" x14ac:dyDescent="0.45"/>
    <row r="75" s="1" customFormat="1" x14ac:dyDescent="0.45"/>
    <row r="76" s="1" customFormat="1" x14ac:dyDescent="0.45"/>
    <row r="77" s="1" customFormat="1" x14ac:dyDescent="0.45"/>
    <row r="78" s="1" customFormat="1" x14ac:dyDescent="0.45"/>
    <row r="79" s="1" customFormat="1" x14ac:dyDescent="0.45"/>
    <row r="80" s="1" customFormat="1" x14ac:dyDescent="0.45"/>
    <row r="81" s="1" customFormat="1" x14ac:dyDescent="0.45"/>
    <row r="82" s="1" customFormat="1" x14ac:dyDescent="0.45"/>
    <row r="83" s="1" customFormat="1" x14ac:dyDescent="0.45"/>
    <row r="84" s="1" customFormat="1" x14ac:dyDescent="0.45"/>
    <row r="85" s="1" customFormat="1" x14ac:dyDescent="0.45"/>
    <row r="86" s="1" customFormat="1" x14ac:dyDescent="0.45"/>
    <row r="87" s="1" customFormat="1" x14ac:dyDescent="0.45"/>
    <row r="88" s="1" customFormat="1" x14ac:dyDescent="0.45"/>
    <row r="89" s="1" customFormat="1" x14ac:dyDescent="0.45"/>
    <row r="90" s="1" customFormat="1" x14ac:dyDescent="0.45"/>
    <row r="91" s="1" customFormat="1" x14ac:dyDescent="0.45"/>
    <row r="92" s="1" customFormat="1" x14ac:dyDescent="0.45"/>
    <row r="93" s="1" customFormat="1" x14ac:dyDescent="0.45"/>
    <row r="94" s="1" customFormat="1" x14ac:dyDescent="0.45"/>
    <row r="95" s="1" customFormat="1" x14ac:dyDescent="0.45"/>
    <row r="96" s="1" customFormat="1" x14ac:dyDescent="0.45"/>
    <row r="97" s="1" customFormat="1" x14ac:dyDescent="0.45"/>
    <row r="98" s="1" customFormat="1" x14ac:dyDescent="0.45"/>
    <row r="99" s="1" customFormat="1" x14ac:dyDescent="0.45"/>
    <row r="100" s="1" customFormat="1" x14ac:dyDescent="0.45"/>
    <row r="101" s="1" customFormat="1" x14ac:dyDescent="0.45"/>
    <row r="102" s="1" customFormat="1" x14ac:dyDescent="0.45"/>
    <row r="103" s="1" customFormat="1" x14ac:dyDescent="0.45"/>
    <row r="104" s="1" customFormat="1" x14ac:dyDescent="0.45"/>
    <row r="105" s="1" customFormat="1" x14ac:dyDescent="0.45"/>
    <row r="106" s="1" customFormat="1" x14ac:dyDescent="0.45"/>
    <row r="107" s="1" customFormat="1" x14ac:dyDescent="0.45"/>
    <row r="108" s="1" customFormat="1" x14ac:dyDescent="0.45"/>
    <row r="109" s="1" customFormat="1" x14ac:dyDescent="0.45"/>
    <row r="110" s="1" customFormat="1" x14ac:dyDescent="0.45"/>
    <row r="111" s="1" customFormat="1" x14ac:dyDescent="0.45"/>
    <row r="112" s="1" customFormat="1" x14ac:dyDescent="0.45"/>
    <row r="113" s="1" customFormat="1" x14ac:dyDescent="0.45"/>
    <row r="114" s="1" customFormat="1" x14ac:dyDescent="0.45"/>
    <row r="115" s="1" customFormat="1" x14ac:dyDescent="0.45"/>
    <row r="116" s="1" customFormat="1" x14ac:dyDescent="0.45"/>
    <row r="117" s="1" customFormat="1" x14ac:dyDescent="0.45"/>
    <row r="118" s="1" customFormat="1" x14ac:dyDescent="0.45"/>
    <row r="119" s="1" customFormat="1" x14ac:dyDescent="0.45"/>
    <row r="120" s="1" customFormat="1" x14ac:dyDescent="0.45"/>
    <row r="121" s="1" customFormat="1" x14ac:dyDescent="0.45"/>
    <row r="122" s="1" customFormat="1" x14ac:dyDescent="0.45"/>
    <row r="123" s="1" customFormat="1" x14ac:dyDescent="0.45"/>
    <row r="124" s="1" customFormat="1" x14ac:dyDescent="0.45"/>
    <row r="125" s="1" customFormat="1" x14ac:dyDescent="0.45"/>
    <row r="126" s="1" customFormat="1" x14ac:dyDescent="0.45"/>
    <row r="127" s="1" customFormat="1" x14ac:dyDescent="0.45"/>
    <row r="128" s="1" customFormat="1" x14ac:dyDescent="0.45"/>
    <row r="129" s="1" customFormat="1" x14ac:dyDescent="0.45"/>
    <row r="130" s="1" customFormat="1" x14ac:dyDescent="0.45"/>
    <row r="131" s="1" customFormat="1" x14ac:dyDescent="0.45"/>
    <row r="132" s="1" customFormat="1" x14ac:dyDescent="0.45"/>
    <row r="133" s="1" customFormat="1" x14ac:dyDescent="0.45"/>
    <row r="134" s="1" customFormat="1" x14ac:dyDescent="0.45"/>
    <row r="135" s="1" customFormat="1" x14ac:dyDescent="0.45"/>
    <row r="136" s="1" customFormat="1" x14ac:dyDescent="0.45"/>
    <row r="137" s="1" customFormat="1" x14ac:dyDescent="0.45"/>
    <row r="138" s="1" customFormat="1" x14ac:dyDescent="0.45"/>
    <row r="139" s="1" customFormat="1" x14ac:dyDescent="0.45"/>
    <row r="140" s="1" customFormat="1" x14ac:dyDescent="0.45"/>
    <row r="141" s="1" customFormat="1" x14ac:dyDescent="0.45"/>
    <row r="142" s="1" customFormat="1" x14ac:dyDescent="0.45"/>
    <row r="143" s="1" customFormat="1" x14ac:dyDescent="0.45"/>
    <row r="144" s="1" customFormat="1" x14ac:dyDescent="0.45"/>
    <row r="145" s="1" customFormat="1" x14ac:dyDescent="0.45"/>
    <row r="146" s="1" customFormat="1" x14ac:dyDescent="0.45"/>
    <row r="147" s="1" customFormat="1" x14ac:dyDescent="0.45"/>
    <row r="148" s="1" customFormat="1" x14ac:dyDescent="0.45"/>
    <row r="149" s="1" customFormat="1" x14ac:dyDescent="0.45"/>
    <row r="150" s="1" customFormat="1" x14ac:dyDescent="0.45"/>
    <row r="151" s="1" customFormat="1" x14ac:dyDescent="0.45"/>
    <row r="152" s="1" customFormat="1" x14ac:dyDescent="0.45"/>
    <row r="153" s="1" customFormat="1" x14ac:dyDescent="0.45"/>
    <row r="154" s="1" customFormat="1" x14ac:dyDescent="0.45"/>
    <row r="155" s="1" customFormat="1" x14ac:dyDescent="0.45"/>
    <row r="156" s="1" customFormat="1" x14ac:dyDescent="0.45"/>
    <row r="157" s="1" customFormat="1" x14ac:dyDescent="0.45"/>
    <row r="158" s="1" customFormat="1" x14ac:dyDescent="0.45"/>
    <row r="159" s="1" customFormat="1" x14ac:dyDescent="0.45"/>
    <row r="160" s="1" customFormat="1" x14ac:dyDescent="0.45"/>
    <row r="161" s="1" customFormat="1" x14ac:dyDescent="0.45"/>
    <row r="162" s="1" customFormat="1" x14ac:dyDescent="0.45"/>
    <row r="163" s="1" customFormat="1" x14ac:dyDescent="0.45"/>
    <row r="164" s="1" customFormat="1" x14ac:dyDescent="0.45"/>
    <row r="165" s="1" customFormat="1" x14ac:dyDescent="0.45"/>
    <row r="166" s="1" customFormat="1" x14ac:dyDescent="0.45"/>
    <row r="167" s="1" customFormat="1" x14ac:dyDescent="0.45"/>
    <row r="168" s="1" customFormat="1" x14ac:dyDescent="0.45"/>
    <row r="169" s="1" customFormat="1" x14ac:dyDescent="0.45"/>
    <row r="170" s="1" customFormat="1" x14ac:dyDescent="0.45"/>
    <row r="171" s="1" customFormat="1" x14ac:dyDescent="0.45"/>
    <row r="172" s="1" customFormat="1" x14ac:dyDescent="0.45"/>
    <row r="173" s="1" customFormat="1" x14ac:dyDescent="0.45"/>
    <row r="174" s="1" customFormat="1" x14ac:dyDescent="0.45"/>
    <row r="175" s="1" customFormat="1" x14ac:dyDescent="0.45"/>
    <row r="176" s="1" customFormat="1" x14ac:dyDescent="0.45"/>
    <row r="177" s="1" customFormat="1" x14ac:dyDescent="0.45"/>
    <row r="178" s="1" customFormat="1" x14ac:dyDescent="0.45"/>
    <row r="179" s="1" customFormat="1" x14ac:dyDescent="0.45"/>
    <row r="180" s="1" customFormat="1" x14ac:dyDescent="0.45"/>
    <row r="181" s="1" customFormat="1" x14ac:dyDescent="0.45"/>
    <row r="182" s="1" customFormat="1" x14ac:dyDescent="0.45"/>
    <row r="183" s="1" customFormat="1" x14ac:dyDescent="0.45"/>
    <row r="184" s="1" customFormat="1" x14ac:dyDescent="0.45"/>
    <row r="185" s="1" customFormat="1" x14ac:dyDescent="0.45"/>
    <row r="186" s="1" customFormat="1" x14ac:dyDescent="0.45"/>
    <row r="187" s="1" customFormat="1" x14ac:dyDescent="0.45"/>
    <row r="188" s="1" customFormat="1" x14ac:dyDescent="0.45"/>
    <row r="189" s="1" customFormat="1" x14ac:dyDescent="0.45"/>
    <row r="190" s="1" customFormat="1" x14ac:dyDescent="0.45"/>
    <row r="191" s="1" customFormat="1" x14ac:dyDescent="0.45"/>
    <row r="192" s="1" customFormat="1" x14ac:dyDescent="0.45"/>
    <row r="193" s="1" customFormat="1" x14ac:dyDescent="0.45"/>
    <row r="194" s="1" customFormat="1" x14ac:dyDescent="0.45"/>
    <row r="195" s="1" customFormat="1" x14ac:dyDescent="0.45"/>
    <row r="196" s="1" customFormat="1" x14ac:dyDescent="0.45"/>
    <row r="197" s="1" customFormat="1" x14ac:dyDescent="0.45"/>
    <row r="198" s="1" customFormat="1" x14ac:dyDescent="0.45"/>
    <row r="199" s="1" customFormat="1" x14ac:dyDescent="0.45"/>
  </sheetData>
  <pageMargins left="0.7" right="0.7" top="0.75" bottom="0.75" header="0.3" footer="0.3"/>
  <pageSetup paperSize="9" orientation="portrait" horizontalDpi="300" verticalDpi="0" copies="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F874C-6A98-48BF-B047-CE91C3ED7792}">
  <sheetPr codeName="Sheet13">
    <tabColor theme="4" tint="0.59999389629810485"/>
  </sheetPr>
  <dimension ref="A1:Q93"/>
  <sheetViews>
    <sheetView showGridLines="0" zoomScaleNormal="100" workbookViewId="0">
      <pane xSplit="4" ySplit="1" topLeftCell="E2" activePane="bottomRight" state="frozen"/>
      <selection activeCell="I5" sqref="I5"/>
      <selection pane="topRight" activeCell="I5" sqref="I5"/>
      <selection pane="bottomLeft" activeCell="I5" sqref="I5"/>
      <selection pane="bottomRight" activeCell="E2" sqref="E2"/>
    </sheetView>
  </sheetViews>
  <sheetFormatPr defaultColWidth="7.3984375" defaultRowHeight="10.15" x14ac:dyDescent="0.3"/>
  <cols>
    <col min="1" max="1" width="2.6640625" style="5" customWidth="1"/>
    <col min="2" max="2" width="2.265625" style="5" customWidth="1"/>
    <col min="3" max="3" width="5.265625" style="5" customWidth="1"/>
    <col min="4" max="4" width="34.6640625" style="5" customWidth="1"/>
    <col min="5" max="5" width="18" style="5" bestFit="1" customWidth="1"/>
    <col min="6" max="8" width="12.59765625" style="5" customWidth="1"/>
    <col min="9" max="18" width="10.1328125" style="5" customWidth="1"/>
    <col min="19" max="16384" width="7.3984375" style="5"/>
  </cols>
  <sheetData>
    <row r="1" spans="1:17" ht="18.75" x14ac:dyDescent="0.3">
      <c r="A1" s="3">
        <f>IF(SUM($A3:$A93)&gt;0,1,0)</f>
        <v>0</v>
      </c>
      <c r="B1" s="139" t="s">
        <v>160</v>
      </c>
    </row>
    <row r="3" spans="1:17" s="6" customFormat="1" ht="15" x14ac:dyDescent="0.45">
      <c r="B3" s="6" t="s">
        <v>94</v>
      </c>
    </row>
    <row r="4" spans="1:17" ht="11.25" customHeight="1" x14ac:dyDescent="0.3"/>
    <row r="5" spans="1:17" s="7" customFormat="1" ht="13.9" x14ac:dyDescent="0.45">
      <c r="C5" s="7" t="s">
        <v>155</v>
      </c>
    </row>
    <row r="6" spans="1:17" ht="11.25" customHeight="1" x14ac:dyDescent="0.3"/>
    <row r="7" spans="1:17" ht="26.25" x14ac:dyDescent="0.3">
      <c r="C7" s="8" t="s">
        <v>81</v>
      </c>
      <c r="D7" s="9" t="s">
        <v>82</v>
      </c>
      <c r="E7" s="10" t="s">
        <v>99</v>
      </c>
      <c r="F7" s="10" t="s">
        <v>17</v>
      </c>
      <c r="G7" s="10" t="s">
        <v>83</v>
      </c>
      <c r="H7" s="10" t="s">
        <v>84</v>
      </c>
      <c r="J7" s="10" t="str">
        <f>Lookups!I$11</f>
        <v>FY23</v>
      </c>
      <c r="K7" s="12" t="str">
        <f>Lookups!J$11</f>
        <v>FY24</v>
      </c>
      <c r="L7" s="11" t="str">
        <f>Lookups!K$11</f>
        <v>FY25</v>
      </c>
      <c r="M7" s="10" t="str">
        <f>Lookups!L$11</f>
        <v>FY26</v>
      </c>
      <c r="N7" s="10" t="str">
        <f>Lookups!M$11</f>
        <v>FY27</v>
      </c>
      <c r="O7" s="10" t="str">
        <f>Lookups!N$11</f>
        <v>FY28</v>
      </c>
      <c r="P7" s="12" t="str">
        <f>Lookups!O$11</f>
        <v>FY29</v>
      </c>
      <c r="Q7" s="10" t="str">
        <f>Lookups!Q$11</f>
        <v>Total FY25 to FY29</v>
      </c>
    </row>
    <row r="8" spans="1:17" ht="12.75" x14ac:dyDescent="0.3">
      <c r="C8" s="13">
        <f>N(C7)+1</f>
        <v>1</v>
      </c>
      <c r="D8" s="137" t="str">
        <f>Lookups!$D$41</f>
        <v>Substations</v>
      </c>
      <c r="E8" s="14" t="s">
        <v>157</v>
      </c>
      <c r="F8" s="14" t="str">
        <f t="shared" ref="F8:F25" si="0">Input_Unit</f>
        <v>$Millions</v>
      </c>
      <c r="G8" s="14" t="str">
        <f t="shared" ref="G8:G25" si="1">Input_Dollar_Basis</f>
        <v>Real $2021</v>
      </c>
      <c r="H8" s="14" t="str">
        <f t="shared" ref="H8:H25" si="2">End_Period</f>
        <v>End of Period</v>
      </c>
      <c r="J8" s="168">
        <f>AVERAGE(M68:P68)</f>
        <v>0</v>
      </c>
      <c r="K8" s="169">
        <f t="shared" ref="K8:P17" si="3">J8</f>
        <v>0</v>
      </c>
      <c r="L8" s="170">
        <f t="shared" si="3"/>
        <v>0</v>
      </c>
      <c r="M8" s="171">
        <f t="shared" si="3"/>
        <v>0</v>
      </c>
      <c r="N8" s="171">
        <f t="shared" si="3"/>
        <v>0</v>
      </c>
      <c r="O8" s="171">
        <f t="shared" si="3"/>
        <v>0</v>
      </c>
      <c r="P8" s="172">
        <f t="shared" si="3"/>
        <v>0</v>
      </c>
      <c r="Q8" s="21">
        <f t="shared" ref="Q8:Q25" si="4">SUM(L8:P8)</f>
        <v>0</v>
      </c>
    </row>
    <row r="9" spans="1:17" ht="12.75" x14ac:dyDescent="0.3">
      <c r="C9" s="13">
        <f t="shared" ref="C9:C25" si="5">N(C8)+1</f>
        <v>2</v>
      </c>
      <c r="D9" s="137" t="str">
        <f>Lookups!$D$42</f>
        <v>Distribution Lines</v>
      </c>
      <c r="E9" s="14" t="str">
        <f>E8</f>
        <v>Calculated</v>
      </c>
      <c r="F9" s="14" t="str">
        <f t="shared" si="0"/>
        <v>$Millions</v>
      </c>
      <c r="G9" s="14" t="str">
        <f t="shared" si="1"/>
        <v>Real $2021</v>
      </c>
      <c r="H9" s="14" t="str">
        <f t="shared" si="2"/>
        <v>End of Period</v>
      </c>
      <c r="J9" s="168">
        <f t="shared" ref="J9:J25" si="6">AVERAGE(M69:P69)</f>
        <v>1.4677971389437656</v>
      </c>
      <c r="K9" s="169">
        <f t="shared" si="3"/>
        <v>1.4677971389437656</v>
      </c>
      <c r="L9" s="170">
        <f t="shared" si="3"/>
        <v>1.4677971389437656</v>
      </c>
      <c r="M9" s="171">
        <f t="shared" si="3"/>
        <v>1.4677971389437656</v>
      </c>
      <c r="N9" s="171">
        <f t="shared" si="3"/>
        <v>1.4677971389437656</v>
      </c>
      <c r="O9" s="171">
        <f t="shared" si="3"/>
        <v>1.4677971389437656</v>
      </c>
      <c r="P9" s="172">
        <f t="shared" si="3"/>
        <v>1.4677971389437656</v>
      </c>
      <c r="Q9" s="21">
        <f t="shared" si="4"/>
        <v>7.3389856947188283</v>
      </c>
    </row>
    <row r="10" spans="1:17" ht="12.75" x14ac:dyDescent="0.3">
      <c r="C10" s="13">
        <f t="shared" si="5"/>
        <v>3</v>
      </c>
      <c r="D10" s="137" t="str">
        <f>Lookups!$D$43</f>
        <v>Transmission Lines</v>
      </c>
      <c r="E10" s="14" t="str">
        <f t="shared" ref="E10:E25" si="7">E9</f>
        <v>Calculated</v>
      </c>
      <c r="F10" s="14" t="str">
        <f t="shared" si="0"/>
        <v>$Millions</v>
      </c>
      <c r="G10" s="14" t="str">
        <f t="shared" si="1"/>
        <v>Real $2021</v>
      </c>
      <c r="H10" s="14" t="str">
        <f t="shared" si="2"/>
        <v>End of Period</v>
      </c>
      <c r="J10" s="168">
        <f t="shared" si="6"/>
        <v>0</v>
      </c>
      <c r="K10" s="169">
        <f t="shared" si="3"/>
        <v>0</v>
      </c>
      <c r="L10" s="170">
        <f t="shared" si="3"/>
        <v>0</v>
      </c>
      <c r="M10" s="171">
        <f t="shared" si="3"/>
        <v>0</v>
      </c>
      <c r="N10" s="171">
        <f t="shared" si="3"/>
        <v>0</v>
      </c>
      <c r="O10" s="171">
        <f t="shared" si="3"/>
        <v>0</v>
      </c>
      <c r="P10" s="172">
        <f t="shared" si="3"/>
        <v>0</v>
      </c>
      <c r="Q10" s="21">
        <f t="shared" si="4"/>
        <v>0</v>
      </c>
    </row>
    <row r="11" spans="1:17" ht="12.75" x14ac:dyDescent="0.3">
      <c r="C11" s="13">
        <f t="shared" si="5"/>
        <v>4</v>
      </c>
      <c r="D11" s="137" t="str">
        <f>Lookups!$D$44</f>
        <v>LV Services</v>
      </c>
      <c r="E11" s="14" t="str">
        <f t="shared" si="7"/>
        <v>Calculated</v>
      </c>
      <c r="F11" s="14" t="str">
        <f t="shared" si="0"/>
        <v>$Millions</v>
      </c>
      <c r="G11" s="14" t="str">
        <f t="shared" si="1"/>
        <v>Real $2021</v>
      </c>
      <c r="H11" s="14" t="str">
        <f t="shared" si="2"/>
        <v>End of Period</v>
      </c>
      <c r="J11" s="168">
        <f t="shared" si="6"/>
        <v>0</v>
      </c>
      <c r="K11" s="169">
        <f t="shared" si="3"/>
        <v>0</v>
      </c>
      <c r="L11" s="170">
        <f t="shared" si="3"/>
        <v>0</v>
      </c>
      <c r="M11" s="171">
        <f t="shared" si="3"/>
        <v>0</v>
      </c>
      <c r="N11" s="171">
        <f t="shared" si="3"/>
        <v>0</v>
      </c>
      <c r="O11" s="171">
        <f t="shared" si="3"/>
        <v>0</v>
      </c>
      <c r="P11" s="172">
        <f t="shared" si="3"/>
        <v>0</v>
      </c>
      <c r="Q11" s="21">
        <f t="shared" si="4"/>
        <v>0</v>
      </c>
    </row>
    <row r="12" spans="1:17" ht="12.75" x14ac:dyDescent="0.3">
      <c r="C12" s="13">
        <f t="shared" si="5"/>
        <v>5</v>
      </c>
      <c r="D12" s="137" t="str">
        <f>Lookups!$D$45</f>
        <v>Distribution Substations</v>
      </c>
      <c r="E12" s="14" t="str">
        <f t="shared" si="7"/>
        <v>Calculated</v>
      </c>
      <c r="F12" s="14" t="str">
        <f t="shared" si="0"/>
        <v>$Millions</v>
      </c>
      <c r="G12" s="14" t="str">
        <f t="shared" si="1"/>
        <v>Real $2021</v>
      </c>
      <c r="H12" s="14" t="str">
        <f t="shared" si="2"/>
        <v>End of Period</v>
      </c>
      <c r="J12" s="168">
        <f t="shared" si="6"/>
        <v>0.83406674136670789</v>
      </c>
      <c r="K12" s="169">
        <f t="shared" si="3"/>
        <v>0.83406674136670789</v>
      </c>
      <c r="L12" s="170">
        <f t="shared" si="3"/>
        <v>0.83406674136670789</v>
      </c>
      <c r="M12" s="171">
        <f t="shared" si="3"/>
        <v>0.83406674136670789</v>
      </c>
      <c r="N12" s="171">
        <f t="shared" si="3"/>
        <v>0.83406674136670789</v>
      </c>
      <c r="O12" s="171">
        <f t="shared" si="3"/>
        <v>0.83406674136670789</v>
      </c>
      <c r="P12" s="172">
        <f t="shared" si="3"/>
        <v>0.83406674136670789</v>
      </c>
      <c r="Q12" s="21">
        <f t="shared" si="4"/>
        <v>4.1703337068335395</v>
      </c>
    </row>
    <row r="13" spans="1:17" ht="12.75" x14ac:dyDescent="0.3">
      <c r="C13" s="13">
        <f t="shared" si="5"/>
        <v>6</v>
      </c>
      <c r="D13" s="137" t="str">
        <f>Lookups!$D$46</f>
        <v>Distribution Switchgear</v>
      </c>
      <c r="E13" s="14" t="str">
        <f t="shared" si="7"/>
        <v>Calculated</v>
      </c>
      <c r="F13" s="14" t="str">
        <f t="shared" si="0"/>
        <v>$Millions</v>
      </c>
      <c r="G13" s="14" t="str">
        <f t="shared" si="1"/>
        <v>Real $2021</v>
      </c>
      <c r="H13" s="14" t="str">
        <f t="shared" si="2"/>
        <v>End of Period</v>
      </c>
      <c r="J13" s="168">
        <f t="shared" si="6"/>
        <v>0.15973490714673694</v>
      </c>
      <c r="K13" s="169">
        <f t="shared" si="3"/>
        <v>0.15973490714673694</v>
      </c>
      <c r="L13" s="170">
        <f t="shared" si="3"/>
        <v>0.15973490714673694</v>
      </c>
      <c r="M13" s="171">
        <f t="shared" si="3"/>
        <v>0.15973490714673694</v>
      </c>
      <c r="N13" s="171">
        <f t="shared" si="3"/>
        <v>0.15973490714673694</v>
      </c>
      <c r="O13" s="171">
        <f t="shared" si="3"/>
        <v>0.15973490714673694</v>
      </c>
      <c r="P13" s="172">
        <f t="shared" si="3"/>
        <v>0.15973490714673694</v>
      </c>
      <c r="Q13" s="21">
        <f t="shared" si="4"/>
        <v>0.79867453573368463</v>
      </c>
    </row>
    <row r="14" spans="1:17" ht="12.75" x14ac:dyDescent="0.3">
      <c r="C14" s="13">
        <f t="shared" si="5"/>
        <v>7</v>
      </c>
      <c r="D14" s="137" t="str">
        <f>Lookups!$D$47</f>
        <v>Protection</v>
      </c>
      <c r="E14" s="14" t="str">
        <f t="shared" si="7"/>
        <v>Calculated</v>
      </c>
      <c r="F14" s="14" t="str">
        <f t="shared" si="0"/>
        <v>$Millions</v>
      </c>
      <c r="G14" s="14" t="str">
        <f t="shared" si="1"/>
        <v>Real $2021</v>
      </c>
      <c r="H14" s="14" t="str">
        <f t="shared" si="2"/>
        <v>End of Period</v>
      </c>
      <c r="J14" s="168">
        <f t="shared" si="6"/>
        <v>0</v>
      </c>
      <c r="K14" s="169">
        <f t="shared" si="3"/>
        <v>0</v>
      </c>
      <c r="L14" s="170">
        <f t="shared" si="3"/>
        <v>0</v>
      </c>
      <c r="M14" s="171">
        <f t="shared" si="3"/>
        <v>0</v>
      </c>
      <c r="N14" s="171">
        <f t="shared" si="3"/>
        <v>0</v>
      </c>
      <c r="O14" s="171">
        <f t="shared" si="3"/>
        <v>0</v>
      </c>
      <c r="P14" s="172">
        <f t="shared" si="3"/>
        <v>0</v>
      </c>
      <c r="Q14" s="21">
        <f t="shared" si="4"/>
        <v>0</v>
      </c>
    </row>
    <row r="15" spans="1:17" ht="12.75" x14ac:dyDescent="0.3">
      <c r="C15" s="13">
        <f t="shared" si="5"/>
        <v>8</v>
      </c>
      <c r="D15" s="137" t="str">
        <f>Lookups!$D$48</f>
        <v>SCADA</v>
      </c>
      <c r="E15" s="14" t="str">
        <f t="shared" si="7"/>
        <v>Calculated</v>
      </c>
      <c r="F15" s="14" t="str">
        <f t="shared" si="0"/>
        <v>$Millions</v>
      </c>
      <c r="G15" s="14" t="str">
        <f t="shared" si="1"/>
        <v>Real $2021</v>
      </c>
      <c r="H15" s="14" t="str">
        <f t="shared" si="2"/>
        <v>End of Period</v>
      </c>
      <c r="J15" s="168">
        <f t="shared" si="6"/>
        <v>0</v>
      </c>
      <c r="K15" s="169">
        <f t="shared" si="3"/>
        <v>0</v>
      </c>
      <c r="L15" s="170">
        <f t="shared" si="3"/>
        <v>0</v>
      </c>
      <c r="M15" s="171">
        <f t="shared" si="3"/>
        <v>0</v>
      </c>
      <c r="N15" s="171">
        <f t="shared" si="3"/>
        <v>0</v>
      </c>
      <c r="O15" s="171">
        <f t="shared" si="3"/>
        <v>0</v>
      </c>
      <c r="P15" s="172">
        <f t="shared" si="3"/>
        <v>0</v>
      </c>
      <c r="Q15" s="21">
        <f t="shared" si="4"/>
        <v>0</v>
      </c>
    </row>
    <row r="16" spans="1:17" ht="12.75" x14ac:dyDescent="0.3">
      <c r="C16" s="13">
        <f t="shared" si="5"/>
        <v>9</v>
      </c>
      <c r="D16" s="137" t="str">
        <f>Lookups!$D$49</f>
        <v>Communications</v>
      </c>
      <c r="E16" s="14" t="str">
        <f t="shared" si="7"/>
        <v>Calculated</v>
      </c>
      <c r="F16" s="14" t="str">
        <f t="shared" si="0"/>
        <v>$Millions</v>
      </c>
      <c r="G16" s="14" t="str">
        <f t="shared" si="1"/>
        <v>Real $2021</v>
      </c>
      <c r="H16" s="14" t="str">
        <f t="shared" si="2"/>
        <v>End of Period</v>
      </c>
      <c r="J16" s="168">
        <f t="shared" si="6"/>
        <v>0</v>
      </c>
      <c r="K16" s="169">
        <f t="shared" si="3"/>
        <v>0</v>
      </c>
      <c r="L16" s="170">
        <f t="shared" si="3"/>
        <v>0</v>
      </c>
      <c r="M16" s="171">
        <f t="shared" si="3"/>
        <v>0</v>
      </c>
      <c r="N16" s="171">
        <f t="shared" si="3"/>
        <v>0</v>
      </c>
      <c r="O16" s="171">
        <f t="shared" si="3"/>
        <v>0</v>
      </c>
      <c r="P16" s="172">
        <f t="shared" si="3"/>
        <v>0</v>
      </c>
      <c r="Q16" s="21">
        <f t="shared" si="4"/>
        <v>0</v>
      </c>
    </row>
    <row r="17" spans="1:17" ht="12.75" x14ac:dyDescent="0.3">
      <c r="C17" s="13">
        <f t="shared" si="5"/>
        <v>10</v>
      </c>
      <c r="D17" s="137" t="str">
        <f>Lookups!$D$50</f>
        <v>Land and Easements</v>
      </c>
      <c r="E17" s="14" t="str">
        <f t="shared" si="7"/>
        <v>Calculated</v>
      </c>
      <c r="F17" s="14" t="str">
        <f t="shared" si="0"/>
        <v>$Millions</v>
      </c>
      <c r="G17" s="14" t="str">
        <f t="shared" si="1"/>
        <v>Real $2021</v>
      </c>
      <c r="H17" s="14" t="str">
        <f t="shared" si="2"/>
        <v>End of Period</v>
      </c>
      <c r="J17" s="168">
        <f t="shared" si="6"/>
        <v>0</v>
      </c>
      <c r="K17" s="169">
        <f t="shared" si="3"/>
        <v>0</v>
      </c>
      <c r="L17" s="170">
        <f t="shared" si="3"/>
        <v>0</v>
      </c>
      <c r="M17" s="171">
        <f t="shared" si="3"/>
        <v>0</v>
      </c>
      <c r="N17" s="171">
        <f t="shared" si="3"/>
        <v>0</v>
      </c>
      <c r="O17" s="171">
        <f t="shared" si="3"/>
        <v>0</v>
      </c>
      <c r="P17" s="172">
        <f t="shared" si="3"/>
        <v>0</v>
      </c>
      <c r="Q17" s="21">
        <f t="shared" si="4"/>
        <v>0</v>
      </c>
    </row>
    <row r="18" spans="1:17" ht="12.75" x14ac:dyDescent="0.3">
      <c r="C18" s="13">
        <f t="shared" si="5"/>
        <v>11</v>
      </c>
      <c r="D18" s="137" t="str">
        <f>Lookups!$D$51</f>
        <v>Property</v>
      </c>
      <c r="E18" s="14" t="str">
        <f t="shared" si="7"/>
        <v>Calculated</v>
      </c>
      <c r="F18" s="14" t="str">
        <f t="shared" si="0"/>
        <v>$Millions</v>
      </c>
      <c r="G18" s="14" t="str">
        <f t="shared" si="1"/>
        <v>Real $2021</v>
      </c>
      <c r="H18" s="14" t="str">
        <f t="shared" si="2"/>
        <v>End of Period</v>
      </c>
      <c r="J18" s="168">
        <f t="shared" si="6"/>
        <v>0</v>
      </c>
      <c r="K18" s="169">
        <f t="shared" ref="K18:P25" si="8">J18</f>
        <v>0</v>
      </c>
      <c r="L18" s="170">
        <f t="shared" si="8"/>
        <v>0</v>
      </c>
      <c r="M18" s="171">
        <f t="shared" si="8"/>
        <v>0</v>
      </c>
      <c r="N18" s="171">
        <f t="shared" si="8"/>
        <v>0</v>
      </c>
      <c r="O18" s="171">
        <f t="shared" si="8"/>
        <v>0</v>
      </c>
      <c r="P18" s="172">
        <f t="shared" si="8"/>
        <v>0</v>
      </c>
      <c r="Q18" s="21">
        <f t="shared" si="4"/>
        <v>0</v>
      </c>
    </row>
    <row r="19" spans="1:17" ht="12.75" x14ac:dyDescent="0.3">
      <c r="C19" s="13">
        <f t="shared" si="5"/>
        <v>12</v>
      </c>
      <c r="D19" s="137" t="str">
        <f>Lookups!$D$52</f>
        <v>IT and Communications</v>
      </c>
      <c r="E19" s="14" t="str">
        <f t="shared" si="7"/>
        <v>Calculated</v>
      </c>
      <c r="F19" s="14" t="str">
        <f t="shared" si="0"/>
        <v>$Millions</v>
      </c>
      <c r="G19" s="14" t="str">
        <f t="shared" si="1"/>
        <v>Real $2021</v>
      </c>
      <c r="H19" s="14" t="str">
        <f t="shared" si="2"/>
        <v>End of Period</v>
      </c>
      <c r="J19" s="168">
        <f t="shared" si="6"/>
        <v>0</v>
      </c>
      <c r="K19" s="169">
        <f t="shared" si="8"/>
        <v>0</v>
      </c>
      <c r="L19" s="170">
        <f t="shared" si="8"/>
        <v>0</v>
      </c>
      <c r="M19" s="171">
        <f t="shared" si="8"/>
        <v>0</v>
      </c>
      <c r="N19" s="171">
        <f t="shared" si="8"/>
        <v>0</v>
      </c>
      <c r="O19" s="171">
        <f t="shared" si="8"/>
        <v>0</v>
      </c>
      <c r="P19" s="172">
        <f t="shared" si="8"/>
        <v>0</v>
      </c>
      <c r="Q19" s="21">
        <f t="shared" si="4"/>
        <v>0</v>
      </c>
    </row>
    <row r="20" spans="1:17" ht="12.75" x14ac:dyDescent="0.3">
      <c r="C20" s="13">
        <f t="shared" si="5"/>
        <v>13</v>
      </c>
      <c r="D20" s="137" t="str">
        <f>Lookups!$D$53</f>
        <v>Motor Vehicles</v>
      </c>
      <c r="E20" s="14" t="str">
        <f t="shared" si="7"/>
        <v>Calculated</v>
      </c>
      <c r="F20" s="14" t="str">
        <f t="shared" si="0"/>
        <v>$Millions</v>
      </c>
      <c r="G20" s="14" t="str">
        <f t="shared" si="1"/>
        <v>Real $2021</v>
      </c>
      <c r="H20" s="14" t="str">
        <f t="shared" si="2"/>
        <v>End of Period</v>
      </c>
      <c r="J20" s="168">
        <f t="shared" si="6"/>
        <v>0</v>
      </c>
      <c r="K20" s="169">
        <f t="shared" si="8"/>
        <v>0</v>
      </c>
      <c r="L20" s="170">
        <f t="shared" si="8"/>
        <v>0</v>
      </c>
      <c r="M20" s="171">
        <f t="shared" si="8"/>
        <v>0</v>
      </c>
      <c r="N20" s="171">
        <f t="shared" si="8"/>
        <v>0</v>
      </c>
      <c r="O20" s="171">
        <f t="shared" si="8"/>
        <v>0</v>
      </c>
      <c r="P20" s="172">
        <f t="shared" si="8"/>
        <v>0</v>
      </c>
      <c r="Q20" s="21">
        <f t="shared" si="4"/>
        <v>0</v>
      </c>
    </row>
    <row r="21" spans="1:17" ht="12.75" x14ac:dyDescent="0.3">
      <c r="C21" s="13">
        <f t="shared" si="5"/>
        <v>14</v>
      </c>
      <c r="D21" s="137" t="str">
        <f>Lookups!$D$54</f>
        <v>Plant and Equipment</v>
      </c>
      <c r="E21" s="14" t="str">
        <f t="shared" si="7"/>
        <v>Calculated</v>
      </c>
      <c r="F21" s="14" t="str">
        <f t="shared" si="0"/>
        <v>$Millions</v>
      </c>
      <c r="G21" s="14" t="str">
        <f t="shared" si="1"/>
        <v>Real $2021</v>
      </c>
      <c r="H21" s="14" t="str">
        <f t="shared" si="2"/>
        <v>End of Period</v>
      </c>
      <c r="J21" s="168">
        <f t="shared" si="6"/>
        <v>0</v>
      </c>
      <c r="K21" s="169">
        <f t="shared" si="8"/>
        <v>0</v>
      </c>
      <c r="L21" s="170">
        <f t="shared" si="8"/>
        <v>0</v>
      </c>
      <c r="M21" s="171">
        <f t="shared" si="8"/>
        <v>0</v>
      </c>
      <c r="N21" s="171">
        <f t="shared" si="8"/>
        <v>0</v>
      </c>
      <c r="O21" s="171">
        <f t="shared" si="8"/>
        <v>0</v>
      </c>
      <c r="P21" s="172">
        <f t="shared" si="8"/>
        <v>0</v>
      </c>
      <c r="Q21" s="21">
        <f t="shared" si="4"/>
        <v>0</v>
      </c>
    </row>
    <row r="22" spans="1:17" ht="12.75" x14ac:dyDescent="0.3">
      <c r="C22" s="13">
        <f t="shared" si="5"/>
        <v>15</v>
      </c>
      <c r="D22" s="137" t="str">
        <f>Lookups!$D$55</f>
        <v>Property Leases</v>
      </c>
      <c r="E22" s="14" t="str">
        <f t="shared" si="7"/>
        <v>Calculated</v>
      </c>
      <c r="F22" s="14" t="str">
        <f t="shared" si="0"/>
        <v>$Millions</v>
      </c>
      <c r="G22" s="14" t="str">
        <f t="shared" si="1"/>
        <v>Real $2021</v>
      </c>
      <c r="H22" s="14" t="str">
        <f t="shared" si="2"/>
        <v>End of Period</v>
      </c>
      <c r="J22" s="168">
        <f t="shared" si="6"/>
        <v>0</v>
      </c>
      <c r="K22" s="169">
        <f t="shared" si="8"/>
        <v>0</v>
      </c>
      <c r="L22" s="170">
        <f t="shared" si="8"/>
        <v>0</v>
      </c>
      <c r="M22" s="171">
        <f t="shared" si="8"/>
        <v>0</v>
      </c>
      <c r="N22" s="171">
        <f t="shared" si="8"/>
        <v>0</v>
      </c>
      <c r="O22" s="171">
        <f t="shared" si="8"/>
        <v>0</v>
      </c>
      <c r="P22" s="172">
        <f t="shared" si="8"/>
        <v>0</v>
      </c>
      <c r="Q22" s="21">
        <f t="shared" si="4"/>
        <v>0</v>
      </c>
    </row>
    <row r="23" spans="1:17" ht="12.75" x14ac:dyDescent="0.3">
      <c r="C23" s="13">
        <f t="shared" si="5"/>
        <v>16</v>
      </c>
      <c r="D23" s="137" t="str">
        <f>Lookups!$D$56</f>
        <v>Fleet Leases</v>
      </c>
      <c r="E23" s="14" t="str">
        <f t="shared" si="7"/>
        <v>Calculated</v>
      </c>
      <c r="F23" s="14" t="str">
        <f t="shared" si="0"/>
        <v>$Millions</v>
      </c>
      <c r="G23" s="14" t="str">
        <f t="shared" si="1"/>
        <v>Real $2021</v>
      </c>
      <c r="H23" s="14" t="str">
        <f t="shared" si="2"/>
        <v>End of Period</v>
      </c>
      <c r="J23" s="168">
        <f t="shared" si="6"/>
        <v>0</v>
      </c>
      <c r="K23" s="169">
        <f t="shared" si="8"/>
        <v>0</v>
      </c>
      <c r="L23" s="170">
        <f t="shared" si="8"/>
        <v>0</v>
      </c>
      <c r="M23" s="171">
        <f t="shared" si="8"/>
        <v>0</v>
      </c>
      <c r="N23" s="171">
        <f t="shared" si="8"/>
        <v>0</v>
      </c>
      <c r="O23" s="171">
        <f t="shared" si="8"/>
        <v>0</v>
      </c>
      <c r="P23" s="172">
        <f t="shared" si="8"/>
        <v>0</v>
      </c>
      <c r="Q23" s="21">
        <f t="shared" si="4"/>
        <v>0</v>
      </c>
    </row>
    <row r="24" spans="1:17" ht="12.75" x14ac:dyDescent="0.3">
      <c r="C24" s="13">
        <f t="shared" si="5"/>
        <v>17</v>
      </c>
      <c r="D24" s="137" t="str">
        <f>Lookups!$D$57</f>
        <v>Buildings</v>
      </c>
      <c r="E24" s="14" t="str">
        <f t="shared" si="7"/>
        <v>Calculated</v>
      </c>
      <c r="F24" s="14" t="str">
        <f t="shared" si="0"/>
        <v>$Millions</v>
      </c>
      <c r="G24" s="14" t="str">
        <f t="shared" si="1"/>
        <v>Real $2021</v>
      </c>
      <c r="H24" s="14" t="str">
        <f t="shared" si="2"/>
        <v>End of Period</v>
      </c>
      <c r="J24" s="168">
        <f t="shared" si="6"/>
        <v>0</v>
      </c>
      <c r="K24" s="169">
        <f t="shared" si="8"/>
        <v>0</v>
      </c>
      <c r="L24" s="170">
        <f t="shared" si="8"/>
        <v>0</v>
      </c>
      <c r="M24" s="171">
        <f t="shared" si="8"/>
        <v>0</v>
      </c>
      <c r="N24" s="171">
        <f t="shared" si="8"/>
        <v>0</v>
      </c>
      <c r="O24" s="171">
        <f t="shared" si="8"/>
        <v>0</v>
      </c>
      <c r="P24" s="172">
        <f t="shared" si="8"/>
        <v>0</v>
      </c>
      <c r="Q24" s="21">
        <f t="shared" si="4"/>
        <v>0</v>
      </c>
    </row>
    <row r="25" spans="1:17" ht="12.75" x14ac:dyDescent="0.3">
      <c r="C25" s="13">
        <f t="shared" si="5"/>
        <v>18</v>
      </c>
      <c r="D25" s="137" t="str">
        <f>Lookups!$D$58</f>
        <v>In-house Software</v>
      </c>
      <c r="E25" s="14" t="str">
        <f t="shared" si="7"/>
        <v>Calculated</v>
      </c>
      <c r="F25" s="14" t="str">
        <f t="shared" si="0"/>
        <v>$Millions</v>
      </c>
      <c r="G25" s="14" t="str">
        <f t="shared" si="1"/>
        <v>Real $2021</v>
      </c>
      <c r="H25" s="14" t="str">
        <f t="shared" si="2"/>
        <v>End of Period</v>
      </c>
      <c r="J25" s="168">
        <f t="shared" si="6"/>
        <v>0</v>
      </c>
      <c r="K25" s="169">
        <f t="shared" si="8"/>
        <v>0</v>
      </c>
      <c r="L25" s="170">
        <f t="shared" si="8"/>
        <v>0</v>
      </c>
      <c r="M25" s="171">
        <f t="shared" si="8"/>
        <v>0</v>
      </c>
      <c r="N25" s="171">
        <f t="shared" si="8"/>
        <v>0</v>
      </c>
      <c r="O25" s="171">
        <f t="shared" si="8"/>
        <v>0</v>
      </c>
      <c r="P25" s="172">
        <f t="shared" si="8"/>
        <v>0</v>
      </c>
      <c r="Q25" s="21">
        <f t="shared" si="4"/>
        <v>0</v>
      </c>
    </row>
    <row r="26" spans="1:17" x14ac:dyDescent="0.3">
      <c r="K26" s="140"/>
      <c r="L26" s="152"/>
      <c r="M26" s="140"/>
      <c r="N26" s="140"/>
      <c r="O26" s="140"/>
      <c r="P26" s="153"/>
    </row>
    <row r="27" spans="1:17" ht="13.15" x14ac:dyDescent="0.3">
      <c r="D27" s="136" t="s">
        <v>159</v>
      </c>
      <c r="E27" s="17" t="s">
        <v>157</v>
      </c>
      <c r="F27" s="17" t="str">
        <f>Input_Unit</f>
        <v>$Millions</v>
      </c>
      <c r="G27" s="17" t="str">
        <f>Input_Dollar_Basis</f>
        <v>Real $2021</v>
      </c>
      <c r="H27" s="17" t="str">
        <f>End_Period</f>
        <v>End of Period</v>
      </c>
      <c r="J27" s="18">
        <f t="shared" ref="J27:Q27" si="9">SUM(J8:J25)</f>
        <v>2.4615987874572105</v>
      </c>
      <c r="K27" s="156">
        <f t="shared" si="9"/>
        <v>2.4615987874572105</v>
      </c>
      <c r="L27" s="157">
        <f t="shared" si="9"/>
        <v>2.4615987874572105</v>
      </c>
      <c r="M27" s="156">
        <f t="shared" si="9"/>
        <v>2.4615987874572105</v>
      </c>
      <c r="N27" s="156">
        <f t="shared" si="9"/>
        <v>2.4615987874572105</v>
      </c>
      <c r="O27" s="156">
        <f t="shared" si="9"/>
        <v>2.4615987874572105</v>
      </c>
      <c r="P27" s="158">
        <f t="shared" si="9"/>
        <v>2.4615987874572105</v>
      </c>
      <c r="Q27" s="18">
        <f t="shared" si="9"/>
        <v>12.307993937286053</v>
      </c>
    </row>
    <row r="28" spans="1:17" ht="11.25" customHeight="1" x14ac:dyDescent="0.3"/>
    <row r="29" spans="1:17" ht="11.25" customHeight="1" x14ac:dyDescent="0.3">
      <c r="A29" s="3">
        <f>IF(SUM($I29:$P29)&gt;0,1,0)</f>
        <v>0</v>
      </c>
      <c r="D29" s="137" t="s">
        <v>98</v>
      </c>
      <c r="E29" s="137"/>
      <c r="J29" s="3">
        <f t="shared" ref="J29:P29" si="10">IF(ISERROR(J27),1,0)</f>
        <v>0</v>
      </c>
      <c r="K29" s="3">
        <f t="shared" si="10"/>
        <v>0</v>
      </c>
      <c r="L29" s="3">
        <f t="shared" si="10"/>
        <v>0</v>
      </c>
      <c r="M29" s="3">
        <f t="shared" si="10"/>
        <v>0</v>
      </c>
      <c r="N29" s="3">
        <f t="shared" si="10"/>
        <v>0</v>
      </c>
      <c r="O29" s="3">
        <f t="shared" si="10"/>
        <v>0</v>
      </c>
      <c r="P29" s="3">
        <f t="shared" si="10"/>
        <v>0</v>
      </c>
    </row>
    <row r="30" spans="1:17" ht="11.25" customHeight="1" x14ac:dyDescent="0.3"/>
    <row r="31" spans="1:17" s="6" customFormat="1" ht="15" x14ac:dyDescent="0.45">
      <c r="B31" s="6" t="s">
        <v>168</v>
      </c>
    </row>
    <row r="32" spans="1:17" ht="11.25" customHeight="1" x14ac:dyDescent="0.3"/>
    <row r="33" spans="3:16" s="7" customFormat="1" ht="13.9" x14ac:dyDescent="0.45">
      <c r="C33" s="7" t="s">
        <v>169</v>
      </c>
    </row>
    <row r="34" spans="3:16" ht="11.25" customHeight="1" x14ac:dyDescent="0.3"/>
    <row r="35" spans="3:16" ht="13.15" x14ac:dyDescent="0.3">
      <c r="C35" s="8" t="s">
        <v>81</v>
      </c>
      <c r="D35" s="9" t="s">
        <v>82</v>
      </c>
      <c r="E35" s="10" t="s">
        <v>99</v>
      </c>
      <c r="F35" s="10" t="s">
        <v>17</v>
      </c>
      <c r="G35" s="10" t="s">
        <v>83</v>
      </c>
      <c r="H35" s="10" t="s">
        <v>84</v>
      </c>
      <c r="I35" s="197" t="str">
        <f t="shared" ref="I35:N35" si="11">"FY"&amp;RIGHT(J35,2)-1</f>
        <v>FY15</v>
      </c>
      <c r="J35" s="197" t="str">
        <f t="shared" si="11"/>
        <v>FY16</v>
      </c>
      <c r="K35" s="197" t="str">
        <f t="shared" si="11"/>
        <v>FY17</v>
      </c>
      <c r="L35" s="197" t="str">
        <f t="shared" si="11"/>
        <v>FY18</v>
      </c>
      <c r="M35" s="12" t="str">
        <f t="shared" si="11"/>
        <v>FY19</v>
      </c>
      <c r="N35" s="11" t="str">
        <f t="shared" si="11"/>
        <v>FY20</v>
      </c>
      <c r="O35" s="10" t="str">
        <f>"FY"&amp;RIGHT(P35,2)-1</f>
        <v>FY21</v>
      </c>
      <c r="P35" s="12" t="str">
        <f>"FY"&amp;RIGHT(J7,2)-1</f>
        <v>FY22</v>
      </c>
    </row>
    <row r="36" spans="3:16" ht="12.75" x14ac:dyDescent="0.3">
      <c r="C36" s="13">
        <f>N(C35)+1</f>
        <v>1</v>
      </c>
      <c r="D36" s="137" t="str">
        <f>Lookups!$D$41</f>
        <v>Substations</v>
      </c>
      <c r="E36" s="14" t="s">
        <v>178</v>
      </c>
      <c r="F36" s="14" t="str">
        <f t="shared" ref="F36:F53" si="12">Input_Unit</f>
        <v>$Millions</v>
      </c>
      <c r="G36" s="14" t="str">
        <f t="shared" ref="G36:G53" si="13">Nominal</f>
        <v>Nominal</v>
      </c>
      <c r="H36" s="14" t="str">
        <f t="shared" ref="H36:H53" si="14">Mid_Period</f>
        <v>Mid Period</v>
      </c>
      <c r="I36" s="168">
        <v>0</v>
      </c>
      <c r="J36" s="168">
        <v>0</v>
      </c>
      <c r="K36" s="168">
        <v>0</v>
      </c>
      <c r="L36" s="168">
        <v>0</v>
      </c>
      <c r="M36" s="200">
        <v>0</v>
      </c>
      <c r="N36" s="201">
        <v>0</v>
      </c>
      <c r="O36" s="168">
        <v>0</v>
      </c>
      <c r="P36" s="168">
        <v>0</v>
      </c>
    </row>
    <row r="37" spans="3:16" ht="12.75" x14ac:dyDescent="0.3">
      <c r="C37" s="13">
        <f t="shared" ref="C37:C53" si="15">N(C36)+1</f>
        <v>2</v>
      </c>
      <c r="D37" s="137" t="str">
        <f>Lookups!$D$42</f>
        <v>Distribution Lines</v>
      </c>
      <c r="E37" s="14" t="str">
        <f>E36</f>
        <v>PWC</v>
      </c>
      <c r="F37" s="14" t="str">
        <f t="shared" si="12"/>
        <v>$Millions</v>
      </c>
      <c r="G37" s="14" t="str">
        <f t="shared" si="13"/>
        <v>Nominal</v>
      </c>
      <c r="H37" s="14" t="str">
        <f t="shared" si="14"/>
        <v>Mid Period</v>
      </c>
      <c r="I37" s="168">
        <v>5.3210909400662896</v>
      </c>
      <c r="J37" s="168">
        <v>5.0862224751930869</v>
      </c>
      <c r="K37" s="168">
        <v>5.600059524633294</v>
      </c>
      <c r="L37" s="168">
        <v>4.8407107062999986</v>
      </c>
      <c r="M37" s="200">
        <v>1.5227324870680023</v>
      </c>
      <c r="N37" s="201">
        <v>1.406125981832844</v>
      </c>
      <c r="O37" s="168">
        <v>1.9550948632191778</v>
      </c>
      <c r="P37" s="168">
        <v>0.85810692993393956</v>
      </c>
    </row>
    <row r="38" spans="3:16" ht="12.75" x14ac:dyDescent="0.3">
      <c r="C38" s="13">
        <f t="shared" si="15"/>
        <v>3</v>
      </c>
      <c r="D38" s="137" t="str">
        <f>Lookups!$D$43</f>
        <v>Transmission Lines</v>
      </c>
      <c r="E38" s="14" t="str">
        <f t="shared" ref="E38:E53" si="16">E37</f>
        <v>PWC</v>
      </c>
      <c r="F38" s="14" t="str">
        <f t="shared" si="12"/>
        <v>$Millions</v>
      </c>
      <c r="G38" s="14" t="str">
        <f t="shared" si="13"/>
        <v>Nominal</v>
      </c>
      <c r="H38" s="14" t="str">
        <f t="shared" si="14"/>
        <v>Mid Period</v>
      </c>
      <c r="I38" s="168">
        <v>0</v>
      </c>
      <c r="J38" s="168">
        <v>0</v>
      </c>
      <c r="K38" s="168">
        <v>0</v>
      </c>
      <c r="L38" s="168">
        <v>0</v>
      </c>
      <c r="M38" s="200">
        <v>0</v>
      </c>
      <c r="N38" s="201">
        <v>0</v>
      </c>
      <c r="O38" s="168">
        <v>0</v>
      </c>
      <c r="P38" s="168">
        <v>0</v>
      </c>
    </row>
    <row r="39" spans="3:16" ht="12.75" x14ac:dyDescent="0.3">
      <c r="C39" s="13">
        <f t="shared" si="15"/>
        <v>4</v>
      </c>
      <c r="D39" s="137" t="str">
        <f>Lookups!$D$44</f>
        <v>LV Services</v>
      </c>
      <c r="E39" s="14" t="str">
        <f t="shared" si="16"/>
        <v>PWC</v>
      </c>
      <c r="F39" s="14" t="str">
        <f t="shared" si="12"/>
        <v>$Millions</v>
      </c>
      <c r="G39" s="14" t="str">
        <f t="shared" si="13"/>
        <v>Nominal</v>
      </c>
      <c r="H39" s="14" t="str">
        <f t="shared" si="14"/>
        <v>Mid Period</v>
      </c>
      <c r="I39" s="168">
        <v>0</v>
      </c>
      <c r="J39" s="168">
        <v>0</v>
      </c>
      <c r="K39" s="168">
        <v>0</v>
      </c>
      <c r="L39" s="168">
        <v>0</v>
      </c>
      <c r="M39" s="200">
        <v>0</v>
      </c>
      <c r="N39" s="201">
        <v>0</v>
      </c>
      <c r="O39" s="168">
        <v>0</v>
      </c>
      <c r="P39" s="168">
        <v>0</v>
      </c>
    </row>
    <row r="40" spans="3:16" ht="12.75" x14ac:dyDescent="0.3">
      <c r="C40" s="13">
        <f t="shared" si="15"/>
        <v>5</v>
      </c>
      <c r="D40" s="137" t="str">
        <f>Lookups!$D$45</f>
        <v>Distribution Substations</v>
      </c>
      <c r="E40" s="14" t="str">
        <f t="shared" si="16"/>
        <v>PWC</v>
      </c>
      <c r="F40" s="14" t="str">
        <f t="shared" si="12"/>
        <v>$Millions</v>
      </c>
      <c r="G40" s="14" t="str">
        <f t="shared" si="13"/>
        <v>Nominal</v>
      </c>
      <c r="H40" s="14" t="str">
        <f t="shared" si="14"/>
        <v>Mid Period</v>
      </c>
      <c r="I40" s="168">
        <v>2.8744056044172273</v>
      </c>
      <c r="J40" s="168">
        <v>2.249023734140152</v>
      </c>
      <c r="K40" s="168">
        <v>2.1487367495272025</v>
      </c>
      <c r="L40" s="168">
        <v>2.2756961799999997</v>
      </c>
      <c r="M40" s="200">
        <v>1.2015558496639138</v>
      </c>
      <c r="N40" s="201">
        <v>0.70984580616514648</v>
      </c>
      <c r="O40" s="168">
        <v>0.52609427672821674</v>
      </c>
      <c r="P40" s="168">
        <v>0.83554830439938443</v>
      </c>
    </row>
    <row r="41" spans="3:16" ht="12.75" x14ac:dyDescent="0.3">
      <c r="C41" s="13">
        <f t="shared" si="15"/>
        <v>6</v>
      </c>
      <c r="D41" s="137" t="str">
        <f>Lookups!$D$46</f>
        <v>Distribution Switchgear</v>
      </c>
      <c r="E41" s="14" t="str">
        <f t="shared" si="16"/>
        <v>PWC</v>
      </c>
      <c r="F41" s="14" t="str">
        <f t="shared" si="12"/>
        <v>$Millions</v>
      </c>
      <c r="G41" s="14" t="str">
        <f t="shared" si="13"/>
        <v>Nominal</v>
      </c>
      <c r="H41" s="14" t="str">
        <f t="shared" si="14"/>
        <v>Mid Period</v>
      </c>
      <c r="I41" s="168">
        <v>0.53311520551648373</v>
      </c>
      <c r="J41" s="168">
        <v>0.45796741066676172</v>
      </c>
      <c r="K41" s="168">
        <v>0.62867083583950312</v>
      </c>
      <c r="L41" s="168">
        <v>0.46062364</v>
      </c>
      <c r="M41" s="200">
        <v>0.37343998326808381</v>
      </c>
      <c r="N41" s="201">
        <v>0.11635774200200934</v>
      </c>
      <c r="O41" s="168">
        <v>0.12639199638946608</v>
      </c>
      <c r="P41" s="168">
        <v>0</v>
      </c>
    </row>
    <row r="42" spans="3:16" ht="12.75" x14ac:dyDescent="0.3">
      <c r="C42" s="13">
        <f t="shared" si="15"/>
        <v>7</v>
      </c>
      <c r="D42" s="137" t="str">
        <f>Lookups!$D$47</f>
        <v>Protection</v>
      </c>
      <c r="E42" s="14" t="str">
        <f t="shared" si="16"/>
        <v>PWC</v>
      </c>
      <c r="F42" s="14" t="str">
        <f t="shared" si="12"/>
        <v>$Millions</v>
      </c>
      <c r="G42" s="14" t="str">
        <f t="shared" si="13"/>
        <v>Nominal</v>
      </c>
      <c r="H42" s="14" t="str">
        <f t="shared" si="14"/>
        <v>Mid Period</v>
      </c>
      <c r="I42" s="168">
        <v>0</v>
      </c>
      <c r="J42" s="168">
        <v>0</v>
      </c>
      <c r="K42" s="168">
        <v>0</v>
      </c>
      <c r="L42" s="168">
        <v>0</v>
      </c>
      <c r="M42" s="200">
        <v>0</v>
      </c>
      <c r="N42" s="201">
        <v>0</v>
      </c>
      <c r="O42" s="168">
        <v>0</v>
      </c>
      <c r="P42" s="168">
        <v>0</v>
      </c>
    </row>
    <row r="43" spans="3:16" ht="12.75" x14ac:dyDescent="0.3">
      <c r="C43" s="13">
        <f t="shared" si="15"/>
        <v>8</v>
      </c>
      <c r="D43" s="137" t="str">
        <f>Lookups!$D$48</f>
        <v>SCADA</v>
      </c>
      <c r="E43" s="14" t="str">
        <f t="shared" si="16"/>
        <v>PWC</v>
      </c>
      <c r="F43" s="14" t="str">
        <f t="shared" si="12"/>
        <v>$Millions</v>
      </c>
      <c r="G43" s="14" t="str">
        <f t="shared" si="13"/>
        <v>Nominal</v>
      </c>
      <c r="H43" s="14" t="str">
        <f t="shared" si="14"/>
        <v>Mid Period</v>
      </c>
      <c r="I43" s="168">
        <v>0</v>
      </c>
      <c r="J43" s="168">
        <v>0</v>
      </c>
      <c r="K43" s="168">
        <v>0</v>
      </c>
      <c r="L43" s="168">
        <v>0</v>
      </c>
      <c r="M43" s="200">
        <v>0</v>
      </c>
      <c r="N43" s="201">
        <v>0</v>
      </c>
      <c r="O43" s="168">
        <v>0</v>
      </c>
      <c r="P43" s="168">
        <v>0</v>
      </c>
    </row>
    <row r="44" spans="3:16" ht="12.75" x14ac:dyDescent="0.3">
      <c r="C44" s="13">
        <f t="shared" si="15"/>
        <v>9</v>
      </c>
      <c r="D44" s="137" t="str">
        <f>Lookups!$D$49</f>
        <v>Communications</v>
      </c>
      <c r="E44" s="14" t="str">
        <f t="shared" si="16"/>
        <v>PWC</v>
      </c>
      <c r="F44" s="14" t="str">
        <f t="shared" si="12"/>
        <v>$Millions</v>
      </c>
      <c r="G44" s="14" t="str">
        <f t="shared" si="13"/>
        <v>Nominal</v>
      </c>
      <c r="H44" s="14" t="str">
        <f t="shared" si="14"/>
        <v>Mid Period</v>
      </c>
      <c r="I44" s="168">
        <v>0</v>
      </c>
      <c r="J44" s="168">
        <v>0</v>
      </c>
      <c r="K44" s="168">
        <v>0</v>
      </c>
      <c r="L44" s="168">
        <v>0</v>
      </c>
      <c r="M44" s="200">
        <v>0</v>
      </c>
      <c r="N44" s="201">
        <v>0</v>
      </c>
      <c r="O44" s="168">
        <v>0</v>
      </c>
      <c r="P44" s="168">
        <v>0</v>
      </c>
    </row>
    <row r="45" spans="3:16" ht="12.75" x14ac:dyDescent="0.3">
      <c r="C45" s="13">
        <f t="shared" si="15"/>
        <v>10</v>
      </c>
      <c r="D45" s="137" t="str">
        <f>Lookups!$D$50</f>
        <v>Land and Easements</v>
      </c>
      <c r="E45" s="14" t="str">
        <f t="shared" si="16"/>
        <v>PWC</v>
      </c>
      <c r="F45" s="14" t="str">
        <f t="shared" si="12"/>
        <v>$Millions</v>
      </c>
      <c r="G45" s="14" t="str">
        <f t="shared" si="13"/>
        <v>Nominal</v>
      </c>
      <c r="H45" s="14" t="str">
        <f t="shared" si="14"/>
        <v>Mid Period</v>
      </c>
      <c r="I45" s="168">
        <v>0</v>
      </c>
      <c r="J45" s="168">
        <v>0</v>
      </c>
      <c r="K45" s="168">
        <v>0</v>
      </c>
      <c r="L45" s="168">
        <v>0</v>
      </c>
      <c r="M45" s="200">
        <v>0</v>
      </c>
      <c r="N45" s="201">
        <v>0</v>
      </c>
      <c r="O45" s="168">
        <v>0</v>
      </c>
      <c r="P45" s="168">
        <v>0</v>
      </c>
    </row>
    <row r="46" spans="3:16" ht="12.75" x14ac:dyDescent="0.3">
      <c r="C46" s="13">
        <f t="shared" si="15"/>
        <v>11</v>
      </c>
      <c r="D46" s="137" t="str">
        <f>Lookups!$D$51</f>
        <v>Property</v>
      </c>
      <c r="E46" s="14" t="str">
        <f t="shared" si="16"/>
        <v>PWC</v>
      </c>
      <c r="F46" s="14" t="str">
        <f t="shared" si="12"/>
        <v>$Millions</v>
      </c>
      <c r="G46" s="14" t="str">
        <f t="shared" si="13"/>
        <v>Nominal</v>
      </c>
      <c r="H46" s="14" t="str">
        <f t="shared" si="14"/>
        <v>Mid Period</v>
      </c>
      <c r="I46" s="168">
        <v>0</v>
      </c>
      <c r="J46" s="168">
        <v>0</v>
      </c>
      <c r="K46" s="168">
        <v>0</v>
      </c>
      <c r="L46" s="168">
        <v>0</v>
      </c>
      <c r="M46" s="200">
        <v>0</v>
      </c>
      <c r="N46" s="201">
        <v>0</v>
      </c>
      <c r="O46" s="168">
        <v>0</v>
      </c>
      <c r="P46" s="168">
        <v>0</v>
      </c>
    </row>
    <row r="47" spans="3:16" ht="12.75" x14ac:dyDescent="0.3">
      <c r="C47" s="13">
        <f t="shared" si="15"/>
        <v>12</v>
      </c>
      <c r="D47" s="137" t="str">
        <f>Lookups!$D$52</f>
        <v>IT and Communications</v>
      </c>
      <c r="E47" s="14" t="str">
        <f t="shared" si="16"/>
        <v>PWC</v>
      </c>
      <c r="F47" s="14" t="str">
        <f t="shared" si="12"/>
        <v>$Millions</v>
      </c>
      <c r="G47" s="14" t="str">
        <f t="shared" si="13"/>
        <v>Nominal</v>
      </c>
      <c r="H47" s="14" t="str">
        <f t="shared" si="14"/>
        <v>Mid Period</v>
      </c>
      <c r="I47" s="168">
        <v>0</v>
      </c>
      <c r="J47" s="168">
        <v>0</v>
      </c>
      <c r="K47" s="168">
        <v>0</v>
      </c>
      <c r="L47" s="168">
        <v>0</v>
      </c>
      <c r="M47" s="200">
        <v>0</v>
      </c>
      <c r="N47" s="201">
        <v>0</v>
      </c>
      <c r="O47" s="168">
        <v>0</v>
      </c>
      <c r="P47" s="168">
        <v>0</v>
      </c>
    </row>
    <row r="48" spans="3:16" ht="12.75" x14ac:dyDescent="0.3">
      <c r="C48" s="13">
        <f t="shared" si="15"/>
        <v>13</v>
      </c>
      <c r="D48" s="137" t="str">
        <f>Lookups!$D$53</f>
        <v>Motor Vehicles</v>
      </c>
      <c r="E48" s="14" t="str">
        <f t="shared" si="16"/>
        <v>PWC</v>
      </c>
      <c r="F48" s="14" t="str">
        <f t="shared" si="12"/>
        <v>$Millions</v>
      </c>
      <c r="G48" s="14" t="str">
        <f t="shared" si="13"/>
        <v>Nominal</v>
      </c>
      <c r="H48" s="14" t="str">
        <f t="shared" si="14"/>
        <v>Mid Period</v>
      </c>
      <c r="I48" s="168">
        <v>0</v>
      </c>
      <c r="J48" s="168">
        <v>0</v>
      </c>
      <c r="K48" s="168">
        <v>0</v>
      </c>
      <c r="L48" s="168">
        <v>0</v>
      </c>
      <c r="M48" s="200">
        <v>0</v>
      </c>
      <c r="N48" s="201">
        <v>0</v>
      </c>
      <c r="O48" s="168">
        <v>0</v>
      </c>
      <c r="P48" s="168">
        <v>0</v>
      </c>
    </row>
    <row r="49" spans="1:16" ht="12.75" x14ac:dyDescent="0.3">
      <c r="C49" s="13">
        <f t="shared" si="15"/>
        <v>14</v>
      </c>
      <c r="D49" s="137" t="str">
        <f>Lookups!$D$54</f>
        <v>Plant and Equipment</v>
      </c>
      <c r="E49" s="14" t="str">
        <f t="shared" si="16"/>
        <v>PWC</v>
      </c>
      <c r="F49" s="14" t="str">
        <f t="shared" si="12"/>
        <v>$Millions</v>
      </c>
      <c r="G49" s="14" t="str">
        <f t="shared" si="13"/>
        <v>Nominal</v>
      </c>
      <c r="H49" s="14" t="str">
        <f t="shared" si="14"/>
        <v>Mid Period</v>
      </c>
      <c r="I49" s="168">
        <v>0</v>
      </c>
      <c r="J49" s="168">
        <v>0</v>
      </c>
      <c r="K49" s="168">
        <v>0</v>
      </c>
      <c r="L49" s="168">
        <v>0</v>
      </c>
      <c r="M49" s="200">
        <v>0</v>
      </c>
      <c r="N49" s="201">
        <v>0</v>
      </c>
      <c r="O49" s="168">
        <v>0</v>
      </c>
      <c r="P49" s="168">
        <v>0</v>
      </c>
    </row>
    <row r="50" spans="1:16" ht="12.75" x14ac:dyDescent="0.3">
      <c r="C50" s="13">
        <f t="shared" si="15"/>
        <v>15</v>
      </c>
      <c r="D50" s="137" t="str">
        <f>Lookups!$D$55</f>
        <v>Property Leases</v>
      </c>
      <c r="E50" s="14" t="str">
        <f t="shared" si="16"/>
        <v>PWC</v>
      </c>
      <c r="F50" s="14" t="str">
        <f t="shared" si="12"/>
        <v>$Millions</v>
      </c>
      <c r="G50" s="14" t="str">
        <f t="shared" si="13"/>
        <v>Nominal</v>
      </c>
      <c r="H50" s="14" t="str">
        <f t="shared" si="14"/>
        <v>Mid Period</v>
      </c>
      <c r="I50" s="168"/>
      <c r="J50" s="168"/>
      <c r="K50" s="168"/>
      <c r="L50" s="168"/>
      <c r="M50" s="200">
        <v>0</v>
      </c>
      <c r="N50" s="201">
        <v>0</v>
      </c>
      <c r="O50" s="168">
        <v>0</v>
      </c>
      <c r="P50" s="168">
        <v>0</v>
      </c>
    </row>
    <row r="51" spans="1:16" ht="12.75" x14ac:dyDescent="0.3">
      <c r="C51" s="13">
        <f t="shared" si="15"/>
        <v>16</v>
      </c>
      <c r="D51" s="137" t="str">
        <f>Lookups!$D$56</f>
        <v>Fleet Leases</v>
      </c>
      <c r="E51" s="14" t="str">
        <f t="shared" si="16"/>
        <v>PWC</v>
      </c>
      <c r="F51" s="14" t="str">
        <f t="shared" si="12"/>
        <v>$Millions</v>
      </c>
      <c r="G51" s="14" t="str">
        <f t="shared" si="13"/>
        <v>Nominal</v>
      </c>
      <c r="H51" s="14" t="str">
        <f t="shared" si="14"/>
        <v>Mid Period</v>
      </c>
      <c r="I51" s="168"/>
      <c r="J51" s="168"/>
      <c r="K51" s="168"/>
      <c r="L51" s="168"/>
      <c r="M51" s="200">
        <v>0</v>
      </c>
      <c r="N51" s="201">
        <v>0</v>
      </c>
      <c r="O51" s="168">
        <v>0</v>
      </c>
      <c r="P51" s="168">
        <v>0</v>
      </c>
    </row>
    <row r="52" spans="1:16" ht="12.75" x14ac:dyDescent="0.3">
      <c r="C52" s="13">
        <f t="shared" si="15"/>
        <v>17</v>
      </c>
      <c r="D52" s="137" t="str">
        <f>Lookups!$D$57</f>
        <v>Buildings</v>
      </c>
      <c r="E52" s="14" t="str">
        <f t="shared" si="16"/>
        <v>PWC</v>
      </c>
      <c r="F52" s="14" t="str">
        <f t="shared" si="12"/>
        <v>$Millions</v>
      </c>
      <c r="G52" s="14" t="str">
        <f t="shared" si="13"/>
        <v>Nominal</v>
      </c>
      <c r="H52" s="14" t="str">
        <f t="shared" si="14"/>
        <v>Mid Period</v>
      </c>
      <c r="I52" s="168"/>
      <c r="J52" s="168"/>
      <c r="K52" s="168"/>
      <c r="L52" s="168"/>
      <c r="M52" s="200">
        <v>0</v>
      </c>
      <c r="N52" s="201">
        <v>0</v>
      </c>
      <c r="O52" s="168">
        <v>0</v>
      </c>
      <c r="P52" s="168">
        <v>0</v>
      </c>
    </row>
    <row r="53" spans="1:16" ht="12.75" x14ac:dyDescent="0.3">
      <c r="C53" s="13">
        <f t="shared" si="15"/>
        <v>18</v>
      </c>
      <c r="D53" s="137" t="str">
        <f>Lookups!$D$58</f>
        <v>In-house Software</v>
      </c>
      <c r="E53" s="14" t="str">
        <f t="shared" si="16"/>
        <v>PWC</v>
      </c>
      <c r="F53" s="14" t="str">
        <f t="shared" si="12"/>
        <v>$Millions</v>
      </c>
      <c r="G53" s="14" t="str">
        <f t="shared" si="13"/>
        <v>Nominal</v>
      </c>
      <c r="H53" s="14" t="str">
        <f t="shared" si="14"/>
        <v>Mid Period</v>
      </c>
      <c r="I53" s="168"/>
      <c r="J53" s="168"/>
      <c r="K53" s="168"/>
      <c r="L53" s="168"/>
      <c r="M53" s="200">
        <v>0</v>
      </c>
      <c r="N53" s="201">
        <v>0</v>
      </c>
      <c r="O53" s="168">
        <v>0</v>
      </c>
      <c r="P53" s="168">
        <v>0</v>
      </c>
    </row>
    <row r="54" spans="1:16" x14ac:dyDescent="0.3">
      <c r="I54" s="140"/>
      <c r="J54" s="140"/>
      <c r="K54" s="140"/>
      <c r="L54" s="140"/>
      <c r="M54" s="140"/>
      <c r="N54" s="152"/>
      <c r="O54" s="140"/>
      <c r="P54" s="153"/>
    </row>
    <row r="55" spans="1:16" ht="13.15" x14ac:dyDescent="0.3">
      <c r="D55" s="136" t="s">
        <v>159</v>
      </c>
      <c r="E55" s="17" t="s">
        <v>157</v>
      </c>
      <c r="F55" s="17" t="str">
        <f>Input_Unit</f>
        <v>$Millions</v>
      </c>
      <c r="G55" s="17" t="str">
        <f>Nominal</f>
        <v>Nominal</v>
      </c>
      <c r="H55" s="17" t="str">
        <f>Mid_Period</f>
        <v>Mid Period</v>
      </c>
      <c r="I55" s="156">
        <f t="shared" ref="I55:O55" si="17">SUM(I36:I53)</f>
        <v>8.7286117500000007</v>
      </c>
      <c r="J55" s="156">
        <f t="shared" si="17"/>
        <v>7.7932136200000004</v>
      </c>
      <c r="K55" s="156">
        <f t="shared" si="17"/>
        <v>8.3774671099999996</v>
      </c>
      <c r="L55" s="156">
        <f t="shared" si="17"/>
        <v>7.577030526299998</v>
      </c>
      <c r="M55" s="156">
        <f t="shared" si="17"/>
        <v>3.0977283199999999</v>
      </c>
      <c r="N55" s="157">
        <f t="shared" si="17"/>
        <v>2.2323295299999999</v>
      </c>
      <c r="O55" s="156">
        <f t="shared" si="17"/>
        <v>2.6075811363368606</v>
      </c>
      <c r="P55" s="158">
        <f>SUM(P36:P53)</f>
        <v>1.693655234333324</v>
      </c>
    </row>
    <row r="56" spans="1:16" ht="11.25" customHeight="1" x14ac:dyDescent="0.3"/>
    <row r="57" spans="1:16" ht="11.25" customHeight="1" x14ac:dyDescent="0.3">
      <c r="A57" s="3">
        <f>IF(SUM($I57:$P57)&gt;0,1,0)</f>
        <v>0</v>
      </c>
      <c r="D57" s="137" t="s">
        <v>98</v>
      </c>
      <c r="E57" s="137"/>
      <c r="I57" s="3">
        <f t="shared" ref="I57:P57" si="18">IF(ISERROR(I55),1,0)</f>
        <v>0</v>
      </c>
      <c r="J57" s="3">
        <f t="shared" si="18"/>
        <v>0</v>
      </c>
      <c r="K57" s="3">
        <f t="shared" si="18"/>
        <v>0</v>
      </c>
      <c r="L57" s="3">
        <f t="shared" si="18"/>
        <v>0</v>
      </c>
      <c r="M57" s="3">
        <f t="shared" si="18"/>
        <v>0</v>
      </c>
      <c r="N57" s="3">
        <f t="shared" si="18"/>
        <v>0</v>
      </c>
      <c r="O57" s="3">
        <f t="shared" si="18"/>
        <v>0</v>
      </c>
      <c r="P57" s="3">
        <f t="shared" si="18"/>
        <v>0</v>
      </c>
    </row>
    <row r="58" spans="1:16" ht="11.25" customHeight="1" x14ac:dyDescent="0.3"/>
    <row r="59" spans="1:16" s="7" customFormat="1" ht="13.9" x14ac:dyDescent="0.45">
      <c r="C59" s="7" t="s">
        <v>170</v>
      </c>
    </row>
    <row r="60" spans="1:16" ht="11.25" customHeight="1" x14ac:dyDescent="0.3"/>
    <row r="61" spans="1:16" ht="11.25" customHeight="1" x14ac:dyDescent="0.3">
      <c r="D61" s="9" t="s">
        <v>171</v>
      </c>
      <c r="E61" s="10" t="s">
        <v>99</v>
      </c>
      <c r="F61" s="10" t="s">
        <v>17</v>
      </c>
      <c r="G61" s="10" t="s">
        <v>83</v>
      </c>
      <c r="H61" s="10" t="s">
        <v>84</v>
      </c>
      <c r="I61" s="197" t="str">
        <f>I$35</f>
        <v>FY15</v>
      </c>
      <c r="J61" s="197" t="str">
        <f t="shared" ref="J61:P61" si="19">J$35</f>
        <v>FY16</v>
      </c>
      <c r="K61" s="197" t="str">
        <f t="shared" si="19"/>
        <v>FY17</v>
      </c>
      <c r="L61" s="197" t="str">
        <f t="shared" si="19"/>
        <v>FY18</v>
      </c>
      <c r="M61" s="12" t="str">
        <f t="shared" si="19"/>
        <v>FY19</v>
      </c>
      <c r="N61" s="11" t="str">
        <f t="shared" si="19"/>
        <v>FY20</v>
      </c>
      <c r="O61" s="10" t="str">
        <f t="shared" si="19"/>
        <v>FY21</v>
      </c>
      <c r="P61" s="12" t="str">
        <f t="shared" si="19"/>
        <v>FY22</v>
      </c>
    </row>
    <row r="62" spans="1:16" ht="11.25" customHeight="1" x14ac:dyDescent="0.3"/>
    <row r="63" spans="1:16" ht="12.75" x14ac:dyDescent="0.3">
      <c r="D63" s="137" t="s">
        <v>321</v>
      </c>
      <c r="E63" s="14" t="s">
        <v>176</v>
      </c>
      <c r="F63" s="14" t="s">
        <v>172</v>
      </c>
      <c r="G63" s="14" t="s">
        <v>16</v>
      </c>
      <c r="H63" s="14" t="s">
        <v>16</v>
      </c>
      <c r="I63" s="203">
        <v>1.5108593012275628E-2</v>
      </c>
      <c r="J63" s="203">
        <v>1.0232558139534831E-2</v>
      </c>
      <c r="K63" s="203">
        <v>1.9337016574585641E-2</v>
      </c>
      <c r="L63" s="203">
        <v>2.0776874435411097E-2</v>
      </c>
      <c r="M63" s="203">
        <v>1.5929203539823078E-2</v>
      </c>
      <c r="N63" s="203">
        <v>-3.4843205574912606E-3</v>
      </c>
      <c r="O63" s="203">
        <v>3.8461538461538325E-2</v>
      </c>
      <c r="P63" s="203">
        <v>6.1447811447811418E-2</v>
      </c>
    </row>
    <row r="64" spans="1:16" ht="12.75" x14ac:dyDescent="0.3">
      <c r="D64" s="137" t="s">
        <v>175</v>
      </c>
      <c r="E64" s="14" t="s">
        <v>157</v>
      </c>
      <c r="F64" s="14" t="s">
        <v>173</v>
      </c>
      <c r="G64" s="14" t="s">
        <v>16</v>
      </c>
      <c r="H64" s="14" t="s">
        <v>16</v>
      </c>
      <c r="I64" s="202">
        <v>1</v>
      </c>
      <c r="J64" s="202">
        <f t="shared" ref="J64:P64" si="20">I64*(1+J63)</f>
        <v>1.0102325581395348</v>
      </c>
      <c r="K64" s="202">
        <f t="shared" si="20"/>
        <v>1.029767441860465</v>
      </c>
      <c r="L64" s="202">
        <f t="shared" si="20"/>
        <v>1.0511627906976744</v>
      </c>
      <c r="M64" s="202">
        <f t="shared" si="20"/>
        <v>1.067906976744186</v>
      </c>
      <c r="N64" s="202">
        <f t="shared" si="20"/>
        <v>1.064186046511628</v>
      </c>
      <c r="O64" s="202">
        <f t="shared" si="20"/>
        <v>1.1051162790697673</v>
      </c>
      <c r="P64" s="202">
        <f t="shared" si="20"/>
        <v>1.1730232558139533</v>
      </c>
    </row>
    <row r="65" spans="3:16" ht="12.75" x14ac:dyDescent="0.3">
      <c r="D65" s="137" t="s">
        <v>174</v>
      </c>
      <c r="E65" s="14" t="s">
        <v>157</v>
      </c>
      <c r="F65" s="14" t="s">
        <v>173</v>
      </c>
      <c r="G65" s="14" t="s">
        <v>16</v>
      </c>
      <c r="H65" s="14" t="s">
        <v>16</v>
      </c>
      <c r="I65" s="202">
        <f t="shared" ref="I65:N65" si="21">$O64*(1+I63)^0.5/I64</f>
        <v>1.1134333580457987</v>
      </c>
      <c r="J65" s="202">
        <f t="shared" si="21"/>
        <v>1.0995052208585028</v>
      </c>
      <c r="K65" s="202">
        <f t="shared" si="21"/>
        <v>1.0834970109819866</v>
      </c>
      <c r="L65" s="202">
        <f t="shared" si="21"/>
        <v>1.0621929350221069</v>
      </c>
      <c r="M65" s="202">
        <f t="shared" si="21"/>
        <v>1.0430527558684535</v>
      </c>
      <c r="N65" s="202">
        <f t="shared" si="21"/>
        <v>1.0366507933377533</v>
      </c>
      <c r="O65" s="202">
        <f>1*(1+O63)^0.5</f>
        <v>1.019049330730136</v>
      </c>
      <c r="P65" s="202">
        <f>O64/P64*(1+P63)^0.5</f>
        <v>0.970623220902322</v>
      </c>
    </row>
    <row r="66" spans="3:16" ht="11.25" customHeight="1" x14ac:dyDescent="0.3"/>
    <row r="67" spans="3:16" ht="13.15" x14ac:dyDescent="0.3">
      <c r="C67" s="8" t="s">
        <v>81</v>
      </c>
      <c r="D67" s="9" t="s">
        <v>82</v>
      </c>
      <c r="E67" s="10" t="s">
        <v>99</v>
      </c>
      <c r="F67" s="10" t="s">
        <v>17</v>
      </c>
      <c r="G67" s="10" t="s">
        <v>83</v>
      </c>
      <c r="H67" s="10" t="s">
        <v>84</v>
      </c>
      <c r="I67" s="197" t="str">
        <f>I$35</f>
        <v>FY15</v>
      </c>
      <c r="J67" s="197" t="str">
        <f t="shared" ref="J67:P67" si="22">J$35</f>
        <v>FY16</v>
      </c>
      <c r="K67" s="197" t="str">
        <f t="shared" si="22"/>
        <v>FY17</v>
      </c>
      <c r="L67" s="197" t="str">
        <f t="shared" si="22"/>
        <v>FY18</v>
      </c>
      <c r="M67" s="12" t="str">
        <f t="shared" si="22"/>
        <v>FY19</v>
      </c>
      <c r="N67" s="11" t="str">
        <f t="shared" si="22"/>
        <v>FY20</v>
      </c>
      <c r="O67" s="10" t="str">
        <f t="shared" si="22"/>
        <v>FY21</v>
      </c>
      <c r="P67" s="12" t="str">
        <f t="shared" si="22"/>
        <v>FY22</v>
      </c>
    </row>
    <row r="68" spans="3:16" ht="12.75" x14ac:dyDescent="0.3">
      <c r="C68" s="13">
        <f>N(C67)+1</f>
        <v>1</v>
      </c>
      <c r="D68" s="137" t="str">
        <f>Lookups!$D$41</f>
        <v>Substations</v>
      </c>
      <c r="E68" s="14" t="s">
        <v>157</v>
      </c>
      <c r="F68" s="14" t="str">
        <f t="shared" ref="F68:F85" si="23">Input_Unit</f>
        <v>$Millions</v>
      </c>
      <c r="G68" s="14" t="str">
        <f t="shared" ref="G68:G85" si="24">Input_Dollar_Basis</f>
        <v>Real $2021</v>
      </c>
      <c r="H68" s="14" t="str">
        <f t="shared" ref="H68:H85" si="25">End_Period</f>
        <v>End of Period</v>
      </c>
      <c r="I68" s="171">
        <f>I36*I$65</f>
        <v>0</v>
      </c>
      <c r="J68" s="171">
        <f t="shared" ref="J68:P68" si="26">J36*J$65</f>
        <v>0</v>
      </c>
      <c r="K68" s="171">
        <f t="shared" si="26"/>
        <v>0</v>
      </c>
      <c r="L68" s="171">
        <f t="shared" si="26"/>
        <v>0</v>
      </c>
      <c r="M68" s="172">
        <f t="shared" si="26"/>
        <v>0</v>
      </c>
      <c r="N68" s="170">
        <f t="shared" si="26"/>
        <v>0</v>
      </c>
      <c r="O68" s="171">
        <f t="shared" si="26"/>
        <v>0</v>
      </c>
      <c r="P68" s="172">
        <f t="shared" si="26"/>
        <v>0</v>
      </c>
    </row>
    <row r="69" spans="3:16" ht="12.75" x14ac:dyDescent="0.3">
      <c r="C69" s="13">
        <f t="shared" ref="C69:C85" si="27">N(C68)+1</f>
        <v>2</v>
      </c>
      <c r="D69" s="137" t="str">
        <f>Lookups!$D$42</f>
        <v>Distribution Lines</v>
      </c>
      <c r="E69" s="14" t="str">
        <f>E68</f>
        <v>Calculated</v>
      </c>
      <c r="F69" s="14" t="str">
        <f t="shared" si="23"/>
        <v>$Millions</v>
      </c>
      <c r="G69" s="14" t="str">
        <f t="shared" si="24"/>
        <v>Real $2021</v>
      </c>
      <c r="H69" s="14" t="str">
        <f t="shared" si="25"/>
        <v>End of Period</v>
      </c>
      <c r="I69" s="171">
        <f t="shared" ref="I69:P69" si="28">I37*I$65</f>
        <v>5.9246801538650846</v>
      </c>
      <c r="J69" s="171">
        <f t="shared" si="28"/>
        <v>5.5923281659226554</v>
      </c>
      <c r="K69" s="171">
        <f t="shared" si="28"/>
        <v>6.0676477562613789</v>
      </c>
      <c r="L69" s="171">
        <f t="shared" si="28"/>
        <v>5.1417687127177318</v>
      </c>
      <c r="M69" s="172">
        <f t="shared" si="28"/>
        <v>1.588290317086704</v>
      </c>
      <c r="N69" s="170">
        <f t="shared" si="28"/>
        <v>1.4576616145998451</v>
      </c>
      <c r="O69" s="171">
        <f t="shared" si="28"/>
        <v>1.9923381118774299</v>
      </c>
      <c r="P69" s="172">
        <f t="shared" si="28"/>
        <v>0.83289851221108357</v>
      </c>
    </row>
    <row r="70" spans="3:16" ht="12.75" x14ac:dyDescent="0.3">
      <c r="C70" s="13">
        <f t="shared" si="27"/>
        <v>3</v>
      </c>
      <c r="D70" s="137" t="str">
        <f>Lookups!$D$43</f>
        <v>Transmission Lines</v>
      </c>
      <c r="E70" s="14" t="str">
        <f t="shared" ref="E70:E85" si="29">E69</f>
        <v>Calculated</v>
      </c>
      <c r="F70" s="14" t="str">
        <f t="shared" si="23"/>
        <v>$Millions</v>
      </c>
      <c r="G70" s="14" t="str">
        <f t="shared" si="24"/>
        <v>Real $2021</v>
      </c>
      <c r="H70" s="14" t="str">
        <f t="shared" si="25"/>
        <v>End of Period</v>
      </c>
      <c r="I70" s="171">
        <f t="shared" ref="I70:P70" si="30">I38*I$65</f>
        <v>0</v>
      </c>
      <c r="J70" s="171">
        <f t="shared" si="30"/>
        <v>0</v>
      </c>
      <c r="K70" s="171">
        <f t="shared" si="30"/>
        <v>0</v>
      </c>
      <c r="L70" s="171">
        <f t="shared" si="30"/>
        <v>0</v>
      </c>
      <c r="M70" s="172">
        <f t="shared" si="30"/>
        <v>0</v>
      </c>
      <c r="N70" s="170">
        <f t="shared" si="30"/>
        <v>0</v>
      </c>
      <c r="O70" s="171">
        <f t="shared" si="30"/>
        <v>0</v>
      </c>
      <c r="P70" s="172">
        <f t="shared" si="30"/>
        <v>0</v>
      </c>
    </row>
    <row r="71" spans="3:16" ht="12.75" x14ac:dyDescent="0.3">
      <c r="C71" s="13">
        <f t="shared" si="27"/>
        <v>4</v>
      </c>
      <c r="D71" s="137" t="str">
        <f>Lookups!$D$44</f>
        <v>LV Services</v>
      </c>
      <c r="E71" s="14" t="str">
        <f t="shared" si="29"/>
        <v>Calculated</v>
      </c>
      <c r="F71" s="14" t="str">
        <f t="shared" si="23"/>
        <v>$Millions</v>
      </c>
      <c r="G71" s="14" t="str">
        <f t="shared" si="24"/>
        <v>Real $2021</v>
      </c>
      <c r="H71" s="14" t="str">
        <f t="shared" si="25"/>
        <v>End of Period</v>
      </c>
      <c r="I71" s="171">
        <f t="shared" ref="I71:P71" si="31">I39*I$65</f>
        <v>0</v>
      </c>
      <c r="J71" s="171">
        <f t="shared" si="31"/>
        <v>0</v>
      </c>
      <c r="K71" s="171">
        <f t="shared" si="31"/>
        <v>0</v>
      </c>
      <c r="L71" s="171">
        <f t="shared" si="31"/>
        <v>0</v>
      </c>
      <c r="M71" s="172">
        <f t="shared" si="31"/>
        <v>0</v>
      </c>
      <c r="N71" s="170">
        <f t="shared" si="31"/>
        <v>0</v>
      </c>
      <c r="O71" s="171">
        <f t="shared" si="31"/>
        <v>0</v>
      </c>
      <c r="P71" s="172">
        <f t="shared" si="31"/>
        <v>0</v>
      </c>
    </row>
    <row r="72" spans="3:16" ht="12.75" x14ac:dyDescent="0.3">
      <c r="C72" s="13">
        <f t="shared" si="27"/>
        <v>5</v>
      </c>
      <c r="D72" s="137" t="str">
        <f>Lookups!$D$45</f>
        <v>Distribution Substations</v>
      </c>
      <c r="E72" s="14" t="str">
        <f t="shared" si="29"/>
        <v>Calculated</v>
      </c>
      <c r="F72" s="14" t="str">
        <f t="shared" si="23"/>
        <v>$Millions</v>
      </c>
      <c r="G72" s="14" t="str">
        <f t="shared" si="24"/>
        <v>Real $2021</v>
      </c>
      <c r="H72" s="14" t="str">
        <f t="shared" si="25"/>
        <v>End of Period</v>
      </c>
      <c r="I72" s="171">
        <f t="shared" ref="I72:P72" si="32">I40*I$65</f>
        <v>3.2004590845119369</v>
      </c>
      <c r="J72" s="171">
        <f t="shared" si="32"/>
        <v>2.4728133375217825</v>
      </c>
      <c r="K72" s="171">
        <f t="shared" si="32"/>
        <v>2.3281498454998735</v>
      </c>
      <c r="L72" s="171">
        <f t="shared" si="32"/>
        <v>2.4172284046527968</v>
      </c>
      <c r="M72" s="172">
        <f t="shared" si="32"/>
        <v>1.2532861403218065</v>
      </c>
      <c r="N72" s="170">
        <f t="shared" si="32"/>
        <v>0.73586221810857622</v>
      </c>
      <c r="O72" s="171">
        <f t="shared" si="32"/>
        <v>0.53611602060084429</v>
      </c>
      <c r="P72" s="172">
        <f t="shared" si="32"/>
        <v>0.8110025864356043</v>
      </c>
    </row>
    <row r="73" spans="3:16" ht="12.75" x14ac:dyDescent="0.3">
      <c r="C73" s="13">
        <f t="shared" si="27"/>
        <v>6</v>
      </c>
      <c r="D73" s="137" t="str">
        <f>Lookups!$D$46</f>
        <v>Distribution Switchgear</v>
      </c>
      <c r="E73" s="14" t="str">
        <f t="shared" si="29"/>
        <v>Calculated</v>
      </c>
      <c r="F73" s="14" t="str">
        <f t="shared" si="23"/>
        <v>$Millions</v>
      </c>
      <c r="G73" s="14" t="str">
        <f t="shared" si="24"/>
        <v>Real $2021</v>
      </c>
      <c r="H73" s="14" t="str">
        <f t="shared" si="25"/>
        <v>End of Period</v>
      </c>
      <c r="I73" s="171">
        <f t="shared" ref="I73:P73" si="33">I41*I$65</f>
        <v>0.59358825350349453</v>
      </c>
      <c r="J73" s="171">
        <f t="shared" si="33"/>
        <v>0.50353755901115449</v>
      </c>
      <c r="K73" s="171">
        <f t="shared" si="33"/>
        <v>0.6811629715236488</v>
      </c>
      <c r="L73" s="171">
        <f t="shared" si="33"/>
        <v>0.48927117611216636</v>
      </c>
      <c r="M73" s="172">
        <f t="shared" si="33"/>
        <v>0.38951760369924399</v>
      </c>
      <c r="N73" s="170">
        <f t="shared" si="33"/>
        <v>0.1206223455573726</v>
      </c>
      <c r="O73" s="171">
        <f t="shared" si="33"/>
        <v>0.12879967933033118</v>
      </c>
      <c r="P73" s="172">
        <f t="shared" si="33"/>
        <v>0</v>
      </c>
    </row>
    <row r="74" spans="3:16" ht="12.75" x14ac:dyDescent="0.3">
      <c r="C74" s="13">
        <f t="shared" si="27"/>
        <v>7</v>
      </c>
      <c r="D74" s="137" t="str">
        <f>Lookups!$D$47</f>
        <v>Protection</v>
      </c>
      <c r="E74" s="14" t="str">
        <f t="shared" si="29"/>
        <v>Calculated</v>
      </c>
      <c r="F74" s="14" t="str">
        <f t="shared" si="23"/>
        <v>$Millions</v>
      </c>
      <c r="G74" s="14" t="str">
        <f t="shared" si="24"/>
        <v>Real $2021</v>
      </c>
      <c r="H74" s="14" t="str">
        <f t="shared" si="25"/>
        <v>End of Period</v>
      </c>
      <c r="I74" s="171">
        <f t="shared" ref="I74:P74" si="34">I42*I$65</f>
        <v>0</v>
      </c>
      <c r="J74" s="171">
        <f t="shared" si="34"/>
        <v>0</v>
      </c>
      <c r="K74" s="171">
        <f t="shared" si="34"/>
        <v>0</v>
      </c>
      <c r="L74" s="171">
        <f t="shared" si="34"/>
        <v>0</v>
      </c>
      <c r="M74" s="172">
        <f t="shared" si="34"/>
        <v>0</v>
      </c>
      <c r="N74" s="170">
        <f t="shared" si="34"/>
        <v>0</v>
      </c>
      <c r="O74" s="171">
        <f t="shared" si="34"/>
        <v>0</v>
      </c>
      <c r="P74" s="172">
        <f t="shared" si="34"/>
        <v>0</v>
      </c>
    </row>
    <row r="75" spans="3:16" ht="12.75" x14ac:dyDescent="0.3">
      <c r="C75" s="13">
        <f t="shared" si="27"/>
        <v>8</v>
      </c>
      <c r="D75" s="137" t="str">
        <f>Lookups!$D$48</f>
        <v>SCADA</v>
      </c>
      <c r="E75" s="14" t="str">
        <f t="shared" si="29"/>
        <v>Calculated</v>
      </c>
      <c r="F75" s="14" t="str">
        <f t="shared" si="23"/>
        <v>$Millions</v>
      </c>
      <c r="G75" s="14" t="str">
        <f t="shared" si="24"/>
        <v>Real $2021</v>
      </c>
      <c r="H75" s="14" t="str">
        <f t="shared" si="25"/>
        <v>End of Period</v>
      </c>
      <c r="I75" s="171">
        <f t="shared" ref="I75:P75" si="35">I43*I$65</f>
        <v>0</v>
      </c>
      <c r="J75" s="171">
        <f t="shared" si="35"/>
        <v>0</v>
      </c>
      <c r="K75" s="171">
        <f t="shared" si="35"/>
        <v>0</v>
      </c>
      <c r="L75" s="171">
        <f t="shared" si="35"/>
        <v>0</v>
      </c>
      <c r="M75" s="172">
        <f t="shared" si="35"/>
        <v>0</v>
      </c>
      <c r="N75" s="170">
        <f t="shared" si="35"/>
        <v>0</v>
      </c>
      <c r="O75" s="171">
        <f t="shared" si="35"/>
        <v>0</v>
      </c>
      <c r="P75" s="172">
        <f t="shared" si="35"/>
        <v>0</v>
      </c>
    </row>
    <row r="76" spans="3:16" ht="12.75" x14ac:dyDescent="0.3">
      <c r="C76" s="13">
        <f t="shared" si="27"/>
        <v>9</v>
      </c>
      <c r="D76" s="137" t="str">
        <f>Lookups!$D$49</f>
        <v>Communications</v>
      </c>
      <c r="E76" s="14" t="str">
        <f t="shared" si="29"/>
        <v>Calculated</v>
      </c>
      <c r="F76" s="14" t="str">
        <f t="shared" si="23"/>
        <v>$Millions</v>
      </c>
      <c r="G76" s="14" t="str">
        <f t="shared" si="24"/>
        <v>Real $2021</v>
      </c>
      <c r="H76" s="14" t="str">
        <f t="shared" si="25"/>
        <v>End of Period</v>
      </c>
      <c r="I76" s="171">
        <f t="shared" ref="I76:P76" si="36">I44*I$65</f>
        <v>0</v>
      </c>
      <c r="J76" s="171">
        <f t="shared" si="36"/>
        <v>0</v>
      </c>
      <c r="K76" s="171">
        <f t="shared" si="36"/>
        <v>0</v>
      </c>
      <c r="L76" s="171">
        <f t="shared" si="36"/>
        <v>0</v>
      </c>
      <c r="M76" s="172">
        <f t="shared" si="36"/>
        <v>0</v>
      </c>
      <c r="N76" s="170">
        <f t="shared" si="36"/>
        <v>0</v>
      </c>
      <c r="O76" s="171">
        <f t="shared" si="36"/>
        <v>0</v>
      </c>
      <c r="P76" s="172">
        <f t="shared" si="36"/>
        <v>0</v>
      </c>
    </row>
    <row r="77" spans="3:16" ht="12.75" x14ac:dyDescent="0.3">
      <c r="C77" s="13">
        <f t="shared" si="27"/>
        <v>10</v>
      </c>
      <c r="D77" s="137" t="str">
        <f>Lookups!$D$50</f>
        <v>Land and Easements</v>
      </c>
      <c r="E77" s="14" t="str">
        <f t="shared" si="29"/>
        <v>Calculated</v>
      </c>
      <c r="F77" s="14" t="str">
        <f t="shared" si="23"/>
        <v>$Millions</v>
      </c>
      <c r="G77" s="14" t="str">
        <f t="shared" si="24"/>
        <v>Real $2021</v>
      </c>
      <c r="H77" s="14" t="str">
        <f t="shared" si="25"/>
        <v>End of Period</v>
      </c>
      <c r="I77" s="171">
        <f t="shared" ref="I77:P77" si="37">I45*I$65</f>
        <v>0</v>
      </c>
      <c r="J77" s="171">
        <f t="shared" si="37"/>
        <v>0</v>
      </c>
      <c r="K77" s="171">
        <f t="shared" si="37"/>
        <v>0</v>
      </c>
      <c r="L77" s="171">
        <f t="shared" si="37"/>
        <v>0</v>
      </c>
      <c r="M77" s="172">
        <f t="shared" si="37"/>
        <v>0</v>
      </c>
      <c r="N77" s="170">
        <f t="shared" si="37"/>
        <v>0</v>
      </c>
      <c r="O77" s="171">
        <f t="shared" si="37"/>
        <v>0</v>
      </c>
      <c r="P77" s="172">
        <f t="shared" si="37"/>
        <v>0</v>
      </c>
    </row>
    <row r="78" spans="3:16" ht="12.75" x14ac:dyDescent="0.3">
      <c r="C78" s="13">
        <f t="shared" si="27"/>
        <v>11</v>
      </c>
      <c r="D78" s="137" t="str">
        <f>Lookups!$D$51</f>
        <v>Property</v>
      </c>
      <c r="E78" s="14" t="str">
        <f t="shared" si="29"/>
        <v>Calculated</v>
      </c>
      <c r="F78" s="14" t="str">
        <f t="shared" si="23"/>
        <v>$Millions</v>
      </c>
      <c r="G78" s="14" t="str">
        <f t="shared" si="24"/>
        <v>Real $2021</v>
      </c>
      <c r="H78" s="14" t="str">
        <f t="shared" si="25"/>
        <v>End of Period</v>
      </c>
      <c r="I78" s="171">
        <f t="shared" ref="I78:P78" si="38">I46*I$65</f>
        <v>0</v>
      </c>
      <c r="J78" s="171">
        <f t="shared" si="38"/>
        <v>0</v>
      </c>
      <c r="K78" s="171">
        <f t="shared" si="38"/>
        <v>0</v>
      </c>
      <c r="L78" s="171">
        <f t="shared" si="38"/>
        <v>0</v>
      </c>
      <c r="M78" s="172">
        <f t="shared" si="38"/>
        <v>0</v>
      </c>
      <c r="N78" s="170">
        <f t="shared" si="38"/>
        <v>0</v>
      </c>
      <c r="O78" s="171">
        <f t="shared" si="38"/>
        <v>0</v>
      </c>
      <c r="P78" s="172">
        <f t="shared" si="38"/>
        <v>0</v>
      </c>
    </row>
    <row r="79" spans="3:16" ht="12.75" x14ac:dyDescent="0.3">
      <c r="C79" s="13">
        <f t="shared" si="27"/>
        <v>12</v>
      </c>
      <c r="D79" s="137" t="str">
        <f>Lookups!$D$52</f>
        <v>IT and Communications</v>
      </c>
      <c r="E79" s="14" t="str">
        <f t="shared" si="29"/>
        <v>Calculated</v>
      </c>
      <c r="F79" s="14" t="str">
        <f t="shared" si="23"/>
        <v>$Millions</v>
      </c>
      <c r="G79" s="14" t="str">
        <f t="shared" si="24"/>
        <v>Real $2021</v>
      </c>
      <c r="H79" s="14" t="str">
        <f t="shared" si="25"/>
        <v>End of Period</v>
      </c>
      <c r="I79" s="171">
        <f t="shared" ref="I79:P79" si="39">I47*I$65</f>
        <v>0</v>
      </c>
      <c r="J79" s="171">
        <f t="shared" si="39"/>
        <v>0</v>
      </c>
      <c r="K79" s="171">
        <f t="shared" si="39"/>
        <v>0</v>
      </c>
      <c r="L79" s="171">
        <f t="shared" si="39"/>
        <v>0</v>
      </c>
      <c r="M79" s="172">
        <f t="shared" si="39"/>
        <v>0</v>
      </c>
      <c r="N79" s="170">
        <f t="shared" si="39"/>
        <v>0</v>
      </c>
      <c r="O79" s="171">
        <f t="shared" si="39"/>
        <v>0</v>
      </c>
      <c r="P79" s="172">
        <f t="shared" si="39"/>
        <v>0</v>
      </c>
    </row>
    <row r="80" spans="3:16" ht="12.75" x14ac:dyDescent="0.3">
      <c r="C80" s="13">
        <f t="shared" si="27"/>
        <v>13</v>
      </c>
      <c r="D80" s="137" t="str">
        <f>Lookups!$D$53</f>
        <v>Motor Vehicles</v>
      </c>
      <c r="E80" s="14" t="str">
        <f t="shared" si="29"/>
        <v>Calculated</v>
      </c>
      <c r="F80" s="14" t="str">
        <f t="shared" si="23"/>
        <v>$Millions</v>
      </c>
      <c r="G80" s="14" t="str">
        <f t="shared" si="24"/>
        <v>Real $2021</v>
      </c>
      <c r="H80" s="14" t="str">
        <f t="shared" si="25"/>
        <v>End of Period</v>
      </c>
      <c r="I80" s="171">
        <f t="shared" ref="I80:P80" si="40">I48*I$65</f>
        <v>0</v>
      </c>
      <c r="J80" s="171">
        <f t="shared" si="40"/>
        <v>0</v>
      </c>
      <c r="K80" s="171">
        <f t="shared" si="40"/>
        <v>0</v>
      </c>
      <c r="L80" s="171">
        <f t="shared" si="40"/>
        <v>0</v>
      </c>
      <c r="M80" s="172">
        <f t="shared" si="40"/>
        <v>0</v>
      </c>
      <c r="N80" s="170">
        <f t="shared" si="40"/>
        <v>0</v>
      </c>
      <c r="O80" s="171">
        <f t="shared" si="40"/>
        <v>0</v>
      </c>
      <c r="P80" s="172">
        <f t="shared" si="40"/>
        <v>0</v>
      </c>
    </row>
    <row r="81" spans="1:16" ht="12.75" x14ac:dyDescent="0.3">
      <c r="C81" s="13">
        <f t="shared" si="27"/>
        <v>14</v>
      </c>
      <c r="D81" s="137" t="str">
        <f>Lookups!$D$54</f>
        <v>Plant and Equipment</v>
      </c>
      <c r="E81" s="14" t="str">
        <f t="shared" si="29"/>
        <v>Calculated</v>
      </c>
      <c r="F81" s="14" t="str">
        <f t="shared" si="23"/>
        <v>$Millions</v>
      </c>
      <c r="G81" s="14" t="str">
        <f t="shared" si="24"/>
        <v>Real $2021</v>
      </c>
      <c r="H81" s="14" t="str">
        <f t="shared" si="25"/>
        <v>End of Period</v>
      </c>
      <c r="I81" s="171">
        <f t="shared" ref="I81:P81" si="41">I49*I$65</f>
        <v>0</v>
      </c>
      <c r="J81" s="171">
        <f t="shared" si="41"/>
        <v>0</v>
      </c>
      <c r="K81" s="171">
        <f t="shared" si="41"/>
        <v>0</v>
      </c>
      <c r="L81" s="171">
        <f t="shared" si="41"/>
        <v>0</v>
      </c>
      <c r="M81" s="172">
        <f t="shared" si="41"/>
        <v>0</v>
      </c>
      <c r="N81" s="170">
        <f t="shared" si="41"/>
        <v>0</v>
      </c>
      <c r="O81" s="171">
        <f t="shared" si="41"/>
        <v>0</v>
      </c>
      <c r="P81" s="172">
        <f t="shared" si="41"/>
        <v>0</v>
      </c>
    </row>
    <row r="82" spans="1:16" ht="12.75" x14ac:dyDescent="0.3">
      <c r="C82" s="13">
        <f t="shared" si="27"/>
        <v>15</v>
      </c>
      <c r="D82" s="137" t="str">
        <f>Lookups!$D$55</f>
        <v>Property Leases</v>
      </c>
      <c r="E82" s="14" t="str">
        <f t="shared" si="29"/>
        <v>Calculated</v>
      </c>
      <c r="F82" s="14" t="str">
        <f t="shared" si="23"/>
        <v>$Millions</v>
      </c>
      <c r="G82" s="14" t="str">
        <f t="shared" si="24"/>
        <v>Real $2021</v>
      </c>
      <c r="H82" s="14" t="str">
        <f t="shared" si="25"/>
        <v>End of Period</v>
      </c>
      <c r="I82" s="171">
        <f t="shared" ref="I82:P82" si="42">I50*I$65</f>
        <v>0</v>
      </c>
      <c r="J82" s="171">
        <f t="shared" si="42"/>
        <v>0</v>
      </c>
      <c r="K82" s="171">
        <f t="shared" si="42"/>
        <v>0</v>
      </c>
      <c r="L82" s="171">
        <f t="shared" si="42"/>
        <v>0</v>
      </c>
      <c r="M82" s="172">
        <f t="shared" si="42"/>
        <v>0</v>
      </c>
      <c r="N82" s="170">
        <f t="shared" si="42"/>
        <v>0</v>
      </c>
      <c r="O82" s="171">
        <f t="shared" si="42"/>
        <v>0</v>
      </c>
      <c r="P82" s="172">
        <f t="shared" si="42"/>
        <v>0</v>
      </c>
    </row>
    <row r="83" spans="1:16" ht="12.75" x14ac:dyDescent="0.3">
      <c r="C83" s="13">
        <f t="shared" si="27"/>
        <v>16</v>
      </c>
      <c r="D83" s="137" t="str">
        <f>Lookups!$D$56</f>
        <v>Fleet Leases</v>
      </c>
      <c r="E83" s="14" t="str">
        <f t="shared" si="29"/>
        <v>Calculated</v>
      </c>
      <c r="F83" s="14" t="str">
        <f t="shared" si="23"/>
        <v>$Millions</v>
      </c>
      <c r="G83" s="14" t="str">
        <f t="shared" si="24"/>
        <v>Real $2021</v>
      </c>
      <c r="H83" s="14" t="str">
        <f t="shared" si="25"/>
        <v>End of Period</v>
      </c>
      <c r="I83" s="171">
        <f t="shared" ref="I83:P83" si="43">I51*I$65</f>
        <v>0</v>
      </c>
      <c r="J83" s="171">
        <f t="shared" si="43"/>
        <v>0</v>
      </c>
      <c r="K83" s="171">
        <f t="shared" si="43"/>
        <v>0</v>
      </c>
      <c r="L83" s="171">
        <f t="shared" si="43"/>
        <v>0</v>
      </c>
      <c r="M83" s="172">
        <f t="shared" si="43"/>
        <v>0</v>
      </c>
      <c r="N83" s="170">
        <f t="shared" si="43"/>
        <v>0</v>
      </c>
      <c r="O83" s="171">
        <f t="shared" si="43"/>
        <v>0</v>
      </c>
      <c r="P83" s="172">
        <f t="shared" si="43"/>
        <v>0</v>
      </c>
    </row>
    <row r="84" spans="1:16" ht="12.75" x14ac:dyDescent="0.3">
      <c r="C84" s="13">
        <f t="shared" si="27"/>
        <v>17</v>
      </c>
      <c r="D84" s="137" t="str">
        <f>Lookups!$D$57</f>
        <v>Buildings</v>
      </c>
      <c r="E84" s="14" t="str">
        <f t="shared" si="29"/>
        <v>Calculated</v>
      </c>
      <c r="F84" s="14" t="str">
        <f t="shared" si="23"/>
        <v>$Millions</v>
      </c>
      <c r="G84" s="14" t="str">
        <f t="shared" si="24"/>
        <v>Real $2021</v>
      </c>
      <c r="H84" s="14" t="str">
        <f t="shared" si="25"/>
        <v>End of Period</v>
      </c>
      <c r="I84" s="171">
        <f t="shared" ref="I84:P84" si="44">I52*I$65</f>
        <v>0</v>
      </c>
      <c r="J84" s="171">
        <f t="shared" si="44"/>
        <v>0</v>
      </c>
      <c r="K84" s="171">
        <f t="shared" si="44"/>
        <v>0</v>
      </c>
      <c r="L84" s="171">
        <f t="shared" si="44"/>
        <v>0</v>
      </c>
      <c r="M84" s="172">
        <f t="shared" si="44"/>
        <v>0</v>
      </c>
      <c r="N84" s="170">
        <f t="shared" si="44"/>
        <v>0</v>
      </c>
      <c r="O84" s="171">
        <f t="shared" si="44"/>
        <v>0</v>
      </c>
      <c r="P84" s="172">
        <f t="shared" si="44"/>
        <v>0</v>
      </c>
    </row>
    <row r="85" spans="1:16" ht="12.75" x14ac:dyDescent="0.3">
      <c r="C85" s="13">
        <f t="shared" si="27"/>
        <v>18</v>
      </c>
      <c r="D85" s="137" t="str">
        <f>Lookups!$D$58</f>
        <v>In-house Software</v>
      </c>
      <c r="E85" s="14" t="str">
        <f t="shared" si="29"/>
        <v>Calculated</v>
      </c>
      <c r="F85" s="14" t="str">
        <f t="shared" si="23"/>
        <v>$Millions</v>
      </c>
      <c r="G85" s="14" t="str">
        <f t="shared" si="24"/>
        <v>Real $2021</v>
      </c>
      <c r="H85" s="14" t="str">
        <f t="shared" si="25"/>
        <v>End of Period</v>
      </c>
      <c r="I85" s="171">
        <f t="shared" ref="I85:P85" si="45">I53*I$65</f>
        <v>0</v>
      </c>
      <c r="J85" s="171">
        <f t="shared" si="45"/>
        <v>0</v>
      </c>
      <c r="K85" s="171">
        <f t="shared" si="45"/>
        <v>0</v>
      </c>
      <c r="L85" s="171">
        <f t="shared" si="45"/>
        <v>0</v>
      </c>
      <c r="M85" s="172">
        <f t="shared" si="45"/>
        <v>0</v>
      </c>
      <c r="N85" s="170">
        <f t="shared" si="45"/>
        <v>0</v>
      </c>
      <c r="O85" s="171">
        <f t="shared" si="45"/>
        <v>0</v>
      </c>
      <c r="P85" s="172">
        <f t="shared" si="45"/>
        <v>0</v>
      </c>
    </row>
    <row r="86" spans="1:16" x14ac:dyDescent="0.3">
      <c r="I86" s="140"/>
      <c r="J86" s="140"/>
      <c r="K86" s="140"/>
      <c r="L86" s="140"/>
      <c r="M86" s="153"/>
      <c r="N86" s="152"/>
      <c r="O86" s="140"/>
      <c r="P86" s="153"/>
    </row>
    <row r="87" spans="1:16" ht="13.15" x14ac:dyDescent="0.3">
      <c r="D87" s="136" t="s">
        <v>159</v>
      </c>
      <c r="E87" s="17" t="s">
        <v>157</v>
      </c>
      <c r="F87" s="17" t="str">
        <f>Input_Unit</f>
        <v>$Millions</v>
      </c>
      <c r="G87" s="17" t="str">
        <f>Input_Dollar_Basis</f>
        <v>Real $2021</v>
      </c>
      <c r="H87" s="17" t="str">
        <f>End_Period</f>
        <v>End of Period</v>
      </c>
      <c r="I87" s="156">
        <f t="shared" ref="I87:O87" si="46">SUM(I68:I85)</f>
        <v>9.7187274918805162</v>
      </c>
      <c r="J87" s="156">
        <f t="shared" si="46"/>
        <v>8.5686790624555922</v>
      </c>
      <c r="K87" s="156">
        <f t="shared" si="46"/>
        <v>9.0769605732849019</v>
      </c>
      <c r="L87" s="156">
        <f t="shared" si="46"/>
        <v>8.0482682934826961</v>
      </c>
      <c r="M87" s="158">
        <f t="shared" si="46"/>
        <v>3.2310940611077545</v>
      </c>
      <c r="N87" s="157">
        <f t="shared" si="46"/>
        <v>2.3141461782657937</v>
      </c>
      <c r="O87" s="156">
        <f t="shared" si="46"/>
        <v>2.6572538118086051</v>
      </c>
      <c r="P87" s="158">
        <f>SUM(P68:P85)</f>
        <v>1.6439010986466878</v>
      </c>
    </row>
    <row r="88" spans="1:16" ht="11.25" customHeight="1" x14ac:dyDescent="0.3"/>
    <row r="89" spans="1:16" ht="11.25" customHeight="1" x14ac:dyDescent="0.3">
      <c r="A89" s="3">
        <f>IF(SUM($I89:$P89)&gt;0,1,0)</f>
        <v>0</v>
      </c>
      <c r="D89" s="137" t="s">
        <v>98</v>
      </c>
      <c r="E89" s="137"/>
      <c r="I89" s="3">
        <f t="shared" ref="I89:P89" si="47">IF(ISERROR(I87),1,0)</f>
        <v>0</v>
      </c>
      <c r="J89" s="3">
        <f t="shared" si="47"/>
        <v>0</v>
      </c>
      <c r="K89" s="3">
        <f t="shared" si="47"/>
        <v>0</v>
      </c>
      <c r="L89" s="3">
        <f t="shared" si="47"/>
        <v>0</v>
      </c>
      <c r="M89" s="3">
        <f t="shared" si="47"/>
        <v>0</v>
      </c>
      <c r="N89" s="3">
        <f t="shared" si="47"/>
        <v>0</v>
      </c>
      <c r="O89" s="3">
        <f t="shared" si="47"/>
        <v>0</v>
      </c>
      <c r="P89" s="3">
        <f t="shared" si="47"/>
        <v>0</v>
      </c>
    </row>
    <row r="90" spans="1:16" ht="11.25" customHeight="1" x14ac:dyDescent="0.3"/>
    <row r="91" spans="1:16" ht="11.25" customHeight="1" x14ac:dyDescent="0.3">
      <c r="D91" s="137" t="s">
        <v>309</v>
      </c>
    </row>
    <row r="92" spans="1:16" ht="11.25" customHeight="1" x14ac:dyDescent="0.3"/>
    <row r="93" spans="1:16" s="6" customFormat="1" ht="15" x14ac:dyDescent="0.45">
      <c r="B93" s="6" t="s">
        <v>93</v>
      </c>
    </row>
  </sheetData>
  <autoFilter ref="C7:O25" xr:uid="{00000000-0009-0000-0000-00000100000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0250A-D764-495D-9983-A9E9AAA61070}">
  <sheetPr codeName="Sheet14">
    <tabColor theme="4" tint="0.59999389629810485"/>
  </sheetPr>
  <dimension ref="A1:S210"/>
  <sheetViews>
    <sheetView showGridLines="0" zoomScaleNormal="100" workbookViewId="0"/>
  </sheetViews>
  <sheetFormatPr defaultColWidth="8.86328125" defaultRowHeight="14.25" outlineLevelRow="2" x14ac:dyDescent="0.45"/>
  <cols>
    <col min="1" max="1" width="15.265625" style="26" customWidth="1"/>
    <col min="2" max="2" width="37" style="26" customWidth="1"/>
    <col min="3" max="3" width="71.3984375" style="26" bestFit="1" customWidth="1"/>
    <col min="4" max="4" width="17.59765625" style="112" customWidth="1"/>
    <col min="5" max="18" width="18.6640625" style="26" customWidth="1"/>
    <col min="19" max="16384" width="8.86328125" style="26"/>
  </cols>
  <sheetData>
    <row r="1" spans="1:18" ht="30" customHeight="1" x14ac:dyDescent="0.45">
      <c r="A1" s="22"/>
      <c r="B1" s="23" t="s">
        <v>19</v>
      </c>
      <c r="C1" s="24"/>
      <c r="D1" s="25"/>
      <c r="E1" s="24"/>
      <c r="F1" s="24"/>
      <c r="G1" s="24"/>
      <c r="H1" s="24"/>
      <c r="I1" s="24"/>
      <c r="J1" s="24"/>
      <c r="K1" s="24"/>
      <c r="L1" s="24"/>
      <c r="M1" s="24"/>
      <c r="N1" s="24"/>
      <c r="O1" s="24"/>
      <c r="P1" s="24"/>
      <c r="Q1" s="24"/>
      <c r="R1" s="24"/>
    </row>
    <row r="2" spans="1:18" ht="30" customHeight="1" x14ac:dyDescent="0.45">
      <c r="A2" s="22"/>
      <c r="B2" s="27" t="s">
        <v>20</v>
      </c>
      <c r="C2" s="28"/>
      <c r="D2" s="29"/>
      <c r="E2" s="28"/>
      <c r="F2" s="28"/>
      <c r="G2" s="28"/>
      <c r="H2" s="28"/>
      <c r="I2" s="28"/>
      <c r="J2" s="28"/>
      <c r="K2" s="28"/>
      <c r="L2" s="28"/>
      <c r="M2" s="28"/>
      <c r="N2" s="28"/>
      <c r="O2" s="28"/>
      <c r="P2" s="28"/>
      <c r="Q2" s="28"/>
      <c r="R2" s="28"/>
    </row>
    <row r="3" spans="1:18" ht="30" customHeight="1" x14ac:dyDescent="0.45">
      <c r="A3" s="22"/>
      <c r="B3" s="27" t="s">
        <v>107</v>
      </c>
      <c r="C3" s="30"/>
      <c r="D3" s="29"/>
      <c r="E3" s="30"/>
      <c r="F3" s="30"/>
      <c r="G3" s="30"/>
      <c r="H3" s="30"/>
      <c r="I3" s="30"/>
      <c r="J3" s="30"/>
      <c r="K3" s="30"/>
      <c r="L3" s="30"/>
      <c r="M3" s="30"/>
      <c r="N3" s="30"/>
      <c r="O3" s="30"/>
      <c r="P3" s="30"/>
      <c r="Q3" s="30"/>
      <c r="R3" s="30"/>
    </row>
    <row r="4" spans="1:18" ht="30" customHeight="1" x14ac:dyDescent="0.45">
      <c r="A4" s="22"/>
      <c r="B4" s="31" t="s">
        <v>21</v>
      </c>
      <c r="C4" s="31"/>
      <c r="D4" s="32"/>
      <c r="E4" s="31"/>
      <c r="F4" s="31"/>
      <c r="G4" s="31"/>
      <c r="H4" s="31"/>
      <c r="I4" s="31"/>
      <c r="J4" s="31"/>
      <c r="K4" s="31"/>
      <c r="L4" s="31"/>
      <c r="M4" s="31"/>
      <c r="N4" s="31"/>
      <c r="O4" s="31"/>
      <c r="P4" s="31"/>
      <c r="Q4" s="31"/>
      <c r="R4" s="31"/>
    </row>
    <row r="5" spans="1:18" x14ac:dyDescent="0.45">
      <c r="A5" s="22"/>
      <c r="B5" s="22"/>
      <c r="C5" s="22"/>
      <c r="D5" s="33"/>
      <c r="E5" s="22"/>
      <c r="F5" s="22"/>
      <c r="G5" s="22"/>
      <c r="H5" s="22"/>
      <c r="I5" s="22"/>
      <c r="J5" s="22"/>
      <c r="K5" s="22"/>
      <c r="L5" s="22"/>
      <c r="M5" s="22"/>
      <c r="N5" s="22"/>
      <c r="O5" s="22"/>
      <c r="P5" s="22"/>
      <c r="Q5" s="22"/>
      <c r="R5" s="22"/>
    </row>
    <row r="6" spans="1:18" ht="46.5" customHeight="1" x14ac:dyDescent="0.45">
      <c r="A6" s="34"/>
      <c r="B6" s="274" t="s">
        <v>96</v>
      </c>
      <c r="C6" s="275"/>
      <c r="D6" s="26"/>
      <c r="E6" s="35"/>
      <c r="F6" s="35"/>
      <c r="G6" s="35"/>
      <c r="H6" s="35"/>
      <c r="I6" s="35"/>
      <c r="J6" s="35"/>
      <c r="K6" s="35"/>
      <c r="L6" s="35"/>
      <c r="M6" s="35"/>
      <c r="N6" s="35"/>
      <c r="O6" s="35"/>
      <c r="P6" s="35"/>
      <c r="Q6" s="35"/>
      <c r="R6" s="35"/>
    </row>
    <row r="7" spans="1:18" x14ac:dyDescent="0.45">
      <c r="A7" s="22"/>
      <c r="B7" s="22"/>
      <c r="C7" s="22"/>
      <c r="D7" s="33"/>
      <c r="E7" s="22"/>
      <c r="F7" s="22"/>
      <c r="G7" s="22"/>
      <c r="H7" s="22"/>
      <c r="I7" s="22"/>
      <c r="J7" s="22"/>
      <c r="K7" s="22"/>
      <c r="L7" s="22"/>
      <c r="M7" s="22"/>
      <c r="N7" s="22"/>
      <c r="O7" s="22"/>
      <c r="P7" s="22"/>
      <c r="Q7" s="22"/>
      <c r="R7" s="22"/>
    </row>
    <row r="8" spans="1:18" ht="21.4" thickBot="1" x14ac:dyDescent="0.5">
      <c r="A8" s="22"/>
      <c r="B8" s="36" t="s">
        <v>22</v>
      </c>
      <c r="C8" s="37"/>
      <c r="D8" s="38"/>
      <c r="E8" s="37"/>
      <c r="F8" s="37"/>
      <c r="G8" s="37"/>
      <c r="H8" s="37"/>
      <c r="I8" s="37"/>
      <c r="J8" s="37"/>
      <c r="K8" s="37"/>
      <c r="L8" s="37"/>
      <c r="M8" s="37"/>
      <c r="N8" s="37"/>
      <c r="O8" s="37"/>
      <c r="P8" s="37"/>
      <c r="Q8" s="37"/>
      <c r="R8" s="37"/>
    </row>
    <row r="9" spans="1:18" ht="21.4" outlineLevel="1" thickBot="1" x14ac:dyDescent="0.5">
      <c r="B9" s="39" t="s">
        <v>23</v>
      </c>
      <c r="C9" s="40"/>
      <c r="D9" s="40"/>
      <c r="E9" s="40"/>
      <c r="F9" s="40"/>
      <c r="G9" s="40"/>
      <c r="H9" s="40"/>
      <c r="I9" s="40"/>
      <c r="J9" s="40"/>
      <c r="K9" s="40"/>
      <c r="L9" s="40"/>
      <c r="M9" s="40"/>
      <c r="N9" s="40"/>
      <c r="O9" s="40"/>
      <c r="P9" s="40"/>
      <c r="Q9" s="40"/>
      <c r="R9" s="40"/>
    </row>
    <row r="10" spans="1:18" ht="26.25" customHeight="1" outlineLevel="2" thickBot="1" x14ac:dyDescent="0.5">
      <c r="A10" s="41"/>
      <c r="B10" s="42"/>
      <c r="C10" s="42"/>
      <c r="D10" s="43"/>
      <c r="E10" s="276" t="s">
        <v>24</v>
      </c>
      <c r="F10" s="277"/>
      <c r="G10" s="277"/>
      <c r="H10" s="277"/>
      <c r="I10" s="277"/>
      <c r="J10" s="277"/>
      <c r="K10" s="277"/>
      <c r="L10" s="277"/>
      <c r="M10" s="277"/>
      <c r="N10" s="277"/>
      <c r="O10" s="277"/>
      <c r="P10" s="277"/>
      <c r="Q10" s="277"/>
      <c r="R10" s="277"/>
    </row>
    <row r="11" spans="1:18" ht="14.65" outlineLevel="2" thickBot="1" x14ac:dyDescent="0.5">
      <c r="A11" s="22"/>
      <c r="B11" s="44"/>
      <c r="C11" s="45"/>
      <c r="D11" s="46" t="s">
        <v>18</v>
      </c>
      <c r="E11" s="47" t="s">
        <v>25</v>
      </c>
      <c r="F11" s="48" t="s">
        <v>26</v>
      </c>
      <c r="G11" s="48" t="s">
        <v>27</v>
      </c>
      <c r="H11" s="48" t="s">
        <v>28</v>
      </c>
      <c r="I11" s="48" t="s">
        <v>29</v>
      </c>
      <c r="J11" s="48" t="s">
        <v>30</v>
      </c>
      <c r="K11" s="48" t="s">
        <v>31</v>
      </c>
      <c r="L11" s="49" t="s">
        <v>32</v>
      </c>
      <c r="M11" s="49" t="s">
        <v>33</v>
      </c>
      <c r="N11" s="49" t="s">
        <v>106</v>
      </c>
      <c r="O11" s="49" t="s">
        <v>164</v>
      </c>
      <c r="P11" s="49" t="s">
        <v>165</v>
      </c>
      <c r="Q11" s="49" t="s">
        <v>166</v>
      </c>
      <c r="R11" s="49" t="s">
        <v>167</v>
      </c>
    </row>
    <row r="12" spans="1:18" outlineLevel="2" x14ac:dyDescent="0.45">
      <c r="A12" s="50"/>
      <c r="B12" s="51" t="s">
        <v>34</v>
      </c>
      <c r="C12" s="52" t="s">
        <v>35</v>
      </c>
      <c r="D12" s="53" t="s">
        <v>36</v>
      </c>
      <c r="E12" s="54"/>
      <c r="F12" s="55"/>
      <c r="G12" s="55"/>
      <c r="H12" s="55"/>
      <c r="I12" s="55"/>
      <c r="J12" s="56">
        <v>202</v>
      </c>
      <c r="K12" s="56">
        <v>720</v>
      </c>
      <c r="L12" s="56">
        <v>655</v>
      </c>
      <c r="M12" s="56">
        <v>356</v>
      </c>
      <c r="N12" s="189">
        <v>117</v>
      </c>
      <c r="O12" s="189">
        <v>175</v>
      </c>
      <c r="P12" s="189">
        <v>43</v>
      </c>
      <c r="Q12" s="189">
        <v>89</v>
      </c>
      <c r="R12" s="57">
        <v>130</v>
      </c>
    </row>
    <row r="13" spans="1:18" outlineLevel="2" x14ac:dyDescent="0.45">
      <c r="A13" s="50"/>
      <c r="B13" s="58"/>
      <c r="C13" s="59" t="s">
        <v>37</v>
      </c>
      <c r="D13" s="60" t="s">
        <v>36</v>
      </c>
      <c r="E13" s="61"/>
      <c r="F13" s="62"/>
      <c r="G13" s="62"/>
      <c r="H13" s="62"/>
      <c r="I13" s="62"/>
      <c r="J13" s="63">
        <v>643</v>
      </c>
      <c r="K13" s="63">
        <v>428</v>
      </c>
      <c r="L13" s="63">
        <v>268</v>
      </c>
      <c r="M13" s="63">
        <v>223</v>
      </c>
      <c r="N13" s="190">
        <v>94</v>
      </c>
      <c r="O13" s="190">
        <v>101</v>
      </c>
      <c r="P13" s="190">
        <v>71</v>
      </c>
      <c r="Q13" s="190">
        <v>109</v>
      </c>
      <c r="R13" s="64">
        <v>138</v>
      </c>
    </row>
    <row r="14" spans="1:18" outlineLevel="2" x14ac:dyDescent="0.45">
      <c r="A14" s="50"/>
      <c r="B14" s="58"/>
      <c r="C14" s="65" t="s">
        <v>38</v>
      </c>
      <c r="D14" s="66" t="s">
        <v>39</v>
      </c>
      <c r="E14" s="67"/>
      <c r="F14" s="68"/>
      <c r="G14" s="68"/>
      <c r="H14" s="68"/>
      <c r="I14" s="68"/>
      <c r="J14" s="69">
        <v>9.0440000000000005</v>
      </c>
      <c r="K14" s="69">
        <v>8.0039999999999978</v>
      </c>
      <c r="L14" s="69">
        <v>6.2660000000000009</v>
      </c>
      <c r="M14" s="69">
        <v>1.4129999999999998</v>
      </c>
      <c r="N14" s="191">
        <v>0.43</v>
      </c>
      <c r="O14" s="191">
        <v>0.2</v>
      </c>
      <c r="P14" s="191">
        <v>0.6</v>
      </c>
      <c r="Q14" s="191">
        <v>0.6</v>
      </c>
      <c r="R14" s="70">
        <v>1</v>
      </c>
    </row>
    <row r="15" spans="1:18" outlineLevel="2" x14ac:dyDescent="0.45">
      <c r="A15" s="50"/>
      <c r="B15" s="58"/>
      <c r="C15" s="71" t="s">
        <v>40</v>
      </c>
      <c r="D15" s="72" t="s">
        <v>36</v>
      </c>
      <c r="E15" s="73"/>
      <c r="F15" s="74"/>
      <c r="G15" s="74"/>
      <c r="H15" s="74"/>
      <c r="I15" s="74"/>
      <c r="J15" s="75">
        <v>0</v>
      </c>
      <c r="K15" s="75">
        <v>0</v>
      </c>
      <c r="L15" s="75">
        <v>1</v>
      </c>
      <c r="M15" s="75">
        <v>0</v>
      </c>
      <c r="N15" s="192">
        <v>6</v>
      </c>
      <c r="O15" s="192">
        <v>4</v>
      </c>
      <c r="P15" s="192">
        <v>6</v>
      </c>
      <c r="Q15" s="192">
        <v>7</v>
      </c>
      <c r="R15" s="76">
        <v>8</v>
      </c>
    </row>
    <row r="16" spans="1:18" outlineLevel="2" x14ac:dyDescent="0.45">
      <c r="A16" s="50"/>
      <c r="B16" s="58"/>
      <c r="C16" s="59" t="s">
        <v>41</v>
      </c>
      <c r="D16" s="60" t="s">
        <v>42</v>
      </c>
      <c r="E16" s="77"/>
      <c r="F16" s="78"/>
      <c r="G16" s="78"/>
      <c r="H16" s="78"/>
      <c r="I16" s="78"/>
      <c r="J16" s="79">
        <v>2045055.920164078</v>
      </c>
      <c r="K16" s="79">
        <v>2613167.7653005659</v>
      </c>
      <c r="L16" s="79">
        <v>857048.51161070052</v>
      </c>
      <c r="M16" s="79">
        <v>203741.13</v>
      </c>
      <c r="N16" s="193">
        <v>149415</v>
      </c>
      <c r="O16" s="193">
        <v>153673</v>
      </c>
      <c r="P16" s="193">
        <v>140835</v>
      </c>
      <c r="Q16" s="193">
        <v>143250</v>
      </c>
      <c r="R16" s="80">
        <v>288935</v>
      </c>
    </row>
    <row r="17" spans="1:18" outlineLevel="2" x14ac:dyDescent="0.45">
      <c r="B17" s="58"/>
      <c r="C17" s="65" t="s">
        <v>43</v>
      </c>
      <c r="D17" s="66" t="s">
        <v>44</v>
      </c>
      <c r="E17" s="67"/>
      <c r="F17" s="68"/>
      <c r="G17" s="68"/>
      <c r="H17" s="68"/>
      <c r="I17" s="68"/>
      <c r="J17" s="69">
        <v>0.74</v>
      </c>
      <c r="K17" s="69">
        <v>7.4220175790800003</v>
      </c>
      <c r="L17" s="69">
        <v>1.0110000000000001</v>
      </c>
      <c r="M17" s="69">
        <v>0</v>
      </c>
      <c r="N17" s="191">
        <v>0.2</v>
      </c>
      <c r="O17" s="191">
        <v>0</v>
      </c>
      <c r="P17" s="191">
        <v>0.2</v>
      </c>
      <c r="Q17" s="191">
        <v>0</v>
      </c>
      <c r="R17" s="70">
        <v>0</v>
      </c>
    </row>
    <row r="18" spans="1:18" outlineLevel="2" x14ac:dyDescent="0.45">
      <c r="B18" s="58"/>
      <c r="C18" s="71" t="s">
        <v>45</v>
      </c>
      <c r="D18" s="72" t="s">
        <v>42</v>
      </c>
      <c r="E18" s="73"/>
      <c r="F18" s="74"/>
      <c r="G18" s="74"/>
      <c r="H18" s="74"/>
      <c r="I18" s="74"/>
      <c r="J18" s="75">
        <v>1021247.0158152126</v>
      </c>
      <c r="K18" s="75">
        <v>559929.70935825713</v>
      </c>
      <c r="L18" s="75">
        <v>204950.2837304773</v>
      </c>
      <c r="M18" s="75">
        <v>0</v>
      </c>
      <c r="N18" s="192">
        <v>62238</v>
      </c>
      <c r="O18" s="192">
        <v>0</v>
      </c>
      <c r="P18" s="192">
        <v>78618</v>
      </c>
      <c r="Q18" s="192">
        <v>24061</v>
      </c>
      <c r="R18" s="76">
        <v>0</v>
      </c>
    </row>
    <row r="19" spans="1:18" outlineLevel="2" x14ac:dyDescent="0.45">
      <c r="B19" s="58"/>
      <c r="C19" s="71" t="s">
        <v>46</v>
      </c>
      <c r="D19" s="72" t="s">
        <v>44</v>
      </c>
      <c r="E19" s="73"/>
      <c r="F19" s="74"/>
      <c r="G19" s="74"/>
      <c r="H19" s="74"/>
      <c r="I19" s="74"/>
      <c r="J19" s="75">
        <v>23.695</v>
      </c>
      <c r="K19" s="75">
        <v>32.127647112440002</v>
      </c>
      <c r="L19" s="75">
        <v>25.103000000000002</v>
      </c>
      <c r="M19" s="75">
        <v>15.391999999999999</v>
      </c>
      <c r="N19" s="192">
        <v>0.5</v>
      </c>
      <c r="O19" s="192">
        <v>0</v>
      </c>
      <c r="P19" s="192">
        <v>0.4</v>
      </c>
      <c r="Q19" s="192">
        <v>0.2</v>
      </c>
      <c r="R19" s="76">
        <v>0.2</v>
      </c>
    </row>
    <row r="20" spans="1:18" outlineLevel="2" x14ac:dyDescent="0.45">
      <c r="B20" s="58"/>
      <c r="C20" s="59" t="s">
        <v>47</v>
      </c>
      <c r="D20" s="60" t="s">
        <v>42</v>
      </c>
      <c r="E20" s="77"/>
      <c r="F20" s="78"/>
      <c r="G20" s="78"/>
      <c r="H20" s="78"/>
      <c r="I20" s="78"/>
      <c r="J20" s="79">
        <v>1208955.0625989267</v>
      </c>
      <c r="K20" s="79">
        <v>1086101.0069610174</v>
      </c>
      <c r="L20" s="79">
        <v>853236.22141883743</v>
      </c>
      <c r="M20" s="79">
        <v>496509.88063220721</v>
      </c>
      <c r="N20" s="193">
        <v>142237</v>
      </c>
      <c r="O20" s="193">
        <v>191091</v>
      </c>
      <c r="P20" s="193">
        <v>242142</v>
      </c>
      <c r="Q20" s="193">
        <v>277073</v>
      </c>
      <c r="R20" s="80">
        <v>431069</v>
      </c>
    </row>
    <row r="21" spans="1:18" outlineLevel="2" x14ac:dyDescent="0.45">
      <c r="A21" s="50"/>
      <c r="B21" s="58"/>
      <c r="C21" s="65" t="s">
        <v>48</v>
      </c>
      <c r="D21" s="66" t="s">
        <v>36</v>
      </c>
      <c r="E21" s="81"/>
      <c r="F21" s="82"/>
      <c r="G21" s="82"/>
      <c r="H21" s="82"/>
      <c r="I21" s="82"/>
      <c r="J21" s="83">
        <v>3.9745676500508647</v>
      </c>
      <c r="K21" s="83">
        <v>3.5826848249027239</v>
      </c>
      <c r="L21" s="83">
        <v>2.6788665879574971</v>
      </c>
      <c r="M21" s="83">
        <v>3.2377300613496933</v>
      </c>
      <c r="N21" s="194">
        <v>3</v>
      </c>
      <c r="O21" s="194">
        <v>3.7</v>
      </c>
      <c r="P21" s="194">
        <v>2.6</v>
      </c>
      <c r="Q21" s="194">
        <v>3.1</v>
      </c>
      <c r="R21" s="84">
        <v>4.5999999999999996</v>
      </c>
    </row>
    <row r="22" spans="1:18" outlineLevel="2" x14ac:dyDescent="0.45">
      <c r="A22" s="50"/>
      <c r="B22" s="58"/>
      <c r="C22" s="71" t="s">
        <v>49</v>
      </c>
      <c r="D22" s="72" t="s">
        <v>36</v>
      </c>
      <c r="E22" s="73"/>
      <c r="F22" s="74"/>
      <c r="G22" s="74"/>
      <c r="H22" s="74"/>
      <c r="I22" s="74"/>
      <c r="J22" s="75">
        <v>66</v>
      </c>
      <c r="K22" s="75">
        <v>1751</v>
      </c>
      <c r="L22" s="75">
        <v>2041</v>
      </c>
      <c r="M22" s="75">
        <v>1212</v>
      </c>
      <c r="N22" s="192">
        <v>656</v>
      </c>
      <c r="O22" s="192">
        <v>3450</v>
      </c>
      <c r="P22" s="192">
        <v>4458</v>
      </c>
      <c r="Q22" s="192">
        <v>2403</v>
      </c>
      <c r="R22" s="76">
        <v>86</v>
      </c>
    </row>
    <row r="23" spans="1:18" outlineLevel="2" x14ac:dyDescent="0.45">
      <c r="A23" s="50"/>
      <c r="B23" s="58"/>
      <c r="C23" s="71" t="s">
        <v>50</v>
      </c>
      <c r="D23" s="72" t="s">
        <v>36</v>
      </c>
      <c r="E23" s="73"/>
      <c r="F23" s="74"/>
      <c r="G23" s="74"/>
      <c r="H23" s="74"/>
      <c r="I23" s="74"/>
      <c r="J23" s="75">
        <v>0</v>
      </c>
      <c r="K23" s="75">
        <v>3</v>
      </c>
      <c r="L23" s="75">
        <v>7</v>
      </c>
      <c r="M23" s="75">
        <v>7</v>
      </c>
      <c r="N23" s="192">
        <v>27</v>
      </c>
      <c r="O23" s="192">
        <v>5</v>
      </c>
      <c r="P23" s="192">
        <v>4</v>
      </c>
      <c r="Q23" s="192">
        <v>25</v>
      </c>
      <c r="R23" s="76">
        <v>7</v>
      </c>
    </row>
    <row r="24" spans="1:18" ht="14.65" outlineLevel="2" thickBot="1" x14ac:dyDescent="0.5">
      <c r="A24" s="50"/>
      <c r="B24" s="85"/>
      <c r="C24" s="86" t="s">
        <v>51</v>
      </c>
      <c r="D24" s="87" t="s">
        <v>52</v>
      </c>
      <c r="E24" s="88"/>
      <c r="F24" s="89"/>
      <c r="G24" s="89"/>
      <c r="H24" s="89"/>
      <c r="I24" s="89"/>
      <c r="J24" s="90">
        <v>0</v>
      </c>
      <c r="K24" s="90">
        <v>146620</v>
      </c>
      <c r="L24" s="90">
        <v>194090</v>
      </c>
      <c r="M24" s="90">
        <v>117670</v>
      </c>
      <c r="N24" s="195">
        <v>42120</v>
      </c>
      <c r="O24" s="195">
        <v>299630</v>
      </c>
      <c r="P24" s="195">
        <v>448395</v>
      </c>
      <c r="Q24" s="195">
        <v>264286</v>
      </c>
      <c r="R24" s="91">
        <v>21152</v>
      </c>
    </row>
    <row r="25" spans="1:18" outlineLevel="2" x14ac:dyDescent="0.45">
      <c r="A25" s="50"/>
      <c r="B25" s="51" t="s">
        <v>53</v>
      </c>
      <c r="C25" s="92" t="s">
        <v>35</v>
      </c>
      <c r="D25" s="66" t="s">
        <v>36</v>
      </c>
      <c r="E25" s="54"/>
      <c r="F25" s="55"/>
      <c r="G25" s="55"/>
      <c r="H25" s="55"/>
      <c r="I25" s="55"/>
      <c r="J25" s="56">
        <v>32</v>
      </c>
      <c r="K25" s="56">
        <v>194</v>
      </c>
      <c r="L25" s="56">
        <v>173</v>
      </c>
      <c r="M25" s="56">
        <v>116</v>
      </c>
      <c r="N25" s="189">
        <v>58</v>
      </c>
      <c r="O25" s="189">
        <v>69</v>
      </c>
      <c r="P25" s="189">
        <v>17</v>
      </c>
      <c r="Q25" s="189">
        <v>19</v>
      </c>
      <c r="R25" s="57">
        <v>26</v>
      </c>
    </row>
    <row r="26" spans="1:18" outlineLevel="2" x14ac:dyDescent="0.45">
      <c r="A26" s="50"/>
      <c r="B26" s="58"/>
      <c r="C26" s="93" t="s">
        <v>37</v>
      </c>
      <c r="D26" s="60" t="s">
        <v>36</v>
      </c>
      <c r="E26" s="61"/>
      <c r="F26" s="62"/>
      <c r="G26" s="62"/>
      <c r="H26" s="62"/>
      <c r="I26" s="62"/>
      <c r="J26" s="63">
        <v>86</v>
      </c>
      <c r="K26" s="63">
        <v>165</v>
      </c>
      <c r="L26" s="63">
        <v>97</v>
      </c>
      <c r="M26" s="63">
        <v>52</v>
      </c>
      <c r="N26" s="190">
        <v>12</v>
      </c>
      <c r="O26" s="190">
        <v>31</v>
      </c>
      <c r="P26" s="190">
        <v>23</v>
      </c>
      <c r="Q26" s="190">
        <v>23</v>
      </c>
      <c r="R26" s="64">
        <v>21</v>
      </c>
    </row>
    <row r="27" spans="1:18" outlineLevel="2" x14ac:dyDescent="0.45">
      <c r="A27" s="50"/>
      <c r="B27" s="58"/>
      <c r="C27" s="94" t="s">
        <v>38</v>
      </c>
      <c r="D27" s="66" t="s">
        <v>39</v>
      </c>
      <c r="E27" s="67"/>
      <c r="F27" s="68"/>
      <c r="G27" s="68"/>
      <c r="H27" s="68"/>
      <c r="I27" s="68"/>
      <c r="J27" s="69">
        <v>16.021000000000001</v>
      </c>
      <c r="K27" s="69">
        <v>10.195999999999996</v>
      </c>
      <c r="L27" s="69">
        <v>13.166999999999996</v>
      </c>
      <c r="M27" s="69">
        <v>7.0149999999999997</v>
      </c>
      <c r="N27" s="191">
        <v>5</v>
      </c>
      <c r="O27" s="191">
        <v>8.1999999999999993</v>
      </c>
      <c r="P27" s="191">
        <v>6.5</v>
      </c>
      <c r="Q27" s="191">
        <v>7.5</v>
      </c>
      <c r="R27" s="70">
        <v>5.9</v>
      </c>
    </row>
    <row r="28" spans="1:18" outlineLevel="2" x14ac:dyDescent="0.45">
      <c r="A28" s="50"/>
      <c r="B28" s="58"/>
      <c r="C28" s="95" t="s">
        <v>54</v>
      </c>
      <c r="D28" s="72" t="s">
        <v>36</v>
      </c>
      <c r="E28" s="73"/>
      <c r="F28" s="74"/>
      <c r="G28" s="74"/>
      <c r="H28" s="74"/>
      <c r="I28" s="74"/>
      <c r="J28" s="75">
        <v>0</v>
      </c>
      <c r="K28" s="75">
        <v>0</v>
      </c>
      <c r="L28" s="75">
        <v>1</v>
      </c>
      <c r="M28" s="75">
        <v>0</v>
      </c>
      <c r="N28" s="192">
        <v>20</v>
      </c>
      <c r="O28" s="192">
        <v>22</v>
      </c>
      <c r="P28" s="192">
        <v>8</v>
      </c>
      <c r="Q28" s="192">
        <v>8</v>
      </c>
      <c r="R28" s="76">
        <v>17</v>
      </c>
    </row>
    <row r="29" spans="1:18" outlineLevel="2" x14ac:dyDescent="0.45">
      <c r="A29" s="50"/>
      <c r="B29" s="58"/>
      <c r="C29" s="93" t="s">
        <v>55</v>
      </c>
      <c r="D29" s="60" t="s">
        <v>42</v>
      </c>
      <c r="E29" s="77"/>
      <c r="F29" s="78"/>
      <c r="G29" s="78"/>
      <c r="H29" s="78"/>
      <c r="I29" s="78"/>
      <c r="J29" s="79">
        <v>1961044.8234631019</v>
      </c>
      <c r="K29" s="79">
        <v>1625059.7709893158</v>
      </c>
      <c r="L29" s="79">
        <v>1805396.9284905633</v>
      </c>
      <c r="M29" s="79">
        <v>855584.65825577942</v>
      </c>
      <c r="N29" s="193">
        <v>1188795</v>
      </c>
      <c r="O29" s="193">
        <v>1422121</v>
      </c>
      <c r="P29" s="193">
        <v>744873</v>
      </c>
      <c r="Q29" s="193">
        <v>732540</v>
      </c>
      <c r="R29" s="80">
        <v>848006</v>
      </c>
    </row>
    <row r="30" spans="1:18" outlineLevel="2" x14ac:dyDescent="0.45">
      <c r="A30" s="50"/>
      <c r="B30" s="58"/>
      <c r="C30" s="94" t="s">
        <v>43</v>
      </c>
      <c r="D30" s="66" t="s">
        <v>44</v>
      </c>
      <c r="E30" s="81"/>
      <c r="F30" s="82"/>
      <c r="G30" s="82"/>
      <c r="H30" s="82"/>
      <c r="I30" s="82"/>
      <c r="J30" s="83">
        <v>5.1340000000000003</v>
      </c>
      <c r="K30" s="83">
        <v>1.2590000000000001</v>
      </c>
      <c r="L30" s="83">
        <v>3.4250000000000003</v>
      </c>
      <c r="M30" s="83">
        <v>3.9064999999999999</v>
      </c>
      <c r="N30" s="194">
        <v>0.2</v>
      </c>
      <c r="O30" s="194">
        <v>0.1</v>
      </c>
      <c r="P30" s="194">
        <v>0.38</v>
      </c>
      <c r="Q30" s="194">
        <v>0.05</v>
      </c>
      <c r="R30" s="84">
        <v>12.47</v>
      </c>
    </row>
    <row r="31" spans="1:18" outlineLevel="2" x14ac:dyDescent="0.45">
      <c r="A31" s="50"/>
      <c r="B31" s="58"/>
      <c r="C31" s="95" t="s">
        <v>45</v>
      </c>
      <c r="D31" s="96" t="s">
        <v>42</v>
      </c>
      <c r="E31" s="73"/>
      <c r="F31" s="74"/>
      <c r="G31" s="74"/>
      <c r="H31" s="74"/>
      <c r="I31" s="74"/>
      <c r="J31" s="75">
        <v>1129335.1232967668</v>
      </c>
      <c r="K31" s="75">
        <v>413873.55260215345</v>
      </c>
      <c r="L31" s="75">
        <v>675893.63505333907</v>
      </c>
      <c r="M31" s="75">
        <v>261586.40820031852</v>
      </c>
      <c r="N31" s="192">
        <v>274168</v>
      </c>
      <c r="O31" s="192">
        <v>468484</v>
      </c>
      <c r="P31" s="192">
        <v>236754</v>
      </c>
      <c r="Q31" s="192">
        <v>1622568</v>
      </c>
      <c r="R31" s="76">
        <v>1029711</v>
      </c>
    </row>
    <row r="32" spans="1:18" outlineLevel="2" x14ac:dyDescent="0.45">
      <c r="A32" s="50"/>
      <c r="B32" s="58"/>
      <c r="C32" s="95" t="s">
        <v>46</v>
      </c>
      <c r="D32" s="96" t="s">
        <v>44</v>
      </c>
      <c r="E32" s="73"/>
      <c r="F32" s="74"/>
      <c r="G32" s="74"/>
      <c r="H32" s="74"/>
      <c r="I32" s="74"/>
      <c r="J32" s="75">
        <v>3.7269999999999999</v>
      </c>
      <c r="K32" s="75">
        <v>9.1280000000000001</v>
      </c>
      <c r="L32" s="75">
        <v>5.5640000000000001</v>
      </c>
      <c r="M32" s="75">
        <v>5.0250000000000004</v>
      </c>
      <c r="N32" s="192">
        <v>0.5</v>
      </c>
      <c r="O32" s="192">
        <v>0.5</v>
      </c>
      <c r="P32" s="192">
        <v>0.12</v>
      </c>
      <c r="Q32" s="192">
        <v>0.34</v>
      </c>
      <c r="R32" s="76">
        <v>0.2</v>
      </c>
    </row>
    <row r="33" spans="1:18" ht="14.65" outlineLevel="2" thickBot="1" x14ac:dyDescent="0.5">
      <c r="A33" s="50"/>
      <c r="B33" s="85"/>
      <c r="C33" s="97" t="s">
        <v>47</v>
      </c>
      <c r="D33" s="98" t="s">
        <v>42</v>
      </c>
      <c r="E33" s="88"/>
      <c r="F33" s="89"/>
      <c r="G33" s="89"/>
      <c r="H33" s="89"/>
      <c r="I33" s="89"/>
      <c r="J33" s="90">
        <v>229623.3928917837</v>
      </c>
      <c r="K33" s="90">
        <v>247225.71847297688</v>
      </c>
      <c r="L33" s="90">
        <v>391410.20159323158</v>
      </c>
      <c r="M33" s="90">
        <v>359043.28418453806</v>
      </c>
      <c r="N33" s="195">
        <v>196997</v>
      </c>
      <c r="O33" s="195">
        <v>149416</v>
      </c>
      <c r="P33" s="195">
        <v>103897</v>
      </c>
      <c r="Q33" s="195">
        <v>195228</v>
      </c>
      <c r="R33" s="91">
        <v>195972</v>
      </c>
    </row>
    <row r="34" spans="1:18" outlineLevel="2" x14ac:dyDescent="0.45">
      <c r="A34" s="50"/>
      <c r="B34" s="51" t="s">
        <v>56</v>
      </c>
      <c r="C34" s="92" t="s">
        <v>35</v>
      </c>
      <c r="D34" s="53" t="s">
        <v>36</v>
      </c>
      <c r="E34" s="81"/>
      <c r="F34" s="82"/>
      <c r="G34" s="82"/>
      <c r="H34" s="82"/>
      <c r="I34" s="82"/>
      <c r="J34" s="83">
        <v>700</v>
      </c>
      <c r="K34" s="83">
        <v>1104</v>
      </c>
      <c r="L34" s="83">
        <v>801</v>
      </c>
      <c r="M34" s="83">
        <v>524</v>
      </c>
      <c r="N34" s="194">
        <v>404</v>
      </c>
      <c r="O34" s="194">
        <v>258</v>
      </c>
      <c r="P34" s="194">
        <v>239</v>
      </c>
      <c r="Q34" s="194">
        <v>269</v>
      </c>
      <c r="R34" s="84">
        <v>215</v>
      </c>
    </row>
    <row r="35" spans="1:18" outlineLevel="2" x14ac:dyDescent="0.45">
      <c r="A35" s="50"/>
      <c r="B35" s="58"/>
      <c r="C35" s="93" t="s">
        <v>37</v>
      </c>
      <c r="D35" s="60" t="s">
        <v>36</v>
      </c>
      <c r="E35" s="61"/>
      <c r="F35" s="62"/>
      <c r="G35" s="62"/>
      <c r="H35" s="62"/>
      <c r="I35" s="62"/>
      <c r="J35" s="63">
        <v>29</v>
      </c>
      <c r="K35" s="63">
        <v>106</v>
      </c>
      <c r="L35" s="63">
        <v>19</v>
      </c>
      <c r="M35" s="63">
        <v>9</v>
      </c>
      <c r="N35" s="190">
        <v>2</v>
      </c>
      <c r="O35" s="190">
        <v>59</v>
      </c>
      <c r="P35" s="190">
        <v>16</v>
      </c>
      <c r="Q35" s="190">
        <v>10</v>
      </c>
      <c r="R35" s="64">
        <v>5</v>
      </c>
    </row>
    <row r="36" spans="1:18" outlineLevel="2" x14ac:dyDescent="0.45">
      <c r="A36" s="50"/>
      <c r="B36" s="58"/>
      <c r="C36" s="94" t="s">
        <v>38</v>
      </c>
      <c r="D36" s="66" t="s">
        <v>39</v>
      </c>
      <c r="E36" s="67"/>
      <c r="F36" s="68"/>
      <c r="G36" s="68"/>
      <c r="H36" s="68"/>
      <c r="I36" s="68"/>
      <c r="J36" s="69">
        <v>2.3370000000000006</v>
      </c>
      <c r="K36" s="69">
        <v>1.9750000000000001</v>
      </c>
      <c r="L36" s="69">
        <v>1.363</v>
      </c>
      <c r="M36" s="69">
        <v>2.6999999999999997</v>
      </c>
      <c r="N36" s="191">
        <v>0</v>
      </c>
      <c r="O36" s="191">
        <v>0.4</v>
      </c>
      <c r="P36" s="191">
        <v>0.78</v>
      </c>
      <c r="Q36" s="191">
        <v>0.46</v>
      </c>
      <c r="R36" s="70">
        <v>0.52</v>
      </c>
    </row>
    <row r="37" spans="1:18" outlineLevel="2" x14ac:dyDescent="0.45">
      <c r="A37" s="50"/>
      <c r="B37" s="58"/>
      <c r="C37" s="95" t="s">
        <v>40</v>
      </c>
      <c r="D37" s="72" t="s">
        <v>36</v>
      </c>
      <c r="E37" s="73"/>
      <c r="F37" s="74"/>
      <c r="G37" s="74"/>
      <c r="H37" s="74"/>
      <c r="I37" s="74"/>
      <c r="J37" s="75">
        <v>0</v>
      </c>
      <c r="K37" s="75">
        <v>0</v>
      </c>
      <c r="L37" s="75">
        <v>0</v>
      </c>
      <c r="M37" s="75">
        <v>2</v>
      </c>
      <c r="N37" s="192">
        <v>5</v>
      </c>
      <c r="O37" s="192">
        <v>4</v>
      </c>
      <c r="P37" s="192">
        <v>3</v>
      </c>
      <c r="Q37" s="192">
        <v>0</v>
      </c>
      <c r="R37" s="76">
        <v>2</v>
      </c>
    </row>
    <row r="38" spans="1:18" outlineLevel="2" x14ac:dyDescent="0.45">
      <c r="A38" s="50"/>
      <c r="B38" s="58"/>
      <c r="C38" s="93" t="s">
        <v>41</v>
      </c>
      <c r="D38" s="60" t="s">
        <v>42</v>
      </c>
      <c r="E38" s="77"/>
      <c r="F38" s="78"/>
      <c r="G38" s="78"/>
      <c r="H38" s="78"/>
      <c r="I38" s="78"/>
      <c r="J38" s="79">
        <v>404208.34076100745</v>
      </c>
      <c r="K38" s="79">
        <v>351713.39090191218</v>
      </c>
      <c r="L38" s="79">
        <v>397888.93381346244</v>
      </c>
      <c r="M38" s="79">
        <v>360151.17652458942</v>
      </c>
      <c r="N38" s="193">
        <v>192543</v>
      </c>
      <c r="O38" s="193">
        <v>127752</v>
      </c>
      <c r="P38" s="193">
        <v>42212</v>
      </c>
      <c r="Q38" s="193">
        <v>69206</v>
      </c>
      <c r="R38" s="80">
        <v>43749</v>
      </c>
    </row>
    <row r="39" spans="1:18" outlineLevel="2" x14ac:dyDescent="0.45">
      <c r="A39" s="50"/>
      <c r="B39" s="58"/>
      <c r="C39" s="94" t="s">
        <v>43</v>
      </c>
      <c r="D39" s="66" t="s">
        <v>44</v>
      </c>
      <c r="E39" s="67"/>
      <c r="F39" s="68"/>
      <c r="G39" s="68"/>
      <c r="H39" s="68"/>
      <c r="I39" s="68"/>
      <c r="J39" s="69">
        <v>1.115</v>
      </c>
      <c r="K39" s="69">
        <v>3.056</v>
      </c>
      <c r="L39" s="69">
        <v>0.47709607574000001</v>
      </c>
      <c r="M39" s="69">
        <v>2.0990000000000002</v>
      </c>
      <c r="N39" s="191">
        <v>0</v>
      </c>
      <c r="O39" s="191">
        <v>0</v>
      </c>
      <c r="P39" s="191">
        <v>0.1</v>
      </c>
      <c r="Q39" s="191">
        <v>0</v>
      </c>
      <c r="R39" s="70">
        <v>0.2</v>
      </c>
    </row>
    <row r="40" spans="1:18" outlineLevel="2" x14ac:dyDescent="0.45">
      <c r="A40" s="50"/>
      <c r="B40" s="58"/>
      <c r="C40" s="95" t="s">
        <v>45</v>
      </c>
      <c r="D40" s="96" t="s">
        <v>42</v>
      </c>
      <c r="E40" s="73"/>
      <c r="F40" s="74"/>
      <c r="G40" s="74"/>
      <c r="H40" s="74"/>
      <c r="I40" s="74"/>
      <c r="J40" s="75">
        <v>498528.43579630699</v>
      </c>
      <c r="K40" s="75">
        <v>219705.66221937916</v>
      </c>
      <c r="L40" s="75">
        <v>120071.55214068542</v>
      </c>
      <c r="M40" s="75">
        <v>260138.69561742226</v>
      </c>
      <c r="N40" s="192">
        <v>109754</v>
      </c>
      <c r="O40" s="192">
        <v>2982</v>
      </c>
      <c r="P40" s="192">
        <v>59246</v>
      </c>
      <c r="Q40" s="192">
        <v>145351</v>
      </c>
      <c r="R40" s="76">
        <v>242654</v>
      </c>
    </row>
    <row r="41" spans="1:18" outlineLevel="2" x14ac:dyDescent="0.45">
      <c r="A41" s="50"/>
      <c r="B41" s="58"/>
      <c r="C41" s="95" t="s">
        <v>46</v>
      </c>
      <c r="D41" s="96" t="s">
        <v>44</v>
      </c>
      <c r="E41" s="73"/>
      <c r="F41" s="74"/>
      <c r="G41" s="74"/>
      <c r="H41" s="74"/>
      <c r="I41" s="74"/>
      <c r="J41" s="75">
        <v>19.440000000000001</v>
      </c>
      <c r="K41" s="75">
        <v>31.62332</v>
      </c>
      <c r="L41" s="75">
        <v>21.268000000000001</v>
      </c>
      <c r="M41" s="75">
        <v>14.784000000000001</v>
      </c>
      <c r="N41" s="192">
        <v>1</v>
      </c>
      <c r="O41" s="192">
        <v>0</v>
      </c>
      <c r="P41" s="192">
        <v>0</v>
      </c>
      <c r="Q41" s="192">
        <v>0</v>
      </c>
      <c r="R41" s="76">
        <v>0.3</v>
      </c>
    </row>
    <row r="42" spans="1:18" outlineLevel="2" x14ac:dyDescent="0.45">
      <c r="A42" s="50"/>
      <c r="B42" s="58"/>
      <c r="C42" s="93" t="s">
        <v>47</v>
      </c>
      <c r="D42" s="99" t="s">
        <v>42</v>
      </c>
      <c r="E42" s="77"/>
      <c r="F42" s="78"/>
      <c r="G42" s="78"/>
      <c r="H42" s="78"/>
      <c r="I42" s="78"/>
      <c r="J42" s="79">
        <v>490464.1049442527</v>
      </c>
      <c r="K42" s="79">
        <v>821578.99621179991</v>
      </c>
      <c r="L42" s="79">
        <v>687133.26423401153</v>
      </c>
      <c r="M42" s="79">
        <v>515893.22754881013</v>
      </c>
      <c r="N42" s="193">
        <v>306760</v>
      </c>
      <c r="O42" s="193">
        <v>169421</v>
      </c>
      <c r="P42" s="193">
        <v>191764</v>
      </c>
      <c r="Q42" s="193">
        <v>472344</v>
      </c>
      <c r="R42" s="80">
        <v>298801</v>
      </c>
    </row>
    <row r="43" spans="1:18" ht="14.65" outlineLevel="2" thickBot="1" x14ac:dyDescent="0.5">
      <c r="A43" s="50"/>
      <c r="B43" s="85"/>
      <c r="C43" s="100" t="s">
        <v>57</v>
      </c>
      <c r="D43" s="101" t="s">
        <v>52</v>
      </c>
      <c r="E43" s="102"/>
      <c r="F43" s="103"/>
      <c r="G43" s="103"/>
      <c r="H43" s="103"/>
      <c r="I43" s="103"/>
      <c r="J43" s="104">
        <v>19622.547626782642</v>
      </c>
      <c r="K43" s="104">
        <v>25327.237260601654</v>
      </c>
      <c r="L43" s="104">
        <v>10856.700452145573</v>
      </c>
      <c r="M43" s="104">
        <v>8233.2108673247949</v>
      </c>
      <c r="N43" s="196">
        <v>29003</v>
      </c>
      <c r="O43" s="196">
        <v>3949</v>
      </c>
      <c r="P43" s="196">
        <v>73306</v>
      </c>
      <c r="Q43" s="196">
        <v>114484</v>
      </c>
      <c r="R43" s="105">
        <v>1076</v>
      </c>
    </row>
    <row r="44" spans="1:18" outlineLevel="2" x14ac:dyDescent="0.45">
      <c r="A44" s="50"/>
      <c r="B44" s="51" t="s">
        <v>58</v>
      </c>
      <c r="C44" s="65" t="s">
        <v>35</v>
      </c>
      <c r="D44" s="66" t="s">
        <v>36</v>
      </c>
      <c r="E44" s="54"/>
      <c r="F44" s="55"/>
      <c r="G44" s="55"/>
      <c r="H44" s="55"/>
      <c r="I44" s="55"/>
      <c r="J44" s="56">
        <v>414</v>
      </c>
      <c r="K44" s="56">
        <v>463</v>
      </c>
      <c r="L44" s="56">
        <v>461</v>
      </c>
      <c r="M44" s="56">
        <v>717</v>
      </c>
      <c r="N44" s="189">
        <v>1157</v>
      </c>
      <c r="O44" s="189">
        <v>1478</v>
      </c>
      <c r="P44" s="189">
        <v>1801</v>
      </c>
      <c r="Q44" s="189">
        <v>1048</v>
      </c>
      <c r="R44" s="57">
        <v>338</v>
      </c>
    </row>
    <row r="45" spans="1:18" outlineLevel="2" x14ac:dyDescent="0.45">
      <c r="A45" s="50"/>
      <c r="B45" s="58"/>
      <c r="C45" s="93" t="s">
        <v>37</v>
      </c>
      <c r="D45" s="106" t="s">
        <v>36</v>
      </c>
      <c r="E45" s="61"/>
      <c r="F45" s="62"/>
      <c r="G45" s="62"/>
      <c r="H45" s="62"/>
      <c r="I45" s="62"/>
      <c r="J45" s="63">
        <v>417</v>
      </c>
      <c r="K45" s="63">
        <v>400</v>
      </c>
      <c r="L45" s="63">
        <v>388</v>
      </c>
      <c r="M45" s="63">
        <v>885</v>
      </c>
      <c r="N45" s="190">
        <v>841</v>
      </c>
      <c r="O45" s="190">
        <v>1131</v>
      </c>
      <c r="P45" s="190">
        <v>1527</v>
      </c>
      <c r="Q45" s="190">
        <v>847</v>
      </c>
      <c r="R45" s="64">
        <v>277</v>
      </c>
    </row>
    <row r="46" spans="1:18" outlineLevel="2" x14ac:dyDescent="0.45">
      <c r="A46" s="50"/>
      <c r="B46" s="58"/>
      <c r="C46" s="94" t="s">
        <v>38</v>
      </c>
      <c r="D46" s="66" t="s">
        <v>39</v>
      </c>
      <c r="E46" s="67"/>
      <c r="F46" s="68"/>
      <c r="G46" s="68"/>
      <c r="H46" s="68"/>
      <c r="I46" s="68"/>
      <c r="J46" s="69">
        <v>0</v>
      </c>
      <c r="K46" s="69">
        <v>0</v>
      </c>
      <c r="L46" s="69">
        <v>0</v>
      </c>
      <c r="M46" s="69">
        <v>0</v>
      </c>
      <c r="N46" s="191">
        <v>0</v>
      </c>
      <c r="O46" s="191">
        <v>0</v>
      </c>
      <c r="P46" s="191">
        <v>0</v>
      </c>
      <c r="Q46" s="191">
        <v>0</v>
      </c>
      <c r="R46" s="70">
        <v>0</v>
      </c>
    </row>
    <row r="47" spans="1:18" outlineLevel="2" x14ac:dyDescent="0.45">
      <c r="A47" s="50"/>
      <c r="B47" s="58"/>
      <c r="C47" s="95" t="s">
        <v>40</v>
      </c>
      <c r="D47" s="72" t="s">
        <v>36</v>
      </c>
      <c r="E47" s="73"/>
      <c r="F47" s="74"/>
      <c r="G47" s="74"/>
      <c r="H47" s="74"/>
      <c r="I47" s="74"/>
      <c r="J47" s="75">
        <v>0</v>
      </c>
      <c r="K47" s="75">
        <v>0</v>
      </c>
      <c r="L47" s="75">
        <v>0</v>
      </c>
      <c r="M47" s="75">
        <v>0</v>
      </c>
      <c r="N47" s="192">
        <v>0</v>
      </c>
      <c r="O47" s="192">
        <v>0</v>
      </c>
      <c r="P47" s="192">
        <v>0</v>
      </c>
      <c r="Q47" s="192">
        <v>0</v>
      </c>
      <c r="R47" s="76">
        <v>0</v>
      </c>
    </row>
    <row r="48" spans="1:18" outlineLevel="2" x14ac:dyDescent="0.45">
      <c r="A48" s="50"/>
      <c r="B48" s="58"/>
      <c r="C48" s="93" t="s">
        <v>41</v>
      </c>
      <c r="D48" s="60" t="s">
        <v>42</v>
      </c>
      <c r="E48" s="77"/>
      <c r="F48" s="78"/>
      <c r="G48" s="78"/>
      <c r="H48" s="78"/>
      <c r="I48" s="78"/>
      <c r="J48" s="79">
        <v>0</v>
      </c>
      <c r="K48" s="79">
        <v>0</v>
      </c>
      <c r="L48" s="79">
        <v>0</v>
      </c>
      <c r="M48" s="79">
        <v>0</v>
      </c>
      <c r="N48" s="193">
        <v>0</v>
      </c>
      <c r="O48" s="193">
        <v>0</v>
      </c>
      <c r="P48" s="193">
        <v>0</v>
      </c>
      <c r="Q48" s="193">
        <v>0</v>
      </c>
      <c r="R48" s="80">
        <v>0</v>
      </c>
    </row>
    <row r="49" spans="1:19" outlineLevel="2" x14ac:dyDescent="0.45">
      <c r="A49" s="50"/>
      <c r="B49" s="58"/>
      <c r="C49" s="94" t="s">
        <v>43</v>
      </c>
      <c r="D49" s="66" t="s">
        <v>44</v>
      </c>
      <c r="E49" s="81"/>
      <c r="F49" s="82"/>
      <c r="G49" s="82"/>
      <c r="H49" s="82"/>
      <c r="I49" s="82"/>
      <c r="J49" s="83">
        <v>0</v>
      </c>
      <c r="K49" s="83">
        <v>0</v>
      </c>
      <c r="L49" s="83">
        <v>0</v>
      </c>
      <c r="M49" s="83">
        <v>0</v>
      </c>
      <c r="N49" s="194">
        <v>0</v>
      </c>
      <c r="O49" s="194">
        <v>0</v>
      </c>
      <c r="P49" s="194">
        <v>0</v>
      </c>
      <c r="Q49" s="194">
        <v>0</v>
      </c>
      <c r="R49" s="84">
        <v>0</v>
      </c>
    </row>
    <row r="50" spans="1:19" outlineLevel="2" x14ac:dyDescent="0.45">
      <c r="A50" s="50"/>
      <c r="B50" s="58"/>
      <c r="C50" s="95" t="s">
        <v>45</v>
      </c>
      <c r="D50" s="96" t="s">
        <v>42</v>
      </c>
      <c r="E50" s="73"/>
      <c r="F50" s="74"/>
      <c r="G50" s="74"/>
      <c r="H50" s="74"/>
      <c r="I50" s="74"/>
      <c r="J50" s="75">
        <v>0</v>
      </c>
      <c r="K50" s="75">
        <v>0</v>
      </c>
      <c r="L50" s="75">
        <v>0</v>
      </c>
      <c r="M50" s="75">
        <v>0</v>
      </c>
      <c r="N50" s="192">
        <v>0</v>
      </c>
      <c r="O50" s="256">
        <v>0</v>
      </c>
      <c r="P50" s="256">
        <v>0</v>
      </c>
      <c r="Q50" s="256">
        <v>0</v>
      </c>
      <c r="R50" s="76">
        <v>0</v>
      </c>
      <c r="S50" s="26" t="s">
        <v>311</v>
      </c>
    </row>
    <row r="51" spans="1:19" outlineLevel="2" x14ac:dyDescent="0.45">
      <c r="A51" s="50"/>
      <c r="B51" s="58"/>
      <c r="C51" s="95" t="s">
        <v>46</v>
      </c>
      <c r="D51" s="96" t="s">
        <v>44</v>
      </c>
      <c r="E51" s="73"/>
      <c r="F51" s="74"/>
      <c r="G51" s="74"/>
      <c r="H51" s="74"/>
      <c r="I51" s="74"/>
      <c r="J51" s="75">
        <v>0</v>
      </c>
      <c r="K51" s="75">
        <v>0</v>
      </c>
      <c r="L51" s="75">
        <v>0</v>
      </c>
      <c r="M51" s="75">
        <v>0</v>
      </c>
      <c r="N51" s="192">
        <v>0</v>
      </c>
      <c r="O51" s="192">
        <v>0</v>
      </c>
      <c r="P51" s="192">
        <v>0</v>
      </c>
      <c r="Q51" s="192">
        <v>0</v>
      </c>
      <c r="R51" s="76">
        <v>0</v>
      </c>
    </row>
    <row r="52" spans="1:19" ht="14.65" outlineLevel="2" thickBot="1" x14ac:dyDescent="0.5">
      <c r="A52" s="50"/>
      <c r="B52" s="85"/>
      <c r="C52" s="107" t="s">
        <v>47</v>
      </c>
      <c r="D52" s="108" t="s">
        <v>42</v>
      </c>
      <c r="E52" s="88"/>
      <c r="F52" s="89"/>
      <c r="G52" s="89"/>
      <c r="H52" s="89"/>
      <c r="I52" s="89"/>
      <c r="J52" s="90">
        <v>0</v>
      </c>
      <c r="K52" s="90">
        <v>0</v>
      </c>
      <c r="L52" s="90">
        <v>0</v>
      </c>
      <c r="M52" s="90">
        <v>0</v>
      </c>
      <c r="N52" s="195">
        <v>0</v>
      </c>
      <c r="O52" s="195">
        <v>0</v>
      </c>
      <c r="P52" s="195">
        <v>0</v>
      </c>
      <c r="Q52" s="195">
        <v>0</v>
      </c>
      <c r="R52" s="91">
        <v>0</v>
      </c>
    </row>
    <row r="53" spans="1:19" ht="14.65" outlineLevel="1" thickBot="1" x14ac:dyDescent="0.5">
      <c r="A53" s="22"/>
      <c r="B53" s="22"/>
      <c r="C53" s="22"/>
      <c r="D53" s="26"/>
      <c r="E53" s="22"/>
      <c r="F53" s="22"/>
      <c r="G53" s="22"/>
      <c r="H53" s="22"/>
      <c r="I53" s="22"/>
      <c r="J53" s="22"/>
      <c r="K53" s="22"/>
      <c r="L53" s="22"/>
      <c r="M53" s="22"/>
      <c r="N53" s="22"/>
      <c r="O53" s="22"/>
      <c r="P53" s="22"/>
      <c r="Q53" s="22"/>
      <c r="R53" s="22"/>
    </row>
    <row r="54" spans="1:19" ht="21.4" outlineLevel="1" thickBot="1" x14ac:dyDescent="0.5">
      <c r="B54" s="39" t="s">
        <v>59</v>
      </c>
      <c r="C54" s="40"/>
      <c r="D54" s="40"/>
      <c r="E54" s="40"/>
      <c r="F54" s="40"/>
      <c r="G54" s="40"/>
      <c r="H54" s="40"/>
      <c r="I54" s="40"/>
      <c r="J54" s="40"/>
      <c r="K54" s="40"/>
      <c r="L54" s="40"/>
      <c r="M54" s="40"/>
      <c r="N54" s="40"/>
      <c r="O54" s="40"/>
      <c r="P54" s="40"/>
      <c r="Q54" s="40"/>
      <c r="R54" s="40"/>
    </row>
    <row r="55" spans="1:19" ht="15.75" customHeight="1" outlineLevel="2" thickBot="1" x14ac:dyDescent="0.5">
      <c r="A55" s="41"/>
      <c r="B55" s="42"/>
      <c r="C55" s="42"/>
      <c r="D55" s="43"/>
      <c r="E55" s="276" t="s">
        <v>24</v>
      </c>
      <c r="F55" s="277"/>
      <c r="G55" s="277"/>
      <c r="H55" s="277"/>
      <c r="I55" s="277"/>
      <c r="J55" s="277"/>
      <c r="K55" s="277"/>
      <c r="L55" s="277"/>
      <c r="M55" s="277"/>
      <c r="N55" s="277"/>
      <c r="O55" s="277"/>
      <c r="P55" s="277"/>
      <c r="Q55" s="277"/>
      <c r="R55" s="277"/>
    </row>
    <row r="56" spans="1:19" ht="14.65" outlineLevel="2" thickBot="1" x14ac:dyDescent="0.5">
      <c r="A56" s="22"/>
      <c r="B56" s="44"/>
      <c r="C56" s="45"/>
      <c r="D56" s="46" t="s">
        <v>18</v>
      </c>
      <c r="E56" s="109" t="str">
        <f>E$11</f>
        <v>2008-09</v>
      </c>
      <c r="F56" s="110" t="str">
        <f t="shared" ref="F56:R56" si="0">F$11</f>
        <v>2009-10</v>
      </c>
      <c r="G56" s="110" t="str">
        <f t="shared" si="0"/>
        <v>2010-11</v>
      </c>
      <c r="H56" s="110" t="str">
        <f t="shared" si="0"/>
        <v>2011-12</v>
      </c>
      <c r="I56" s="110" t="str">
        <f t="shared" si="0"/>
        <v>2012-13</v>
      </c>
      <c r="J56" s="110" t="str">
        <f t="shared" si="0"/>
        <v>2013-14</v>
      </c>
      <c r="K56" s="110" t="str">
        <f t="shared" si="0"/>
        <v>2014-15</v>
      </c>
      <c r="L56" s="111" t="str">
        <f t="shared" si="0"/>
        <v>2015-16</v>
      </c>
      <c r="M56" s="111" t="str">
        <f t="shared" si="0"/>
        <v>2016-17</v>
      </c>
      <c r="N56" s="111" t="str">
        <f t="shared" si="0"/>
        <v>2017-18</v>
      </c>
      <c r="O56" s="111" t="str">
        <f t="shared" si="0"/>
        <v>2018-19</v>
      </c>
      <c r="P56" s="111" t="str">
        <f t="shared" si="0"/>
        <v>2019-20</v>
      </c>
      <c r="Q56" s="111" t="str">
        <f t="shared" si="0"/>
        <v>2020-21</v>
      </c>
      <c r="R56" s="111" t="str">
        <f t="shared" si="0"/>
        <v>2021-22</v>
      </c>
    </row>
    <row r="57" spans="1:19" outlineLevel="2" x14ac:dyDescent="0.45">
      <c r="A57" s="50"/>
      <c r="B57" s="51" t="s">
        <v>34</v>
      </c>
      <c r="C57" s="52" t="s">
        <v>35</v>
      </c>
      <c r="D57" s="53" t="s">
        <v>36</v>
      </c>
      <c r="E57" s="54"/>
      <c r="F57" s="55"/>
      <c r="G57" s="55"/>
      <c r="H57" s="55"/>
      <c r="I57" s="55"/>
      <c r="J57" s="56">
        <v>202</v>
      </c>
      <c r="K57" s="56">
        <v>720</v>
      </c>
      <c r="L57" s="56">
        <v>655</v>
      </c>
      <c r="M57" s="56">
        <v>356</v>
      </c>
      <c r="N57" s="189">
        <v>117</v>
      </c>
      <c r="O57" s="189">
        <v>175</v>
      </c>
      <c r="P57" s="189">
        <v>43</v>
      </c>
      <c r="Q57" s="189">
        <v>89</v>
      </c>
      <c r="R57" s="57">
        <v>130</v>
      </c>
    </row>
    <row r="58" spans="1:19" outlineLevel="2" x14ac:dyDescent="0.45">
      <c r="A58" s="50"/>
      <c r="B58" s="58"/>
      <c r="C58" s="59" t="s">
        <v>37</v>
      </c>
      <c r="D58" s="60" t="s">
        <v>36</v>
      </c>
      <c r="E58" s="61"/>
      <c r="F58" s="62"/>
      <c r="G58" s="62"/>
      <c r="H58" s="62"/>
      <c r="I58" s="62"/>
      <c r="J58" s="63">
        <v>643</v>
      </c>
      <c r="K58" s="63">
        <v>428</v>
      </c>
      <c r="L58" s="63">
        <v>268</v>
      </c>
      <c r="M58" s="63">
        <v>223</v>
      </c>
      <c r="N58" s="190">
        <v>94</v>
      </c>
      <c r="O58" s="190">
        <v>101</v>
      </c>
      <c r="P58" s="190">
        <v>71</v>
      </c>
      <c r="Q58" s="190">
        <v>109</v>
      </c>
      <c r="R58" s="64">
        <v>138</v>
      </c>
    </row>
    <row r="59" spans="1:19" outlineLevel="2" x14ac:dyDescent="0.45">
      <c r="A59" s="50"/>
      <c r="B59" s="58"/>
      <c r="C59" s="65" t="s">
        <v>38</v>
      </c>
      <c r="D59" s="66" t="s">
        <v>39</v>
      </c>
      <c r="E59" s="67"/>
      <c r="F59" s="68"/>
      <c r="G59" s="68"/>
      <c r="H59" s="68"/>
      <c r="I59" s="68"/>
      <c r="J59" s="69">
        <v>9.0440000000000005</v>
      </c>
      <c r="K59" s="69">
        <v>8.0039999999999978</v>
      </c>
      <c r="L59" s="69">
        <v>6.2660000000000009</v>
      </c>
      <c r="M59" s="69">
        <v>1.4129999999999998</v>
      </c>
      <c r="N59" s="191">
        <v>0</v>
      </c>
      <c r="O59" s="191">
        <v>0.2</v>
      </c>
      <c r="P59" s="191">
        <v>0.6</v>
      </c>
      <c r="Q59" s="191">
        <v>0.6</v>
      </c>
      <c r="R59" s="70">
        <v>1</v>
      </c>
    </row>
    <row r="60" spans="1:19" outlineLevel="2" x14ac:dyDescent="0.45">
      <c r="A60" s="50"/>
      <c r="B60" s="58"/>
      <c r="C60" s="71" t="s">
        <v>40</v>
      </c>
      <c r="D60" s="72" t="s">
        <v>36</v>
      </c>
      <c r="E60" s="73"/>
      <c r="F60" s="74"/>
      <c r="G60" s="74"/>
      <c r="H60" s="74"/>
      <c r="I60" s="74"/>
      <c r="J60" s="75">
        <v>0</v>
      </c>
      <c r="K60" s="75">
        <v>0</v>
      </c>
      <c r="L60" s="75">
        <v>1</v>
      </c>
      <c r="M60" s="75">
        <v>0</v>
      </c>
      <c r="N60" s="192">
        <v>6</v>
      </c>
      <c r="O60" s="192">
        <v>4</v>
      </c>
      <c r="P60" s="192">
        <v>6</v>
      </c>
      <c r="Q60" s="192">
        <v>7</v>
      </c>
      <c r="R60" s="76">
        <v>8</v>
      </c>
    </row>
    <row r="61" spans="1:19" outlineLevel="2" x14ac:dyDescent="0.45">
      <c r="A61" s="50"/>
      <c r="B61" s="58"/>
      <c r="C61" s="59" t="s">
        <v>41</v>
      </c>
      <c r="D61" s="60" t="s">
        <v>42</v>
      </c>
      <c r="E61" s="77"/>
      <c r="F61" s="78"/>
      <c r="G61" s="78"/>
      <c r="H61" s="78"/>
      <c r="I61" s="78"/>
      <c r="J61" s="79">
        <v>2045055.920164078</v>
      </c>
      <c r="K61" s="79">
        <v>2613167.7653005659</v>
      </c>
      <c r="L61" s="79">
        <v>857048.51161070052</v>
      </c>
      <c r="M61" s="79">
        <v>203741.13</v>
      </c>
      <c r="N61" s="193">
        <v>149415</v>
      </c>
      <c r="O61" s="193">
        <v>153673</v>
      </c>
      <c r="P61" s="193">
        <v>140835</v>
      </c>
      <c r="Q61" s="193">
        <v>143250</v>
      </c>
      <c r="R61" s="80">
        <v>288935</v>
      </c>
    </row>
    <row r="62" spans="1:19" outlineLevel="2" x14ac:dyDescent="0.45">
      <c r="A62" s="50"/>
      <c r="B62" s="58"/>
      <c r="C62" s="65" t="s">
        <v>43</v>
      </c>
      <c r="D62" s="66" t="s">
        <v>44</v>
      </c>
      <c r="E62" s="67"/>
      <c r="F62" s="68"/>
      <c r="G62" s="68"/>
      <c r="H62" s="68"/>
      <c r="I62" s="68"/>
      <c r="J62" s="69">
        <v>0.74</v>
      </c>
      <c r="K62" s="69">
        <v>7.4220175790800003</v>
      </c>
      <c r="L62" s="69">
        <v>1.0110000000000001</v>
      </c>
      <c r="M62" s="69">
        <v>0</v>
      </c>
      <c r="N62" s="191">
        <v>0</v>
      </c>
      <c r="O62" s="191">
        <v>0</v>
      </c>
      <c r="P62" s="191">
        <v>0.2</v>
      </c>
      <c r="Q62" s="191">
        <v>0</v>
      </c>
      <c r="R62" s="70">
        <v>0</v>
      </c>
    </row>
    <row r="63" spans="1:19" outlineLevel="2" x14ac:dyDescent="0.45">
      <c r="A63" s="50"/>
      <c r="B63" s="58"/>
      <c r="C63" s="71" t="s">
        <v>45</v>
      </c>
      <c r="D63" s="72" t="s">
        <v>42</v>
      </c>
      <c r="E63" s="73"/>
      <c r="F63" s="74"/>
      <c r="G63" s="74"/>
      <c r="H63" s="74"/>
      <c r="I63" s="74"/>
      <c r="J63" s="75">
        <v>1021247.0158152126</v>
      </c>
      <c r="K63" s="75">
        <v>559929.70935825713</v>
      </c>
      <c r="L63" s="75">
        <v>204950.2837304773</v>
      </c>
      <c r="M63" s="75">
        <v>0</v>
      </c>
      <c r="N63" s="192">
        <v>62238</v>
      </c>
      <c r="O63" s="192">
        <v>0</v>
      </c>
      <c r="P63" s="192">
        <v>78618</v>
      </c>
      <c r="Q63" s="192">
        <v>24061</v>
      </c>
      <c r="R63" s="76">
        <v>0</v>
      </c>
    </row>
    <row r="64" spans="1:19" outlineLevel="2" x14ac:dyDescent="0.45">
      <c r="A64" s="50"/>
      <c r="B64" s="58"/>
      <c r="C64" s="71" t="s">
        <v>46</v>
      </c>
      <c r="D64" s="72" t="s">
        <v>44</v>
      </c>
      <c r="E64" s="73"/>
      <c r="F64" s="74"/>
      <c r="G64" s="74"/>
      <c r="H64" s="74"/>
      <c r="I64" s="74"/>
      <c r="J64" s="75">
        <v>23.695</v>
      </c>
      <c r="K64" s="75">
        <v>32.127647112440002</v>
      </c>
      <c r="L64" s="75">
        <v>25.103000000000002</v>
      </c>
      <c r="M64" s="75">
        <v>15.391999999999999</v>
      </c>
      <c r="N64" s="192">
        <v>0</v>
      </c>
      <c r="O64" s="192">
        <v>0</v>
      </c>
      <c r="P64" s="192">
        <v>0.4</v>
      </c>
      <c r="Q64" s="192">
        <v>0.2</v>
      </c>
      <c r="R64" s="76">
        <v>0.2</v>
      </c>
    </row>
    <row r="65" spans="1:18" outlineLevel="2" x14ac:dyDescent="0.45">
      <c r="A65" s="50"/>
      <c r="B65" s="58"/>
      <c r="C65" s="59" t="s">
        <v>47</v>
      </c>
      <c r="D65" s="60" t="s">
        <v>42</v>
      </c>
      <c r="E65" s="77"/>
      <c r="F65" s="78"/>
      <c r="G65" s="78"/>
      <c r="H65" s="78"/>
      <c r="I65" s="78"/>
      <c r="J65" s="79">
        <v>1208955.0625989267</v>
      </c>
      <c r="K65" s="79">
        <v>1086101.0069610174</v>
      </c>
      <c r="L65" s="79">
        <v>853236.22141883743</v>
      </c>
      <c r="M65" s="79">
        <v>496509.88063220721</v>
      </c>
      <c r="N65" s="193">
        <v>142237</v>
      </c>
      <c r="O65" s="193">
        <v>191091</v>
      </c>
      <c r="P65" s="193">
        <v>242142</v>
      </c>
      <c r="Q65" s="193">
        <v>277073</v>
      </c>
      <c r="R65" s="80">
        <v>431069</v>
      </c>
    </row>
    <row r="66" spans="1:18" outlineLevel="2" x14ac:dyDescent="0.45">
      <c r="A66" s="50"/>
      <c r="B66" s="58"/>
      <c r="C66" s="65" t="s">
        <v>48</v>
      </c>
      <c r="D66" s="66" t="s">
        <v>36</v>
      </c>
      <c r="E66" s="81"/>
      <c r="F66" s="82"/>
      <c r="G66" s="82"/>
      <c r="H66" s="82"/>
      <c r="I66" s="82"/>
      <c r="J66" s="83">
        <v>3.9745676500508647</v>
      </c>
      <c r="K66" s="83">
        <v>3.5826848249027239</v>
      </c>
      <c r="L66" s="83">
        <v>2.6788665879574971</v>
      </c>
      <c r="M66" s="83">
        <v>3.2377300613496933</v>
      </c>
      <c r="N66" s="194">
        <v>3</v>
      </c>
      <c r="O66" s="194">
        <v>1.5</v>
      </c>
      <c r="P66" s="194">
        <v>2.6</v>
      </c>
      <c r="Q66" s="194">
        <v>3.1</v>
      </c>
      <c r="R66" s="84">
        <v>4.5999999999999996</v>
      </c>
    </row>
    <row r="67" spans="1:18" outlineLevel="2" x14ac:dyDescent="0.45">
      <c r="A67" s="50"/>
      <c r="B67" s="58"/>
      <c r="C67" s="71" t="s">
        <v>49</v>
      </c>
      <c r="D67" s="72" t="s">
        <v>36</v>
      </c>
      <c r="E67" s="73"/>
      <c r="F67" s="74"/>
      <c r="G67" s="74"/>
      <c r="H67" s="74"/>
      <c r="I67" s="74"/>
      <c r="J67" s="75">
        <v>66</v>
      </c>
      <c r="K67" s="75">
        <v>1751</v>
      </c>
      <c r="L67" s="75">
        <v>2041</v>
      </c>
      <c r="M67" s="75">
        <v>1212</v>
      </c>
      <c r="N67" s="192">
        <v>656</v>
      </c>
      <c r="O67" s="192">
        <v>3450</v>
      </c>
      <c r="P67" s="192">
        <v>4458</v>
      </c>
      <c r="Q67" s="192">
        <v>2403</v>
      </c>
      <c r="R67" s="76">
        <v>86</v>
      </c>
    </row>
    <row r="68" spans="1:18" outlineLevel="2" x14ac:dyDescent="0.45">
      <c r="A68" s="50"/>
      <c r="B68" s="58"/>
      <c r="C68" s="71" t="s">
        <v>50</v>
      </c>
      <c r="D68" s="72" t="s">
        <v>36</v>
      </c>
      <c r="E68" s="73"/>
      <c r="F68" s="74"/>
      <c r="G68" s="74"/>
      <c r="H68" s="74"/>
      <c r="I68" s="74"/>
      <c r="J68" s="75">
        <v>0</v>
      </c>
      <c r="K68" s="75">
        <v>3</v>
      </c>
      <c r="L68" s="75">
        <v>7</v>
      </c>
      <c r="M68" s="75">
        <v>7</v>
      </c>
      <c r="N68" s="192">
        <v>27</v>
      </c>
      <c r="O68" s="192">
        <v>5</v>
      </c>
      <c r="P68" s="192">
        <v>4</v>
      </c>
      <c r="Q68" s="192">
        <v>25</v>
      </c>
      <c r="R68" s="76">
        <v>7</v>
      </c>
    </row>
    <row r="69" spans="1:18" ht="14.65" outlineLevel="2" thickBot="1" x14ac:dyDescent="0.5">
      <c r="A69" s="50"/>
      <c r="B69" s="85"/>
      <c r="C69" s="86" t="s">
        <v>51</v>
      </c>
      <c r="D69" s="87" t="s">
        <v>52</v>
      </c>
      <c r="E69" s="88"/>
      <c r="F69" s="89"/>
      <c r="G69" s="89"/>
      <c r="H69" s="89"/>
      <c r="I69" s="89"/>
      <c r="J69" s="90">
        <v>0</v>
      </c>
      <c r="K69" s="90">
        <v>146620</v>
      </c>
      <c r="L69" s="90">
        <v>194090</v>
      </c>
      <c r="M69" s="90">
        <v>117670</v>
      </c>
      <c r="N69" s="195">
        <v>42120</v>
      </c>
      <c r="O69" s="195">
        <v>299630</v>
      </c>
      <c r="P69" s="195">
        <v>448395</v>
      </c>
      <c r="Q69" s="195">
        <v>264286</v>
      </c>
      <c r="R69" s="91">
        <v>21152</v>
      </c>
    </row>
    <row r="70" spans="1:18" outlineLevel="2" x14ac:dyDescent="0.45">
      <c r="A70" s="50"/>
      <c r="B70" s="51" t="s">
        <v>53</v>
      </c>
      <c r="C70" s="92" t="s">
        <v>35</v>
      </c>
      <c r="D70" s="66" t="s">
        <v>36</v>
      </c>
      <c r="E70" s="54"/>
      <c r="F70" s="55"/>
      <c r="G70" s="55"/>
      <c r="H70" s="55"/>
      <c r="I70" s="55"/>
      <c r="J70" s="56">
        <v>32</v>
      </c>
      <c r="K70" s="56">
        <v>194</v>
      </c>
      <c r="L70" s="56">
        <v>173</v>
      </c>
      <c r="M70" s="56">
        <v>116</v>
      </c>
      <c r="N70" s="189">
        <v>58</v>
      </c>
      <c r="O70" s="189">
        <v>69</v>
      </c>
      <c r="P70" s="189">
        <v>17</v>
      </c>
      <c r="Q70" s="189">
        <v>19</v>
      </c>
      <c r="R70" s="57">
        <v>26</v>
      </c>
    </row>
    <row r="71" spans="1:18" outlineLevel="2" x14ac:dyDescent="0.45">
      <c r="A71" s="50"/>
      <c r="B71" s="58"/>
      <c r="C71" s="93" t="s">
        <v>37</v>
      </c>
      <c r="D71" s="60" t="s">
        <v>36</v>
      </c>
      <c r="E71" s="61"/>
      <c r="F71" s="62"/>
      <c r="G71" s="62"/>
      <c r="H71" s="62"/>
      <c r="I71" s="62"/>
      <c r="J71" s="63">
        <v>86</v>
      </c>
      <c r="K71" s="63">
        <v>165</v>
      </c>
      <c r="L71" s="63">
        <v>97</v>
      </c>
      <c r="M71" s="63">
        <v>52</v>
      </c>
      <c r="N71" s="190">
        <v>12</v>
      </c>
      <c r="O71" s="190">
        <v>31</v>
      </c>
      <c r="P71" s="190">
        <v>23</v>
      </c>
      <c r="Q71" s="190">
        <v>23</v>
      </c>
      <c r="R71" s="64">
        <v>21</v>
      </c>
    </row>
    <row r="72" spans="1:18" outlineLevel="2" x14ac:dyDescent="0.45">
      <c r="A72" s="50"/>
      <c r="B72" s="58"/>
      <c r="C72" s="94" t="s">
        <v>38</v>
      </c>
      <c r="D72" s="66" t="s">
        <v>39</v>
      </c>
      <c r="E72" s="67"/>
      <c r="F72" s="68"/>
      <c r="G72" s="68"/>
      <c r="H72" s="68"/>
      <c r="I72" s="68"/>
      <c r="J72" s="69">
        <v>16.021000000000001</v>
      </c>
      <c r="K72" s="69">
        <v>10.195999999999996</v>
      </c>
      <c r="L72" s="69">
        <v>13.166999999999996</v>
      </c>
      <c r="M72" s="69">
        <v>7.0149999999999997</v>
      </c>
      <c r="N72" s="191">
        <v>5</v>
      </c>
      <c r="O72" s="191">
        <v>8.1999999999999993</v>
      </c>
      <c r="P72" s="191">
        <v>6.5</v>
      </c>
      <c r="Q72" s="191">
        <v>7.5</v>
      </c>
      <c r="R72" s="70">
        <v>5.9</v>
      </c>
    </row>
    <row r="73" spans="1:18" outlineLevel="2" x14ac:dyDescent="0.45">
      <c r="A73" s="50"/>
      <c r="B73" s="58"/>
      <c r="C73" s="95" t="s">
        <v>54</v>
      </c>
      <c r="D73" s="72" t="s">
        <v>36</v>
      </c>
      <c r="E73" s="73"/>
      <c r="F73" s="74"/>
      <c r="G73" s="74"/>
      <c r="H73" s="74"/>
      <c r="I73" s="74"/>
      <c r="J73" s="75">
        <v>0</v>
      </c>
      <c r="K73" s="75">
        <v>0</v>
      </c>
      <c r="L73" s="75">
        <v>1</v>
      </c>
      <c r="M73" s="75">
        <v>0</v>
      </c>
      <c r="N73" s="192">
        <v>20</v>
      </c>
      <c r="O73" s="192">
        <v>22</v>
      </c>
      <c r="P73" s="192">
        <v>8</v>
      </c>
      <c r="Q73" s="192">
        <v>9</v>
      </c>
      <c r="R73" s="76">
        <v>17</v>
      </c>
    </row>
    <row r="74" spans="1:18" outlineLevel="2" x14ac:dyDescent="0.45">
      <c r="A74" s="50"/>
      <c r="B74" s="58"/>
      <c r="C74" s="93" t="s">
        <v>55</v>
      </c>
      <c r="D74" s="60" t="s">
        <v>42</v>
      </c>
      <c r="E74" s="77"/>
      <c r="F74" s="78"/>
      <c r="G74" s="78"/>
      <c r="H74" s="78"/>
      <c r="I74" s="78"/>
      <c r="J74" s="79">
        <v>1961044.8234631019</v>
      </c>
      <c r="K74" s="79">
        <v>1625059.7709893158</v>
      </c>
      <c r="L74" s="79">
        <v>1805396.9284905633</v>
      </c>
      <c r="M74" s="79">
        <v>855584.65825577942</v>
      </c>
      <c r="N74" s="193">
        <v>1188795</v>
      </c>
      <c r="O74" s="193">
        <v>1422121</v>
      </c>
      <c r="P74" s="193">
        <v>744873</v>
      </c>
      <c r="Q74" s="193">
        <v>732540</v>
      </c>
      <c r="R74" s="80">
        <v>848006</v>
      </c>
    </row>
    <row r="75" spans="1:18" outlineLevel="2" x14ac:dyDescent="0.45">
      <c r="A75" s="50"/>
      <c r="B75" s="58"/>
      <c r="C75" s="94" t="s">
        <v>43</v>
      </c>
      <c r="D75" s="66" t="s">
        <v>44</v>
      </c>
      <c r="E75" s="81"/>
      <c r="F75" s="82"/>
      <c r="G75" s="82"/>
      <c r="H75" s="82"/>
      <c r="I75" s="82"/>
      <c r="J75" s="83">
        <v>5.1340000000000003</v>
      </c>
      <c r="K75" s="83">
        <v>1.2590000000000001</v>
      </c>
      <c r="L75" s="83">
        <v>3.4250000000000003</v>
      </c>
      <c r="M75" s="83">
        <v>3.9064999999999999</v>
      </c>
      <c r="N75" s="194">
        <v>0</v>
      </c>
      <c r="O75" s="194">
        <v>0</v>
      </c>
      <c r="P75" s="194">
        <v>0.38</v>
      </c>
      <c r="Q75" s="194">
        <v>0.05</v>
      </c>
      <c r="R75" s="84">
        <v>12.47</v>
      </c>
    </row>
    <row r="76" spans="1:18" outlineLevel="2" x14ac:dyDescent="0.45">
      <c r="A76" s="50"/>
      <c r="B76" s="58"/>
      <c r="C76" s="95" t="s">
        <v>45</v>
      </c>
      <c r="D76" s="96" t="s">
        <v>42</v>
      </c>
      <c r="E76" s="73"/>
      <c r="F76" s="74"/>
      <c r="G76" s="74"/>
      <c r="H76" s="74"/>
      <c r="I76" s="74"/>
      <c r="J76" s="75">
        <v>1129335.1232967668</v>
      </c>
      <c r="K76" s="75">
        <v>413873.55260215345</v>
      </c>
      <c r="L76" s="75">
        <v>675893.63505333907</v>
      </c>
      <c r="M76" s="75">
        <v>261586.40820031852</v>
      </c>
      <c r="N76" s="192">
        <v>274168</v>
      </c>
      <c r="O76" s="192">
        <v>468484</v>
      </c>
      <c r="P76" s="192">
        <v>236754</v>
      </c>
      <c r="Q76" s="192">
        <v>1622568</v>
      </c>
      <c r="R76" s="76">
        <v>1029711</v>
      </c>
    </row>
    <row r="77" spans="1:18" outlineLevel="2" x14ac:dyDescent="0.45">
      <c r="A77" s="50"/>
      <c r="B77" s="58"/>
      <c r="C77" s="95" t="s">
        <v>46</v>
      </c>
      <c r="D77" s="96" t="s">
        <v>44</v>
      </c>
      <c r="E77" s="73"/>
      <c r="F77" s="74"/>
      <c r="G77" s="74"/>
      <c r="H77" s="74"/>
      <c r="I77" s="74"/>
      <c r="J77" s="75">
        <v>3.7269999999999999</v>
      </c>
      <c r="K77" s="75">
        <v>9.1280000000000001</v>
      </c>
      <c r="L77" s="75">
        <v>5.5640000000000001</v>
      </c>
      <c r="M77" s="75">
        <v>5.0250000000000004</v>
      </c>
      <c r="N77" s="192">
        <v>1</v>
      </c>
      <c r="O77" s="192">
        <v>1</v>
      </c>
      <c r="P77" s="192">
        <v>0.12</v>
      </c>
      <c r="Q77" s="192">
        <v>0.34</v>
      </c>
      <c r="R77" s="76">
        <v>0.2</v>
      </c>
    </row>
    <row r="78" spans="1:18" ht="14.65" outlineLevel="2" thickBot="1" x14ac:dyDescent="0.5">
      <c r="A78" s="50"/>
      <c r="B78" s="85"/>
      <c r="C78" s="97" t="s">
        <v>47</v>
      </c>
      <c r="D78" s="98" t="s">
        <v>42</v>
      </c>
      <c r="E78" s="88"/>
      <c r="F78" s="89"/>
      <c r="G78" s="89"/>
      <c r="H78" s="89"/>
      <c r="I78" s="89"/>
      <c r="J78" s="90">
        <v>229623.3928917837</v>
      </c>
      <c r="K78" s="90">
        <v>247225.71847297688</v>
      </c>
      <c r="L78" s="90">
        <v>391410.20159323158</v>
      </c>
      <c r="M78" s="90">
        <v>359043.28418453806</v>
      </c>
      <c r="N78" s="195">
        <v>196997</v>
      </c>
      <c r="O78" s="195">
        <v>149416</v>
      </c>
      <c r="P78" s="195">
        <v>103897</v>
      </c>
      <c r="Q78" s="195">
        <v>195228</v>
      </c>
      <c r="R78" s="91">
        <v>195972</v>
      </c>
    </row>
    <row r="79" spans="1:18" outlineLevel="2" x14ac:dyDescent="0.45">
      <c r="A79" s="50"/>
      <c r="B79" s="51" t="s">
        <v>56</v>
      </c>
      <c r="C79" s="92" t="s">
        <v>35</v>
      </c>
      <c r="D79" s="53" t="s">
        <v>36</v>
      </c>
      <c r="E79" s="81"/>
      <c r="F79" s="82"/>
      <c r="G79" s="82"/>
      <c r="H79" s="82"/>
      <c r="I79" s="82"/>
      <c r="J79" s="83">
        <v>700</v>
      </c>
      <c r="K79" s="83">
        <v>1104</v>
      </c>
      <c r="L79" s="83">
        <v>801</v>
      </c>
      <c r="M79" s="83">
        <v>524</v>
      </c>
      <c r="N79" s="194">
        <v>404</v>
      </c>
      <c r="O79" s="194">
        <v>258</v>
      </c>
      <c r="P79" s="194">
        <v>239</v>
      </c>
      <c r="Q79" s="194">
        <v>269</v>
      </c>
      <c r="R79" s="84">
        <v>215</v>
      </c>
    </row>
    <row r="80" spans="1:18" outlineLevel="2" x14ac:dyDescent="0.45">
      <c r="A80" s="50"/>
      <c r="B80" s="58"/>
      <c r="C80" s="93" t="s">
        <v>37</v>
      </c>
      <c r="D80" s="60" t="s">
        <v>36</v>
      </c>
      <c r="E80" s="61"/>
      <c r="F80" s="62"/>
      <c r="G80" s="62"/>
      <c r="H80" s="62"/>
      <c r="I80" s="62"/>
      <c r="J80" s="63">
        <v>29</v>
      </c>
      <c r="K80" s="63">
        <v>106</v>
      </c>
      <c r="L80" s="63">
        <v>19</v>
      </c>
      <c r="M80" s="63">
        <v>9</v>
      </c>
      <c r="N80" s="190">
        <v>2</v>
      </c>
      <c r="O80" s="190">
        <v>59</v>
      </c>
      <c r="P80" s="190">
        <v>16</v>
      </c>
      <c r="Q80" s="190">
        <v>10</v>
      </c>
      <c r="R80" s="64">
        <v>5</v>
      </c>
    </row>
    <row r="81" spans="1:19" outlineLevel="2" x14ac:dyDescent="0.45">
      <c r="A81" s="50"/>
      <c r="B81" s="58"/>
      <c r="C81" s="94" t="s">
        <v>38</v>
      </c>
      <c r="D81" s="66" t="s">
        <v>39</v>
      </c>
      <c r="E81" s="67"/>
      <c r="F81" s="68"/>
      <c r="G81" s="68"/>
      <c r="H81" s="68"/>
      <c r="I81" s="68"/>
      <c r="J81" s="69">
        <v>2.3370000000000006</v>
      </c>
      <c r="K81" s="69">
        <v>1.9750000000000001</v>
      </c>
      <c r="L81" s="69">
        <v>1.363</v>
      </c>
      <c r="M81" s="69">
        <v>2.6999999999999997</v>
      </c>
      <c r="N81" s="191">
        <v>0</v>
      </c>
      <c r="O81" s="191">
        <v>0.4</v>
      </c>
      <c r="P81" s="191">
        <v>0.78</v>
      </c>
      <c r="Q81" s="191">
        <v>0.46</v>
      </c>
      <c r="R81" s="70">
        <v>0.52</v>
      </c>
    </row>
    <row r="82" spans="1:19" outlineLevel="2" x14ac:dyDescent="0.45">
      <c r="A82" s="50"/>
      <c r="B82" s="58"/>
      <c r="C82" s="95" t="s">
        <v>40</v>
      </c>
      <c r="D82" s="72" t="s">
        <v>36</v>
      </c>
      <c r="E82" s="73"/>
      <c r="F82" s="74"/>
      <c r="G82" s="74"/>
      <c r="H82" s="74"/>
      <c r="I82" s="74"/>
      <c r="J82" s="75">
        <v>0</v>
      </c>
      <c r="K82" s="75">
        <v>0</v>
      </c>
      <c r="L82" s="75">
        <v>0</v>
      </c>
      <c r="M82" s="75">
        <v>2</v>
      </c>
      <c r="N82" s="192">
        <v>5</v>
      </c>
      <c r="O82" s="192">
        <v>4</v>
      </c>
      <c r="P82" s="192">
        <v>3</v>
      </c>
      <c r="Q82" s="192">
        <v>0</v>
      </c>
      <c r="R82" s="76">
        <v>2</v>
      </c>
    </row>
    <row r="83" spans="1:19" outlineLevel="2" x14ac:dyDescent="0.45">
      <c r="A83" s="50"/>
      <c r="B83" s="58"/>
      <c r="C83" s="93" t="s">
        <v>41</v>
      </c>
      <c r="D83" s="60" t="s">
        <v>42</v>
      </c>
      <c r="E83" s="77"/>
      <c r="F83" s="78"/>
      <c r="G83" s="78"/>
      <c r="H83" s="78"/>
      <c r="I83" s="78"/>
      <c r="J83" s="79">
        <v>404208.34076100745</v>
      </c>
      <c r="K83" s="79">
        <v>351713.39090191218</v>
      </c>
      <c r="L83" s="79">
        <v>397888.93381346244</v>
      </c>
      <c r="M83" s="79">
        <v>360151.17652458942</v>
      </c>
      <c r="N83" s="193">
        <v>192543</v>
      </c>
      <c r="O83" s="193">
        <v>127752</v>
      </c>
      <c r="P83" s="193">
        <v>42212</v>
      </c>
      <c r="Q83" s="193">
        <v>69206</v>
      </c>
      <c r="R83" s="80">
        <v>43749</v>
      </c>
    </row>
    <row r="84" spans="1:19" outlineLevel="2" x14ac:dyDescent="0.45">
      <c r="A84" s="50"/>
      <c r="B84" s="58"/>
      <c r="C84" s="94" t="s">
        <v>43</v>
      </c>
      <c r="D84" s="66" t="s">
        <v>44</v>
      </c>
      <c r="E84" s="67"/>
      <c r="F84" s="68"/>
      <c r="G84" s="68"/>
      <c r="H84" s="68"/>
      <c r="I84" s="68"/>
      <c r="J84" s="69">
        <v>1.115</v>
      </c>
      <c r="K84" s="69">
        <v>3.056</v>
      </c>
      <c r="L84" s="69">
        <v>0.47709607574000001</v>
      </c>
      <c r="M84" s="69">
        <v>2.0990000000000002</v>
      </c>
      <c r="N84" s="191">
        <v>0</v>
      </c>
      <c r="O84" s="191">
        <v>0</v>
      </c>
      <c r="P84" s="191">
        <v>0.1</v>
      </c>
      <c r="Q84" s="191">
        <v>0</v>
      </c>
      <c r="R84" s="70">
        <v>0.2</v>
      </c>
    </row>
    <row r="85" spans="1:19" outlineLevel="2" x14ac:dyDescent="0.45">
      <c r="A85" s="50"/>
      <c r="B85" s="58"/>
      <c r="C85" s="95" t="s">
        <v>45</v>
      </c>
      <c r="D85" s="96" t="s">
        <v>42</v>
      </c>
      <c r="E85" s="73"/>
      <c r="F85" s="74"/>
      <c r="G85" s="74"/>
      <c r="H85" s="74"/>
      <c r="I85" s="74"/>
      <c r="J85" s="75">
        <v>498528.43579630699</v>
      </c>
      <c r="K85" s="75">
        <v>219705.66221937916</v>
      </c>
      <c r="L85" s="75">
        <v>120071.55214068542</v>
      </c>
      <c r="M85" s="75">
        <v>260138.69561742226</v>
      </c>
      <c r="N85" s="192">
        <v>109754</v>
      </c>
      <c r="O85" s="192">
        <v>2982</v>
      </c>
      <c r="P85" s="192">
        <v>59246</v>
      </c>
      <c r="Q85" s="192">
        <v>145351</v>
      </c>
      <c r="R85" s="76">
        <v>242654</v>
      </c>
    </row>
    <row r="86" spans="1:19" outlineLevel="2" x14ac:dyDescent="0.45">
      <c r="A86" s="50"/>
      <c r="B86" s="58"/>
      <c r="C86" s="95" t="s">
        <v>46</v>
      </c>
      <c r="D86" s="96" t="s">
        <v>44</v>
      </c>
      <c r="E86" s="73"/>
      <c r="F86" s="74"/>
      <c r="G86" s="74"/>
      <c r="H86" s="74"/>
      <c r="I86" s="74"/>
      <c r="J86" s="75">
        <v>19.440000000000001</v>
      </c>
      <c r="K86" s="75">
        <v>31.62332</v>
      </c>
      <c r="L86" s="75">
        <v>21.268000000000001</v>
      </c>
      <c r="M86" s="75">
        <v>14.784000000000001</v>
      </c>
      <c r="N86" s="192">
        <v>1</v>
      </c>
      <c r="O86" s="192">
        <v>0</v>
      </c>
      <c r="P86" s="192">
        <v>0.02</v>
      </c>
      <c r="Q86" s="192">
        <v>0</v>
      </c>
      <c r="R86" s="76">
        <v>0.3</v>
      </c>
    </row>
    <row r="87" spans="1:19" outlineLevel="2" x14ac:dyDescent="0.45">
      <c r="A87" s="50"/>
      <c r="B87" s="58"/>
      <c r="C87" s="93" t="s">
        <v>47</v>
      </c>
      <c r="D87" s="99" t="s">
        <v>42</v>
      </c>
      <c r="E87" s="77"/>
      <c r="F87" s="78"/>
      <c r="G87" s="78"/>
      <c r="H87" s="78"/>
      <c r="I87" s="78"/>
      <c r="J87" s="79">
        <v>490464.1049442527</v>
      </c>
      <c r="K87" s="79">
        <v>821578.99621179991</v>
      </c>
      <c r="L87" s="79">
        <v>687133.26423401153</v>
      </c>
      <c r="M87" s="79">
        <v>515893.22754881013</v>
      </c>
      <c r="N87" s="193">
        <v>306760</v>
      </c>
      <c r="O87" s="193">
        <v>169421</v>
      </c>
      <c r="P87" s="193">
        <v>191764</v>
      </c>
      <c r="Q87" s="193">
        <v>472344</v>
      </c>
      <c r="R87" s="80">
        <v>298801</v>
      </c>
    </row>
    <row r="88" spans="1:19" ht="14.65" outlineLevel="2" thickBot="1" x14ac:dyDescent="0.5">
      <c r="A88" s="50"/>
      <c r="B88" s="85"/>
      <c r="C88" s="100" t="s">
        <v>57</v>
      </c>
      <c r="D88" s="101" t="s">
        <v>52</v>
      </c>
      <c r="E88" s="102"/>
      <c r="F88" s="103"/>
      <c r="G88" s="103"/>
      <c r="H88" s="103"/>
      <c r="I88" s="103"/>
      <c r="J88" s="104">
        <v>19622.547626782642</v>
      </c>
      <c r="K88" s="104">
        <v>25327.237260601654</v>
      </c>
      <c r="L88" s="104">
        <v>10856.700452145573</v>
      </c>
      <c r="M88" s="104">
        <v>8233.2108673247949</v>
      </c>
      <c r="N88" s="196">
        <v>29003</v>
      </c>
      <c r="O88" s="196">
        <v>3949</v>
      </c>
      <c r="P88" s="196">
        <v>73306</v>
      </c>
      <c r="Q88" s="196">
        <v>114484</v>
      </c>
      <c r="R88" s="105">
        <v>1076</v>
      </c>
    </row>
    <row r="89" spans="1:19" outlineLevel="2" x14ac:dyDescent="0.45">
      <c r="A89" s="50"/>
      <c r="B89" s="51" t="s">
        <v>58</v>
      </c>
      <c r="C89" s="65" t="s">
        <v>35</v>
      </c>
      <c r="D89" s="66" t="s">
        <v>36</v>
      </c>
      <c r="E89" s="54"/>
      <c r="F89" s="55"/>
      <c r="G89" s="55"/>
      <c r="H89" s="55"/>
      <c r="I89" s="55"/>
      <c r="J89" s="56">
        <v>414</v>
      </c>
      <c r="K89" s="56">
        <v>463</v>
      </c>
      <c r="L89" s="56">
        <v>461</v>
      </c>
      <c r="M89" s="56">
        <v>717</v>
      </c>
      <c r="N89" s="189">
        <v>1157</v>
      </c>
      <c r="O89" s="189">
        <v>1478</v>
      </c>
      <c r="P89" s="189">
        <v>1801</v>
      </c>
      <c r="Q89" s="189">
        <v>1048</v>
      </c>
      <c r="R89" s="57">
        <v>338</v>
      </c>
    </row>
    <row r="90" spans="1:19" outlineLevel="2" x14ac:dyDescent="0.45">
      <c r="A90" s="50"/>
      <c r="B90" s="58"/>
      <c r="C90" s="93" t="s">
        <v>37</v>
      </c>
      <c r="D90" s="106" t="s">
        <v>36</v>
      </c>
      <c r="E90" s="61"/>
      <c r="F90" s="62"/>
      <c r="G90" s="62"/>
      <c r="H90" s="62"/>
      <c r="I90" s="62"/>
      <c r="J90" s="63">
        <v>417</v>
      </c>
      <c r="K90" s="63">
        <v>400</v>
      </c>
      <c r="L90" s="63">
        <v>388</v>
      </c>
      <c r="M90" s="63">
        <v>885</v>
      </c>
      <c r="N90" s="190">
        <v>841</v>
      </c>
      <c r="O90" s="190">
        <v>1131</v>
      </c>
      <c r="P90" s="190">
        <v>1527</v>
      </c>
      <c r="Q90" s="190">
        <v>847</v>
      </c>
      <c r="R90" s="64">
        <v>277</v>
      </c>
    </row>
    <row r="91" spans="1:19" outlineLevel="2" x14ac:dyDescent="0.45">
      <c r="A91" s="50"/>
      <c r="B91" s="58"/>
      <c r="C91" s="94" t="s">
        <v>38</v>
      </c>
      <c r="D91" s="66" t="s">
        <v>39</v>
      </c>
      <c r="E91" s="67"/>
      <c r="F91" s="68"/>
      <c r="G91" s="68"/>
      <c r="H91" s="68"/>
      <c r="I91" s="68"/>
      <c r="J91" s="69">
        <v>0</v>
      </c>
      <c r="K91" s="69">
        <v>0</v>
      </c>
      <c r="L91" s="69">
        <v>0</v>
      </c>
      <c r="M91" s="69">
        <v>0</v>
      </c>
      <c r="N91" s="191">
        <v>0</v>
      </c>
      <c r="O91" s="191">
        <v>0</v>
      </c>
      <c r="P91" s="191">
        <v>0</v>
      </c>
      <c r="Q91" s="191">
        <v>0</v>
      </c>
      <c r="R91" s="70">
        <v>0</v>
      </c>
    </row>
    <row r="92" spans="1:19" outlineLevel="2" x14ac:dyDescent="0.45">
      <c r="A92" s="50"/>
      <c r="B92" s="58"/>
      <c r="C92" s="95" t="s">
        <v>40</v>
      </c>
      <c r="D92" s="72" t="s">
        <v>36</v>
      </c>
      <c r="E92" s="73"/>
      <c r="F92" s="74"/>
      <c r="G92" s="74"/>
      <c r="H92" s="74"/>
      <c r="I92" s="74"/>
      <c r="J92" s="75">
        <v>0</v>
      </c>
      <c r="K92" s="75">
        <v>0</v>
      </c>
      <c r="L92" s="75">
        <v>0</v>
      </c>
      <c r="M92" s="75">
        <v>0</v>
      </c>
      <c r="N92" s="192">
        <v>0</v>
      </c>
      <c r="O92" s="192">
        <v>0</v>
      </c>
      <c r="P92" s="192">
        <v>0</v>
      </c>
      <c r="Q92" s="192">
        <v>0</v>
      </c>
      <c r="R92" s="76">
        <v>0</v>
      </c>
    </row>
    <row r="93" spans="1:19" outlineLevel="2" x14ac:dyDescent="0.45">
      <c r="A93" s="50"/>
      <c r="B93" s="58"/>
      <c r="C93" s="93" t="s">
        <v>41</v>
      </c>
      <c r="D93" s="60" t="s">
        <v>42</v>
      </c>
      <c r="E93" s="77"/>
      <c r="F93" s="78"/>
      <c r="G93" s="78"/>
      <c r="H93" s="78"/>
      <c r="I93" s="78"/>
      <c r="J93" s="79">
        <v>0</v>
      </c>
      <c r="K93" s="79">
        <v>0</v>
      </c>
      <c r="L93" s="79">
        <v>0</v>
      </c>
      <c r="M93" s="79">
        <v>0</v>
      </c>
      <c r="N93" s="193">
        <v>0</v>
      </c>
      <c r="O93" s="193">
        <v>0</v>
      </c>
      <c r="P93" s="193">
        <v>0</v>
      </c>
      <c r="Q93" s="193">
        <v>0</v>
      </c>
      <c r="R93" s="80">
        <v>0</v>
      </c>
    </row>
    <row r="94" spans="1:19" outlineLevel="2" x14ac:dyDescent="0.45">
      <c r="A94" s="50"/>
      <c r="B94" s="58"/>
      <c r="C94" s="94" t="s">
        <v>43</v>
      </c>
      <c r="D94" s="66" t="s">
        <v>44</v>
      </c>
      <c r="E94" s="81"/>
      <c r="F94" s="82"/>
      <c r="G94" s="82"/>
      <c r="H94" s="82"/>
      <c r="I94" s="82"/>
      <c r="J94" s="83">
        <v>0</v>
      </c>
      <c r="K94" s="83">
        <v>0</v>
      </c>
      <c r="L94" s="83">
        <v>0</v>
      </c>
      <c r="M94" s="83">
        <v>0</v>
      </c>
      <c r="N94" s="194">
        <v>0</v>
      </c>
      <c r="O94" s="194">
        <v>0</v>
      </c>
      <c r="P94" s="194">
        <v>0</v>
      </c>
      <c r="Q94" s="194">
        <v>0</v>
      </c>
      <c r="R94" s="84">
        <v>0</v>
      </c>
    </row>
    <row r="95" spans="1:19" outlineLevel="2" x14ac:dyDescent="0.45">
      <c r="A95" s="50"/>
      <c r="B95" s="58"/>
      <c r="C95" s="95" t="s">
        <v>45</v>
      </c>
      <c r="D95" s="96" t="s">
        <v>42</v>
      </c>
      <c r="E95" s="73"/>
      <c r="F95" s="74"/>
      <c r="G95" s="74"/>
      <c r="H95" s="74"/>
      <c r="I95" s="74"/>
      <c r="J95" s="75">
        <v>0</v>
      </c>
      <c r="K95" s="75">
        <v>0</v>
      </c>
      <c r="L95" s="75">
        <v>0</v>
      </c>
      <c r="M95" s="75">
        <v>0</v>
      </c>
      <c r="N95" s="192">
        <v>0</v>
      </c>
      <c r="O95" s="256">
        <v>0</v>
      </c>
      <c r="P95" s="256">
        <v>0</v>
      </c>
      <c r="Q95" s="256">
        <v>0</v>
      </c>
      <c r="R95" s="76">
        <v>0</v>
      </c>
      <c r="S95" s="26" t="s">
        <v>311</v>
      </c>
    </row>
    <row r="96" spans="1:19" outlineLevel="2" x14ac:dyDescent="0.45">
      <c r="A96" s="50"/>
      <c r="B96" s="58"/>
      <c r="C96" s="95" t="s">
        <v>46</v>
      </c>
      <c r="D96" s="96" t="s">
        <v>44</v>
      </c>
      <c r="E96" s="73"/>
      <c r="F96" s="74"/>
      <c r="G96" s="74"/>
      <c r="H96" s="74"/>
      <c r="I96" s="74"/>
      <c r="J96" s="75">
        <v>0</v>
      </c>
      <c r="K96" s="75">
        <v>0</v>
      </c>
      <c r="L96" s="75">
        <v>0</v>
      </c>
      <c r="M96" s="75">
        <v>0</v>
      </c>
      <c r="N96" s="192">
        <v>0</v>
      </c>
      <c r="O96" s="192">
        <v>0</v>
      </c>
      <c r="P96" s="192">
        <v>0</v>
      </c>
      <c r="Q96" s="192">
        <v>0</v>
      </c>
      <c r="R96" s="76">
        <v>0</v>
      </c>
    </row>
    <row r="97" spans="1:18" ht="14.65" outlineLevel="2" thickBot="1" x14ac:dyDescent="0.5">
      <c r="A97" s="50"/>
      <c r="B97" s="85"/>
      <c r="C97" s="107" t="s">
        <v>47</v>
      </c>
      <c r="D97" s="108" t="s">
        <v>42</v>
      </c>
      <c r="E97" s="88"/>
      <c r="F97" s="89"/>
      <c r="G97" s="89"/>
      <c r="H97" s="89"/>
      <c r="I97" s="89"/>
      <c r="J97" s="90">
        <v>0</v>
      </c>
      <c r="K97" s="90">
        <v>0</v>
      </c>
      <c r="L97" s="90">
        <v>0</v>
      </c>
      <c r="M97" s="90">
        <v>0</v>
      </c>
      <c r="N97" s="195">
        <v>0</v>
      </c>
      <c r="O97" s="195">
        <v>0</v>
      </c>
      <c r="P97" s="195">
        <v>0</v>
      </c>
      <c r="Q97" s="195">
        <v>0</v>
      </c>
      <c r="R97" s="91">
        <v>0</v>
      </c>
    </row>
    <row r="98" spans="1:18" outlineLevel="1" x14ac:dyDescent="0.45">
      <c r="A98" s="22"/>
      <c r="B98" s="22"/>
      <c r="C98" s="22"/>
      <c r="D98" s="26"/>
      <c r="E98" s="22"/>
      <c r="F98" s="22"/>
      <c r="G98" s="22"/>
      <c r="H98" s="22"/>
      <c r="I98" s="22"/>
      <c r="J98" s="22"/>
      <c r="K98" s="22"/>
      <c r="L98" s="22"/>
      <c r="M98" s="22"/>
      <c r="N98" s="22"/>
      <c r="O98" s="22"/>
      <c r="P98" s="22"/>
      <c r="Q98" s="22"/>
      <c r="R98" s="22"/>
    </row>
    <row r="100" spans="1:18" ht="21.4" thickBot="1" x14ac:dyDescent="0.5">
      <c r="B100" s="36" t="s">
        <v>60</v>
      </c>
      <c r="C100" s="37"/>
      <c r="D100" s="37"/>
      <c r="E100" s="37"/>
      <c r="F100" s="37"/>
      <c r="G100" s="37"/>
      <c r="H100" s="37"/>
      <c r="I100" s="37"/>
      <c r="J100" s="37"/>
      <c r="K100" s="37"/>
      <c r="L100" s="37"/>
      <c r="M100" s="37"/>
      <c r="N100" s="37"/>
      <c r="O100" s="37"/>
      <c r="P100" s="37"/>
      <c r="Q100" s="37"/>
      <c r="R100" s="37"/>
    </row>
    <row r="101" spans="1:18" ht="21.4" outlineLevel="1" thickBot="1" x14ac:dyDescent="0.5">
      <c r="B101" s="39" t="s">
        <v>61</v>
      </c>
      <c r="C101" s="113"/>
      <c r="D101" s="113"/>
      <c r="E101" s="113"/>
      <c r="F101" s="113"/>
      <c r="G101" s="113"/>
      <c r="H101" s="113"/>
      <c r="I101" s="113"/>
      <c r="J101" s="113"/>
      <c r="K101" s="113"/>
      <c r="L101" s="113"/>
      <c r="M101" s="113"/>
      <c r="N101" s="113"/>
      <c r="O101" s="113"/>
      <c r="P101" s="113"/>
      <c r="Q101" s="113"/>
      <c r="R101" s="113"/>
    </row>
    <row r="102" spans="1:18" ht="22.35" customHeight="1" outlineLevel="2" thickBot="1" x14ac:dyDescent="0.5">
      <c r="B102" s="42"/>
      <c r="C102" s="42"/>
      <c r="D102" s="43"/>
      <c r="E102" s="278" t="s">
        <v>62</v>
      </c>
      <c r="F102" s="279"/>
      <c r="G102" s="279"/>
      <c r="H102" s="279"/>
      <c r="I102" s="279"/>
      <c r="J102" s="279"/>
      <c r="K102" s="279"/>
      <c r="L102" s="279"/>
      <c r="M102" s="279"/>
      <c r="N102" s="279"/>
      <c r="O102" s="279"/>
      <c r="P102" s="279"/>
      <c r="Q102" s="279"/>
      <c r="R102" s="279"/>
    </row>
    <row r="103" spans="1:18" ht="14.65" outlineLevel="2" thickBot="1" x14ac:dyDescent="0.5">
      <c r="B103" s="44"/>
      <c r="C103" s="45"/>
      <c r="D103" s="46"/>
      <c r="E103" s="114" t="str">
        <f>E$11</f>
        <v>2008-09</v>
      </c>
      <c r="F103" s="115" t="str">
        <f t="shared" ref="F103:R103" si="1">F$11</f>
        <v>2009-10</v>
      </c>
      <c r="G103" s="115" t="str">
        <f t="shared" si="1"/>
        <v>2010-11</v>
      </c>
      <c r="H103" s="115" t="str">
        <f t="shared" si="1"/>
        <v>2011-12</v>
      </c>
      <c r="I103" s="115" t="str">
        <f t="shared" si="1"/>
        <v>2012-13</v>
      </c>
      <c r="J103" s="115" t="str">
        <f t="shared" si="1"/>
        <v>2013-14</v>
      </c>
      <c r="K103" s="115" t="str">
        <f t="shared" si="1"/>
        <v>2014-15</v>
      </c>
      <c r="L103" s="116" t="str">
        <f t="shared" si="1"/>
        <v>2015-16</v>
      </c>
      <c r="M103" s="116" t="str">
        <f t="shared" si="1"/>
        <v>2016-17</v>
      </c>
      <c r="N103" s="116" t="str">
        <f t="shared" si="1"/>
        <v>2017-18</v>
      </c>
      <c r="O103" s="116" t="str">
        <f t="shared" si="1"/>
        <v>2018-19</v>
      </c>
      <c r="P103" s="116" t="str">
        <f t="shared" si="1"/>
        <v>2019-20</v>
      </c>
      <c r="Q103" s="116" t="str">
        <f t="shared" si="1"/>
        <v>2020-21</v>
      </c>
      <c r="R103" s="116" t="str">
        <f t="shared" si="1"/>
        <v>2021-22</v>
      </c>
    </row>
    <row r="104" spans="1:18" outlineLevel="2" x14ac:dyDescent="0.45">
      <c r="B104" s="117" t="s">
        <v>34</v>
      </c>
      <c r="C104" s="118" t="s">
        <v>63</v>
      </c>
      <c r="D104" s="119"/>
      <c r="E104" s="54"/>
      <c r="F104" s="55"/>
      <c r="G104" s="55"/>
      <c r="H104" s="55"/>
      <c r="I104" s="55"/>
      <c r="J104" s="56">
        <v>830015.21857821778</v>
      </c>
      <c r="K104" s="56">
        <v>882781.81828650658</v>
      </c>
      <c r="L104" s="56">
        <v>803279.87009334832</v>
      </c>
      <c r="M104" s="56">
        <v>496397.44063220714</v>
      </c>
      <c r="N104" s="189">
        <v>77223</v>
      </c>
      <c r="O104" s="189">
        <v>133593</v>
      </c>
      <c r="P104" s="189">
        <v>85540</v>
      </c>
      <c r="Q104" s="189">
        <v>238300</v>
      </c>
      <c r="R104" s="57">
        <v>382592</v>
      </c>
    </row>
    <row r="105" spans="1:18" outlineLevel="2" x14ac:dyDescent="0.45">
      <c r="B105" s="117"/>
      <c r="C105" s="120" t="s">
        <v>64</v>
      </c>
      <c r="D105" s="121"/>
      <c r="E105" s="73"/>
      <c r="F105" s="74"/>
      <c r="G105" s="74"/>
      <c r="H105" s="74"/>
      <c r="I105" s="74"/>
      <c r="J105" s="75">
        <v>261520.74000000002</v>
      </c>
      <c r="K105" s="75">
        <v>159153.61333333331</v>
      </c>
      <c r="L105" s="75">
        <v>27471.126666666667</v>
      </c>
      <c r="M105" s="75">
        <v>112.44</v>
      </c>
      <c r="N105" s="192">
        <v>33572</v>
      </c>
      <c r="O105" s="192">
        <v>15125</v>
      </c>
      <c r="P105" s="192">
        <v>128211</v>
      </c>
      <c r="Q105" s="192">
        <v>155150</v>
      </c>
      <c r="R105" s="76">
        <v>68506</v>
      </c>
    </row>
    <row r="106" spans="1:18" ht="14.65" outlineLevel="2" thickBot="1" x14ac:dyDescent="0.5">
      <c r="B106" s="122"/>
      <c r="C106" s="123" t="s">
        <v>65</v>
      </c>
      <c r="D106" s="124"/>
      <c r="E106" s="88"/>
      <c r="F106" s="89"/>
      <c r="G106" s="89"/>
      <c r="H106" s="89"/>
      <c r="I106" s="89"/>
      <c r="J106" s="90">
        <v>3183722.0399999982</v>
      </c>
      <c r="K106" s="90">
        <v>3217263.05</v>
      </c>
      <c r="L106" s="90">
        <v>1084484.0200000003</v>
      </c>
      <c r="M106" s="90">
        <v>203741.13</v>
      </c>
      <c r="N106" s="195">
        <v>243096</v>
      </c>
      <c r="O106" s="195">
        <v>196047</v>
      </c>
      <c r="P106" s="195">
        <v>247843</v>
      </c>
      <c r="Q106" s="195">
        <v>50933</v>
      </c>
      <c r="R106" s="91">
        <v>268905</v>
      </c>
    </row>
    <row r="107" spans="1:18" outlineLevel="2" x14ac:dyDescent="0.45">
      <c r="B107" s="125" t="s">
        <v>53</v>
      </c>
      <c r="C107" s="118" t="s">
        <v>63</v>
      </c>
      <c r="D107" s="119"/>
      <c r="E107" s="54"/>
      <c r="F107" s="55"/>
      <c r="G107" s="55"/>
      <c r="H107" s="55"/>
      <c r="I107" s="55"/>
      <c r="J107" s="56">
        <v>101927.14965165267</v>
      </c>
      <c r="K107" s="56">
        <v>242524.33206444583</v>
      </c>
      <c r="L107" s="56">
        <v>378990.91760865058</v>
      </c>
      <c r="M107" s="56">
        <v>319837.808169119</v>
      </c>
      <c r="N107" s="189">
        <v>131561</v>
      </c>
      <c r="O107" s="189">
        <v>104152</v>
      </c>
      <c r="P107" s="189">
        <v>37939</v>
      </c>
      <c r="Q107" s="189">
        <v>50549</v>
      </c>
      <c r="R107" s="57">
        <v>293746</v>
      </c>
    </row>
    <row r="108" spans="1:18" outlineLevel="2" x14ac:dyDescent="0.45">
      <c r="B108" s="117"/>
      <c r="C108" s="120" t="s">
        <v>66</v>
      </c>
      <c r="D108" s="121"/>
      <c r="E108" s="73"/>
      <c r="F108" s="74"/>
      <c r="G108" s="74"/>
      <c r="H108" s="74"/>
      <c r="I108" s="74"/>
      <c r="J108" s="75">
        <v>2775536.22</v>
      </c>
      <c r="K108" s="75">
        <v>1735295.5600000003</v>
      </c>
      <c r="L108" s="75">
        <v>2270909.3175284825</v>
      </c>
      <c r="M108" s="75">
        <v>1045197.7424715172</v>
      </c>
      <c r="N108" s="192">
        <v>1528401</v>
      </c>
      <c r="O108" s="192">
        <v>1869173</v>
      </c>
      <c r="P108" s="192">
        <v>858398</v>
      </c>
      <c r="Q108" s="192">
        <v>826748</v>
      </c>
      <c r="R108" s="76">
        <v>638121</v>
      </c>
    </row>
    <row r="109" spans="1:18" outlineLevel="2" x14ac:dyDescent="0.45">
      <c r="B109" s="117"/>
      <c r="C109" s="120" t="s">
        <v>67</v>
      </c>
      <c r="D109" s="121"/>
      <c r="E109" s="73"/>
      <c r="F109" s="74"/>
      <c r="G109" s="74"/>
      <c r="H109" s="74"/>
      <c r="I109" s="74"/>
      <c r="J109" s="75">
        <v>0</v>
      </c>
      <c r="K109" s="75">
        <v>0</v>
      </c>
      <c r="L109" s="75">
        <v>0</v>
      </c>
      <c r="M109" s="75">
        <v>0</v>
      </c>
      <c r="N109" s="192">
        <v>0</v>
      </c>
      <c r="O109" s="192">
        <v>66696</v>
      </c>
      <c r="P109" s="192">
        <v>177989</v>
      </c>
      <c r="Q109" s="192">
        <v>862460</v>
      </c>
      <c r="R109" s="76">
        <v>483358</v>
      </c>
    </row>
    <row r="110" spans="1:18" outlineLevel="2" x14ac:dyDescent="0.45">
      <c r="B110" s="117"/>
      <c r="C110" s="120" t="s">
        <v>68</v>
      </c>
      <c r="D110" s="121"/>
      <c r="E110" s="73"/>
      <c r="F110" s="74"/>
      <c r="G110" s="74"/>
      <c r="H110" s="74"/>
      <c r="I110" s="74"/>
      <c r="J110" s="75">
        <v>442539.97000000003</v>
      </c>
      <c r="K110" s="75">
        <v>308339.15000000002</v>
      </c>
      <c r="L110" s="75">
        <v>222800.53000000003</v>
      </c>
      <c r="M110" s="75">
        <v>111178.79999999999</v>
      </c>
      <c r="N110" s="192">
        <v>0</v>
      </c>
      <c r="O110" s="192">
        <v>0</v>
      </c>
      <c r="P110" s="192">
        <v>11199</v>
      </c>
      <c r="Q110" s="192">
        <v>810580</v>
      </c>
      <c r="R110" s="76">
        <v>658464</v>
      </c>
    </row>
    <row r="111" spans="1:18" ht="14.65" outlineLevel="2" thickBot="1" x14ac:dyDescent="0.5">
      <c r="B111" s="122"/>
      <c r="C111" s="126" t="s">
        <v>69</v>
      </c>
      <c r="D111" s="127"/>
      <c r="E111" s="88"/>
      <c r="F111" s="89"/>
      <c r="G111" s="89"/>
      <c r="H111" s="89"/>
      <c r="I111" s="89"/>
      <c r="J111" s="90">
        <v>0</v>
      </c>
      <c r="K111" s="90">
        <v>0</v>
      </c>
      <c r="L111" s="90">
        <v>0</v>
      </c>
      <c r="M111" s="90">
        <v>0</v>
      </c>
      <c r="N111" s="195">
        <v>0</v>
      </c>
      <c r="O111" s="195">
        <v>0</v>
      </c>
      <c r="P111" s="195">
        <v>0</v>
      </c>
      <c r="Q111" s="195">
        <v>0</v>
      </c>
      <c r="R111" s="91">
        <v>0</v>
      </c>
    </row>
    <row r="112" spans="1:18" outlineLevel="2" x14ac:dyDescent="0.45">
      <c r="B112" s="125" t="s">
        <v>56</v>
      </c>
      <c r="C112" s="128" t="s">
        <v>64</v>
      </c>
      <c r="D112" s="129"/>
      <c r="E112" s="54"/>
      <c r="F112" s="55"/>
      <c r="G112" s="55"/>
      <c r="H112" s="55"/>
      <c r="I112" s="55"/>
      <c r="J112" s="56">
        <v>438422.81150156714</v>
      </c>
      <c r="K112" s="56">
        <v>760897.34933309117</v>
      </c>
      <c r="L112" s="56">
        <v>663170.85018815938</v>
      </c>
      <c r="M112" s="56">
        <v>426307.04969082173</v>
      </c>
      <c r="N112" s="189">
        <v>261007</v>
      </c>
      <c r="O112" s="189">
        <v>169421</v>
      </c>
      <c r="P112" s="189">
        <v>191340</v>
      </c>
      <c r="Q112" s="189">
        <v>473584</v>
      </c>
      <c r="R112" s="57">
        <v>380062</v>
      </c>
    </row>
    <row r="113" spans="2:19" outlineLevel="2" x14ac:dyDescent="0.45">
      <c r="B113" s="117"/>
      <c r="C113" s="120" t="s">
        <v>70</v>
      </c>
      <c r="D113" s="121"/>
      <c r="E113" s="73"/>
      <c r="F113" s="74"/>
      <c r="G113" s="74"/>
      <c r="H113" s="74"/>
      <c r="I113" s="74"/>
      <c r="J113" s="75">
        <v>699176.48000000021</v>
      </c>
      <c r="K113" s="75">
        <v>622216.30999999982</v>
      </c>
      <c r="L113" s="75">
        <v>485067.08000000025</v>
      </c>
      <c r="M113" s="75">
        <v>709876.05000000016</v>
      </c>
      <c r="N113" s="192">
        <v>348050</v>
      </c>
      <c r="O113" s="192">
        <v>84240</v>
      </c>
      <c r="P113" s="192">
        <v>2259</v>
      </c>
      <c r="Q113" s="192">
        <v>169498</v>
      </c>
      <c r="R113" s="76">
        <v>205142</v>
      </c>
    </row>
    <row r="114" spans="2:19" ht="14.65" outlineLevel="2" thickBot="1" x14ac:dyDescent="0.5">
      <c r="B114" s="122"/>
      <c r="C114" s="126" t="s">
        <v>71</v>
      </c>
      <c r="D114" s="127"/>
      <c r="E114" s="88"/>
      <c r="F114" s="89"/>
      <c r="G114" s="89"/>
      <c r="H114" s="89"/>
      <c r="I114" s="89"/>
      <c r="J114" s="90">
        <v>255601.59</v>
      </c>
      <c r="K114" s="90">
        <v>9884.39</v>
      </c>
      <c r="L114" s="90">
        <v>56855.820000000007</v>
      </c>
      <c r="M114" s="90">
        <v>0</v>
      </c>
      <c r="N114" s="195">
        <v>0</v>
      </c>
      <c r="O114" s="195">
        <v>46494</v>
      </c>
      <c r="P114" s="195">
        <v>99623</v>
      </c>
      <c r="Q114" s="195">
        <v>43820</v>
      </c>
      <c r="R114" s="91">
        <v>0</v>
      </c>
    </row>
    <row r="115" spans="2:19" outlineLevel="2" x14ac:dyDescent="0.45">
      <c r="B115" s="125" t="s">
        <v>58</v>
      </c>
      <c r="C115" s="128" t="s">
        <v>63</v>
      </c>
      <c r="D115" s="129"/>
      <c r="E115" s="54"/>
      <c r="F115" s="55"/>
      <c r="G115" s="55"/>
      <c r="H115" s="55"/>
      <c r="I115" s="55"/>
      <c r="J115" s="56">
        <v>0</v>
      </c>
      <c r="K115" s="56">
        <v>0</v>
      </c>
      <c r="L115" s="56">
        <v>0</v>
      </c>
      <c r="M115" s="56">
        <v>0</v>
      </c>
      <c r="N115" s="189">
        <v>0</v>
      </c>
      <c r="O115" s="189">
        <v>0</v>
      </c>
      <c r="P115" s="189">
        <v>0</v>
      </c>
      <c r="Q115" s="189">
        <v>0</v>
      </c>
      <c r="R115" s="57">
        <v>0</v>
      </c>
    </row>
    <row r="116" spans="2:19" outlineLevel="2" x14ac:dyDescent="0.45">
      <c r="B116" s="117"/>
      <c r="C116" s="120" t="s">
        <v>72</v>
      </c>
      <c r="D116" s="121"/>
      <c r="E116" s="73"/>
      <c r="F116" s="74"/>
      <c r="G116" s="74"/>
      <c r="H116" s="74"/>
      <c r="I116" s="74"/>
      <c r="J116" s="75">
        <v>0</v>
      </c>
      <c r="K116" s="75">
        <v>0</v>
      </c>
      <c r="L116" s="75">
        <v>0</v>
      </c>
      <c r="M116" s="75">
        <v>0</v>
      </c>
      <c r="N116" s="192">
        <v>0</v>
      </c>
      <c r="O116" s="192">
        <v>0</v>
      </c>
      <c r="P116" s="192">
        <v>0</v>
      </c>
      <c r="Q116" s="192">
        <v>0</v>
      </c>
      <c r="R116" s="76">
        <v>0</v>
      </c>
    </row>
    <row r="117" spans="2:19" ht="14.65" outlineLevel="2" thickBot="1" x14ac:dyDescent="0.5">
      <c r="B117" s="122"/>
      <c r="C117" s="126" t="s">
        <v>73</v>
      </c>
      <c r="D117" s="127"/>
      <c r="E117" s="88"/>
      <c r="F117" s="89"/>
      <c r="G117" s="89"/>
      <c r="H117" s="89"/>
      <c r="I117" s="89"/>
      <c r="J117" s="90">
        <v>0</v>
      </c>
      <c r="K117" s="90">
        <v>0</v>
      </c>
      <c r="L117" s="90">
        <v>0</v>
      </c>
      <c r="M117" s="90">
        <v>0</v>
      </c>
      <c r="N117" s="195">
        <v>0</v>
      </c>
      <c r="O117" s="255">
        <v>0</v>
      </c>
      <c r="P117" s="255">
        <v>0</v>
      </c>
      <c r="Q117" s="255">
        <v>0</v>
      </c>
      <c r="R117" s="91">
        <v>0</v>
      </c>
      <c r="S117" s="26" t="s">
        <v>311</v>
      </c>
    </row>
    <row r="118" spans="2:19" ht="14.65" outlineLevel="1" thickBot="1" x14ac:dyDescent="0.5"/>
    <row r="119" spans="2:19" ht="21.4" outlineLevel="1" thickBot="1" x14ac:dyDescent="0.5">
      <c r="B119" s="39" t="s">
        <v>74</v>
      </c>
      <c r="C119" s="113"/>
      <c r="D119" s="113"/>
      <c r="E119" s="113"/>
      <c r="F119" s="113"/>
      <c r="G119" s="113"/>
      <c r="H119" s="113"/>
      <c r="I119" s="113"/>
      <c r="J119" s="113"/>
      <c r="K119" s="113"/>
      <c r="L119" s="113"/>
      <c r="M119" s="113"/>
      <c r="N119" s="113"/>
      <c r="O119" s="113"/>
      <c r="P119" s="113"/>
      <c r="Q119" s="113"/>
      <c r="R119" s="113"/>
    </row>
    <row r="120" spans="2:19" ht="15.75" customHeight="1" outlineLevel="2" thickBot="1" x14ac:dyDescent="0.5">
      <c r="B120" s="42"/>
      <c r="C120" s="42"/>
      <c r="D120" s="43"/>
      <c r="E120" s="278" t="s">
        <v>62</v>
      </c>
      <c r="F120" s="279"/>
      <c r="G120" s="279"/>
      <c r="H120" s="279"/>
      <c r="I120" s="279"/>
      <c r="J120" s="279"/>
      <c r="K120" s="279"/>
      <c r="L120" s="279"/>
      <c r="M120" s="279"/>
      <c r="N120" s="279"/>
      <c r="O120" s="279"/>
      <c r="P120" s="279"/>
      <c r="Q120" s="279"/>
      <c r="R120" s="279"/>
    </row>
    <row r="121" spans="2:19" ht="14.65" outlineLevel="2" thickBot="1" x14ac:dyDescent="0.5">
      <c r="B121" s="44"/>
      <c r="C121" s="45"/>
      <c r="D121" s="46"/>
      <c r="E121" s="114" t="str">
        <f>E$11</f>
        <v>2008-09</v>
      </c>
      <c r="F121" s="115" t="str">
        <f t="shared" ref="F121:R121" si="2">F$11</f>
        <v>2009-10</v>
      </c>
      <c r="G121" s="115" t="str">
        <f t="shared" si="2"/>
        <v>2010-11</v>
      </c>
      <c r="H121" s="115" t="str">
        <f t="shared" si="2"/>
        <v>2011-12</v>
      </c>
      <c r="I121" s="115" t="str">
        <f t="shared" si="2"/>
        <v>2012-13</v>
      </c>
      <c r="J121" s="115" t="str">
        <f t="shared" si="2"/>
        <v>2013-14</v>
      </c>
      <c r="K121" s="115" t="str">
        <f t="shared" si="2"/>
        <v>2014-15</v>
      </c>
      <c r="L121" s="116" t="str">
        <f t="shared" si="2"/>
        <v>2015-16</v>
      </c>
      <c r="M121" s="116" t="str">
        <f t="shared" si="2"/>
        <v>2016-17</v>
      </c>
      <c r="N121" s="116" t="str">
        <f t="shared" si="2"/>
        <v>2017-18</v>
      </c>
      <c r="O121" s="116" t="str">
        <f t="shared" si="2"/>
        <v>2018-19</v>
      </c>
      <c r="P121" s="116" t="str">
        <f t="shared" si="2"/>
        <v>2019-20</v>
      </c>
      <c r="Q121" s="116" t="str">
        <f t="shared" si="2"/>
        <v>2020-21</v>
      </c>
      <c r="R121" s="116" t="str">
        <f t="shared" si="2"/>
        <v>2021-22</v>
      </c>
    </row>
    <row r="122" spans="2:19" outlineLevel="2" x14ac:dyDescent="0.45">
      <c r="B122" s="117" t="s">
        <v>34</v>
      </c>
      <c r="C122" s="118" t="s">
        <v>63</v>
      </c>
      <c r="D122" s="119"/>
      <c r="E122" s="54"/>
      <c r="F122" s="55"/>
      <c r="G122" s="55"/>
      <c r="H122" s="55"/>
      <c r="I122" s="55"/>
      <c r="J122" s="56">
        <v>830015.21857821778</v>
      </c>
      <c r="K122" s="56">
        <v>882781.81828650658</v>
      </c>
      <c r="L122" s="56">
        <v>803279.87009334832</v>
      </c>
      <c r="M122" s="56">
        <v>496397.44063220714</v>
      </c>
      <c r="N122" s="189">
        <v>77223</v>
      </c>
      <c r="O122" s="189">
        <v>133593</v>
      </c>
      <c r="P122" s="189">
        <v>85540</v>
      </c>
      <c r="Q122" s="189">
        <v>238300</v>
      </c>
      <c r="R122" s="57">
        <v>382592</v>
      </c>
    </row>
    <row r="123" spans="2:19" outlineLevel="2" x14ac:dyDescent="0.45">
      <c r="B123" s="117"/>
      <c r="C123" s="120" t="s">
        <v>64</v>
      </c>
      <c r="D123" s="121"/>
      <c r="E123" s="73"/>
      <c r="F123" s="74"/>
      <c r="G123" s="74"/>
      <c r="H123" s="74"/>
      <c r="I123" s="74"/>
      <c r="J123" s="75">
        <v>261520.74000000002</v>
      </c>
      <c r="K123" s="75">
        <v>159153.61333333331</v>
      </c>
      <c r="L123" s="75">
        <v>27471.126666666667</v>
      </c>
      <c r="M123" s="75">
        <v>112.44</v>
      </c>
      <c r="N123" s="192">
        <v>33572</v>
      </c>
      <c r="O123" s="192">
        <v>15125</v>
      </c>
      <c r="P123" s="192">
        <v>128211</v>
      </c>
      <c r="Q123" s="192">
        <v>155150</v>
      </c>
      <c r="R123" s="76">
        <v>68506</v>
      </c>
    </row>
    <row r="124" spans="2:19" ht="14.65" outlineLevel="2" thickBot="1" x14ac:dyDescent="0.5">
      <c r="B124" s="122"/>
      <c r="C124" s="123" t="s">
        <v>65</v>
      </c>
      <c r="D124" s="124"/>
      <c r="E124" s="88"/>
      <c r="F124" s="89"/>
      <c r="G124" s="89"/>
      <c r="H124" s="89"/>
      <c r="I124" s="89"/>
      <c r="J124" s="90">
        <v>3183722.0399999982</v>
      </c>
      <c r="K124" s="90">
        <v>3217263.05</v>
      </c>
      <c r="L124" s="90">
        <v>1084484.0200000003</v>
      </c>
      <c r="M124" s="90">
        <v>203741.13</v>
      </c>
      <c r="N124" s="195">
        <v>243096</v>
      </c>
      <c r="O124" s="195">
        <v>196047</v>
      </c>
      <c r="P124" s="195">
        <v>247843</v>
      </c>
      <c r="Q124" s="195">
        <v>50933</v>
      </c>
      <c r="R124" s="91">
        <v>268905</v>
      </c>
    </row>
    <row r="125" spans="2:19" outlineLevel="2" x14ac:dyDescent="0.45">
      <c r="B125" s="125" t="s">
        <v>53</v>
      </c>
      <c r="C125" s="118" t="s">
        <v>63</v>
      </c>
      <c r="D125" s="119"/>
      <c r="E125" s="54"/>
      <c r="F125" s="55"/>
      <c r="G125" s="55"/>
      <c r="H125" s="55"/>
      <c r="I125" s="55"/>
      <c r="J125" s="56">
        <v>101927.14965165267</v>
      </c>
      <c r="K125" s="56">
        <v>242524.33206444583</v>
      </c>
      <c r="L125" s="56">
        <v>378990.91760865058</v>
      </c>
      <c r="M125" s="56">
        <v>319837.808169119</v>
      </c>
      <c r="N125" s="189">
        <v>131561</v>
      </c>
      <c r="O125" s="189">
        <v>104152</v>
      </c>
      <c r="P125" s="189">
        <v>37939</v>
      </c>
      <c r="Q125" s="189">
        <v>50549</v>
      </c>
      <c r="R125" s="57">
        <v>293746</v>
      </c>
    </row>
    <row r="126" spans="2:19" outlineLevel="2" x14ac:dyDescent="0.45">
      <c r="B126" s="117"/>
      <c r="C126" s="120" t="s">
        <v>66</v>
      </c>
      <c r="D126" s="121"/>
      <c r="E126" s="73"/>
      <c r="F126" s="74"/>
      <c r="G126" s="74"/>
      <c r="H126" s="74"/>
      <c r="I126" s="74"/>
      <c r="J126" s="75">
        <v>2775536.22</v>
      </c>
      <c r="K126" s="75">
        <v>1735295.5600000003</v>
      </c>
      <c r="L126" s="75">
        <v>2270909.3175284825</v>
      </c>
      <c r="M126" s="75">
        <v>1045197.7424715172</v>
      </c>
      <c r="N126" s="192">
        <v>1528401</v>
      </c>
      <c r="O126" s="192">
        <v>1869173</v>
      </c>
      <c r="P126" s="192">
        <v>858398</v>
      </c>
      <c r="Q126" s="192">
        <v>826748</v>
      </c>
      <c r="R126" s="76">
        <v>638121</v>
      </c>
    </row>
    <row r="127" spans="2:19" outlineLevel="2" x14ac:dyDescent="0.45">
      <c r="B127" s="117"/>
      <c r="C127" s="120" t="s">
        <v>67</v>
      </c>
      <c r="D127" s="121"/>
      <c r="E127" s="73"/>
      <c r="F127" s="74"/>
      <c r="G127" s="74"/>
      <c r="H127" s="74"/>
      <c r="I127" s="74"/>
      <c r="J127" s="75">
        <v>0</v>
      </c>
      <c r="K127" s="75">
        <v>0</v>
      </c>
      <c r="L127" s="75">
        <v>0</v>
      </c>
      <c r="M127" s="75">
        <v>0</v>
      </c>
      <c r="N127" s="192">
        <v>0</v>
      </c>
      <c r="O127" s="192">
        <v>66696</v>
      </c>
      <c r="P127" s="192">
        <v>177989</v>
      </c>
      <c r="Q127" s="192">
        <v>862460</v>
      </c>
      <c r="R127" s="76">
        <v>483358</v>
      </c>
    </row>
    <row r="128" spans="2:19" outlineLevel="2" x14ac:dyDescent="0.45">
      <c r="B128" s="117"/>
      <c r="C128" s="120" t="s">
        <v>68</v>
      </c>
      <c r="D128" s="121"/>
      <c r="E128" s="73"/>
      <c r="F128" s="74"/>
      <c r="G128" s="74"/>
      <c r="H128" s="74"/>
      <c r="I128" s="74"/>
      <c r="J128" s="75">
        <v>442539.97000000003</v>
      </c>
      <c r="K128" s="75">
        <v>308339.15000000002</v>
      </c>
      <c r="L128" s="75">
        <v>222800.53000000003</v>
      </c>
      <c r="M128" s="75">
        <v>111178.79999999999</v>
      </c>
      <c r="N128" s="192">
        <v>0</v>
      </c>
      <c r="O128" s="192">
        <v>0</v>
      </c>
      <c r="P128" s="192">
        <v>11199</v>
      </c>
      <c r="Q128" s="192">
        <v>810580</v>
      </c>
      <c r="R128" s="76">
        <v>658464</v>
      </c>
    </row>
    <row r="129" spans="2:19" ht="14.65" outlineLevel="2" thickBot="1" x14ac:dyDescent="0.5">
      <c r="B129" s="122"/>
      <c r="C129" s="126" t="s">
        <v>69</v>
      </c>
      <c r="D129" s="127"/>
      <c r="E129" s="88"/>
      <c r="F129" s="89"/>
      <c r="G129" s="89"/>
      <c r="H129" s="89"/>
      <c r="I129" s="89"/>
      <c r="J129" s="90">
        <v>0</v>
      </c>
      <c r="K129" s="90">
        <v>0</v>
      </c>
      <c r="L129" s="90">
        <v>0</v>
      </c>
      <c r="M129" s="90">
        <v>0</v>
      </c>
      <c r="N129" s="195">
        <v>0</v>
      </c>
      <c r="O129" s="195">
        <v>0</v>
      </c>
      <c r="P129" s="195">
        <v>0</v>
      </c>
      <c r="Q129" s="195">
        <v>0</v>
      </c>
      <c r="R129" s="91">
        <v>0</v>
      </c>
    </row>
    <row r="130" spans="2:19" outlineLevel="2" x14ac:dyDescent="0.45">
      <c r="B130" s="125" t="s">
        <v>56</v>
      </c>
      <c r="C130" s="128" t="s">
        <v>64</v>
      </c>
      <c r="D130" s="129"/>
      <c r="E130" s="54"/>
      <c r="F130" s="55"/>
      <c r="G130" s="55"/>
      <c r="H130" s="55"/>
      <c r="I130" s="55"/>
      <c r="J130" s="56">
        <v>438422.81150156714</v>
      </c>
      <c r="K130" s="56">
        <v>760897.34933309117</v>
      </c>
      <c r="L130" s="56">
        <v>663170.85018815938</v>
      </c>
      <c r="M130" s="56">
        <v>426307.04969082173</v>
      </c>
      <c r="N130" s="189">
        <v>261007</v>
      </c>
      <c r="O130" s="189">
        <v>169421</v>
      </c>
      <c r="P130" s="189">
        <v>191340</v>
      </c>
      <c r="Q130" s="189">
        <v>473584</v>
      </c>
      <c r="R130" s="57">
        <v>380062</v>
      </c>
    </row>
    <row r="131" spans="2:19" outlineLevel="2" x14ac:dyDescent="0.45">
      <c r="B131" s="117"/>
      <c r="C131" s="120" t="s">
        <v>70</v>
      </c>
      <c r="D131" s="121"/>
      <c r="E131" s="73"/>
      <c r="F131" s="74"/>
      <c r="G131" s="74"/>
      <c r="H131" s="74"/>
      <c r="I131" s="74"/>
      <c r="J131" s="75">
        <v>699176.48000000021</v>
      </c>
      <c r="K131" s="75">
        <v>622216.30999999982</v>
      </c>
      <c r="L131" s="75">
        <v>485067.08000000025</v>
      </c>
      <c r="M131" s="75">
        <v>709876.05000000016</v>
      </c>
      <c r="N131" s="192">
        <v>348050</v>
      </c>
      <c r="O131" s="192">
        <v>84240</v>
      </c>
      <c r="P131" s="192">
        <v>2259</v>
      </c>
      <c r="Q131" s="192">
        <v>169498</v>
      </c>
      <c r="R131" s="76">
        <v>205142</v>
      </c>
    </row>
    <row r="132" spans="2:19" ht="14.65" outlineLevel="2" thickBot="1" x14ac:dyDescent="0.5">
      <c r="B132" s="122"/>
      <c r="C132" s="126" t="s">
        <v>71</v>
      </c>
      <c r="D132" s="127"/>
      <c r="E132" s="88"/>
      <c r="F132" s="89"/>
      <c r="G132" s="89"/>
      <c r="H132" s="89"/>
      <c r="I132" s="89"/>
      <c r="J132" s="90">
        <v>255601.59</v>
      </c>
      <c r="K132" s="90">
        <v>9884.39</v>
      </c>
      <c r="L132" s="90">
        <v>56855.820000000007</v>
      </c>
      <c r="M132" s="90">
        <v>0</v>
      </c>
      <c r="N132" s="195">
        <v>0</v>
      </c>
      <c r="O132" s="195">
        <v>46494</v>
      </c>
      <c r="P132" s="195">
        <v>99623</v>
      </c>
      <c r="Q132" s="195">
        <v>43820</v>
      </c>
      <c r="R132" s="91">
        <v>0</v>
      </c>
    </row>
    <row r="133" spans="2:19" outlineLevel="2" x14ac:dyDescent="0.45">
      <c r="B133" s="125" t="s">
        <v>58</v>
      </c>
      <c r="C133" s="128" t="s">
        <v>63</v>
      </c>
      <c r="D133" s="129"/>
      <c r="E133" s="54"/>
      <c r="F133" s="55"/>
      <c r="G133" s="55"/>
      <c r="H133" s="55"/>
      <c r="I133" s="55"/>
      <c r="J133" s="56">
        <v>0</v>
      </c>
      <c r="K133" s="56">
        <v>0</v>
      </c>
      <c r="L133" s="56">
        <v>0</v>
      </c>
      <c r="M133" s="56">
        <v>0</v>
      </c>
      <c r="N133" s="189">
        <v>0</v>
      </c>
      <c r="O133" s="189">
        <v>0</v>
      </c>
      <c r="P133" s="189">
        <v>0</v>
      </c>
      <c r="Q133" s="189">
        <v>0</v>
      </c>
      <c r="R133" s="57">
        <v>0</v>
      </c>
    </row>
    <row r="134" spans="2:19" outlineLevel="2" x14ac:dyDescent="0.45">
      <c r="B134" s="117"/>
      <c r="C134" s="120" t="s">
        <v>72</v>
      </c>
      <c r="D134" s="121"/>
      <c r="E134" s="73"/>
      <c r="F134" s="74"/>
      <c r="G134" s="74"/>
      <c r="H134" s="74"/>
      <c r="I134" s="74"/>
      <c r="J134" s="75">
        <v>0</v>
      </c>
      <c r="K134" s="75">
        <v>0</v>
      </c>
      <c r="L134" s="75">
        <v>0</v>
      </c>
      <c r="M134" s="75">
        <v>0</v>
      </c>
      <c r="N134" s="192">
        <v>0</v>
      </c>
      <c r="O134" s="192">
        <v>0</v>
      </c>
      <c r="P134" s="192">
        <v>0</v>
      </c>
      <c r="Q134" s="192">
        <v>0</v>
      </c>
      <c r="R134" s="76">
        <v>0</v>
      </c>
    </row>
    <row r="135" spans="2:19" ht="14.65" outlineLevel="2" thickBot="1" x14ac:dyDescent="0.5">
      <c r="B135" s="122"/>
      <c r="C135" s="126" t="s">
        <v>73</v>
      </c>
      <c r="D135" s="127"/>
      <c r="E135" s="88"/>
      <c r="F135" s="89"/>
      <c r="G135" s="89"/>
      <c r="H135" s="89"/>
      <c r="I135" s="89"/>
      <c r="J135" s="90">
        <v>0</v>
      </c>
      <c r="K135" s="90">
        <v>0</v>
      </c>
      <c r="L135" s="90">
        <v>0</v>
      </c>
      <c r="M135" s="90">
        <v>0</v>
      </c>
      <c r="N135" s="195">
        <v>0</v>
      </c>
      <c r="O135" s="255">
        <v>0</v>
      </c>
      <c r="P135" s="255">
        <v>0</v>
      </c>
      <c r="Q135" s="255">
        <v>0</v>
      </c>
      <c r="R135" s="91">
        <v>0</v>
      </c>
      <c r="S135" s="26" t="s">
        <v>311</v>
      </c>
    </row>
    <row r="136" spans="2:19" ht="14.65" outlineLevel="1" thickBot="1" x14ac:dyDescent="0.5">
      <c r="D136" s="26"/>
    </row>
    <row r="137" spans="2:19" ht="21.4" outlineLevel="1" thickBot="1" x14ac:dyDescent="0.5">
      <c r="B137" s="39" t="s">
        <v>75</v>
      </c>
      <c r="C137" s="113"/>
      <c r="D137" s="113"/>
      <c r="E137" s="113"/>
      <c r="F137" s="113"/>
      <c r="G137" s="113"/>
      <c r="H137" s="113"/>
      <c r="I137" s="113"/>
      <c r="J137" s="113"/>
      <c r="K137" s="113"/>
      <c r="L137" s="113"/>
      <c r="M137" s="113"/>
      <c r="N137" s="113"/>
      <c r="O137" s="113"/>
      <c r="P137" s="113"/>
      <c r="Q137" s="113"/>
      <c r="R137" s="113"/>
    </row>
    <row r="138" spans="2:19" ht="15.75" customHeight="1" outlineLevel="2" thickBot="1" x14ac:dyDescent="0.5">
      <c r="B138" s="42"/>
      <c r="C138" s="42"/>
      <c r="D138" s="43"/>
      <c r="E138" s="278" t="s">
        <v>62</v>
      </c>
      <c r="F138" s="279"/>
      <c r="G138" s="279"/>
      <c r="H138" s="279"/>
      <c r="I138" s="279"/>
      <c r="J138" s="279"/>
      <c r="K138" s="279"/>
      <c r="L138" s="279"/>
      <c r="M138" s="279"/>
      <c r="N138" s="279"/>
      <c r="O138" s="279"/>
      <c r="P138" s="279"/>
      <c r="Q138" s="279"/>
      <c r="R138" s="279"/>
    </row>
    <row r="139" spans="2:19" ht="14.65" outlineLevel="2" thickBot="1" x14ac:dyDescent="0.5">
      <c r="B139" s="44"/>
      <c r="C139" s="45"/>
      <c r="D139" s="46"/>
      <c r="E139" s="114" t="str">
        <f>E$11</f>
        <v>2008-09</v>
      </c>
      <c r="F139" s="115" t="str">
        <f t="shared" ref="F139:R139" si="3">F$11</f>
        <v>2009-10</v>
      </c>
      <c r="G139" s="115" t="str">
        <f t="shared" si="3"/>
        <v>2010-11</v>
      </c>
      <c r="H139" s="115" t="str">
        <f t="shared" si="3"/>
        <v>2011-12</v>
      </c>
      <c r="I139" s="115" t="str">
        <f t="shared" si="3"/>
        <v>2012-13</v>
      </c>
      <c r="J139" s="115" t="str">
        <f t="shared" si="3"/>
        <v>2013-14</v>
      </c>
      <c r="K139" s="115" t="str">
        <f t="shared" si="3"/>
        <v>2014-15</v>
      </c>
      <c r="L139" s="116" t="str">
        <f t="shared" si="3"/>
        <v>2015-16</v>
      </c>
      <c r="M139" s="116" t="str">
        <f t="shared" si="3"/>
        <v>2016-17</v>
      </c>
      <c r="N139" s="116" t="str">
        <f t="shared" si="3"/>
        <v>2017-18</v>
      </c>
      <c r="O139" s="116" t="str">
        <f t="shared" si="3"/>
        <v>2018-19</v>
      </c>
      <c r="P139" s="116" t="str">
        <f t="shared" si="3"/>
        <v>2019-20</v>
      </c>
      <c r="Q139" s="116" t="str">
        <f t="shared" si="3"/>
        <v>2020-21</v>
      </c>
      <c r="R139" s="116" t="str">
        <f t="shared" si="3"/>
        <v>2021-22</v>
      </c>
    </row>
    <row r="140" spans="2:19" outlineLevel="2" x14ac:dyDescent="0.45">
      <c r="B140" s="117" t="s">
        <v>34</v>
      </c>
      <c r="C140" s="118" t="s">
        <v>63</v>
      </c>
      <c r="D140" s="119"/>
      <c r="E140" s="54"/>
      <c r="F140" s="55"/>
      <c r="G140" s="55"/>
      <c r="H140" s="55"/>
      <c r="I140" s="55"/>
      <c r="J140" s="56">
        <v>31593.27</v>
      </c>
      <c r="K140" s="56">
        <v>7555</v>
      </c>
      <c r="L140" s="56">
        <v>307</v>
      </c>
      <c r="M140" s="56">
        <v>0</v>
      </c>
      <c r="N140" s="189">
        <v>0</v>
      </c>
      <c r="O140" s="189">
        <v>0</v>
      </c>
      <c r="P140" s="189">
        <v>0</v>
      </c>
      <c r="Q140" s="189">
        <v>0</v>
      </c>
      <c r="R140" s="57">
        <v>770</v>
      </c>
    </row>
    <row r="141" spans="2:19" outlineLevel="2" x14ac:dyDescent="0.45">
      <c r="B141" s="117"/>
      <c r="C141" s="120" t="s">
        <v>64</v>
      </c>
      <c r="D141" s="121"/>
      <c r="E141" s="73"/>
      <c r="F141" s="74"/>
      <c r="G141" s="74"/>
      <c r="H141" s="74"/>
      <c r="I141" s="74"/>
      <c r="J141" s="75">
        <v>89750.362545079755</v>
      </c>
      <c r="K141" s="75">
        <v>28884.08500180082</v>
      </c>
      <c r="L141" s="75">
        <v>111074.25907921304</v>
      </c>
      <c r="M141" s="75">
        <v>1542.405428119743</v>
      </c>
      <c r="N141" s="192">
        <v>0</v>
      </c>
      <c r="O141" s="192">
        <v>0</v>
      </c>
      <c r="P141" s="192">
        <v>0</v>
      </c>
      <c r="Q141" s="192">
        <v>33087</v>
      </c>
      <c r="R141" s="76">
        <v>0</v>
      </c>
    </row>
    <row r="142" spans="2:19" ht="14.65" outlineLevel="2" thickBot="1" x14ac:dyDescent="0.5">
      <c r="B142" s="122"/>
      <c r="C142" s="123" t="s">
        <v>65</v>
      </c>
      <c r="D142" s="124"/>
      <c r="E142" s="88"/>
      <c r="F142" s="89"/>
      <c r="G142" s="89"/>
      <c r="H142" s="89"/>
      <c r="I142" s="89"/>
      <c r="J142" s="90">
        <v>1392871.8921900566</v>
      </c>
      <c r="K142" s="90">
        <v>929943.6623056425</v>
      </c>
      <c r="L142" s="90">
        <v>1914096.4570188827</v>
      </c>
      <c r="M142" s="90">
        <v>398746.93270545197</v>
      </c>
      <c r="N142" s="195">
        <v>98842</v>
      </c>
      <c r="O142" s="195">
        <v>32938</v>
      </c>
      <c r="P142" s="195">
        <v>49998</v>
      </c>
      <c r="Q142" s="195">
        <v>84628</v>
      </c>
      <c r="R142" s="91">
        <v>120319</v>
      </c>
    </row>
    <row r="143" spans="2:19" outlineLevel="2" x14ac:dyDescent="0.45">
      <c r="B143" s="125" t="s">
        <v>53</v>
      </c>
      <c r="C143" s="118" t="s">
        <v>63</v>
      </c>
      <c r="D143" s="119"/>
      <c r="E143" s="54"/>
      <c r="F143" s="55"/>
      <c r="G143" s="55"/>
      <c r="H143" s="55"/>
      <c r="I143" s="55"/>
      <c r="J143" s="56">
        <v>20280.750029460258</v>
      </c>
      <c r="K143" s="56">
        <v>0</v>
      </c>
      <c r="L143" s="56">
        <v>55285.229999999996</v>
      </c>
      <c r="M143" s="56">
        <v>107182.48</v>
      </c>
      <c r="N143" s="189">
        <v>10808</v>
      </c>
      <c r="O143" s="189">
        <v>35696</v>
      </c>
      <c r="P143" s="189">
        <v>7693</v>
      </c>
      <c r="Q143" s="189">
        <v>236856</v>
      </c>
      <c r="R143" s="57">
        <v>154681</v>
      </c>
    </row>
    <row r="144" spans="2:19" outlineLevel="2" x14ac:dyDescent="0.45">
      <c r="B144" s="117"/>
      <c r="C144" s="120" t="s">
        <v>66</v>
      </c>
      <c r="D144" s="121"/>
      <c r="E144" s="73"/>
      <c r="F144" s="74"/>
      <c r="G144" s="74"/>
      <c r="H144" s="74"/>
      <c r="I144" s="74"/>
      <c r="J144" s="75">
        <v>1030442.2521015031</v>
      </c>
      <c r="K144" s="75">
        <v>898742.44701505802</v>
      </c>
      <c r="L144" s="75">
        <v>1077720.8385528435</v>
      </c>
      <c r="M144" s="75">
        <v>1303790.6913256689</v>
      </c>
      <c r="N144" s="192">
        <v>1514102</v>
      </c>
      <c r="O144" s="192">
        <v>1507944</v>
      </c>
      <c r="P144" s="192">
        <v>1539419</v>
      </c>
      <c r="Q144" s="192">
        <v>586273</v>
      </c>
      <c r="R144" s="76">
        <v>494960</v>
      </c>
    </row>
    <row r="145" spans="2:19" outlineLevel="2" x14ac:dyDescent="0.45">
      <c r="B145" s="117"/>
      <c r="C145" s="120" t="s">
        <v>67</v>
      </c>
      <c r="D145" s="121"/>
      <c r="E145" s="73"/>
      <c r="F145" s="74"/>
      <c r="G145" s="74"/>
      <c r="H145" s="74"/>
      <c r="I145" s="74"/>
      <c r="J145" s="75">
        <v>0</v>
      </c>
      <c r="K145" s="75">
        <v>188337.26552334084</v>
      </c>
      <c r="L145" s="75">
        <v>329626.69870843861</v>
      </c>
      <c r="M145" s="75">
        <v>2447078.0144580971</v>
      </c>
      <c r="N145" s="192">
        <v>838623</v>
      </c>
      <c r="O145" s="192">
        <v>0</v>
      </c>
      <c r="P145" s="192">
        <v>201000</v>
      </c>
      <c r="Q145" s="192">
        <v>113341</v>
      </c>
      <c r="R145" s="76">
        <v>15454</v>
      </c>
    </row>
    <row r="146" spans="2:19" outlineLevel="2" x14ac:dyDescent="0.45">
      <c r="B146" s="117"/>
      <c r="C146" s="120" t="s">
        <v>68</v>
      </c>
      <c r="D146" s="121"/>
      <c r="E146" s="73"/>
      <c r="F146" s="74"/>
      <c r="G146" s="74"/>
      <c r="H146" s="74"/>
      <c r="I146" s="74"/>
      <c r="J146" s="75">
        <v>380000</v>
      </c>
      <c r="K146" s="75">
        <v>226975</v>
      </c>
      <c r="L146" s="75">
        <v>215268.27070936273</v>
      </c>
      <c r="M146" s="75">
        <v>0</v>
      </c>
      <c r="N146" s="192">
        <v>975013</v>
      </c>
      <c r="O146" s="192">
        <v>400000</v>
      </c>
      <c r="P146" s="192">
        <v>0</v>
      </c>
      <c r="Q146" s="192">
        <v>315603</v>
      </c>
      <c r="R146" s="76">
        <v>68650</v>
      </c>
    </row>
    <row r="147" spans="2:19" ht="14.65" outlineLevel="2" thickBot="1" x14ac:dyDescent="0.5">
      <c r="B147" s="122"/>
      <c r="C147" s="126" t="s">
        <v>69</v>
      </c>
      <c r="D147" s="127"/>
      <c r="E147" s="88"/>
      <c r="F147" s="89"/>
      <c r="G147" s="89"/>
      <c r="H147" s="89"/>
      <c r="I147" s="89"/>
      <c r="J147" s="90">
        <v>0</v>
      </c>
      <c r="K147" s="90">
        <v>0</v>
      </c>
      <c r="L147" s="90">
        <v>0</v>
      </c>
      <c r="M147" s="90">
        <v>0</v>
      </c>
      <c r="N147" s="195">
        <v>0</v>
      </c>
      <c r="O147" s="195">
        <v>0</v>
      </c>
      <c r="P147" s="195">
        <v>0</v>
      </c>
      <c r="Q147" s="195">
        <v>0</v>
      </c>
      <c r="R147" s="91">
        <v>0</v>
      </c>
    </row>
    <row r="148" spans="2:19" outlineLevel="2" x14ac:dyDescent="0.45">
      <c r="B148" s="125" t="s">
        <v>56</v>
      </c>
      <c r="C148" s="128" t="s">
        <v>64</v>
      </c>
      <c r="D148" s="129"/>
      <c r="E148" s="54"/>
      <c r="F148" s="55"/>
      <c r="G148" s="55"/>
      <c r="H148" s="55"/>
      <c r="I148" s="55"/>
      <c r="J148" s="56">
        <v>301499.23826890904</v>
      </c>
      <c r="K148" s="56">
        <v>230683.37401075655</v>
      </c>
      <c r="L148" s="56">
        <v>408787.5755228565</v>
      </c>
      <c r="M148" s="56">
        <v>7744.1029556021731</v>
      </c>
      <c r="N148" s="189">
        <v>498455</v>
      </c>
      <c r="O148" s="189">
        <v>120774</v>
      </c>
      <c r="P148" s="189">
        <v>19728</v>
      </c>
      <c r="Q148" s="189">
        <v>685181</v>
      </c>
      <c r="R148" s="57">
        <v>150908</v>
      </c>
    </row>
    <row r="149" spans="2:19" outlineLevel="2" x14ac:dyDescent="0.45">
      <c r="B149" s="117"/>
      <c r="C149" s="120" t="s">
        <v>70</v>
      </c>
      <c r="D149" s="121"/>
      <c r="E149" s="73"/>
      <c r="F149" s="74"/>
      <c r="G149" s="74"/>
      <c r="H149" s="74"/>
      <c r="I149" s="74"/>
      <c r="J149" s="75">
        <v>1393887.8959047454</v>
      </c>
      <c r="K149" s="75">
        <v>1114738.2570930636</v>
      </c>
      <c r="L149" s="75">
        <v>1192381.3852904453</v>
      </c>
      <c r="M149" s="75">
        <v>1988349.4320533827</v>
      </c>
      <c r="N149" s="192">
        <v>913699</v>
      </c>
      <c r="O149" s="192">
        <v>2077408</v>
      </c>
      <c r="P149" s="192">
        <v>1247962</v>
      </c>
      <c r="Q149" s="192">
        <v>1566794</v>
      </c>
      <c r="R149" s="76">
        <v>1429760</v>
      </c>
    </row>
    <row r="150" spans="2:19" ht="14.65" outlineLevel="2" thickBot="1" x14ac:dyDescent="0.5">
      <c r="B150" s="122"/>
      <c r="C150" s="126" t="s">
        <v>71</v>
      </c>
      <c r="D150" s="127"/>
      <c r="E150" s="88"/>
      <c r="F150" s="89"/>
      <c r="G150" s="89"/>
      <c r="H150" s="89"/>
      <c r="I150" s="89"/>
      <c r="J150" s="90">
        <v>2337089.828960245</v>
      </c>
      <c r="K150" s="90">
        <v>5463082.0390503416</v>
      </c>
      <c r="L150" s="90">
        <v>3837956.0151179582</v>
      </c>
      <c r="M150" s="90">
        <v>3095132.9510736736</v>
      </c>
      <c r="N150" s="195">
        <v>3877449</v>
      </c>
      <c r="O150" s="195">
        <v>463150</v>
      </c>
      <c r="P150" s="195">
        <v>29385</v>
      </c>
      <c r="Q150" s="195">
        <v>0</v>
      </c>
      <c r="R150" s="91">
        <v>90082</v>
      </c>
    </row>
    <row r="151" spans="2:19" outlineLevel="2" x14ac:dyDescent="0.45">
      <c r="B151" s="125" t="s">
        <v>58</v>
      </c>
      <c r="C151" s="128" t="s">
        <v>63</v>
      </c>
      <c r="D151" s="129"/>
      <c r="E151" s="54"/>
      <c r="F151" s="55"/>
      <c r="G151" s="55"/>
      <c r="H151" s="55"/>
      <c r="I151" s="55"/>
      <c r="J151" s="56">
        <v>0</v>
      </c>
      <c r="K151" s="56">
        <v>0</v>
      </c>
      <c r="L151" s="56">
        <v>0</v>
      </c>
      <c r="M151" s="56">
        <v>0</v>
      </c>
      <c r="N151" s="189">
        <v>0</v>
      </c>
      <c r="O151" s="189">
        <v>0</v>
      </c>
      <c r="P151" s="189">
        <v>0</v>
      </c>
      <c r="Q151" s="189">
        <v>0</v>
      </c>
      <c r="R151" s="57">
        <v>0</v>
      </c>
    </row>
    <row r="152" spans="2:19" outlineLevel="2" x14ac:dyDescent="0.45">
      <c r="B152" s="117"/>
      <c r="C152" s="120" t="s">
        <v>72</v>
      </c>
      <c r="D152" s="121"/>
      <c r="E152" s="73"/>
      <c r="F152" s="74"/>
      <c r="G152" s="74"/>
      <c r="H152" s="74"/>
      <c r="I152" s="74"/>
      <c r="J152" s="75">
        <v>0</v>
      </c>
      <c r="K152" s="75">
        <v>0</v>
      </c>
      <c r="L152" s="75">
        <v>0</v>
      </c>
      <c r="M152" s="75">
        <v>0</v>
      </c>
      <c r="N152" s="192">
        <v>0</v>
      </c>
      <c r="O152" s="192">
        <v>0</v>
      </c>
      <c r="P152" s="192">
        <v>0</v>
      </c>
      <c r="Q152" s="192">
        <v>0</v>
      </c>
      <c r="R152" s="76">
        <v>0</v>
      </c>
    </row>
    <row r="153" spans="2:19" ht="14.65" outlineLevel="2" thickBot="1" x14ac:dyDescent="0.5">
      <c r="B153" s="122"/>
      <c r="C153" s="126" t="s">
        <v>73</v>
      </c>
      <c r="D153" s="127"/>
      <c r="E153" s="88"/>
      <c r="F153" s="89"/>
      <c r="G153" s="89"/>
      <c r="H153" s="89"/>
      <c r="I153" s="89"/>
      <c r="J153" s="90">
        <v>0</v>
      </c>
      <c r="K153" s="90">
        <v>0</v>
      </c>
      <c r="L153" s="90">
        <v>0</v>
      </c>
      <c r="M153" s="90">
        <v>0</v>
      </c>
      <c r="N153" s="195">
        <v>0</v>
      </c>
      <c r="O153" s="255">
        <v>0</v>
      </c>
      <c r="P153" s="195">
        <v>0</v>
      </c>
      <c r="Q153" s="195">
        <v>0</v>
      </c>
      <c r="R153" s="91">
        <v>0</v>
      </c>
      <c r="S153" s="26" t="s">
        <v>311</v>
      </c>
    </row>
    <row r="154" spans="2:19" outlineLevel="1" x14ac:dyDescent="0.45">
      <c r="J154" s="167"/>
      <c r="K154" s="167"/>
      <c r="L154" s="167"/>
      <c r="M154" s="167"/>
      <c r="N154" s="167"/>
      <c r="O154" s="167"/>
      <c r="P154" s="167"/>
      <c r="Q154" s="167"/>
      <c r="R154" s="167"/>
    </row>
    <row r="156" spans="2:19" ht="21.4" thickBot="1" x14ac:dyDescent="0.5">
      <c r="B156" s="36" t="s">
        <v>76</v>
      </c>
      <c r="C156" s="37"/>
      <c r="D156" s="37"/>
      <c r="E156" s="37"/>
      <c r="F156" s="37"/>
      <c r="G156" s="37"/>
      <c r="H156" s="37"/>
      <c r="I156" s="37"/>
      <c r="J156" s="37"/>
      <c r="K156" s="37"/>
      <c r="L156" s="37"/>
      <c r="M156" s="37"/>
      <c r="N156" s="37"/>
      <c r="O156" s="37"/>
      <c r="P156" s="37"/>
      <c r="Q156" s="37"/>
      <c r="R156" s="37"/>
    </row>
    <row r="157" spans="2:19" ht="21.4" outlineLevel="1" thickBot="1" x14ac:dyDescent="0.5">
      <c r="B157" s="39" t="s">
        <v>77</v>
      </c>
      <c r="C157" s="113"/>
      <c r="D157" s="113"/>
      <c r="E157" s="113"/>
      <c r="F157" s="113"/>
      <c r="G157" s="113"/>
      <c r="H157" s="113"/>
      <c r="I157" s="113"/>
      <c r="J157" s="113"/>
      <c r="K157" s="113"/>
      <c r="L157" s="113"/>
      <c r="M157" s="113"/>
      <c r="N157" s="113"/>
      <c r="O157" s="113"/>
      <c r="P157" s="113"/>
      <c r="Q157" s="113"/>
      <c r="R157" s="113"/>
    </row>
    <row r="158" spans="2:19" ht="15.75" customHeight="1" outlineLevel="2" thickBot="1" x14ac:dyDescent="0.5">
      <c r="B158" s="42"/>
      <c r="C158" s="42"/>
      <c r="D158" s="43"/>
      <c r="E158" s="272" t="s">
        <v>78</v>
      </c>
      <c r="F158" s="273"/>
      <c r="G158" s="273"/>
      <c r="H158" s="273"/>
      <c r="I158" s="273"/>
      <c r="J158" s="273"/>
      <c r="K158" s="273"/>
      <c r="L158" s="273"/>
      <c r="M158" s="273"/>
      <c r="N158" s="273"/>
      <c r="O158" s="273"/>
      <c r="P158" s="273"/>
      <c r="Q158" s="273"/>
      <c r="R158" s="273"/>
    </row>
    <row r="159" spans="2:19" ht="14.65" outlineLevel="2" thickBot="1" x14ac:dyDescent="0.5">
      <c r="B159" s="44"/>
      <c r="C159" s="45"/>
      <c r="D159" s="46"/>
      <c r="E159" s="130" t="str">
        <f>E$11</f>
        <v>2008-09</v>
      </c>
      <c r="F159" s="131" t="str">
        <f t="shared" ref="F159:R159" si="4">F$11</f>
        <v>2009-10</v>
      </c>
      <c r="G159" s="131" t="str">
        <f t="shared" si="4"/>
        <v>2010-11</v>
      </c>
      <c r="H159" s="131" t="str">
        <f t="shared" si="4"/>
        <v>2011-12</v>
      </c>
      <c r="I159" s="131" t="str">
        <f t="shared" si="4"/>
        <v>2012-13</v>
      </c>
      <c r="J159" s="131" t="str">
        <f t="shared" si="4"/>
        <v>2013-14</v>
      </c>
      <c r="K159" s="131" t="str">
        <f t="shared" si="4"/>
        <v>2014-15</v>
      </c>
      <c r="L159" s="132" t="str">
        <f t="shared" si="4"/>
        <v>2015-16</v>
      </c>
      <c r="M159" s="132" t="str">
        <f t="shared" si="4"/>
        <v>2016-17</v>
      </c>
      <c r="N159" s="132" t="str">
        <f t="shared" si="4"/>
        <v>2017-18</v>
      </c>
      <c r="O159" s="132" t="str">
        <f t="shared" si="4"/>
        <v>2018-19</v>
      </c>
      <c r="P159" s="132" t="str">
        <f t="shared" si="4"/>
        <v>2019-20</v>
      </c>
      <c r="Q159" s="132" t="str">
        <f t="shared" si="4"/>
        <v>2020-21</v>
      </c>
      <c r="R159" s="132" t="str">
        <f t="shared" si="4"/>
        <v>2021-22</v>
      </c>
    </row>
    <row r="160" spans="2:19" outlineLevel="2" x14ac:dyDescent="0.45">
      <c r="B160" s="117" t="s">
        <v>34</v>
      </c>
      <c r="C160" s="118" t="s">
        <v>63</v>
      </c>
      <c r="D160" s="119"/>
      <c r="E160" s="54"/>
      <c r="F160" s="55"/>
      <c r="G160" s="55"/>
      <c r="H160" s="55"/>
      <c r="I160" s="55"/>
      <c r="J160" s="56">
        <v>809</v>
      </c>
      <c r="K160" s="56">
        <v>1119</v>
      </c>
      <c r="L160" s="56">
        <v>902</v>
      </c>
      <c r="M160" s="56">
        <v>572</v>
      </c>
      <c r="N160" s="189">
        <v>201</v>
      </c>
      <c r="O160" s="189">
        <v>266</v>
      </c>
      <c r="P160" s="189">
        <v>95</v>
      </c>
      <c r="Q160" s="189">
        <v>187</v>
      </c>
      <c r="R160" s="57">
        <v>270</v>
      </c>
    </row>
    <row r="161" spans="2:19" outlineLevel="2" x14ac:dyDescent="0.45">
      <c r="B161" s="117"/>
      <c r="C161" s="120" t="s">
        <v>64</v>
      </c>
      <c r="D161" s="121"/>
      <c r="E161" s="73"/>
      <c r="F161" s="74"/>
      <c r="G161" s="74"/>
      <c r="H161" s="74"/>
      <c r="I161" s="74"/>
      <c r="J161" s="75">
        <v>9</v>
      </c>
      <c r="K161" s="75">
        <v>7</v>
      </c>
      <c r="L161" s="75">
        <v>0</v>
      </c>
      <c r="M161" s="75">
        <v>1</v>
      </c>
      <c r="N161" s="192">
        <v>2</v>
      </c>
      <c r="O161" s="192">
        <v>1</v>
      </c>
      <c r="P161" s="192">
        <v>7</v>
      </c>
      <c r="Q161" s="192">
        <v>8</v>
      </c>
      <c r="R161" s="76">
        <v>4</v>
      </c>
    </row>
    <row r="162" spans="2:19" ht="14.65" outlineLevel="2" thickBot="1" x14ac:dyDescent="0.5">
      <c r="B162" s="122"/>
      <c r="C162" s="123" t="s">
        <v>65</v>
      </c>
      <c r="D162" s="124"/>
      <c r="E162" s="88"/>
      <c r="F162" s="89"/>
      <c r="G162" s="89"/>
      <c r="H162" s="89"/>
      <c r="I162" s="89"/>
      <c r="J162" s="90">
        <v>27</v>
      </c>
      <c r="K162" s="90">
        <v>22</v>
      </c>
      <c r="L162" s="90">
        <v>21</v>
      </c>
      <c r="M162" s="90">
        <v>6</v>
      </c>
      <c r="N162" s="195">
        <v>8</v>
      </c>
      <c r="O162" s="195">
        <v>9</v>
      </c>
      <c r="P162" s="195">
        <v>12</v>
      </c>
      <c r="Q162" s="195">
        <v>3</v>
      </c>
      <c r="R162" s="91">
        <v>11</v>
      </c>
    </row>
    <row r="163" spans="2:19" outlineLevel="2" x14ac:dyDescent="0.45">
      <c r="B163" s="125" t="s">
        <v>53</v>
      </c>
      <c r="C163" s="118" t="s">
        <v>63</v>
      </c>
      <c r="D163" s="119"/>
      <c r="E163" s="54"/>
      <c r="F163" s="55"/>
      <c r="G163" s="55"/>
      <c r="H163" s="55"/>
      <c r="I163" s="55"/>
      <c r="J163" s="56">
        <v>74</v>
      </c>
      <c r="K163" s="56">
        <v>331</v>
      </c>
      <c r="L163" s="56">
        <v>238</v>
      </c>
      <c r="M163" s="56">
        <v>151</v>
      </c>
      <c r="N163" s="189">
        <v>30</v>
      </c>
      <c r="O163" s="189">
        <v>56</v>
      </c>
      <c r="P163" s="189">
        <v>9</v>
      </c>
      <c r="Q163" s="189">
        <v>16</v>
      </c>
      <c r="R163" s="57">
        <v>52</v>
      </c>
    </row>
    <row r="164" spans="2:19" outlineLevel="2" x14ac:dyDescent="0.45">
      <c r="B164" s="117"/>
      <c r="C164" s="120" t="s">
        <v>66</v>
      </c>
      <c r="D164" s="121"/>
      <c r="E164" s="73"/>
      <c r="F164" s="74"/>
      <c r="G164" s="74"/>
      <c r="H164" s="74"/>
      <c r="I164" s="74"/>
      <c r="J164" s="75">
        <v>38</v>
      </c>
      <c r="K164" s="75">
        <v>27</v>
      </c>
      <c r="L164" s="75">
        <v>29</v>
      </c>
      <c r="M164" s="75">
        <v>16</v>
      </c>
      <c r="N164" s="192">
        <v>40</v>
      </c>
      <c r="O164" s="192">
        <v>42</v>
      </c>
      <c r="P164" s="192">
        <v>25</v>
      </c>
      <c r="Q164" s="192">
        <v>19</v>
      </c>
      <c r="R164" s="76">
        <v>17</v>
      </c>
    </row>
    <row r="165" spans="2:19" outlineLevel="2" x14ac:dyDescent="0.45">
      <c r="B165" s="117"/>
      <c r="C165" s="120" t="s">
        <v>67</v>
      </c>
      <c r="D165" s="121"/>
      <c r="E165" s="73"/>
      <c r="F165" s="74"/>
      <c r="G165" s="74"/>
      <c r="H165" s="74"/>
      <c r="I165" s="74"/>
      <c r="J165" s="75">
        <v>0</v>
      </c>
      <c r="K165" s="75">
        <v>0</v>
      </c>
      <c r="L165" s="75">
        <v>0</v>
      </c>
      <c r="M165" s="75">
        <v>0</v>
      </c>
      <c r="N165" s="192">
        <v>0</v>
      </c>
      <c r="O165" s="192">
        <v>1</v>
      </c>
      <c r="P165" s="192">
        <v>4</v>
      </c>
      <c r="Q165" s="192">
        <v>5</v>
      </c>
      <c r="R165" s="76">
        <v>5</v>
      </c>
    </row>
    <row r="166" spans="2:19" outlineLevel="2" x14ac:dyDescent="0.45">
      <c r="B166" s="117"/>
      <c r="C166" s="120" t="s">
        <v>68</v>
      </c>
      <c r="D166" s="121"/>
      <c r="E166" s="73"/>
      <c r="F166" s="74"/>
      <c r="G166" s="74"/>
      <c r="H166" s="74"/>
      <c r="I166" s="74"/>
      <c r="J166" s="75">
        <v>6</v>
      </c>
      <c r="K166" s="75">
        <v>1</v>
      </c>
      <c r="L166" s="75">
        <v>3</v>
      </c>
      <c r="M166" s="75">
        <v>1</v>
      </c>
      <c r="N166" s="192">
        <v>0</v>
      </c>
      <c r="O166" s="192">
        <v>1</v>
      </c>
      <c r="P166" s="192">
        <v>2</v>
      </c>
      <c r="Q166" s="192">
        <v>2</v>
      </c>
      <c r="R166" s="76">
        <v>5</v>
      </c>
    </row>
    <row r="167" spans="2:19" ht="14.65" outlineLevel="2" thickBot="1" x14ac:dyDescent="0.5">
      <c r="B167" s="122"/>
      <c r="C167" s="126" t="s">
        <v>69</v>
      </c>
      <c r="D167" s="127"/>
      <c r="E167" s="88"/>
      <c r="F167" s="89"/>
      <c r="G167" s="89"/>
      <c r="H167" s="89"/>
      <c r="I167" s="89"/>
      <c r="J167" s="90">
        <v>0</v>
      </c>
      <c r="K167" s="90">
        <v>0</v>
      </c>
      <c r="L167" s="90">
        <v>0</v>
      </c>
      <c r="M167" s="90">
        <v>0</v>
      </c>
      <c r="N167" s="195">
        <v>0</v>
      </c>
      <c r="O167" s="195">
        <v>0</v>
      </c>
      <c r="P167" s="195">
        <v>0</v>
      </c>
      <c r="Q167" s="195">
        <v>0</v>
      </c>
      <c r="R167" s="91">
        <v>0</v>
      </c>
    </row>
    <row r="168" spans="2:19" outlineLevel="2" x14ac:dyDescent="0.45">
      <c r="B168" s="125" t="s">
        <v>56</v>
      </c>
      <c r="C168" s="128" t="s">
        <v>64</v>
      </c>
      <c r="D168" s="129"/>
      <c r="E168" s="54"/>
      <c r="F168" s="55"/>
      <c r="G168" s="55"/>
      <c r="H168" s="55"/>
      <c r="I168" s="55"/>
      <c r="J168" s="56">
        <v>717</v>
      </c>
      <c r="K168" s="56">
        <v>1197</v>
      </c>
      <c r="L168" s="56">
        <v>813</v>
      </c>
      <c r="M168" s="56">
        <v>523</v>
      </c>
      <c r="N168" s="189">
        <v>394</v>
      </c>
      <c r="O168" s="189">
        <v>310</v>
      </c>
      <c r="P168" s="189">
        <v>249</v>
      </c>
      <c r="Q168" s="189">
        <v>276</v>
      </c>
      <c r="R168" s="57">
        <v>221</v>
      </c>
    </row>
    <row r="169" spans="2:19" outlineLevel="2" x14ac:dyDescent="0.45">
      <c r="B169" s="117"/>
      <c r="C169" s="120" t="s">
        <v>70</v>
      </c>
      <c r="D169" s="121"/>
      <c r="E169" s="73"/>
      <c r="F169" s="74"/>
      <c r="G169" s="74"/>
      <c r="H169" s="74"/>
      <c r="I169" s="74"/>
      <c r="J169" s="75">
        <v>12</v>
      </c>
      <c r="K169" s="75">
        <v>12</v>
      </c>
      <c r="L169" s="75">
        <v>6</v>
      </c>
      <c r="M169" s="75">
        <v>10</v>
      </c>
      <c r="N169" s="192">
        <v>12</v>
      </c>
      <c r="O169" s="192">
        <v>5</v>
      </c>
      <c r="P169" s="192">
        <v>4</v>
      </c>
      <c r="Q169" s="192">
        <v>2</v>
      </c>
      <c r="R169" s="76">
        <v>3</v>
      </c>
    </row>
    <row r="170" spans="2:19" ht="14.65" outlineLevel="2" thickBot="1" x14ac:dyDescent="0.5">
      <c r="B170" s="122"/>
      <c r="C170" s="126" t="s">
        <v>71</v>
      </c>
      <c r="D170" s="127"/>
      <c r="E170" s="88"/>
      <c r="F170" s="89"/>
      <c r="G170" s="89"/>
      <c r="H170" s="89"/>
      <c r="I170" s="89"/>
      <c r="J170" s="90">
        <v>0</v>
      </c>
      <c r="K170" s="90">
        <v>1</v>
      </c>
      <c r="L170" s="90">
        <v>1</v>
      </c>
      <c r="M170" s="90">
        <v>0</v>
      </c>
      <c r="N170" s="195">
        <v>0</v>
      </c>
      <c r="O170" s="195">
        <v>2</v>
      </c>
      <c r="P170" s="195">
        <v>2</v>
      </c>
      <c r="Q170" s="195">
        <v>1</v>
      </c>
      <c r="R170" s="91">
        <v>3</v>
      </c>
    </row>
    <row r="171" spans="2:19" outlineLevel="2" x14ac:dyDescent="0.45">
      <c r="B171" s="125" t="s">
        <v>58</v>
      </c>
      <c r="C171" s="128" t="s">
        <v>63</v>
      </c>
      <c r="D171" s="129"/>
      <c r="E171" s="54"/>
      <c r="F171" s="55"/>
      <c r="G171" s="55"/>
      <c r="H171" s="55"/>
      <c r="I171" s="55"/>
      <c r="J171" s="56">
        <v>831</v>
      </c>
      <c r="K171" s="56">
        <v>863</v>
      </c>
      <c r="L171" s="56">
        <v>849</v>
      </c>
      <c r="M171" s="56">
        <v>1602</v>
      </c>
      <c r="N171" s="189">
        <v>1998</v>
      </c>
      <c r="O171" s="189">
        <v>2609</v>
      </c>
      <c r="P171" s="189">
        <v>3328</v>
      </c>
      <c r="Q171" s="189">
        <v>1895</v>
      </c>
      <c r="R171" s="57">
        <v>615</v>
      </c>
    </row>
    <row r="172" spans="2:19" outlineLevel="2" x14ac:dyDescent="0.45">
      <c r="B172" s="117"/>
      <c r="C172" s="120" t="s">
        <v>72</v>
      </c>
      <c r="D172" s="121"/>
      <c r="E172" s="73"/>
      <c r="F172" s="74"/>
      <c r="G172" s="74"/>
      <c r="H172" s="74"/>
      <c r="I172" s="74"/>
      <c r="J172" s="75">
        <v>0</v>
      </c>
      <c r="K172" s="75">
        <v>0</v>
      </c>
      <c r="L172" s="75">
        <v>0</v>
      </c>
      <c r="M172" s="75">
        <v>0</v>
      </c>
      <c r="N172" s="192">
        <v>0</v>
      </c>
      <c r="O172" s="192">
        <v>0</v>
      </c>
      <c r="P172" s="192">
        <v>0</v>
      </c>
      <c r="Q172" s="192">
        <v>0</v>
      </c>
      <c r="R172" s="76">
        <v>0</v>
      </c>
    </row>
    <row r="173" spans="2:19" ht="14.65" outlineLevel="2" thickBot="1" x14ac:dyDescent="0.5">
      <c r="B173" s="122"/>
      <c r="C173" s="126" t="s">
        <v>73</v>
      </c>
      <c r="D173" s="127"/>
      <c r="E173" s="88"/>
      <c r="F173" s="89"/>
      <c r="G173" s="89"/>
      <c r="H173" s="89"/>
      <c r="I173" s="89"/>
      <c r="J173" s="90">
        <v>0</v>
      </c>
      <c r="K173" s="90">
        <v>0</v>
      </c>
      <c r="L173" s="90">
        <v>0</v>
      </c>
      <c r="M173" s="90">
        <v>0</v>
      </c>
      <c r="N173" s="195">
        <v>0</v>
      </c>
      <c r="O173" s="195">
        <v>0</v>
      </c>
      <c r="P173" s="255">
        <v>0</v>
      </c>
      <c r="Q173" s="255">
        <v>0</v>
      </c>
      <c r="R173" s="91">
        <v>0</v>
      </c>
      <c r="S173" s="26" t="s">
        <v>311</v>
      </c>
    </row>
    <row r="174" spans="2:19" ht="14.65" outlineLevel="1" thickBot="1" x14ac:dyDescent="0.5"/>
    <row r="175" spans="2:19" ht="21.4" outlineLevel="1" thickBot="1" x14ac:dyDescent="0.5">
      <c r="B175" s="39" t="s">
        <v>79</v>
      </c>
      <c r="C175" s="113"/>
      <c r="D175" s="113"/>
      <c r="E175" s="113"/>
      <c r="F175" s="113"/>
      <c r="G175" s="113"/>
      <c r="H175" s="113"/>
      <c r="I175" s="113"/>
      <c r="J175" s="113"/>
      <c r="K175" s="113"/>
      <c r="L175" s="113"/>
      <c r="M175" s="113"/>
      <c r="N175" s="113"/>
      <c r="O175" s="113"/>
      <c r="P175" s="113"/>
      <c r="Q175" s="113"/>
      <c r="R175" s="113"/>
    </row>
    <row r="176" spans="2:19" ht="15.75" customHeight="1" outlineLevel="2" thickBot="1" x14ac:dyDescent="0.5">
      <c r="B176" s="42"/>
      <c r="C176" s="42"/>
      <c r="D176" s="43"/>
      <c r="E176" s="272" t="s">
        <v>78</v>
      </c>
      <c r="F176" s="273"/>
      <c r="G176" s="273"/>
      <c r="H176" s="273"/>
      <c r="I176" s="273"/>
      <c r="J176" s="273"/>
      <c r="K176" s="273"/>
      <c r="L176" s="273"/>
      <c r="M176" s="273"/>
      <c r="N176" s="273"/>
      <c r="O176" s="273"/>
      <c r="P176" s="273"/>
      <c r="Q176" s="273"/>
      <c r="R176" s="273"/>
    </row>
    <row r="177" spans="2:19" ht="14.65" outlineLevel="2" thickBot="1" x14ac:dyDescent="0.5">
      <c r="B177" s="44"/>
      <c r="C177" s="45"/>
      <c r="D177" s="46"/>
      <c r="E177" s="130" t="str">
        <f>E$11</f>
        <v>2008-09</v>
      </c>
      <c r="F177" s="131" t="str">
        <f t="shared" ref="F177:R177" si="5">F$11</f>
        <v>2009-10</v>
      </c>
      <c r="G177" s="131" t="str">
        <f t="shared" si="5"/>
        <v>2010-11</v>
      </c>
      <c r="H177" s="131" t="str">
        <f t="shared" si="5"/>
        <v>2011-12</v>
      </c>
      <c r="I177" s="131" t="str">
        <f t="shared" si="5"/>
        <v>2012-13</v>
      </c>
      <c r="J177" s="131" t="str">
        <f t="shared" si="5"/>
        <v>2013-14</v>
      </c>
      <c r="K177" s="131" t="str">
        <f t="shared" si="5"/>
        <v>2014-15</v>
      </c>
      <c r="L177" s="132" t="str">
        <f t="shared" si="5"/>
        <v>2015-16</v>
      </c>
      <c r="M177" s="132" t="str">
        <f t="shared" si="5"/>
        <v>2016-17</v>
      </c>
      <c r="N177" s="132" t="str">
        <f t="shared" si="5"/>
        <v>2017-18</v>
      </c>
      <c r="O177" s="132" t="str">
        <f t="shared" si="5"/>
        <v>2018-19</v>
      </c>
      <c r="P177" s="132" t="str">
        <f t="shared" si="5"/>
        <v>2019-20</v>
      </c>
      <c r="Q177" s="132" t="str">
        <f t="shared" si="5"/>
        <v>2020-21</v>
      </c>
      <c r="R177" s="132" t="str">
        <f t="shared" si="5"/>
        <v>2021-22</v>
      </c>
    </row>
    <row r="178" spans="2:19" outlineLevel="2" x14ac:dyDescent="0.45">
      <c r="B178" s="117" t="s">
        <v>34</v>
      </c>
      <c r="C178" s="118" t="s">
        <v>63</v>
      </c>
      <c r="D178" s="119"/>
      <c r="E178" s="54"/>
      <c r="F178" s="55"/>
      <c r="G178" s="55"/>
      <c r="H178" s="55"/>
      <c r="I178" s="55"/>
      <c r="J178" s="56">
        <v>809</v>
      </c>
      <c r="K178" s="56">
        <v>1119</v>
      </c>
      <c r="L178" s="56">
        <v>902</v>
      </c>
      <c r="M178" s="56">
        <v>572</v>
      </c>
      <c r="N178" s="189">
        <v>201</v>
      </c>
      <c r="O178" s="189">
        <v>266</v>
      </c>
      <c r="P178" s="189">
        <v>95</v>
      </c>
      <c r="Q178" s="189">
        <v>187</v>
      </c>
      <c r="R178" s="251">
        <v>270</v>
      </c>
    </row>
    <row r="179" spans="2:19" outlineLevel="2" x14ac:dyDescent="0.45">
      <c r="B179" s="117"/>
      <c r="C179" s="120" t="s">
        <v>64</v>
      </c>
      <c r="D179" s="121"/>
      <c r="E179" s="73"/>
      <c r="F179" s="74"/>
      <c r="G179" s="74"/>
      <c r="H179" s="74"/>
      <c r="I179" s="74"/>
      <c r="J179" s="75">
        <v>9</v>
      </c>
      <c r="K179" s="75">
        <v>7</v>
      </c>
      <c r="L179" s="75">
        <v>0</v>
      </c>
      <c r="M179" s="75">
        <v>1</v>
      </c>
      <c r="N179" s="192">
        <v>2</v>
      </c>
      <c r="O179" s="192">
        <v>1</v>
      </c>
      <c r="P179" s="192">
        <v>7</v>
      </c>
      <c r="Q179" s="192">
        <v>8</v>
      </c>
      <c r="R179" s="252">
        <v>4</v>
      </c>
    </row>
    <row r="180" spans="2:19" ht="14.65" outlineLevel="2" thickBot="1" x14ac:dyDescent="0.5">
      <c r="B180" s="122"/>
      <c r="C180" s="123" t="s">
        <v>65</v>
      </c>
      <c r="D180" s="124"/>
      <c r="E180" s="88"/>
      <c r="F180" s="89"/>
      <c r="G180" s="89"/>
      <c r="H180" s="89"/>
      <c r="I180" s="89"/>
      <c r="J180" s="90">
        <v>27</v>
      </c>
      <c r="K180" s="90">
        <v>22</v>
      </c>
      <c r="L180" s="90">
        <v>21</v>
      </c>
      <c r="M180" s="90">
        <v>6</v>
      </c>
      <c r="N180" s="195">
        <v>8</v>
      </c>
      <c r="O180" s="195">
        <v>9</v>
      </c>
      <c r="P180" s="195">
        <v>12</v>
      </c>
      <c r="Q180" s="195">
        <v>3</v>
      </c>
      <c r="R180" s="253">
        <v>11</v>
      </c>
    </row>
    <row r="181" spans="2:19" outlineLevel="2" x14ac:dyDescent="0.45">
      <c r="B181" s="125" t="s">
        <v>53</v>
      </c>
      <c r="C181" s="118" t="s">
        <v>63</v>
      </c>
      <c r="D181" s="119"/>
      <c r="E181" s="54"/>
      <c r="F181" s="55"/>
      <c r="G181" s="55"/>
      <c r="H181" s="55"/>
      <c r="I181" s="55"/>
      <c r="J181" s="56">
        <v>74</v>
      </c>
      <c r="K181" s="56">
        <v>331</v>
      </c>
      <c r="L181" s="56">
        <v>238</v>
      </c>
      <c r="M181" s="56">
        <v>151</v>
      </c>
      <c r="N181" s="189">
        <v>30</v>
      </c>
      <c r="O181" s="189">
        <v>56</v>
      </c>
      <c r="P181" s="189">
        <v>9</v>
      </c>
      <c r="Q181" s="189">
        <v>16</v>
      </c>
      <c r="R181" s="251">
        <v>52</v>
      </c>
    </row>
    <row r="182" spans="2:19" outlineLevel="2" x14ac:dyDescent="0.45">
      <c r="B182" s="117"/>
      <c r="C182" s="120" t="s">
        <v>66</v>
      </c>
      <c r="D182" s="121"/>
      <c r="E182" s="73"/>
      <c r="F182" s="74"/>
      <c r="G182" s="74"/>
      <c r="H182" s="74"/>
      <c r="I182" s="74"/>
      <c r="J182" s="75">
        <v>38</v>
      </c>
      <c r="K182" s="75">
        <v>27</v>
      </c>
      <c r="L182" s="75">
        <v>29</v>
      </c>
      <c r="M182" s="75">
        <v>16</v>
      </c>
      <c r="N182" s="192">
        <v>40</v>
      </c>
      <c r="O182" s="192">
        <v>42</v>
      </c>
      <c r="P182" s="192">
        <v>25</v>
      </c>
      <c r="Q182" s="192">
        <v>19</v>
      </c>
      <c r="R182" s="252">
        <v>17</v>
      </c>
    </row>
    <row r="183" spans="2:19" outlineLevel="2" x14ac:dyDescent="0.45">
      <c r="B183" s="117"/>
      <c r="C183" s="120" t="s">
        <v>67</v>
      </c>
      <c r="D183" s="121"/>
      <c r="E183" s="73"/>
      <c r="F183" s="74"/>
      <c r="G183" s="74"/>
      <c r="H183" s="74"/>
      <c r="I183" s="74"/>
      <c r="J183" s="75">
        <v>0</v>
      </c>
      <c r="K183" s="75">
        <v>0</v>
      </c>
      <c r="L183" s="75">
        <v>0</v>
      </c>
      <c r="M183" s="75">
        <v>0</v>
      </c>
      <c r="N183" s="192">
        <v>0</v>
      </c>
      <c r="O183" s="192">
        <v>1</v>
      </c>
      <c r="P183" s="192">
        <v>4</v>
      </c>
      <c r="Q183" s="192">
        <v>5</v>
      </c>
      <c r="R183" s="252">
        <v>5</v>
      </c>
    </row>
    <row r="184" spans="2:19" outlineLevel="2" x14ac:dyDescent="0.45">
      <c r="B184" s="117"/>
      <c r="C184" s="120" t="s">
        <v>68</v>
      </c>
      <c r="D184" s="121"/>
      <c r="E184" s="73"/>
      <c r="F184" s="74"/>
      <c r="G184" s="74"/>
      <c r="H184" s="74"/>
      <c r="I184" s="74"/>
      <c r="J184" s="75">
        <v>6</v>
      </c>
      <c r="K184" s="75">
        <v>1</v>
      </c>
      <c r="L184" s="75">
        <v>3</v>
      </c>
      <c r="M184" s="75">
        <v>1</v>
      </c>
      <c r="N184" s="192">
        <v>0</v>
      </c>
      <c r="O184" s="192">
        <v>1</v>
      </c>
      <c r="P184" s="192">
        <v>2</v>
      </c>
      <c r="Q184" s="192">
        <v>2</v>
      </c>
      <c r="R184" s="252">
        <v>5</v>
      </c>
    </row>
    <row r="185" spans="2:19" ht="14.65" outlineLevel="2" thickBot="1" x14ac:dyDescent="0.5">
      <c r="B185" s="122"/>
      <c r="C185" s="126" t="s">
        <v>69</v>
      </c>
      <c r="D185" s="127"/>
      <c r="E185" s="88"/>
      <c r="F185" s="89"/>
      <c r="G185" s="89"/>
      <c r="H185" s="89"/>
      <c r="I185" s="89"/>
      <c r="J185" s="90">
        <v>0</v>
      </c>
      <c r="K185" s="90">
        <v>0</v>
      </c>
      <c r="L185" s="90">
        <v>0</v>
      </c>
      <c r="M185" s="90">
        <v>0</v>
      </c>
      <c r="N185" s="195">
        <v>0</v>
      </c>
      <c r="O185" s="195">
        <v>0</v>
      </c>
      <c r="P185" s="195">
        <v>0</v>
      </c>
      <c r="Q185" s="195">
        <v>0</v>
      </c>
      <c r="R185" s="253">
        <v>0</v>
      </c>
    </row>
    <row r="186" spans="2:19" outlineLevel="2" x14ac:dyDescent="0.45">
      <c r="B186" s="125" t="s">
        <v>56</v>
      </c>
      <c r="C186" s="128" t="s">
        <v>64</v>
      </c>
      <c r="D186" s="129"/>
      <c r="E186" s="54"/>
      <c r="F186" s="55"/>
      <c r="G186" s="55"/>
      <c r="H186" s="55"/>
      <c r="I186" s="55"/>
      <c r="J186" s="56">
        <v>717</v>
      </c>
      <c r="K186" s="56">
        <v>1197</v>
      </c>
      <c r="L186" s="56">
        <v>813</v>
      </c>
      <c r="M186" s="56">
        <v>523</v>
      </c>
      <c r="N186" s="189">
        <v>394</v>
      </c>
      <c r="O186" s="189">
        <v>310</v>
      </c>
      <c r="P186" s="189">
        <v>249</v>
      </c>
      <c r="Q186" s="189">
        <v>276</v>
      </c>
      <c r="R186" s="251">
        <v>221</v>
      </c>
    </row>
    <row r="187" spans="2:19" outlineLevel="2" x14ac:dyDescent="0.45">
      <c r="B187" s="117"/>
      <c r="C187" s="120" t="s">
        <v>70</v>
      </c>
      <c r="D187" s="121"/>
      <c r="E187" s="73"/>
      <c r="F187" s="74"/>
      <c r="G187" s="74"/>
      <c r="H187" s="74"/>
      <c r="I187" s="74"/>
      <c r="J187" s="75">
        <v>12</v>
      </c>
      <c r="K187" s="75">
        <v>12</v>
      </c>
      <c r="L187" s="75">
        <v>6</v>
      </c>
      <c r="M187" s="75">
        <v>10</v>
      </c>
      <c r="N187" s="192">
        <v>12</v>
      </c>
      <c r="O187" s="192">
        <v>5</v>
      </c>
      <c r="P187" s="192">
        <v>4</v>
      </c>
      <c r="Q187" s="192">
        <v>2</v>
      </c>
      <c r="R187" s="252">
        <v>3</v>
      </c>
    </row>
    <row r="188" spans="2:19" ht="14.65" outlineLevel="2" thickBot="1" x14ac:dyDescent="0.5">
      <c r="B188" s="122"/>
      <c r="C188" s="126" t="s">
        <v>71</v>
      </c>
      <c r="D188" s="127"/>
      <c r="E188" s="88"/>
      <c r="F188" s="89"/>
      <c r="G188" s="89"/>
      <c r="H188" s="89"/>
      <c r="I188" s="89"/>
      <c r="J188" s="90">
        <v>0</v>
      </c>
      <c r="K188" s="90">
        <v>1</v>
      </c>
      <c r="L188" s="90">
        <v>1</v>
      </c>
      <c r="M188" s="90">
        <v>0</v>
      </c>
      <c r="N188" s="195">
        <v>0</v>
      </c>
      <c r="O188" s="195">
        <v>2</v>
      </c>
      <c r="P188" s="195">
        <v>2</v>
      </c>
      <c r="Q188" s="195">
        <v>1</v>
      </c>
      <c r="R188" s="253">
        <v>3</v>
      </c>
    </row>
    <row r="189" spans="2:19" outlineLevel="2" x14ac:dyDescent="0.45">
      <c r="B189" s="125" t="s">
        <v>58</v>
      </c>
      <c r="C189" s="128" t="s">
        <v>63</v>
      </c>
      <c r="D189" s="129"/>
      <c r="E189" s="54"/>
      <c r="F189" s="55"/>
      <c r="G189" s="55"/>
      <c r="H189" s="55"/>
      <c r="I189" s="55"/>
      <c r="J189" s="56">
        <v>831</v>
      </c>
      <c r="K189" s="56">
        <v>863</v>
      </c>
      <c r="L189" s="56">
        <v>849</v>
      </c>
      <c r="M189" s="56">
        <v>1602</v>
      </c>
      <c r="N189" s="189">
        <v>1998</v>
      </c>
      <c r="O189" s="189">
        <v>2609</v>
      </c>
      <c r="P189" s="189">
        <v>3328</v>
      </c>
      <c r="Q189" s="189">
        <v>1895</v>
      </c>
      <c r="R189" s="251">
        <v>615</v>
      </c>
    </row>
    <row r="190" spans="2:19" outlineLevel="2" x14ac:dyDescent="0.45">
      <c r="B190" s="117"/>
      <c r="C190" s="120" t="s">
        <v>72</v>
      </c>
      <c r="D190" s="121"/>
      <c r="E190" s="73"/>
      <c r="F190" s="74"/>
      <c r="G190" s="74"/>
      <c r="H190" s="74"/>
      <c r="I190" s="74"/>
      <c r="J190" s="75">
        <v>0</v>
      </c>
      <c r="K190" s="75">
        <v>0</v>
      </c>
      <c r="L190" s="75">
        <v>0</v>
      </c>
      <c r="M190" s="75">
        <v>0</v>
      </c>
      <c r="N190" s="192">
        <v>0</v>
      </c>
      <c r="O190" s="192">
        <v>0</v>
      </c>
      <c r="P190" s="192">
        <v>0</v>
      </c>
      <c r="Q190" s="192">
        <v>0</v>
      </c>
      <c r="R190" s="252">
        <v>0</v>
      </c>
    </row>
    <row r="191" spans="2:19" ht="14.65" outlineLevel="2" thickBot="1" x14ac:dyDescent="0.5">
      <c r="B191" s="122"/>
      <c r="C191" s="126" t="s">
        <v>73</v>
      </c>
      <c r="D191" s="127"/>
      <c r="E191" s="88"/>
      <c r="F191" s="89"/>
      <c r="G191" s="89"/>
      <c r="H191" s="89"/>
      <c r="I191" s="89"/>
      <c r="J191" s="90">
        <v>0</v>
      </c>
      <c r="K191" s="90">
        <v>0</v>
      </c>
      <c r="L191" s="90">
        <v>0</v>
      </c>
      <c r="M191" s="90">
        <v>0</v>
      </c>
      <c r="N191" s="195">
        <v>0</v>
      </c>
      <c r="O191" s="195">
        <v>0</v>
      </c>
      <c r="P191" s="255">
        <v>0</v>
      </c>
      <c r="Q191" s="255">
        <v>0</v>
      </c>
      <c r="R191" s="253">
        <v>0</v>
      </c>
      <c r="S191" s="26" t="s">
        <v>311</v>
      </c>
    </row>
    <row r="192" spans="2:19" ht="14.65" outlineLevel="1" thickBot="1" x14ac:dyDescent="0.5"/>
    <row r="193" spans="2:18" ht="21.4" outlineLevel="1" thickBot="1" x14ac:dyDescent="0.5">
      <c r="B193" s="39" t="s">
        <v>80</v>
      </c>
      <c r="C193" s="113"/>
      <c r="D193" s="113"/>
      <c r="E193" s="113"/>
      <c r="F193" s="113"/>
      <c r="G193" s="113"/>
      <c r="H193" s="113"/>
      <c r="I193" s="113"/>
      <c r="J193" s="113"/>
      <c r="K193" s="113"/>
      <c r="L193" s="113"/>
      <c r="M193" s="113"/>
      <c r="N193" s="113"/>
      <c r="O193" s="113"/>
      <c r="P193" s="113"/>
      <c r="Q193" s="113"/>
      <c r="R193" s="113"/>
    </row>
    <row r="194" spans="2:18" ht="15.75" customHeight="1" outlineLevel="2" thickBot="1" x14ac:dyDescent="0.5">
      <c r="B194" s="42"/>
      <c r="C194" s="42"/>
      <c r="D194" s="43"/>
      <c r="E194" s="272" t="s">
        <v>78</v>
      </c>
      <c r="F194" s="273"/>
      <c r="G194" s="273"/>
      <c r="H194" s="273"/>
      <c r="I194" s="273"/>
      <c r="J194" s="273"/>
      <c r="K194" s="273"/>
      <c r="L194" s="273"/>
      <c r="M194" s="273"/>
      <c r="N194" s="273"/>
      <c r="O194" s="273"/>
      <c r="P194" s="273"/>
      <c r="Q194" s="273"/>
      <c r="R194" s="273"/>
    </row>
    <row r="195" spans="2:18" ht="14.65" outlineLevel="2" thickBot="1" x14ac:dyDescent="0.5">
      <c r="B195" s="44"/>
      <c r="C195" s="45"/>
      <c r="D195" s="46"/>
      <c r="E195" s="130" t="str">
        <f>E$11</f>
        <v>2008-09</v>
      </c>
      <c r="F195" s="131" t="str">
        <f t="shared" ref="F195:R195" si="6">F$11</f>
        <v>2009-10</v>
      </c>
      <c r="G195" s="131" t="str">
        <f t="shared" si="6"/>
        <v>2010-11</v>
      </c>
      <c r="H195" s="131" t="str">
        <f t="shared" si="6"/>
        <v>2011-12</v>
      </c>
      <c r="I195" s="131" t="str">
        <f t="shared" si="6"/>
        <v>2012-13</v>
      </c>
      <c r="J195" s="131" t="str">
        <f t="shared" si="6"/>
        <v>2013-14</v>
      </c>
      <c r="K195" s="131" t="str">
        <f t="shared" si="6"/>
        <v>2014-15</v>
      </c>
      <c r="L195" s="132" t="str">
        <f t="shared" si="6"/>
        <v>2015-16</v>
      </c>
      <c r="M195" s="132" t="str">
        <f t="shared" si="6"/>
        <v>2016-17</v>
      </c>
      <c r="N195" s="132" t="str">
        <f t="shared" si="6"/>
        <v>2017-18</v>
      </c>
      <c r="O195" s="132" t="str">
        <f t="shared" si="6"/>
        <v>2018-19</v>
      </c>
      <c r="P195" s="132" t="str">
        <f t="shared" si="6"/>
        <v>2019-20</v>
      </c>
      <c r="Q195" s="132" t="str">
        <f t="shared" si="6"/>
        <v>2020-21</v>
      </c>
      <c r="R195" s="132" t="str">
        <f t="shared" si="6"/>
        <v>2021-22</v>
      </c>
    </row>
    <row r="196" spans="2:18" outlineLevel="2" x14ac:dyDescent="0.45">
      <c r="B196" s="117" t="s">
        <v>34</v>
      </c>
      <c r="C196" s="118" t="s">
        <v>63</v>
      </c>
      <c r="D196" s="119"/>
      <c r="E196" s="133">
        <v>0</v>
      </c>
      <c r="F196" s="55"/>
      <c r="G196" s="55"/>
      <c r="H196" s="55"/>
      <c r="I196" s="55"/>
      <c r="J196" s="55"/>
      <c r="K196" s="55"/>
      <c r="L196" s="55"/>
      <c r="M196" s="55"/>
      <c r="N196" s="189">
        <v>64155</v>
      </c>
      <c r="O196" s="189">
        <v>62734</v>
      </c>
      <c r="P196" s="189">
        <v>60205</v>
      </c>
      <c r="Q196" s="189">
        <v>59422</v>
      </c>
      <c r="R196" s="57">
        <v>58803</v>
      </c>
    </row>
    <row r="197" spans="2:18" outlineLevel="2" x14ac:dyDescent="0.45">
      <c r="B197" s="117"/>
      <c r="C197" s="120" t="s">
        <v>64</v>
      </c>
      <c r="D197" s="121"/>
      <c r="E197" s="134">
        <v>0</v>
      </c>
      <c r="F197" s="74"/>
      <c r="G197" s="74"/>
      <c r="H197" s="74"/>
      <c r="I197" s="74"/>
      <c r="J197" s="74"/>
      <c r="K197" s="74"/>
      <c r="L197" s="74"/>
      <c r="M197" s="74"/>
      <c r="N197" s="192">
        <v>279</v>
      </c>
      <c r="O197" s="192">
        <v>124</v>
      </c>
      <c r="P197" s="192">
        <v>166</v>
      </c>
      <c r="Q197" s="192">
        <v>221</v>
      </c>
      <c r="R197" s="76">
        <v>200</v>
      </c>
    </row>
    <row r="198" spans="2:18" ht="14.65" outlineLevel="2" thickBot="1" x14ac:dyDescent="0.5">
      <c r="B198" s="122"/>
      <c r="C198" s="123" t="s">
        <v>65</v>
      </c>
      <c r="D198" s="124"/>
      <c r="E198" s="135">
        <v>0</v>
      </c>
      <c r="F198" s="89"/>
      <c r="G198" s="89"/>
      <c r="H198" s="89"/>
      <c r="I198" s="89"/>
      <c r="J198" s="89"/>
      <c r="K198" s="89"/>
      <c r="L198" s="89"/>
      <c r="M198" s="89"/>
      <c r="N198" s="195">
        <v>0</v>
      </c>
      <c r="O198" s="195">
        <v>0</v>
      </c>
      <c r="P198" s="195">
        <v>0</v>
      </c>
      <c r="Q198" s="195">
        <v>0</v>
      </c>
      <c r="R198" s="91">
        <v>1</v>
      </c>
    </row>
    <row r="199" spans="2:18" outlineLevel="2" x14ac:dyDescent="0.45">
      <c r="B199" s="125" t="s">
        <v>53</v>
      </c>
      <c r="C199" s="118" t="s">
        <v>63</v>
      </c>
      <c r="D199" s="119"/>
      <c r="E199" s="133">
        <v>0</v>
      </c>
      <c r="F199" s="55"/>
      <c r="G199" s="55"/>
      <c r="H199" s="55"/>
      <c r="I199" s="55"/>
      <c r="J199" s="55"/>
      <c r="K199" s="55"/>
      <c r="L199" s="55"/>
      <c r="M199" s="55"/>
      <c r="N199" s="189">
        <v>10115</v>
      </c>
      <c r="O199" s="189">
        <v>10312</v>
      </c>
      <c r="P199" s="189">
        <v>10043</v>
      </c>
      <c r="Q199" s="189">
        <v>9909</v>
      </c>
      <c r="R199" s="57">
        <v>9811</v>
      </c>
    </row>
    <row r="200" spans="2:18" outlineLevel="2" x14ac:dyDescent="0.45">
      <c r="B200" s="117"/>
      <c r="C200" s="120" t="s">
        <v>66</v>
      </c>
      <c r="D200" s="121"/>
      <c r="E200" s="134">
        <v>0</v>
      </c>
      <c r="F200" s="74"/>
      <c r="G200" s="74"/>
      <c r="H200" s="74"/>
      <c r="I200" s="74"/>
      <c r="J200" s="74"/>
      <c r="K200" s="74"/>
      <c r="L200" s="74"/>
      <c r="M200" s="74"/>
      <c r="N200" s="192">
        <v>1220</v>
      </c>
      <c r="O200" s="192">
        <v>883</v>
      </c>
      <c r="P200" s="192">
        <v>1191</v>
      </c>
      <c r="Q200" s="192">
        <v>1531</v>
      </c>
      <c r="R200" s="76">
        <v>1109</v>
      </c>
    </row>
    <row r="201" spans="2:18" outlineLevel="2" x14ac:dyDescent="0.45">
      <c r="B201" s="117"/>
      <c r="C201" s="120" t="s">
        <v>67</v>
      </c>
      <c r="D201" s="121"/>
      <c r="E201" s="134">
        <v>0</v>
      </c>
      <c r="F201" s="74"/>
      <c r="G201" s="74"/>
      <c r="H201" s="74"/>
      <c r="I201" s="74"/>
      <c r="J201" s="74"/>
      <c r="K201" s="74"/>
      <c r="L201" s="74"/>
      <c r="M201" s="74"/>
      <c r="N201" s="192">
        <v>567</v>
      </c>
      <c r="O201" s="192">
        <v>566</v>
      </c>
      <c r="P201" s="192">
        <v>572</v>
      </c>
      <c r="Q201" s="192">
        <v>174</v>
      </c>
      <c r="R201" s="76">
        <v>526</v>
      </c>
    </row>
    <row r="202" spans="2:18" outlineLevel="2" x14ac:dyDescent="0.45">
      <c r="B202" s="117"/>
      <c r="C202" s="120" t="s">
        <v>68</v>
      </c>
      <c r="D202" s="121"/>
      <c r="E202" s="134">
        <v>0</v>
      </c>
      <c r="F202" s="74"/>
      <c r="G202" s="74"/>
      <c r="H202" s="74"/>
      <c r="I202" s="74"/>
      <c r="J202" s="74"/>
      <c r="K202" s="74"/>
      <c r="L202" s="74"/>
      <c r="M202" s="74"/>
      <c r="N202" s="192">
        <v>47</v>
      </c>
      <c r="O202" s="192">
        <v>48</v>
      </c>
      <c r="P202" s="192">
        <v>68</v>
      </c>
      <c r="Q202" s="192">
        <v>60</v>
      </c>
      <c r="R202" s="76">
        <v>58</v>
      </c>
    </row>
    <row r="203" spans="2:18" ht="14.65" outlineLevel="2" thickBot="1" x14ac:dyDescent="0.5">
      <c r="B203" s="122"/>
      <c r="C203" s="126" t="s">
        <v>69</v>
      </c>
      <c r="D203" s="127"/>
      <c r="E203" s="135">
        <v>0</v>
      </c>
      <c r="F203" s="89"/>
      <c r="G203" s="89"/>
      <c r="H203" s="89"/>
      <c r="I203" s="89"/>
      <c r="J203" s="89"/>
      <c r="K203" s="89"/>
      <c r="L203" s="89"/>
      <c r="M203" s="89"/>
      <c r="N203" s="195">
        <v>0</v>
      </c>
      <c r="O203" s="195">
        <v>0</v>
      </c>
      <c r="P203" s="195">
        <v>0</v>
      </c>
      <c r="Q203" s="195">
        <v>0</v>
      </c>
      <c r="R203" s="91">
        <v>0</v>
      </c>
    </row>
    <row r="204" spans="2:18" outlineLevel="2" x14ac:dyDescent="0.45">
      <c r="B204" s="125" t="s">
        <v>56</v>
      </c>
      <c r="C204" s="128" t="s">
        <v>64</v>
      </c>
      <c r="D204" s="129"/>
      <c r="E204" s="133">
        <v>0</v>
      </c>
      <c r="F204" s="55"/>
      <c r="G204" s="55"/>
      <c r="H204" s="55"/>
      <c r="I204" s="55"/>
      <c r="J204" s="55"/>
      <c r="K204" s="55"/>
      <c r="L204" s="55"/>
      <c r="M204" s="55"/>
      <c r="N204" s="189">
        <v>0</v>
      </c>
      <c r="O204" s="189">
        <v>0</v>
      </c>
      <c r="P204" s="189">
        <v>0</v>
      </c>
      <c r="Q204" s="189">
        <v>0</v>
      </c>
      <c r="R204" s="57">
        <v>0</v>
      </c>
    </row>
    <row r="205" spans="2:18" outlineLevel="2" x14ac:dyDescent="0.45">
      <c r="B205" s="117"/>
      <c r="C205" s="120" t="s">
        <v>70</v>
      </c>
      <c r="D205" s="121"/>
      <c r="E205" s="134">
        <v>0</v>
      </c>
      <c r="F205" s="74"/>
      <c r="G205" s="74"/>
      <c r="H205" s="74"/>
      <c r="I205" s="74"/>
      <c r="J205" s="74"/>
      <c r="K205" s="74"/>
      <c r="L205" s="74"/>
      <c r="M205" s="74"/>
      <c r="N205" s="192">
        <v>0</v>
      </c>
      <c r="O205" s="192">
        <v>0</v>
      </c>
      <c r="P205" s="192">
        <v>0</v>
      </c>
      <c r="Q205" s="192">
        <v>0</v>
      </c>
      <c r="R205" s="76">
        <v>0</v>
      </c>
    </row>
    <row r="206" spans="2:18" ht="14.65" outlineLevel="2" thickBot="1" x14ac:dyDescent="0.5">
      <c r="B206" s="122"/>
      <c r="C206" s="126" t="s">
        <v>71</v>
      </c>
      <c r="D206" s="127"/>
      <c r="E206" s="135">
        <v>0</v>
      </c>
      <c r="F206" s="89"/>
      <c r="G206" s="89"/>
      <c r="H206" s="89"/>
      <c r="I206" s="89"/>
      <c r="J206" s="89"/>
      <c r="K206" s="89"/>
      <c r="L206" s="89"/>
      <c r="M206" s="89"/>
      <c r="N206" s="195">
        <v>0</v>
      </c>
      <c r="O206" s="195">
        <v>0</v>
      </c>
      <c r="P206" s="195">
        <v>0</v>
      </c>
      <c r="Q206" s="195">
        <v>0</v>
      </c>
      <c r="R206" s="91">
        <v>0</v>
      </c>
    </row>
    <row r="207" spans="2:18" outlineLevel="2" x14ac:dyDescent="0.45">
      <c r="B207" s="125" t="s">
        <v>58</v>
      </c>
      <c r="C207" s="128" t="s">
        <v>63</v>
      </c>
      <c r="D207" s="129"/>
      <c r="E207" s="133">
        <v>0</v>
      </c>
      <c r="F207" s="55"/>
      <c r="G207" s="55"/>
      <c r="H207" s="55"/>
      <c r="I207" s="55"/>
      <c r="J207" s="55"/>
      <c r="K207" s="55"/>
      <c r="L207" s="55"/>
      <c r="M207" s="55"/>
      <c r="N207" s="189">
        <v>8890</v>
      </c>
      <c r="O207" s="189">
        <v>11074</v>
      </c>
      <c r="P207" s="189">
        <v>14098</v>
      </c>
      <c r="Q207" s="189">
        <v>15959</v>
      </c>
      <c r="R207" s="57">
        <v>17059</v>
      </c>
    </row>
    <row r="208" spans="2:18" outlineLevel="2" x14ac:dyDescent="0.45">
      <c r="B208" s="117"/>
      <c r="C208" s="120" t="s">
        <v>72</v>
      </c>
      <c r="D208" s="121"/>
      <c r="E208" s="134">
        <v>0</v>
      </c>
      <c r="F208" s="74"/>
      <c r="G208" s="74"/>
      <c r="H208" s="74"/>
      <c r="I208" s="74"/>
      <c r="J208" s="74"/>
      <c r="K208" s="74"/>
      <c r="L208" s="74"/>
      <c r="M208" s="74"/>
      <c r="N208" s="192">
        <v>3</v>
      </c>
      <c r="O208" s="192">
        <v>2</v>
      </c>
      <c r="P208" s="192">
        <v>0</v>
      </c>
      <c r="Q208" s="192">
        <v>8</v>
      </c>
      <c r="R208" s="76">
        <v>8</v>
      </c>
    </row>
    <row r="209" spans="2:19" ht="14.65" outlineLevel="2" thickBot="1" x14ac:dyDescent="0.5">
      <c r="B209" s="122"/>
      <c r="C209" s="126" t="s">
        <v>73</v>
      </c>
      <c r="D209" s="127"/>
      <c r="E209" s="135">
        <v>0</v>
      </c>
      <c r="F209" s="89"/>
      <c r="G209" s="89"/>
      <c r="H209" s="89"/>
      <c r="I209" s="89"/>
      <c r="J209" s="89"/>
      <c r="K209" s="89"/>
      <c r="L209" s="89"/>
      <c r="M209" s="89"/>
      <c r="N209" s="195">
        <v>0</v>
      </c>
      <c r="O209" s="195">
        <v>0</v>
      </c>
      <c r="P209" s="255">
        <v>0</v>
      </c>
      <c r="Q209" s="195">
        <v>0</v>
      </c>
      <c r="R209" s="91">
        <v>0</v>
      </c>
      <c r="S209" s="26" t="s">
        <v>311</v>
      </c>
    </row>
    <row r="210" spans="2:19" outlineLevel="1" x14ac:dyDescent="0.45"/>
  </sheetData>
  <mergeCells count="9">
    <mergeCell ref="E194:R194"/>
    <mergeCell ref="B6:C6"/>
    <mergeCell ref="E10:R10"/>
    <mergeCell ref="E55:R55"/>
    <mergeCell ref="E102:R102"/>
    <mergeCell ref="E120:R120"/>
    <mergeCell ref="E138:R138"/>
    <mergeCell ref="E158:R158"/>
    <mergeCell ref="E176:R176"/>
  </mergeCells>
  <dataValidations count="1">
    <dataValidation allowBlank="1" showInputMessage="1" showErrorMessage="1" sqref="F121:R135 E1:E135 F1:R9 F11:R54 F56:R101 F195:R1048576 E137:E1048576 F137:R137 F139:R157 F159:R175 F177:R193 F103:R119" xr:uid="{6A67BA5D-F677-4DD3-96E0-0A33F46109E8}"/>
  </dataValidation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05316-78A2-46D8-8034-789BA5F678A0}">
  <sheetPr codeName="Sheet84"/>
  <dimension ref="A1:Q97"/>
  <sheetViews>
    <sheetView showGridLines="0" zoomScaleNormal="100" workbookViewId="0">
      <pane xSplit="1" ySplit="2" topLeftCell="B3" activePane="bottomRight" state="frozen"/>
      <selection pane="topRight" activeCell="B1" sqref="B1"/>
      <selection pane="bottomLeft" activeCell="A4" sqref="A4"/>
      <selection pane="bottomRight" activeCell="B3" sqref="B3"/>
    </sheetView>
  </sheetViews>
  <sheetFormatPr defaultColWidth="8.86328125" defaultRowHeight="10.15" x14ac:dyDescent="0.3"/>
  <cols>
    <col min="1" max="3" width="2" style="5" customWidth="1"/>
    <col min="4" max="4" width="51.265625" style="5" customWidth="1"/>
    <col min="5" max="15" width="11.59765625" style="5" customWidth="1"/>
    <col min="16" max="16384" width="8.86328125" style="5"/>
  </cols>
  <sheetData>
    <row r="1" spans="1:17" ht="18.75" x14ac:dyDescent="0.3">
      <c r="A1" s="3">
        <f>IF(SUM($A5:$A97)&gt;0,1,0)</f>
        <v>0</v>
      </c>
      <c r="B1" s="4" t="s">
        <v>108</v>
      </c>
    </row>
    <row r="2" spans="1:17" x14ac:dyDescent="0.3">
      <c r="B2" s="173" t="str">
        <f ca="1">Checks!Title_Msg</f>
        <v>No Errors Found</v>
      </c>
    </row>
    <row r="3" spans="1:17" x14ac:dyDescent="0.3">
      <c r="B3" s="173"/>
    </row>
    <row r="4" spans="1:17" s="6" customFormat="1" ht="15" x14ac:dyDescent="0.45">
      <c r="B4" s="6" t="s">
        <v>109</v>
      </c>
    </row>
    <row r="5" spans="1:17" ht="4.1500000000000004" customHeight="1" x14ac:dyDescent="0.3">
      <c r="B5" s="174"/>
    </row>
    <row r="6" spans="1:17" s="7" customFormat="1" ht="13.9" x14ac:dyDescent="0.45">
      <c r="C6" s="7" t="s">
        <v>110</v>
      </c>
    </row>
    <row r="7" spans="1:17" ht="4.1500000000000004" customHeight="1" x14ac:dyDescent="0.3">
      <c r="B7" s="174"/>
    </row>
    <row r="9" spans="1:17" ht="12.75" x14ac:dyDescent="0.3">
      <c r="D9" s="175" t="s">
        <v>111</v>
      </c>
      <c r="E9" s="176">
        <v>2019</v>
      </c>
      <c r="F9" s="177">
        <f t="shared" ref="F9:I9" si="0">E9+1</f>
        <v>2020</v>
      </c>
      <c r="G9" s="177">
        <f t="shared" si="0"/>
        <v>2021</v>
      </c>
      <c r="H9" s="177">
        <f t="shared" si="0"/>
        <v>2022</v>
      </c>
      <c r="I9" s="177">
        <f t="shared" si="0"/>
        <v>2023</v>
      </c>
      <c r="J9" s="177">
        <f>I9+1</f>
        <v>2024</v>
      </c>
      <c r="K9" s="177">
        <f t="shared" ref="K9:O9" si="1">J9+1</f>
        <v>2025</v>
      </c>
      <c r="L9" s="177">
        <f t="shared" si="1"/>
        <v>2026</v>
      </c>
      <c r="M9" s="177">
        <f t="shared" si="1"/>
        <v>2027</v>
      </c>
      <c r="N9" s="177">
        <f t="shared" si="1"/>
        <v>2028</v>
      </c>
      <c r="O9" s="177">
        <f t="shared" si="1"/>
        <v>2029</v>
      </c>
    </row>
    <row r="10" spans="1:17" ht="12.75" x14ac:dyDescent="0.3">
      <c r="D10" s="175" t="s">
        <v>112</v>
      </c>
      <c r="E10" s="178" t="str">
        <f>LEFT(E9,2)&amp;RIGHT(E9,2)-1&amp;"-"&amp;RIGHT(E9,2)</f>
        <v>2018-19</v>
      </c>
      <c r="F10" s="178" t="str">
        <f>LEFT(F9,2)&amp;RIGHT(F9,2)-1&amp;"-"&amp;RIGHT(F9,2)</f>
        <v>2019-20</v>
      </c>
      <c r="G10" s="178" t="str">
        <f>LEFT(G9,2)&amp;RIGHT(G9,2)-1&amp;"-"&amp;RIGHT(G9,2)</f>
        <v>2020-21</v>
      </c>
      <c r="H10" s="178" t="str">
        <f>LEFT(H9,2)&amp;RIGHT(H9,2)-1&amp;"-"&amp;RIGHT(H9,2)</f>
        <v>2021-22</v>
      </c>
      <c r="I10" s="178" t="str">
        <f>LEFT(I9,2)&amp;RIGHT(I9,2)-1&amp;"-"&amp;RIGHT(I9,2)</f>
        <v>2022-23</v>
      </c>
      <c r="J10" s="178" t="str">
        <f t="shared" ref="J10:O10" si="2">LEFT(J9,2)&amp;RIGHT(J9,2)-1&amp;"-"&amp;RIGHT(J9,2)</f>
        <v>2023-24</v>
      </c>
      <c r="K10" s="178" t="str">
        <f t="shared" si="2"/>
        <v>2024-25</v>
      </c>
      <c r="L10" s="178" t="str">
        <f t="shared" si="2"/>
        <v>2025-26</v>
      </c>
      <c r="M10" s="178" t="str">
        <f t="shared" si="2"/>
        <v>2026-27</v>
      </c>
      <c r="N10" s="178" t="str">
        <f t="shared" si="2"/>
        <v>2027-28</v>
      </c>
      <c r="O10" s="178" t="str">
        <f t="shared" si="2"/>
        <v>2028-29</v>
      </c>
    </row>
    <row r="11" spans="1:17" ht="12.75" x14ac:dyDescent="0.3">
      <c r="D11" s="175" t="s">
        <v>113</v>
      </c>
      <c r="E11" s="179" t="str">
        <f t="shared" ref="E11:O11" si="3">"FY"&amp;RIGHT(E$9,2)</f>
        <v>FY19</v>
      </c>
      <c r="F11" s="179" t="str">
        <f t="shared" si="3"/>
        <v>FY20</v>
      </c>
      <c r="G11" s="179" t="str">
        <f t="shared" si="3"/>
        <v>FY21</v>
      </c>
      <c r="H11" s="179" t="str">
        <f t="shared" si="3"/>
        <v>FY22</v>
      </c>
      <c r="I11" s="179" t="str">
        <f t="shared" si="3"/>
        <v>FY23</v>
      </c>
      <c r="J11" s="179" t="str">
        <f t="shared" si="3"/>
        <v>FY24</v>
      </c>
      <c r="K11" s="179" t="str">
        <f t="shared" si="3"/>
        <v>FY25</v>
      </c>
      <c r="L11" s="179" t="str">
        <f t="shared" si="3"/>
        <v>FY26</v>
      </c>
      <c r="M11" s="179" t="str">
        <f t="shared" si="3"/>
        <v>FY27</v>
      </c>
      <c r="N11" s="179" t="str">
        <f t="shared" si="3"/>
        <v>FY28</v>
      </c>
      <c r="O11" s="179" t="str">
        <f t="shared" si="3"/>
        <v>FY29</v>
      </c>
      <c r="Q11" s="179" t="str">
        <f>"Total "&amp;K11&amp;" to "&amp;O11</f>
        <v>Total FY25 to FY29</v>
      </c>
    </row>
    <row r="12" spans="1:17" ht="12.75" x14ac:dyDescent="0.3">
      <c r="D12" s="175" t="s">
        <v>114</v>
      </c>
      <c r="E12" s="180" t="s">
        <v>202</v>
      </c>
      <c r="F12" s="180" t="s">
        <v>202</v>
      </c>
      <c r="G12" s="180" t="s">
        <v>202</v>
      </c>
      <c r="H12" s="180" t="s">
        <v>202</v>
      </c>
      <c r="I12" s="180" t="s">
        <v>115</v>
      </c>
      <c r="J12" s="180" t="str">
        <f>I12</f>
        <v>Estimate</v>
      </c>
      <c r="K12" s="180" t="s">
        <v>116</v>
      </c>
      <c r="L12" s="180" t="str">
        <f>K12</f>
        <v>Forecast</v>
      </c>
      <c r="M12" s="180" t="str">
        <f t="shared" ref="M12:O12" si="4">L12</f>
        <v>Forecast</v>
      </c>
      <c r="N12" s="180" t="str">
        <f t="shared" si="4"/>
        <v>Forecast</v>
      </c>
      <c r="O12" s="180" t="str">
        <f t="shared" si="4"/>
        <v>Forecast</v>
      </c>
    </row>
    <row r="14" spans="1:17" s="7" customFormat="1" ht="13.9" x14ac:dyDescent="0.45">
      <c r="C14" s="7" t="s">
        <v>117</v>
      </c>
    </row>
    <row r="16" spans="1:17" ht="12.75" x14ac:dyDescent="0.3">
      <c r="D16" s="175" t="s">
        <v>118</v>
      </c>
      <c r="E16" s="181" t="s">
        <v>119</v>
      </c>
    </row>
    <row r="17" spans="2:5" x14ac:dyDescent="0.3">
      <c r="E17" s="182"/>
    </row>
    <row r="18" spans="2:5" ht="12.75" x14ac:dyDescent="0.3">
      <c r="D18" s="175" t="s">
        <v>120</v>
      </c>
      <c r="E18" s="181" t="s">
        <v>121</v>
      </c>
    </row>
    <row r="19" spans="2:5" ht="12.75" x14ac:dyDescent="0.3">
      <c r="D19" s="175" t="s">
        <v>122</v>
      </c>
      <c r="E19" s="181" t="s">
        <v>123</v>
      </c>
    </row>
    <row r="20" spans="2:5" ht="12.75" x14ac:dyDescent="0.3">
      <c r="D20" s="175" t="s">
        <v>88</v>
      </c>
      <c r="E20" s="181" t="s">
        <v>88</v>
      </c>
    </row>
    <row r="21" spans="2:5" ht="12.75" x14ac:dyDescent="0.3">
      <c r="D21" s="175" t="s">
        <v>85</v>
      </c>
      <c r="E21" s="181" t="s">
        <v>85</v>
      </c>
    </row>
    <row r="22" spans="2:5" x14ac:dyDescent="0.3">
      <c r="E22" s="182"/>
    </row>
    <row r="23" spans="2:5" ht="12.75" x14ac:dyDescent="0.3">
      <c r="D23" s="175" t="s">
        <v>124</v>
      </c>
      <c r="E23" s="181" t="s">
        <v>125</v>
      </c>
    </row>
    <row r="24" spans="2:5" ht="12.75" x14ac:dyDescent="0.3">
      <c r="D24" s="175" t="s">
        <v>126</v>
      </c>
      <c r="E24" s="181" t="s">
        <v>127</v>
      </c>
    </row>
    <row r="26" spans="2:5" s="6" customFormat="1" ht="15" x14ac:dyDescent="0.45">
      <c r="B26" s="6" t="s">
        <v>128</v>
      </c>
    </row>
    <row r="27" spans="2:5" ht="4.1500000000000004" customHeight="1" x14ac:dyDescent="0.3">
      <c r="B27" s="174"/>
    </row>
    <row r="28" spans="2:5" s="7" customFormat="1" ht="13.9" x14ac:dyDescent="0.45">
      <c r="C28" s="7" t="s">
        <v>129</v>
      </c>
    </row>
    <row r="30" spans="2:5" ht="12.75" x14ac:dyDescent="0.3">
      <c r="D30" s="183" t="s">
        <v>130</v>
      </c>
    </row>
    <row r="31" spans="2:5" ht="12.75" x14ac:dyDescent="0.3">
      <c r="D31" s="183" t="s">
        <v>131</v>
      </c>
    </row>
    <row r="32" spans="2:5" ht="12.75" x14ac:dyDescent="0.3">
      <c r="D32" s="183" t="s">
        <v>132</v>
      </c>
    </row>
    <row r="33" spans="3:4" ht="12.75" x14ac:dyDescent="0.3">
      <c r="D33" s="183" t="s">
        <v>133</v>
      </c>
    </row>
    <row r="34" spans="3:4" ht="12.75" x14ac:dyDescent="0.3">
      <c r="D34" s="183" t="s">
        <v>134</v>
      </c>
    </row>
    <row r="35" spans="3:4" ht="12.75" x14ac:dyDescent="0.3">
      <c r="D35" s="183" t="s">
        <v>135</v>
      </c>
    </row>
    <row r="36" spans="3:4" ht="12.75" x14ac:dyDescent="0.3">
      <c r="D36" s="183" t="s">
        <v>136</v>
      </c>
    </row>
    <row r="37" spans="3:4" ht="12.75" x14ac:dyDescent="0.3">
      <c r="D37" s="183" t="s">
        <v>137</v>
      </c>
    </row>
    <row r="39" spans="3:4" s="7" customFormat="1" ht="13.9" x14ac:dyDescent="0.45">
      <c r="C39" s="7" t="s">
        <v>138</v>
      </c>
    </row>
    <row r="41" spans="3:4" ht="12.75" x14ac:dyDescent="0.3">
      <c r="D41" s="183" t="s">
        <v>0</v>
      </c>
    </row>
    <row r="42" spans="3:4" ht="12.75" x14ac:dyDescent="0.3">
      <c r="D42" s="183" t="s">
        <v>1</v>
      </c>
    </row>
    <row r="43" spans="3:4" ht="12.75" x14ac:dyDescent="0.3">
      <c r="D43" s="183" t="s">
        <v>2</v>
      </c>
    </row>
    <row r="44" spans="3:4" ht="12.75" x14ac:dyDescent="0.3">
      <c r="D44" s="183" t="s">
        <v>3</v>
      </c>
    </row>
    <row r="45" spans="3:4" ht="12.75" x14ac:dyDescent="0.3">
      <c r="D45" s="183" t="s">
        <v>4</v>
      </c>
    </row>
    <row r="46" spans="3:4" ht="12.75" x14ac:dyDescent="0.3">
      <c r="D46" s="183" t="s">
        <v>5</v>
      </c>
    </row>
    <row r="47" spans="3:4" ht="12.75" x14ac:dyDescent="0.3">
      <c r="D47" s="183" t="s">
        <v>6</v>
      </c>
    </row>
    <row r="48" spans="3:4" ht="12.75" x14ac:dyDescent="0.3">
      <c r="D48" s="183" t="s">
        <v>7</v>
      </c>
    </row>
    <row r="49" spans="3:4" ht="12.75" x14ac:dyDescent="0.3">
      <c r="D49" s="183" t="s">
        <v>8</v>
      </c>
    </row>
    <row r="50" spans="3:4" ht="12.75" x14ac:dyDescent="0.3">
      <c r="D50" s="183" t="s">
        <v>9</v>
      </c>
    </row>
    <row r="51" spans="3:4" ht="12.75" x14ac:dyDescent="0.3">
      <c r="D51" s="183" t="s">
        <v>10</v>
      </c>
    </row>
    <row r="52" spans="3:4" ht="12.75" x14ac:dyDescent="0.3">
      <c r="D52" s="183" t="s">
        <v>11</v>
      </c>
    </row>
    <row r="53" spans="3:4" ht="12.75" x14ac:dyDescent="0.3">
      <c r="D53" s="183" t="s">
        <v>12</v>
      </c>
    </row>
    <row r="54" spans="3:4" ht="12.75" x14ac:dyDescent="0.3">
      <c r="D54" s="183" t="s">
        <v>13</v>
      </c>
    </row>
    <row r="55" spans="3:4" ht="12.75" x14ac:dyDescent="0.3">
      <c r="D55" s="183" t="s">
        <v>139</v>
      </c>
    </row>
    <row r="56" spans="3:4" ht="12.75" x14ac:dyDescent="0.3">
      <c r="D56" s="183" t="s">
        <v>140</v>
      </c>
    </row>
    <row r="57" spans="3:4" ht="12.75" x14ac:dyDescent="0.3">
      <c r="D57" s="183" t="s">
        <v>141</v>
      </c>
    </row>
    <row r="58" spans="3:4" ht="12.75" x14ac:dyDescent="0.3">
      <c r="D58" s="183" t="s">
        <v>142</v>
      </c>
    </row>
    <row r="60" spans="3:4" s="7" customFormat="1" ht="13.9" x14ac:dyDescent="0.45">
      <c r="C60" s="7" t="s">
        <v>143</v>
      </c>
    </row>
    <row r="62" spans="3:4" ht="12.75" x14ac:dyDescent="0.3">
      <c r="D62" s="183" t="s">
        <v>144</v>
      </c>
    </row>
    <row r="63" spans="3:4" ht="12.75" x14ac:dyDescent="0.3">
      <c r="D63" s="183" t="s">
        <v>145</v>
      </c>
    </row>
    <row r="64" spans="3:4" ht="12.75" x14ac:dyDescent="0.3">
      <c r="D64" s="183" t="s">
        <v>146</v>
      </c>
    </row>
    <row r="65" spans="3:4" ht="12.75" x14ac:dyDescent="0.3">
      <c r="D65" s="183" t="s">
        <v>14</v>
      </c>
    </row>
    <row r="66" spans="3:4" ht="12.75" x14ac:dyDescent="0.3">
      <c r="D66" s="183" t="s">
        <v>147</v>
      </c>
    </row>
    <row r="67" spans="3:4" ht="12.75" x14ac:dyDescent="0.3">
      <c r="D67" s="183" t="s">
        <v>148</v>
      </c>
    </row>
    <row r="68" spans="3:4" ht="12.75" x14ac:dyDescent="0.3">
      <c r="D68" s="183" t="s">
        <v>149</v>
      </c>
    </row>
    <row r="70" spans="3:4" s="7" customFormat="1" ht="13.9" x14ac:dyDescent="0.45">
      <c r="C70" s="7" t="s">
        <v>226</v>
      </c>
    </row>
    <row r="72" spans="3:4" ht="12.75" x14ac:dyDescent="0.3">
      <c r="D72" s="183" t="s">
        <v>242</v>
      </c>
    </row>
    <row r="73" spans="3:4" ht="12.75" x14ac:dyDescent="0.3">
      <c r="D73" s="183" t="s">
        <v>244</v>
      </c>
    </row>
    <row r="74" spans="3:4" ht="12.75" x14ac:dyDescent="0.3">
      <c r="D74" s="183" t="s">
        <v>132</v>
      </c>
    </row>
    <row r="75" spans="3:4" ht="12.75" x14ac:dyDescent="0.3">
      <c r="D75" s="183" t="s">
        <v>255</v>
      </c>
    </row>
    <row r="76" spans="3:4" ht="12.75" x14ac:dyDescent="0.3">
      <c r="D76" s="183" t="s">
        <v>256</v>
      </c>
    </row>
    <row r="77" spans="3:4" ht="12.75" x14ac:dyDescent="0.3">
      <c r="D77" s="183" t="s">
        <v>257</v>
      </c>
    </row>
    <row r="78" spans="3:4" ht="12.75" x14ac:dyDescent="0.3">
      <c r="D78" s="183" t="s">
        <v>254</v>
      </c>
    </row>
    <row r="80" spans="3:4" s="7" customFormat="1" ht="13.9" x14ac:dyDescent="0.45">
      <c r="C80" s="7" t="s">
        <v>258</v>
      </c>
    </row>
    <row r="82" spans="4:4" ht="12.75" x14ac:dyDescent="0.3">
      <c r="D82" s="183" t="s">
        <v>259</v>
      </c>
    </row>
    <row r="83" spans="4:4" ht="12.75" x14ac:dyDescent="0.3">
      <c r="D83" s="183" t="s">
        <v>260</v>
      </c>
    </row>
    <row r="84" spans="4:4" ht="12.75" x14ac:dyDescent="0.3">
      <c r="D84" s="183" t="s">
        <v>261</v>
      </c>
    </row>
    <row r="85" spans="4:4" ht="12.75" x14ac:dyDescent="0.3">
      <c r="D85" s="183" t="s">
        <v>262</v>
      </c>
    </row>
    <row r="86" spans="4:4" ht="12.75" x14ac:dyDescent="0.3">
      <c r="D86" s="183" t="s">
        <v>263</v>
      </c>
    </row>
    <row r="87" spans="4:4" ht="12.75" x14ac:dyDescent="0.3">
      <c r="D87" s="183" t="s">
        <v>264</v>
      </c>
    </row>
    <row r="88" spans="4:4" ht="12.75" x14ac:dyDescent="0.3">
      <c r="D88" s="183" t="s">
        <v>265</v>
      </c>
    </row>
    <row r="89" spans="4:4" ht="12.75" x14ac:dyDescent="0.3">
      <c r="D89" s="183" t="s">
        <v>266</v>
      </c>
    </row>
    <row r="90" spans="4:4" ht="12.75" x14ac:dyDescent="0.3">
      <c r="D90" s="183" t="s">
        <v>267</v>
      </c>
    </row>
    <row r="91" spans="4:4" ht="12.75" x14ac:dyDescent="0.3">
      <c r="D91" s="183" t="s">
        <v>268</v>
      </c>
    </row>
    <row r="92" spans="4:4" ht="12.75" x14ac:dyDescent="0.3">
      <c r="D92" s="183" t="s">
        <v>269</v>
      </c>
    </row>
    <row r="93" spans="4:4" ht="12.75" x14ac:dyDescent="0.3">
      <c r="D93" s="183" t="s">
        <v>270</v>
      </c>
    </row>
    <row r="94" spans="4:4" ht="12.75" x14ac:dyDescent="0.3">
      <c r="D94" s="183" t="s">
        <v>271</v>
      </c>
    </row>
    <row r="95" spans="4:4" ht="12.75" x14ac:dyDescent="0.3">
      <c r="D95" s="183" t="s">
        <v>254</v>
      </c>
    </row>
    <row r="97" spans="2:2" s="6" customFormat="1" ht="15" x14ac:dyDescent="0.45">
      <c r="B97" s="6" t="s">
        <v>93</v>
      </c>
    </row>
  </sheetData>
  <conditionalFormatting sqref="B3">
    <cfRule type="cellIs" dxfId="5" priority="7" operator="notEqual">
      <formula>"No Errors Found"</formula>
    </cfRule>
  </conditionalFormatting>
  <conditionalFormatting sqref="B5">
    <cfRule type="cellIs" dxfId="4" priority="6" operator="notEqual">
      <formula>"No Errors Found"</formula>
    </cfRule>
  </conditionalFormatting>
  <conditionalFormatting sqref="B7">
    <cfRule type="cellIs" dxfId="3" priority="5" operator="notEqual">
      <formula>"No Errors Found"</formula>
    </cfRule>
  </conditionalFormatting>
  <conditionalFormatting sqref="B27">
    <cfRule type="cellIs" dxfId="2" priority="4" operator="notEqual">
      <formula>"No Errors Found"</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558D0-CFDA-445A-B077-3A34E0470BBF}">
  <sheetPr codeName="Sheet69"/>
  <dimension ref="B1:H27"/>
  <sheetViews>
    <sheetView showGridLines="0" zoomScaleNormal="100" workbookViewId="0">
      <pane xSplit="1" ySplit="2" topLeftCell="B3" activePane="bottomRight" state="frozen"/>
      <selection activeCell="E22" sqref="E22:F22"/>
      <selection pane="topRight" activeCell="E22" sqref="E22:F22"/>
      <selection pane="bottomLeft" activeCell="E22" sqref="E22:F22"/>
      <selection pane="bottomRight" activeCell="B3" sqref="B3"/>
    </sheetView>
  </sheetViews>
  <sheetFormatPr defaultColWidth="8.86328125" defaultRowHeight="10.15" x14ac:dyDescent="0.3"/>
  <cols>
    <col min="1" max="3" width="2" style="5" customWidth="1"/>
    <col min="4" max="4" width="64.59765625" style="5" customWidth="1"/>
    <col min="5" max="7" width="3" style="5" customWidth="1"/>
    <col min="8" max="16384" width="8.86328125" style="5"/>
  </cols>
  <sheetData>
    <row r="1" spans="2:8" ht="18.75" x14ac:dyDescent="0.3">
      <c r="B1" s="4" t="s">
        <v>313</v>
      </c>
    </row>
    <row r="2" spans="2:8" x14ac:dyDescent="0.3">
      <c r="B2" s="173" t="str">
        <f ca="1">Title_Msg</f>
        <v>No Errors Found</v>
      </c>
    </row>
    <row r="3" spans="2:8" x14ac:dyDescent="0.3">
      <c r="B3" s="173"/>
    </row>
    <row r="4" spans="2:8" s="6" customFormat="1" ht="15" x14ac:dyDescent="0.45">
      <c r="B4" s="6" t="s">
        <v>314</v>
      </c>
    </row>
    <row r="5" spans="2:8" ht="4.1500000000000004" customHeight="1" x14ac:dyDescent="0.3">
      <c r="B5" s="174"/>
    </row>
    <row r="6" spans="2:8" ht="12.75" x14ac:dyDescent="0.3">
      <c r="D6" s="175" t="s">
        <v>315</v>
      </c>
      <c r="H6" s="226" t="str">
        <f ca="1">IF(H25=0,"No Errors Found","Errors Found")</f>
        <v>No Errors Found</v>
      </c>
    </row>
    <row r="7" spans="2:8" ht="12.75" x14ac:dyDescent="0.3">
      <c r="D7" s="175" t="s">
        <v>316</v>
      </c>
      <c r="H7" s="175"/>
    </row>
    <row r="8" spans="2:8" ht="12.75" x14ac:dyDescent="0.3">
      <c r="D8" s="175" t="s">
        <v>317</v>
      </c>
      <c r="H8" s="227" t="str">
        <f ca="1">H6&amp;IF(H7="","",", " &amp;H7)</f>
        <v>No Errors Found</v>
      </c>
    </row>
    <row r="9" spans="2:8" ht="4.1500000000000004" customHeight="1" x14ac:dyDescent="0.3">
      <c r="B9" s="174"/>
    </row>
    <row r="10" spans="2:8" s="6" customFormat="1" ht="15" x14ac:dyDescent="0.45">
      <c r="B10" s="6" t="s">
        <v>318</v>
      </c>
    </row>
    <row r="12" spans="2:8" s="7" customFormat="1" ht="13.9" x14ac:dyDescent="0.45">
      <c r="C12" s="7" t="s">
        <v>319</v>
      </c>
    </row>
    <row r="14" spans="2:8" ht="12.75" x14ac:dyDescent="0.3">
      <c r="D14" s="226" t="str">
        <f>TOC!D8</f>
        <v>Export - AER Capex Forecast Model - Connection Projects</v>
      </c>
      <c r="H14" s="3">
        <f ca="1">'Export|Projects'!$A$1</f>
        <v>0</v>
      </c>
    </row>
    <row r="15" spans="2:8" ht="12.75" x14ac:dyDescent="0.3">
      <c r="D15" s="226" t="str">
        <f>TOC!D9</f>
        <v>Output - Reset RIN</v>
      </c>
      <c r="H15" s="3">
        <f ca="1">'Reset RIN'!$A$1</f>
        <v>0</v>
      </c>
    </row>
    <row r="16" spans="2:8" ht="12.75" x14ac:dyDescent="0.3">
      <c r="D16" s="226" t="str">
        <f>TOC!D10</f>
        <v>Output - SCS - Gross connection expenditure</v>
      </c>
      <c r="H16" s="3">
        <f ca="1">'Gross connection capex (SCS)'!$A$1</f>
        <v>0</v>
      </c>
    </row>
    <row r="17" spans="2:8" ht="12.75" x14ac:dyDescent="0.3">
      <c r="D17" s="226" t="str">
        <f>TOC!D11</f>
        <v>Output - SCS - Capital contributions (Cash contributions + Gifted assets)</v>
      </c>
      <c r="H17" s="3">
        <f ca="1">'Capital contributions (SCS)'!$A$1</f>
        <v>0</v>
      </c>
    </row>
    <row r="18" spans="2:8" ht="12.75" x14ac:dyDescent="0.3">
      <c r="D18" s="226" t="str">
        <f>TOC!D15</f>
        <v>Calculation - SCS - PWC Connection Expenditure</v>
      </c>
      <c r="H18" s="3">
        <f ca="1">'Net connection capex (SCS)'!$A$1</f>
        <v>0</v>
      </c>
    </row>
    <row r="19" spans="2:8" ht="12.75" x14ac:dyDescent="0.3">
      <c r="D19" s="226" t="str">
        <f>TOC!D16</f>
        <v>Calculation - SCS - Cash Contributions</v>
      </c>
      <c r="H19" s="3">
        <f ca="1">'Cash contributions (SCS)'!$A$1</f>
        <v>0</v>
      </c>
    </row>
    <row r="20" spans="2:8" ht="12.75" x14ac:dyDescent="0.3">
      <c r="D20" s="226" t="str">
        <f>'Net connection capex (ACS)'!$B$1</f>
        <v>Calculation - ACS - PWC Connection Expenditure</v>
      </c>
      <c r="H20" s="3">
        <f>'Net connection capex (ACS)'!$A$1</f>
        <v>0</v>
      </c>
    </row>
    <row r="21" spans="2:8" ht="12.75" x14ac:dyDescent="0.3">
      <c r="D21" s="226" t="str">
        <f>TOC!D24</f>
        <v>Input - SCS - Gifted Assets</v>
      </c>
      <c r="H21" s="3">
        <f>'Gifted assets'!$A$1</f>
        <v>0</v>
      </c>
    </row>
    <row r="22" spans="2:8" ht="12.75" x14ac:dyDescent="0.3">
      <c r="D22" s="226" t="str">
        <f>TOC!D25</f>
        <v>2.5 CONNECTIONS</v>
      </c>
      <c r="H22" s="250"/>
    </row>
    <row r="23" spans="2:8" ht="12.75" x14ac:dyDescent="0.3">
      <c r="D23" s="226" t="str">
        <f>TOC!D27</f>
        <v>Model Lookup Tables</v>
      </c>
      <c r="H23" s="3">
        <f>Lookups!$A$1</f>
        <v>0</v>
      </c>
    </row>
    <row r="25" spans="2:8" ht="13.15" x14ac:dyDescent="0.3">
      <c r="C25" s="208" t="s">
        <v>320</v>
      </c>
      <c r="H25" s="228">
        <f ca="1">IF(SUM(H14:H23)=0,0,1)</f>
        <v>0</v>
      </c>
    </row>
    <row r="27" spans="2:8" s="6" customFormat="1" ht="15" x14ac:dyDescent="0.45">
      <c r="B27" s="6" t="s">
        <v>93</v>
      </c>
    </row>
  </sheetData>
  <conditionalFormatting sqref="B5 B2:B3">
    <cfRule type="cellIs" dxfId="1" priority="2" operator="notEqual">
      <formula>"No Errors Found"</formula>
    </cfRule>
  </conditionalFormatting>
  <conditionalFormatting sqref="B9">
    <cfRule type="cellIs" dxfId="0" priority="1" operator="notEqual">
      <formula>"No Errors Found"</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6431-900C-4F3D-B481-681B978536CA}">
  <sheetPr codeName="Sheet66"/>
  <dimension ref="A1:D30"/>
  <sheetViews>
    <sheetView showGridLines="0" zoomScaleNormal="100" workbookViewId="0">
      <pane xSplit="1" ySplit="2" topLeftCell="B3" activePane="bottomRight" state="frozen"/>
      <selection activeCell="I5" sqref="I5"/>
      <selection pane="topRight" activeCell="I5" sqref="I5"/>
      <selection pane="bottomLeft" activeCell="I5" sqref="I5"/>
      <selection pane="bottomRight" activeCell="B3" sqref="B3"/>
    </sheetView>
  </sheetViews>
  <sheetFormatPr defaultColWidth="7.3984375" defaultRowHeight="10.15" x14ac:dyDescent="0.3"/>
  <cols>
    <col min="1" max="1" width="2.6640625" style="5" customWidth="1"/>
    <col min="2" max="2" width="2.265625" style="5" customWidth="1"/>
    <col min="3" max="3" width="5.265625" style="5" customWidth="1"/>
    <col min="4" max="4" width="41.3984375" style="5" customWidth="1"/>
    <col min="5" max="5" width="9" style="5" customWidth="1"/>
    <col min="6" max="6" width="13.265625" style="5" customWidth="1"/>
    <col min="7" max="7" width="11" style="5" customWidth="1"/>
    <col min="8" max="14" width="10.265625" style="5" customWidth="1"/>
    <col min="15" max="15" width="3" style="5" customWidth="1"/>
    <col min="16" max="16" width="10.265625" style="5" customWidth="1"/>
    <col min="17" max="16384" width="7.3984375" style="5"/>
  </cols>
  <sheetData>
    <row r="1" spans="1:4" ht="18.75" x14ac:dyDescent="0.3">
      <c r="A1" s="3"/>
      <c r="B1" s="4" t="s">
        <v>200</v>
      </c>
    </row>
    <row r="2" spans="1:4" x14ac:dyDescent="0.3">
      <c r="B2" s="173" t="str">
        <f ca="1">Checks!Title_Msg</f>
        <v>No Errors Found</v>
      </c>
    </row>
    <row r="4" spans="1:4" s="6" customFormat="1" ht="15" x14ac:dyDescent="0.45">
      <c r="B4" s="6" t="str">
        <f>B1</f>
        <v>Table of Contents</v>
      </c>
    </row>
    <row r="5" spans="1:4" ht="4.5" customHeight="1" x14ac:dyDescent="0.3"/>
    <row r="6" spans="1:4" s="7" customFormat="1" ht="13.9" x14ac:dyDescent="0.45">
      <c r="C6" s="7" t="str">
        <f>'OUTPUTS --&gt;'!B8</f>
        <v>Outputs</v>
      </c>
    </row>
    <row r="7" spans="1:4" ht="11.25" customHeight="1" x14ac:dyDescent="0.3"/>
    <row r="8" spans="1:4" ht="11.25" customHeight="1" x14ac:dyDescent="0.3">
      <c r="D8" s="225" t="str">
        <f>'Export|Projects'!$B$1</f>
        <v>Export - AER Capex Forecast Model - Connection Projects</v>
      </c>
    </row>
    <row r="9" spans="1:4" ht="11.25" customHeight="1" x14ac:dyDescent="0.3">
      <c r="D9" s="225" t="str">
        <f>'Reset RIN'!$B$1</f>
        <v>Output - Reset RIN</v>
      </c>
    </row>
    <row r="10" spans="1:4" x14ac:dyDescent="0.3">
      <c r="D10" s="225" t="str">
        <f>'Gross connection capex (SCS)'!$B$1</f>
        <v>Output - SCS - Gross connection expenditure</v>
      </c>
    </row>
    <row r="11" spans="1:4" x14ac:dyDescent="0.3">
      <c r="D11" s="225" t="str">
        <f>'Capital contributions (SCS)'!$B$1</f>
        <v>Output - SCS - Capital contributions (Cash contributions + Gifted assets)</v>
      </c>
    </row>
    <row r="13" spans="1:4" s="7" customFormat="1" ht="13.9" x14ac:dyDescent="0.45">
      <c r="C13" s="7" t="str">
        <f>'CALCS --&gt;'!B8</f>
        <v>Calculations (SCS)</v>
      </c>
    </row>
    <row r="15" spans="1:4" x14ac:dyDescent="0.3">
      <c r="D15" s="225" t="str">
        <f>'Net connection capex (SCS)'!$B$1</f>
        <v>Calculation - SCS - PWC Connection Expenditure</v>
      </c>
    </row>
    <row r="16" spans="1:4" x14ac:dyDescent="0.3">
      <c r="D16" s="225" t="str">
        <f>'Cash contributions (SCS)'!$B$1</f>
        <v>Calculation - SCS - Cash Contributions</v>
      </c>
    </row>
    <row r="18" spans="2:4" s="7" customFormat="1" ht="13.9" x14ac:dyDescent="0.45">
      <c r="C18" s="7" t="str">
        <f>'CALCS ACS--&gt;'!B8</f>
        <v>Calculations (ACS)</v>
      </c>
    </row>
    <row r="20" spans="2:4" x14ac:dyDescent="0.3">
      <c r="D20" s="225" t="str">
        <f>'Net connection capex (ACS)'!$B$1</f>
        <v>Calculation - ACS - PWC Connection Expenditure</v>
      </c>
    </row>
    <row r="21" spans="2:4" x14ac:dyDescent="0.3">
      <c r="D21" s="225"/>
    </row>
    <row r="22" spans="2:4" s="7" customFormat="1" ht="13.9" x14ac:dyDescent="0.45">
      <c r="C22" s="7" t="str">
        <f>'INPUTS --&gt;'!B8</f>
        <v>Inputs &amp; Admin</v>
      </c>
    </row>
    <row r="24" spans="2:4" x14ac:dyDescent="0.3">
      <c r="D24" s="225" t="str">
        <f>'Gifted assets'!$B$1</f>
        <v>Input - SCS - Gifted Assets</v>
      </c>
    </row>
    <row r="25" spans="2:4" x14ac:dyDescent="0.3">
      <c r="D25" s="225" t="str">
        <f>'2.5 Connections'!$B$4</f>
        <v>2.5 CONNECTIONS</v>
      </c>
    </row>
    <row r="27" spans="2:4" x14ac:dyDescent="0.3">
      <c r="D27" s="225" t="str">
        <f>Lookups!$B$1</f>
        <v>Model Lookup Tables</v>
      </c>
    </row>
    <row r="28" spans="2:4" x14ac:dyDescent="0.3">
      <c r="D28" s="225" t="str">
        <f>Checks!$B$1</f>
        <v>Summary of model checks</v>
      </c>
    </row>
    <row r="30" spans="2:4" s="6" customFormat="1" ht="15" x14ac:dyDescent="0.45">
      <c r="B30" s="6" t="s">
        <v>93</v>
      </c>
    </row>
  </sheetData>
  <conditionalFormatting sqref="B2">
    <cfRule type="cellIs" dxfId="6" priority="1" operator="notEqual">
      <formula>"No Errors Found"</formula>
    </cfRule>
  </conditionalFormatting>
  <hyperlinks>
    <hyperlink ref="D15" location="'Net connection capex (SCS)'!A1" display="'Net connection capex (SCS)'!A1" xr:uid="{4F77EB98-7EAC-4642-8615-889543F82DD7}"/>
    <hyperlink ref="D10" location="'Gross connection capex (SCS)'!A1" display="'Gross connection capex (SCS)'!A1" xr:uid="{158DBCE3-B2AD-4D49-BC77-7BDDC3984BE5}"/>
    <hyperlink ref="D16" location="'Cash contributions (SCS)'!A1" display="'Cash contributions (SCS)'!A1" xr:uid="{22C3CE00-91B0-4756-A5BE-382E327CB25A}"/>
    <hyperlink ref="D24" location="'Gifted assets'!A1" display="'Gifted assets'!A1" xr:uid="{AE15661D-9E6D-4120-936C-F7909CEC8FCD}"/>
    <hyperlink ref="D11" location="'Capital contributions (SCS)'!A1" display="'Capital contributions (SCS)'!A1" xr:uid="{859BA17F-BD56-407E-B1E3-406869049204}"/>
    <hyperlink ref="D27" location="Lookups!A1" display="Lookups!A1" xr:uid="{30A2365C-C17E-40C7-B7EF-875AEDA1DFCC}"/>
    <hyperlink ref="D28" location="Checks!A1" display="Checks!A1" xr:uid="{5D6E54AB-9502-423B-8D70-61A242E564C2}"/>
    <hyperlink ref="D25" location="'2.5 Connections'!A1" display="'2.5 Connections'!A1" xr:uid="{A457212D-A707-41A2-AC70-CBA3216FC5F4}"/>
    <hyperlink ref="D8" location="'Export|Projects'!A1" display="'Export|Projects'!A1" xr:uid="{6C298971-112D-4CC3-9A45-F794A124D85D}"/>
    <hyperlink ref="D20" location="'Net connection capex (ACS)'!A1" display="'Net connection capex (ACS)'!A1" xr:uid="{4DF78CDF-4B1D-4A71-A847-126C96E004EB}"/>
    <hyperlink ref="D9" location="'Reset RIN'!A1" display="'Reset RIN'!A1" xr:uid="{78BA24CF-9BCB-47E1-BE85-E4FBFFA0E7BA}"/>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73244-8366-4472-9B67-77D063EC83A2}">
  <sheetPr codeName="Sheet1">
    <tabColor theme="4" tint="-0.249977111117893"/>
  </sheetPr>
  <dimension ref="A1:J199"/>
  <sheetViews>
    <sheetView workbookViewId="0"/>
  </sheetViews>
  <sheetFormatPr defaultColWidth="0" defaultRowHeight="14.25" x14ac:dyDescent="0.45"/>
  <cols>
    <col min="1" max="10" width="9" customWidth="1"/>
    <col min="11" max="16384" width="9" hidden="1"/>
  </cols>
  <sheetData>
    <row r="1" spans="2:2" s="1" customFormat="1" x14ac:dyDescent="0.45"/>
    <row r="2" spans="2:2" s="1" customFormat="1" x14ac:dyDescent="0.45"/>
    <row r="3" spans="2:2" s="1" customFormat="1" x14ac:dyDescent="0.45"/>
    <row r="4" spans="2:2" s="1" customFormat="1" x14ac:dyDescent="0.45"/>
    <row r="5" spans="2:2" s="1" customFormat="1" x14ac:dyDescent="0.45"/>
    <row r="6" spans="2:2" s="1" customFormat="1" x14ac:dyDescent="0.45"/>
    <row r="7" spans="2:2" s="1" customFormat="1" x14ac:dyDescent="0.45"/>
    <row r="8" spans="2:2" s="1" customFormat="1" ht="91.9" x14ac:dyDescent="2.65">
      <c r="B8" s="2" t="s">
        <v>95</v>
      </c>
    </row>
    <row r="9" spans="2:2" s="1" customFormat="1" x14ac:dyDescent="0.45"/>
    <row r="10" spans="2:2" s="1" customFormat="1" x14ac:dyDescent="0.45"/>
    <row r="11" spans="2:2" s="1" customFormat="1" x14ac:dyDescent="0.45"/>
    <row r="12" spans="2:2" s="1" customFormat="1" x14ac:dyDescent="0.45"/>
    <row r="13" spans="2:2" s="1" customFormat="1" x14ac:dyDescent="0.45"/>
    <row r="14" spans="2:2" s="1" customFormat="1" x14ac:dyDescent="0.45"/>
    <row r="15" spans="2:2" s="1" customFormat="1" x14ac:dyDescent="0.45"/>
    <row r="16" spans="2:2" s="1" customFormat="1" x14ac:dyDescent="0.45"/>
    <row r="17" s="1" customFormat="1" x14ac:dyDescent="0.45"/>
    <row r="18" s="1" customFormat="1" x14ac:dyDescent="0.45"/>
    <row r="19" s="1" customFormat="1" x14ac:dyDescent="0.45"/>
    <row r="20" s="1" customFormat="1" x14ac:dyDescent="0.45"/>
    <row r="21" s="1" customFormat="1" x14ac:dyDescent="0.45"/>
    <row r="22" s="1" customFormat="1" x14ac:dyDescent="0.45"/>
    <row r="23" s="1" customFormat="1" x14ac:dyDescent="0.45"/>
    <row r="24" s="1" customFormat="1" x14ac:dyDescent="0.45"/>
    <row r="25" s="1" customFormat="1" x14ac:dyDescent="0.45"/>
    <row r="26" s="1" customFormat="1" x14ac:dyDescent="0.45"/>
    <row r="27" s="1" customFormat="1" x14ac:dyDescent="0.45"/>
    <row r="28" s="1" customFormat="1" x14ac:dyDescent="0.45"/>
    <row r="29" s="1" customFormat="1" x14ac:dyDescent="0.45"/>
    <row r="30" s="1" customFormat="1" x14ac:dyDescent="0.45"/>
    <row r="31" s="1" customFormat="1" x14ac:dyDescent="0.45"/>
    <row r="32" s="1" customFormat="1" x14ac:dyDescent="0.45"/>
    <row r="33" s="1" customFormat="1" x14ac:dyDescent="0.45"/>
    <row r="34" s="1" customFormat="1" x14ac:dyDescent="0.45"/>
    <row r="35" s="1" customFormat="1" x14ac:dyDescent="0.45"/>
    <row r="36" s="1" customFormat="1" x14ac:dyDescent="0.45"/>
    <row r="37" s="1" customFormat="1" x14ac:dyDescent="0.45"/>
    <row r="38" s="1" customFormat="1" x14ac:dyDescent="0.45"/>
    <row r="39" s="1" customFormat="1" x14ac:dyDescent="0.45"/>
    <row r="40" s="1" customFormat="1" x14ac:dyDescent="0.45"/>
    <row r="41" s="1" customFormat="1" x14ac:dyDescent="0.45"/>
    <row r="42" s="1" customFormat="1" x14ac:dyDescent="0.45"/>
    <row r="43" s="1" customFormat="1" x14ac:dyDescent="0.45"/>
    <row r="44" s="1" customFormat="1" x14ac:dyDescent="0.45"/>
    <row r="45" s="1" customFormat="1" x14ac:dyDescent="0.45"/>
    <row r="46" s="1" customFormat="1" x14ac:dyDescent="0.45"/>
    <row r="47" s="1" customFormat="1" x14ac:dyDescent="0.45"/>
    <row r="48" s="1" customFormat="1" x14ac:dyDescent="0.45"/>
    <row r="49" s="1" customFormat="1" x14ac:dyDescent="0.45"/>
    <row r="50" s="1" customFormat="1" x14ac:dyDescent="0.45"/>
    <row r="51" s="1" customFormat="1" x14ac:dyDescent="0.45"/>
    <row r="52" s="1" customFormat="1" x14ac:dyDescent="0.45"/>
    <row r="53" s="1" customFormat="1" x14ac:dyDescent="0.45"/>
    <row r="54" s="1" customFormat="1" x14ac:dyDescent="0.45"/>
    <row r="55" s="1" customFormat="1" x14ac:dyDescent="0.45"/>
    <row r="56" s="1" customFormat="1" x14ac:dyDescent="0.45"/>
    <row r="57" s="1" customFormat="1" x14ac:dyDescent="0.45"/>
    <row r="58" s="1" customFormat="1" x14ac:dyDescent="0.45"/>
    <row r="59" s="1" customFormat="1" x14ac:dyDescent="0.45"/>
    <row r="60" s="1" customFormat="1" x14ac:dyDescent="0.45"/>
    <row r="61" s="1" customFormat="1" x14ac:dyDescent="0.45"/>
    <row r="62" s="1" customFormat="1" x14ac:dyDescent="0.45"/>
    <row r="63" s="1" customFormat="1" x14ac:dyDescent="0.45"/>
    <row r="64" s="1" customFormat="1" x14ac:dyDescent="0.45"/>
    <row r="65" s="1" customFormat="1" x14ac:dyDescent="0.45"/>
    <row r="66" s="1" customFormat="1" x14ac:dyDescent="0.45"/>
    <row r="67" s="1" customFormat="1" x14ac:dyDescent="0.45"/>
    <row r="68" s="1" customFormat="1" x14ac:dyDescent="0.45"/>
    <row r="69" s="1" customFormat="1" x14ac:dyDescent="0.45"/>
    <row r="70" s="1" customFormat="1" x14ac:dyDescent="0.45"/>
    <row r="71" s="1" customFormat="1" x14ac:dyDescent="0.45"/>
    <row r="72" s="1" customFormat="1" x14ac:dyDescent="0.45"/>
    <row r="73" s="1" customFormat="1" x14ac:dyDescent="0.45"/>
    <row r="74" s="1" customFormat="1" x14ac:dyDescent="0.45"/>
    <row r="75" s="1" customFormat="1" x14ac:dyDescent="0.45"/>
    <row r="76" s="1" customFormat="1" x14ac:dyDescent="0.45"/>
    <row r="77" s="1" customFormat="1" x14ac:dyDescent="0.45"/>
    <row r="78" s="1" customFormat="1" x14ac:dyDescent="0.45"/>
    <row r="79" s="1" customFormat="1" x14ac:dyDescent="0.45"/>
    <row r="80" s="1" customFormat="1" x14ac:dyDescent="0.45"/>
    <row r="81" s="1" customFormat="1" x14ac:dyDescent="0.45"/>
    <row r="82" s="1" customFormat="1" x14ac:dyDescent="0.45"/>
    <row r="83" s="1" customFormat="1" x14ac:dyDescent="0.45"/>
    <row r="84" s="1" customFormat="1" x14ac:dyDescent="0.45"/>
    <row r="85" s="1" customFormat="1" x14ac:dyDescent="0.45"/>
    <row r="86" s="1" customFormat="1" x14ac:dyDescent="0.45"/>
    <row r="87" s="1" customFormat="1" x14ac:dyDescent="0.45"/>
    <row r="88" s="1" customFormat="1" x14ac:dyDescent="0.45"/>
    <row r="89" s="1" customFormat="1" x14ac:dyDescent="0.45"/>
    <row r="90" s="1" customFormat="1" x14ac:dyDescent="0.45"/>
    <row r="91" s="1" customFormat="1" x14ac:dyDescent="0.45"/>
    <row r="92" s="1" customFormat="1" x14ac:dyDescent="0.45"/>
    <row r="93" s="1" customFormat="1" x14ac:dyDescent="0.45"/>
    <row r="94" s="1" customFormat="1" x14ac:dyDescent="0.45"/>
    <row r="95" s="1" customFormat="1" x14ac:dyDescent="0.45"/>
    <row r="96" s="1" customFormat="1" x14ac:dyDescent="0.45"/>
    <row r="97" s="1" customFormat="1" x14ac:dyDescent="0.45"/>
    <row r="98" s="1" customFormat="1" x14ac:dyDescent="0.45"/>
    <row r="99" s="1" customFormat="1" x14ac:dyDescent="0.45"/>
    <row r="100" s="1" customFormat="1" x14ac:dyDescent="0.45"/>
    <row r="101" s="1" customFormat="1" x14ac:dyDescent="0.45"/>
    <row r="102" s="1" customFormat="1" x14ac:dyDescent="0.45"/>
    <row r="103" s="1" customFormat="1" x14ac:dyDescent="0.45"/>
    <row r="104" s="1" customFormat="1" x14ac:dyDescent="0.45"/>
    <row r="105" s="1" customFormat="1" x14ac:dyDescent="0.45"/>
    <row r="106" s="1" customFormat="1" x14ac:dyDescent="0.45"/>
    <row r="107" s="1" customFormat="1" x14ac:dyDescent="0.45"/>
    <row r="108" s="1" customFormat="1" x14ac:dyDescent="0.45"/>
    <row r="109" s="1" customFormat="1" x14ac:dyDescent="0.45"/>
    <row r="110" s="1" customFormat="1" x14ac:dyDescent="0.45"/>
    <row r="111" s="1" customFormat="1" x14ac:dyDescent="0.45"/>
    <row r="112" s="1" customFormat="1" x14ac:dyDescent="0.45"/>
    <row r="113" s="1" customFormat="1" x14ac:dyDescent="0.45"/>
    <row r="114" s="1" customFormat="1" x14ac:dyDescent="0.45"/>
    <row r="115" s="1" customFormat="1" x14ac:dyDescent="0.45"/>
    <row r="116" s="1" customFormat="1" x14ac:dyDescent="0.45"/>
    <row r="117" s="1" customFormat="1" x14ac:dyDescent="0.45"/>
    <row r="118" s="1" customFormat="1" x14ac:dyDescent="0.45"/>
    <row r="119" s="1" customFormat="1" x14ac:dyDescent="0.45"/>
    <row r="120" s="1" customFormat="1" x14ac:dyDescent="0.45"/>
    <row r="121" s="1" customFormat="1" x14ac:dyDescent="0.45"/>
    <row r="122" s="1" customFormat="1" x14ac:dyDescent="0.45"/>
    <row r="123" s="1" customFormat="1" x14ac:dyDescent="0.45"/>
    <row r="124" s="1" customFormat="1" x14ac:dyDescent="0.45"/>
    <row r="125" s="1" customFormat="1" x14ac:dyDescent="0.45"/>
    <row r="126" s="1" customFormat="1" x14ac:dyDescent="0.45"/>
    <row r="127" s="1" customFormat="1" x14ac:dyDescent="0.45"/>
    <row r="128" s="1" customFormat="1" x14ac:dyDescent="0.45"/>
    <row r="129" s="1" customFormat="1" x14ac:dyDescent="0.45"/>
    <row r="130" s="1" customFormat="1" x14ac:dyDescent="0.45"/>
    <row r="131" s="1" customFormat="1" x14ac:dyDescent="0.45"/>
    <row r="132" s="1" customFormat="1" x14ac:dyDescent="0.45"/>
    <row r="133" s="1" customFormat="1" x14ac:dyDescent="0.45"/>
    <row r="134" s="1" customFormat="1" x14ac:dyDescent="0.45"/>
    <row r="135" s="1" customFormat="1" x14ac:dyDescent="0.45"/>
    <row r="136" s="1" customFormat="1" x14ac:dyDescent="0.45"/>
    <row r="137" s="1" customFormat="1" x14ac:dyDescent="0.45"/>
    <row r="138" s="1" customFormat="1" x14ac:dyDescent="0.45"/>
    <row r="139" s="1" customFormat="1" x14ac:dyDescent="0.45"/>
    <row r="140" s="1" customFormat="1" x14ac:dyDescent="0.45"/>
    <row r="141" s="1" customFormat="1" x14ac:dyDescent="0.45"/>
    <row r="142" s="1" customFormat="1" x14ac:dyDescent="0.45"/>
    <row r="143" s="1" customFormat="1" x14ac:dyDescent="0.45"/>
    <row r="144" s="1" customFormat="1" x14ac:dyDescent="0.45"/>
    <row r="145" s="1" customFormat="1" x14ac:dyDescent="0.45"/>
    <row r="146" s="1" customFormat="1" x14ac:dyDescent="0.45"/>
    <row r="147" s="1" customFormat="1" x14ac:dyDescent="0.45"/>
    <row r="148" s="1" customFormat="1" x14ac:dyDescent="0.45"/>
    <row r="149" s="1" customFormat="1" x14ac:dyDescent="0.45"/>
    <row r="150" s="1" customFormat="1" x14ac:dyDescent="0.45"/>
    <row r="151" s="1" customFormat="1" x14ac:dyDescent="0.45"/>
    <row r="152" s="1" customFormat="1" x14ac:dyDescent="0.45"/>
    <row r="153" s="1" customFormat="1" x14ac:dyDescent="0.45"/>
    <row r="154" s="1" customFormat="1" x14ac:dyDescent="0.45"/>
    <row r="155" s="1" customFormat="1" x14ac:dyDescent="0.45"/>
    <row r="156" s="1" customFormat="1" x14ac:dyDescent="0.45"/>
    <row r="157" s="1" customFormat="1" x14ac:dyDescent="0.45"/>
    <row r="158" s="1" customFormat="1" x14ac:dyDescent="0.45"/>
    <row r="159" s="1" customFormat="1" x14ac:dyDescent="0.45"/>
    <row r="160" s="1" customFormat="1" x14ac:dyDescent="0.45"/>
    <row r="161" s="1" customFormat="1" x14ac:dyDescent="0.45"/>
    <row r="162" s="1" customFormat="1" x14ac:dyDescent="0.45"/>
    <row r="163" s="1" customFormat="1" x14ac:dyDescent="0.45"/>
    <row r="164" s="1" customFormat="1" x14ac:dyDescent="0.45"/>
    <row r="165" s="1" customFormat="1" x14ac:dyDescent="0.45"/>
    <row r="166" s="1" customFormat="1" x14ac:dyDescent="0.45"/>
    <row r="167" s="1" customFormat="1" x14ac:dyDescent="0.45"/>
    <row r="168" s="1" customFormat="1" x14ac:dyDescent="0.45"/>
    <row r="169" s="1" customFormat="1" x14ac:dyDescent="0.45"/>
    <row r="170" s="1" customFormat="1" x14ac:dyDescent="0.45"/>
    <row r="171" s="1" customFormat="1" x14ac:dyDescent="0.45"/>
    <row r="172" s="1" customFormat="1" x14ac:dyDescent="0.45"/>
    <row r="173" s="1" customFormat="1" x14ac:dyDescent="0.45"/>
    <row r="174" s="1" customFormat="1" x14ac:dyDescent="0.45"/>
    <row r="175" s="1" customFormat="1" x14ac:dyDescent="0.45"/>
    <row r="176" s="1" customFormat="1" x14ac:dyDescent="0.45"/>
    <row r="177" s="1" customFormat="1" x14ac:dyDescent="0.45"/>
    <row r="178" s="1" customFormat="1" x14ac:dyDescent="0.45"/>
    <row r="179" s="1" customFormat="1" x14ac:dyDescent="0.45"/>
    <row r="180" s="1" customFormat="1" x14ac:dyDescent="0.45"/>
    <row r="181" s="1" customFormat="1" x14ac:dyDescent="0.45"/>
    <row r="182" s="1" customFormat="1" x14ac:dyDescent="0.45"/>
    <row r="183" s="1" customFormat="1" x14ac:dyDescent="0.45"/>
    <row r="184" s="1" customFormat="1" x14ac:dyDescent="0.45"/>
    <row r="185" s="1" customFormat="1" x14ac:dyDescent="0.45"/>
    <row r="186" s="1" customFormat="1" x14ac:dyDescent="0.45"/>
    <row r="187" s="1" customFormat="1" x14ac:dyDescent="0.45"/>
    <row r="188" s="1" customFormat="1" x14ac:dyDescent="0.45"/>
    <row r="189" s="1" customFormat="1" x14ac:dyDescent="0.45"/>
    <row r="190" s="1" customFormat="1" x14ac:dyDescent="0.45"/>
    <row r="191" s="1" customFormat="1" x14ac:dyDescent="0.45"/>
    <row r="192" s="1" customFormat="1" x14ac:dyDescent="0.45"/>
    <row r="193" s="1" customFormat="1" x14ac:dyDescent="0.45"/>
    <row r="194" s="1" customFormat="1" x14ac:dyDescent="0.45"/>
    <row r="195" s="1" customFormat="1" x14ac:dyDescent="0.45"/>
    <row r="196" s="1" customFormat="1" x14ac:dyDescent="0.45"/>
    <row r="197" s="1" customFormat="1" x14ac:dyDescent="0.45"/>
    <row r="198" s="1" customFormat="1" x14ac:dyDescent="0.45"/>
    <row r="199" s="1" customFormat="1" x14ac:dyDescent="0.45"/>
  </sheetData>
  <pageMargins left="0.7" right="0.7" top="0.75" bottom="0.75" header="0.3" footer="0.3"/>
  <pageSetup paperSize="9" orientation="portrait" horizontalDpi="30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02049-A18C-411A-BB6F-1843452DEAFB}">
  <sheetPr codeName="Sheet2">
    <tabColor theme="4" tint="0.79998168889431442"/>
  </sheetPr>
  <dimension ref="A1:CT120"/>
  <sheetViews>
    <sheetView showGridLines="0" zoomScaleNormal="100" workbookViewId="0">
      <pane xSplit="4" ySplit="9" topLeftCell="E10" activePane="bottomRight" state="frozen"/>
      <selection activeCell="I5" sqref="I5"/>
      <selection pane="topRight" activeCell="I5" sqref="I5"/>
      <selection pane="bottomLeft" activeCell="I5" sqref="I5"/>
      <selection pane="bottomRight" activeCell="E10" sqref="E10"/>
    </sheetView>
  </sheetViews>
  <sheetFormatPr defaultColWidth="8.86328125" defaultRowHeight="10.15" outlineLevelCol="1" x14ac:dyDescent="0.3"/>
  <cols>
    <col min="1" max="1" width="2.3984375" style="5" customWidth="1"/>
    <col min="2" max="2" width="5.265625" style="5" customWidth="1"/>
    <col min="3" max="3" width="81.86328125" style="5" customWidth="1"/>
    <col min="4" max="4" width="9.59765625" style="5" customWidth="1"/>
    <col min="5" max="5" width="2.3984375" style="5" customWidth="1"/>
    <col min="6" max="7" width="21.3984375" style="5" customWidth="1"/>
    <col min="8" max="8" width="2.3984375" style="5" customWidth="1"/>
    <col min="9" max="15" width="12" style="5" customWidth="1"/>
    <col min="16" max="16" width="2" style="5" customWidth="1"/>
    <col min="17" max="23" width="12" style="5" customWidth="1"/>
    <col min="24" max="24" width="2.3984375" style="5" customWidth="1"/>
    <col min="25" max="27" width="12" style="5" customWidth="1"/>
    <col min="28" max="28" width="8.86328125" style="5"/>
    <col min="29" max="30" width="16.6640625" style="5" customWidth="1"/>
    <col min="31" max="31" width="2.3984375" style="5" customWidth="1"/>
    <col min="32" max="33" width="24.265625" style="5" customWidth="1"/>
    <col min="34" max="34" width="2.3984375" style="5" customWidth="1"/>
    <col min="35" max="42" width="12" style="5" customWidth="1"/>
    <col min="43" max="43" width="9" style="5" customWidth="1"/>
    <col min="44" max="59" width="12" style="5" customWidth="1"/>
    <col min="60" max="90" width="12" style="5" hidden="1" customWidth="1" outlineLevel="1"/>
    <col min="91" max="91" width="12" style="5" customWidth="1" collapsed="1"/>
    <col min="92" max="93" width="12" style="5" customWidth="1"/>
    <col min="94" max="94" width="8.86328125" style="5" customWidth="1"/>
    <col min="95" max="95" width="2.86328125" style="5" customWidth="1"/>
    <col min="96" max="16384" width="8.86328125" style="5"/>
  </cols>
  <sheetData>
    <row r="1" spans="1:98" ht="18.75" x14ac:dyDescent="0.35">
      <c r="A1" s="230">
        <f ca="1">IF(SUM(AB8,AQ8,CP8,AF5,AG5,I8:O8,Q8:W8)&lt;&gt;0,1,0)</f>
        <v>0</v>
      </c>
      <c r="B1" s="4" t="s">
        <v>272</v>
      </c>
      <c r="C1" s="231"/>
      <c r="D1" s="232"/>
      <c r="E1" s="232"/>
      <c r="F1" s="232"/>
      <c r="G1" s="232"/>
      <c r="I1" s="233"/>
      <c r="J1" s="233"/>
      <c r="K1" s="233"/>
      <c r="L1" s="233"/>
      <c r="M1" s="233"/>
      <c r="N1" s="233"/>
      <c r="O1" s="233"/>
      <c r="P1" s="233"/>
      <c r="Q1" s="233"/>
      <c r="R1" s="233"/>
      <c r="S1" s="233"/>
      <c r="T1" s="233"/>
      <c r="U1" s="233"/>
      <c r="V1" s="233"/>
      <c r="W1" s="233"/>
      <c r="X1" s="233"/>
      <c r="Y1" s="233"/>
      <c r="Z1" s="233"/>
      <c r="AA1" s="233"/>
      <c r="AB1" s="233"/>
      <c r="AC1" s="231"/>
      <c r="AD1" s="231"/>
      <c r="AE1" s="233"/>
      <c r="AF1" s="233"/>
      <c r="AG1" s="231"/>
      <c r="AH1" s="233"/>
      <c r="AI1" s="231"/>
      <c r="AJ1" s="231"/>
      <c r="AK1" s="231"/>
      <c r="AL1" s="231"/>
      <c r="AM1" s="231"/>
      <c r="AN1" s="231"/>
      <c r="AO1" s="231"/>
      <c r="AP1" s="231"/>
      <c r="AR1" s="231"/>
      <c r="AS1" s="231"/>
      <c r="AT1" s="231"/>
      <c r="AU1" s="231"/>
      <c r="AV1" s="231"/>
      <c r="AW1" s="231"/>
      <c r="AX1" s="231"/>
      <c r="AY1" s="231"/>
      <c r="AZ1" s="231"/>
      <c r="BA1" s="231"/>
      <c r="BB1" s="231"/>
      <c r="BC1" s="231"/>
      <c r="BD1" s="231"/>
      <c r="BE1" s="231"/>
      <c r="BF1" s="231"/>
      <c r="BG1" s="231"/>
      <c r="BH1" s="231"/>
      <c r="BI1" s="231"/>
      <c r="BJ1" s="231"/>
      <c r="BK1" s="231"/>
      <c r="BL1" s="231"/>
      <c r="BM1" s="231"/>
      <c r="BN1" s="231"/>
      <c r="BO1" s="231"/>
      <c r="BP1" s="231"/>
      <c r="BQ1" s="231"/>
      <c r="BR1" s="231"/>
      <c r="BS1" s="231"/>
      <c r="BT1" s="231"/>
      <c r="BU1" s="231"/>
      <c r="BV1" s="231"/>
      <c r="BW1" s="231"/>
      <c r="BX1" s="231"/>
      <c r="BY1" s="231"/>
      <c r="BZ1" s="231"/>
      <c r="CA1" s="231"/>
      <c r="CB1" s="231"/>
      <c r="CC1" s="231"/>
      <c r="CD1" s="231"/>
      <c r="CE1" s="231"/>
      <c r="CF1" s="231"/>
      <c r="CG1" s="231"/>
      <c r="CH1" s="231"/>
      <c r="CI1" s="231"/>
      <c r="CJ1" s="231"/>
      <c r="CK1" s="231"/>
      <c r="CL1" s="231"/>
      <c r="CM1" s="231"/>
      <c r="CN1" s="231"/>
      <c r="CO1" s="231"/>
    </row>
    <row r="2" spans="1:98" s="234" customFormat="1" ht="5.0999999999999996" customHeight="1" x14ac:dyDescent="0.45"/>
    <row r="3" spans="1:98" s="234" customFormat="1" ht="5.0999999999999996" customHeight="1" x14ac:dyDescent="0.45"/>
    <row r="4" spans="1:98" ht="5.0999999999999996" customHeight="1" x14ac:dyDescent="0.4">
      <c r="A4" s="235"/>
      <c r="B4" s="235"/>
      <c r="C4" s="231"/>
      <c r="D4" s="232"/>
      <c r="E4" s="232"/>
      <c r="F4" s="232"/>
      <c r="G4" s="232"/>
      <c r="H4" s="232"/>
      <c r="I4" s="232"/>
      <c r="J4" s="232"/>
      <c r="K4" s="232"/>
      <c r="L4" s="232"/>
      <c r="M4" s="232"/>
      <c r="N4" s="232"/>
      <c r="O4" s="232"/>
      <c r="P4" s="232"/>
      <c r="Q4" s="232"/>
      <c r="R4" s="232"/>
      <c r="S4" s="232"/>
      <c r="T4" s="232"/>
      <c r="U4" s="232"/>
      <c r="V4" s="232"/>
      <c r="W4" s="232"/>
      <c r="X4" s="232"/>
      <c r="Y4" s="233"/>
      <c r="Z4" s="233"/>
      <c r="AA4" s="233"/>
      <c r="AB4" s="232"/>
      <c r="AC4" s="231"/>
      <c r="AD4" s="231"/>
      <c r="AE4" s="232"/>
      <c r="AF4" s="232"/>
      <c r="AG4" s="231"/>
      <c r="AH4" s="232"/>
      <c r="AI4" s="231"/>
      <c r="AJ4" s="231"/>
      <c r="AK4" s="231"/>
      <c r="AL4" s="231"/>
      <c r="AM4" s="231"/>
      <c r="AN4" s="231"/>
      <c r="AO4" s="231"/>
      <c r="AP4" s="231"/>
      <c r="AR4" s="231"/>
      <c r="AS4" s="231"/>
      <c r="AT4" s="231"/>
      <c r="AU4" s="231"/>
      <c r="AV4" s="231"/>
      <c r="AW4" s="231"/>
      <c r="AX4" s="231"/>
      <c r="AY4" s="231"/>
      <c r="AZ4" s="231"/>
      <c r="BA4" s="231"/>
      <c r="BB4" s="231"/>
      <c r="BC4" s="231"/>
      <c r="BD4" s="231"/>
      <c r="BE4" s="231"/>
      <c r="BF4" s="231"/>
      <c r="BG4" s="231"/>
      <c r="BH4" s="231"/>
      <c r="BI4" s="231"/>
      <c r="BJ4" s="231"/>
      <c r="BK4" s="231"/>
      <c r="BL4" s="231"/>
      <c r="BM4" s="231"/>
      <c r="BN4" s="231"/>
      <c r="BO4" s="231"/>
      <c r="BP4" s="231"/>
      <c r="BQ4" s="231"/>
      <c r="BR4" s="231"/>
      <c r="BS4" s="231"/>
      <c r="BT4" s="231"/>
      <c r="BU4" s="231"/>
      <c r="BV4" s="231"/>
      <c r="BW4" s="231"/>
      <c r="BX4" s="231"/>
      <c r="BY4" s="231"/>
      <c r="BZ4" s="231"/>
      <c r="CA4" s="231"/>
      <c r="CB4" s="231"/>
      <c r="CC4" s="231"/>
      <c r="CD4" s="231"/>
      <c r="CE4" s="231"/>
      <c r="CF4" s="231"/>
      <c r="CG4" s="231"/>
      <c r="CH4" s="231"/>
      <c r="CI4" s="231"/>
      <c r="CJ4" s="231"/>
      <c r="CK4" s="231"/>
      <c r="CL4" s="231"/>
      <c r="CM4" s="231"/>
      <c r="CN4" s="231"/>
      <c r="CO4" s="231"/>
    </row>
    <row r="5" spans="1:98" ht="25.35" customHeight="1" x14ac:dyDescent="0.4">
      <c r="A5" s="235"/>
      <c r="B5" s="235"/>
      <c r="C5" s="231"/>
      <c r="D5" s="232"/>
      <c r="E5" s="232"/>
      <c r="F5" s="232"/>
      <c r="G5" s="232"/>
      <c r="I5" s="263" t="s">
        <v>210</v>
      </c>
      <c r="J5" s="263"/>
      <c r="K5" s="263"/>
      <c r="L5" s="263"/>
      <c r="M5" s="263"/>
      <c r="N5" s="263"/>
      <c r="O5" s="263"/>
      <c r="P5" s="232"/>
      <c r="Q5" s="263" t="s">
        <v>211</v>
      </c>
      <c r="R5" s="263"/>
      <c r="S5" s="263"/>
      <c r="T5" s="263"/>
      <c r="U5" s="263"/>
      <c r="V5" s="263"/>
      <c r="W5" s="263"/>
      <c r="X5" s="232"/>
      <c r="Y5" s="233"/>
      <c r="Z5" s="233"/>
      <c r="AA5" s="233"/>
      <c r="AB5" s="232"/>
      <c r="AC5" s="231"/>
      <c r="AD5" s="231"/>
      <c r="AE5" s="232"/>
      <c r="AF5" s="230">
        <f>IF(SUM(AF10:AF109)=0,0,IF(SUM(AF10:AF109)=1,0,1))</f>
        <v>0</v>
      </c>
      <c r="AG5" s="230">
        <f>IF(SUM(AG10:AG109)=0,0,IF(SUM(AG10:AG109)=1,0,1))</f>
        <v>0</v>
      </c>
      <c r="AH5" s="232"/>
      <c r="AI5" s="231"/>
      <c r="AJ5" s="231"/>
      <c r="AK5" s="231"/>
      <c r="AL5" s="231"/>
      <c r="AM5" s="231"/>
      <c r="AN5" s="231"/>
      <c r="AO5" s="231"/>
      <c r="AP5" s="231"/>
      <c r="AR5" s="231"/>
      <c r="AS5" s="231"/>
      <c r="AT5" s="231"/>
      <c r="AU5" s="231"/>
      <c r="AV5" s="231"/>
      <c r="AW5" s="231"/>
      <c r="AX5" s="231"/>
      <c r="AY5" s="231"/>
      <c r="AZ5" s="231"/>
      <c r="BA5" s="231"/>
      <c r="BB5" s="231"/>
      <c r="BC5" s="231"/>
      <c r="BD5" s="231"/>
      <c r="BE5" s="231"/>
      <c r="BF5" s="231"/>
      <c r="BG5" s="231"/>
      <c r="BH5" s="231"/>
      <c r="BI5" s="231"/>
      <c r="BJ5" s="231"/>
      <c r="BK5" s="231"/>
      <c r="BL5" s="231"/>
      <c r="BM5" s="231"/>
      <c r="BN5" s="231"/>
      <c r="BO5" s="231"/>
      <c r="BP5" s="231"/>
      <c r="BQ5" s="231"/>
      <c r="BR5" s="231"/>
      <c r="BS5" s="231"/>
      <c r="BT5" s="231"/>
      <c r="BU5" s="231"/>
      <c r="BV5" s="231"/>
      <c r="BW5" s="231"/>
      <c r="BX5" s="231"/>
      <c r="BY5" s="231"/>
      <c r="BZ5" s="231"/>
      <c r="CA5" s="231"/>
      <c r="CB5" s="231"/>
      <c r="CC5" s="231"/>
      <c r="CD5" s="231"/>
      <c r="CE5" s="231"/>
      <c r="CF5" s="231"/>
      <c r="CG5" s="231"/>
      <c r="CH5" s="231"/>
      <c r="CI5" s="231"/>
      <c r="CJ5" s="231"/>
      <c r="CK5" s="231"/>
      <c r="CL5" s="231"/>
      <c r="CM5" s="231"/>
      <c r="CN5" s="231"/>
      <c r="CO5" s="231"/>
    </row>
    <row r="6" spans="1:98" ht="30" customHeight="1" x14ac:dyDescent="0.4">
      <c r="A6" s="235"/>
      <c r="B6" s="235"/>
      <c r="C6" s="231"/>
      <c r="D6" s="232"/>
      <c r="E6" s="232"/>
      <c r="F6" s="232"/>
      <c r="G6" s="232"/>
      <c r="I6" s="236">
        <f>SUM(I10:I109)</f>
        <v>6766.3285030202333</v>
      </c>
      <c r="J6" s="236">
        <f t="shared" ref="J6:O6" si="0">SUM(J10:J109)</f>
        <v>6826.7641836721168</v>
      </c>
      <c r="K6" s="236">
        <f t="shared" si="0"/>
        <v>1221.0999169858819</v>
      </c>
      <c r="L6" s="236">
        <f t="shared" si="0"/>
        <v>1227.3630585822916</v>
      </c>
      <c r="M6" s="236">
        <f t="shared" si="0"/>
        <v>1233.7282780354608</v>
      </c>
      <c r="N6" s="236">
        <f t="shared" si="0"/>
        <v>1240.1982988432474</v>
      </c>
      <c r="O6" s="236">
        <f t="shared" si="0"/>
        <v>1246.7759182810419</v>
      </c>
      <c r="P6" s="233"/>
      <c r="Q6" s="236">
        <f>SUM(Q10:Q109)</f>
        <v>3305.1036218442405</v>
      </c>
      <c r="R6" s="236">
        <f t="shared" ref="R6:W6" si="1">SUM(R10:R109)</f>
        <v>3315.1762352862215</v>
      </c>
      <c r="S6" s="236">
        <f t="shared" si="1"/>
        <v>166.88695702996563</v>
      </c>
      <c r="T6" s="236">
        <f t="shared" si="1"/>
        <v>167.58085095469198</v>
      </c>
      <c r="U6" s="236">
        <f t="shared" si="1"/>
        <v>168.29175785554497</v>
      </c>
      <c r="V6" s="236">
        <f t="shared" si="1"/>
        <v>169.02013164883419</v>
      </c>
      <c r="W6" s="236">
        <f t="shared" si="1"/>
        <v>169.76643854712475</v>
      </c>
      <c r="X6" s="233"/>
      <c r="Y6" s="233"/>
      <c r="Z6" s="233"/>
      <c r="AA6" s="233"/>
      <c r="AB6" s="233"/>
      <c r="AC6" s="231"/>
      <c r="AD6" s="231"/>
      <c r="AE6" s="233"/>
      <c r="AF6" s="264" t="s">
        <v>212</v>
      </c>
      <c r="AG6" s="264"/>
      <c r="AH6" s="233"/>
      <c r="AI6" s="231"/>
      <c r="AJ6" s="231"/>
      <c r="AK6" s="231"/>
      <c r="AL6" s="231"/>
      <c r="AM6" s="231"/>
      <c r="AN6" s="231"/>
      <c r="AO6" s="231"/>
      <c r="AP6" s="231"/>
      <c r="AR6" s="13">
        <v>1</v>
      </c>
      <c r="AS6" s="13">
        <f>AR6+1</f>
        <v>2</v>
      </c>
      <c r="AT6" s="13">
        <f t="shared" ref="AT6:CO6" si="2">AS6+1</f>
        <v>3</v>
      </c>
      <c r="AU6" s="13">
        <f t="shared" si="2"/>
        <v>4</v>
      </c>
      <c r="AV6" s="13">
        <f t="shared" si="2"/>
        <v>5</v>
      </c>
      <c r="AW6" s="13">
        <f t="shared" si="2"/>
        <v>6</v>
      </c>
      <c r="AX6" s="13">
        <f t="shared" si="2"/>
        <v>7</v>
      </c>
      <c r="AY6" s="13">
        <f t="shared" si="2"/>
        <v>8</v>
      </c>
      <c r="AZ6" s="13">
        <f t="shared" si="2"/>
        <v>9</v>
      </c>
      <c r="BA6" s="13">
        <f t="shared" si="2"/>
        <v>10</v>
      </c>
      <c r="BB6" s="13">
        <f t="shared" si="2"/>
        <v>11</v>
      </c>
      <c r="BC6" s="13">
        <f t="shared" si="2"/>
        <v>12</v>
      </c>
      <c r="BD6" s="13">
        <f t="shared" si="2"/>
        <v>13</v>
      </c>
      <c r="BE6" s="13">
        <f t="shared" si="2"/>
        <v>14</v>
      </c>
      <c r="BF6" s="13">
        <f t="shared" si="2"/>
        <v>15</v>
      </c>
      <c r="BG6" s="13">
        <f t="shared" si="2"/>
        <v>16</v>
      </c>
      <c r="BH6" s="13">
        <f t="shared" si="2"/>
        <v>17</v>
      </c>
      <c r="BI6" s="13">
        <f t="shared" si="2"/>
        <v>18</v>
      </c>
      <c r="BJ6" s="13">
        <f t="shared" si="2"/>
        <v>19</v>
      </c>
      <c r="BK6" s="13">
        <f t="shared" si="2"/>
        <v>20</v>
      </c>
      <c r="BL6" s="13">
        <f t="shared" si="2"/>
        <v>21</v>
      </c>
      <c r="BM6" s="13">
        <f t="shared" si="2"/>
        <v>22</v>
      </c>
      <c r="BN6" s="13">
        <f t="shared" si="2"/>
        <v>23</v>
      </c>
      <c r="BO6" s="13">
        <f t="shared" si="2"/>
        <v>24</v>
      </c>
      <c r="BP6" s="13">
        <f t="shared" si="2"/>
        <v>25</v>
      </c>
      <c r="BQ6" s="13">
        <f t="shared" si="2"/>
        <v>26</v>
      </c>
      <c r="BR6" s="13">
        <f t="shared" si="2"/>
        <v>27</v>
      </c>
      <c r="BS6" s="13">
        <f t="shared" si="2"/>
        <v>28</v>
      </c>
      <c r="BT6" s="13">
        <f t="shared" si="2"/>
        <v>29</v>
      </c>
      <c r="BU6" s="13">
        <f t="shared" si="2"/>
        <v>30</v>
      </c>
      <c r="BV6" s="13">
        <f t="shared" si="2"/>
        <v>31</v>
      </c>
      <c r="BW6" s="13">
        <f t="shared" si="2"/>
        <v>32</v>
      </c>
      <c r="BX6" s="13">
        <f t="shared" si="2"/>
        <v>33</v>
      </c>
      <c r="BY6" s="13">
        <f t="shared" si="2"/>
        <v>34</v>
      </c>
      <c r="BZ6" s="13">
        <f t="shared" si="2"/>
        <v>35</v>
      </c>
      <c r="CA6" s="13">
        <f t="shared" si="2"/>
        <v>36</v>
      </c>
      <c r="CB6" s="13">
        <f t="shared" si="2"/>
        <v>37</v>
      </c>
      <c r="CC6" s="13">
        <f t="shared" si="2"/>
        <v>38</v>
      </c>
      <c r="CD6" s="13">
        <f t="shared" si="2"/>
        <v>39</v>
      </c>
      <c r="CE6" s="13">
        <f t="shared" si="2"/>
        <v>40</v>
      </c>
      <c r="CF6" s="13">
        <f t="shared" si="2"/>
        <v>41</v>
      </c>
      <c r="CG6" s="13">
        <f t="shared" si="2"/>
        <v>42</v>
      </c>
      <c r="CH6" s="13">
        <f t="shared" si="2"/>
        <v>43</v>
      </c>
      <c r="CI6" s="13">
        <f t="shared" si="2"/>
        <v>44</v>
      </c>
      <c r="CJ6" s="13">
        <f t="shared" si="2"/>
        <v>45</v>
      </c>
      <c r="CK6" s="13">
        <f t="shared" si="2"/>
        <v>46</v>
      </c>
      <c r="CL6" s="13">
        <f t="shared" si="2"/>
        <v>47</v>
      </c>
      <c r="CM6" s="13">
        <f t="shared" si="2"/>
        <v>48</v>
      </c>
      <c r="CN6" s="13">
        <f t="shared" si="2"/>
        <v>49</v>
      </c>
      <c r="CO6" s="13">
        <f t="shared" si="2"/>
        <v>50</v>
      </c>
    </row>
    <row r="7" spans="1:98" ht="13.9" x14ac:dyDescent="0.4">
      <c r="B7" s="237"/>
      <c r="C7" s="258" t="s">
        <v>213</v>
      </c>
      <c r="D7" s="258">
        <v>0</v>
      </c>
      <c r="F7" s="259" t="s">
        <v>214</v>
      </c>
      <c r="G7" s="259"/>
      <c r="I7" s="260" t="s">
        <v>291</v>
      </c>
      <c r="J7" s="260"/>
      <c r="K7" s="260"/>
      <c r="L7" s="260"/>
      <c r="M7" s="260"/>
      <c r="N7" s="260"/>
      <c r="O7" s="260"/>
      <c r="Q7" s="260" t="s">
        <v>290</v>
      </c>
      <c r="R7" s="260"/>
      <c r="S7" s="260"/>
      <c r="T7" s="260"/>
      <c r="U7" s="260"/>
      <c r="V7" s="260"/>
      <c r="W7" s="260"/>
      <c r="Y7" s="261" t="s">
        <v>215</v>
      </c>
      <c r="Z7" s="261"/>
      <c r="AA7" s="261"/>
      <c r="AB7" s="233"/>
      <c r="AC7" s="259" t="s">
        <v>216</v>
      </c>
      <c r="AD7" s="259"/>
      <c r="AF7" s="265" t="s">
        <v>217</v>
      </c>
      <c r="AG7" s="265"/>
      <c r="AI7" s="259" t="s">
        <v>218</v>
      </c>
      <c r="AJ7" s="259"/>
      <c r="AK7" s="259"/>
      <c r="AL7" s="259"/>
      <c r="AM7" s="259"/>
      <c r="AN7" s="259"/>
      <c r="AO7" s="259"/>
      <c r="AP7" s="259"/>
      <c r="AR7" s="259" t="s">
        <v>219</v>
      </c>
      <c r="AS7" s="259"/>
      <c r="AT7" s="259"/>
      <c r="AU7" s="259"/>
      <c r="AV7" s="259"/>
      <c r="AW7" s="259"/>
      <c r="AX7" s="259"/>
      <c r="AY7" s="259"/>
      <c r="AZ7" s="259"/>
      <c r="BA7" s="259"/>
      <c r="BB7" s="238"/>
      <c r="BC7" s="238"/>
      <c r="BD7" s="238"/>
      <c r="BE7" s="238"/>
      <c r="BF7" s="238"/>
      <c r="BG7" s="238"/>
      <c r="BH7" s="238"/>
      <c r="BI7" s="238"/>
      <c r="BJ7" s="238"/>
      <c r="BK7" s="238"/>
      <c r="BL7" s="238"/>
      <c r="BM7" s="238"/>
      <c r="BN7" s="238"/>
      <c r="BO7" s="238"/>
      <c r="BP7" s="238"/>
      <c r="BQ7" s="238"/>
      <c r="BR7" s="238"/>
      <c r="BS7" s="238"/>
      <c r="BT7" s="238"/>
      <c r="BU7" s="238"/>
      <c r="BV7" s="238"/>
      <c r="BW7" s="238"/>
      <c r="BX7" s="238"/>
      <c r="BY7" s="238"/>
      <c r="BZ7" s="238"/>
      <c r="CA7" s="238"/>
      <c r="CB7" s="238"/>
      <c r="CC7" s="238"/>
      <c r="CD7" s="238"/>
      <c r="CE7" s="238"/>
      <c r="CF7" s="238"/>
      <c r="CG7" s="238"/>
      <c r="CH7" s="238"/>
      <c r="CI7" s="238"/>
      <c r="CJ7" s="238"/>
      <c r="CK7" s="238"/>
      <c r="CL7" s="238"/>
      <c r="CM7" s="238"/>
      <c r="CN7" s="238"/>
      <c r="CO7" s="238"/>
      <c r="CR7" s="239" t="s">
        <v>220</v>
      </c>
      <c r="CS7" s="239"/>
      <c r="CT7" s="239"/>
    </row>
    <row r="8" spans="1:98" ht="13.15" x14ac:dyDescent="0.4">
      <c r="B8" s="235"/>
      <c r="C8" s="235"/>
      <c r="D8" s="235"/>
      <c r="I8" s="230">
        <f ca="1">IF(ROUND(I6-'Gross connection capex (SCS)'!J27*10^3*(1+'Gifted assets'!$P$63),3)&lt;&gt;0,1,0)</f>
        <v>0</v>
      </c>
      <c r="J8" s="230">
        <f ca="1">IF(ROUND(J6-'Gross connection capex (SCS)'!K27*10^3*(1+'Gifted assets'!$P$63),3)&lt;&gt;0,1,0)</f>
        <v>0</v>
      </c>
      <c r="K8" s="230">
        <f ca="1">IF(ROUND(K6-'Gross connection capex (SCS)'!L27*10^3*(1+'Gifted assets'!$P$63),3)&lt;&gt;0,1,0)</f>
        <v>0</v>
      </c>
      <c r="L8" s="230">
        <f ca="1">IF(ROUND(L6-'Gross connection capex (SCS)'!M27*10^3*(1+'Gifted assets'!$P$63),3)&lt;&gt;0,1,0)</f>
        <v>0</v>
      </c>
      <c r="M8" s="230">
        <f ca="1">IF(ROUND(M6-'Gross connection capex (SCS)'!N27*10^3*(1+'Gifted assets'!$P$63),3)&lt;&gt;0,1,0)</f>
        <v>0</v>
      </c>
      <c r="N8" s="230">
        <f ca="1">IF(ROUND(N6-'Gross connection capex (SCS)'!O27*10^3*(1+'Gifted assets'!$P$63),3)&lt;&gt;0,1,0)</f>
        <v>0</v>
      </c>
      <c r="O8" s="230">
        <f ca="1">IF(ROUND(O6-'Gross connection capex (SCS)'!P27*10^3*(1+'Gifted assets'!$P$63),3)&lt;&gt;0,1,0)</f>
        <v>0</v>
      </c>
      <c r="Q8" s="230">
        <f ca="1">IF(ROUND(Q6-'Capital contributions (SCS)'!J27*10^3*(1+'Gifted assets'!$P$63),3)&lt;&gt;0,1,0)</f>
        <v>0</v>
      </c>
      <c r="R8" s="230">
        <f ca="1">IF(ROUND(R6-'Capital contributions (SCS)'!K27*10^3*(1+'Gifted assets'!$P$63),3)&lt;&gt;0,1,0)</f>
        <v>0</v>
      </c>
      <c r="S8" s="230">
        <f ca="1">IF(ROUND(S6-'Capital contributions (SCS)'!L27*10^3*(1+'Gifted assets'!$P$63),3)&lt;&gt;0,1,0)</f>
        <v>0</v>
      </c>
      <c r="T8" s="230">
        <f ca="1">IF(ROUND(T6-'Capital contributions (SCS)'!M27*10^3*(1+'Gifted assets'!$P$63),3)&lt;&gt;0,1,0)</f>
        <v>0</v>
      </c>
      <c r="U8" s="230">
        <f ca="1">IF(ROUND(U6-'Capital contributions (SCS)'!N27*10^3*(1+'Gifted assets'!$P$63),3)&lt;&gt;0,1,0)</f>
        <v>0</v>
      </c>
      <c r="V8" s="230">
        <f ca="1">IF(ROUND(V6-'Capital contributions (SCS)'!O27*10^3*(1+'Gifted assets'!$P$63),3)&lt;&gt;0,1,0)</f>
        <v>0</v>
      </c>
      <c r="W8" s="230">
        <f ca="1">IF(ROUND(W6-'Capital contributions (SCS)'!P27*10^3*(1+'Gifted assets'!$P$63),3)&lt;&gt;0,1,0)</f>
        <v>0</v>
      </c>
      <c r="AB8" s="230">
        <f>IF(SUM(AB10:AB109)&lt;&gt;0,1,0)</f>
        <v>0</v>
      </c>
      <c r="AC8" s="231"/>
      <c r="AD8" s="231"/>
      <c r="AF8" s="262" t="s">
        <v>221</v>
      </c>
      <c r="AG8" s="262"/>
      <c r="AI8" s="231"/>
      <c r="AJ8" s="231"/>
      <c r="AK8" s="231"/>
      <c r="AL8" s="231"/>
      <c r="AM8" s="231"/>
      <c r="AN8" s="231"/>
      <c r="AO8" s="231"/>
      <c r="AP8" s="231"/>
      <c r="AQ8" s="230">
        <f>IF(SUM(AQ10:AQ109)&lt;&gt;0,1,0)</f>
        <v>0</v>
      </c>
      <c r="AR8" s="232" t="s">
        <v>222</v>
      </c>
      <c r="AS8" s="232" t="s">
        <v>222</v>
      </c>
      <c r="AT8" s="232" t="s">
        <v>222</v>
      </c>
      <c r="AU8" s="232" t="s">
        <v>222</v>
      </c>
      <c r="AV8" s="232" t="s">
        <v>222</v>
      </c>
      <c r="AW8" s="232" t="s">
        <v>222</v>
      </c>
      <c r="AX8" s="232" t="s">
        <v>222</v>
      </c>
      <c r="AY8" s="232" t="s">
        <v>222</v>
      </c>
      <c r="AZ8" s="232" t="s">
        <v>222</v>
      </c>
      <c r="BA8" s="232" t="s">
        <v>222</v>
      </c>
      <c r="BB8" s="232" t="s">
        <v>222</v>
      </c>
      <c r="BC8" s="232" t="s">
        <v>222</v>
      </c>
      <c r="BD8" s="232" t="s">
        <v>222</v>
      </c>
      <c r="BE8" s="232" t="s">
        <v>222</v>
      </c>
      <c r="BF8" s="232" t="s">
        <v>222</v>
      </c>
      <c r="BG8" s="232" t="s">
        <v>222</v>
      </c>
      <c r="BH8" s="232" t="s">
        <v>222</v>
      </c>
      <c r="BI8" s="232" t="s">
        <v>222</v>
      </c>
      <c r="BJ8" s="232" t="s">
        <v>222</v>
      </c>
      <c r="BK8" s="232" t="s">
        <v>222</v>
      </c>
      <c r="BL8" s="232" t="s">
        <v>222</v>
      </c>
      <c r="BM8" s="232" t="s">
        <v>222</v>
      </c>
      <c r="BN8" s="232" t="s">
        <v>222</v>
      </c>
      <c r="BO8" s="232" t="s">
        <v>222</v>
      </c>
      <c r="BP8" s="232" t="s">
        <v>222</v>
      </c>
      <c r="BQ8" s="232" t="s">
        <v>222</v>
      </c>
      <c r="BR8" s="232" t="s">
        <v>222</v>
      </c>
      <c r="BS8" s="232" t="s">
        <v>222</v>
      </c>
      <c r="BT8" s="232" t="s">
        <v>222</v>
      </c>
      <c r="BU8" s="232" t="s">
        <v>222</v>
      </c>
      <c r="BV8" s="232" t="s">
        <v>222</v>
      </c>
      <c r="BW8" s="232" t="s">
        <v>222</v>
      </c>
      <c r="BX8" s="232" t="s">
        <v>222</v>
      </c>
      <c r="BY8" s="232" t="s">
        <v>222</v>
      </c>
      <c r="BZ8" s="232" t="s">
        <v>222</v>
      </c>
      <c r="CA8" s="232" t="s">
        <v>222</v>
      </c>
      <c r="CB8" s="232" t="s">
        <v>222</v>
      </c>
      <c r="CC8" s="232" t="s">
        <v>222</v>
      </c>
      <c r="CD8" s="232" t="s">
        <v>222</v>
      </c>
      <c r="CE8" s="232" t="s">
        <v>222</v>
      </c>
      <c r="CF8" s="232" t="s">
        <v>222</v>
      </c>
      <c r="CG8" s="232" t="s">
        <v>222</v>
      </c>
      <c r="CH8" s="232" t="s">
        <v>222</v>
      </c>
      <c r="CI8" s="232" t="s">
        <v>222</v>
      </c>
      <c r="CJ8" s="232" t="s">
        <v>222</v>
      </c>
      <c r="CK8" s="232" t="s">
        <v>222</v>
      </c>
      <c r="CL8" s="232" t="s">
        <v>222</v>
      </c>
      <c r="CM8" s="232" t="s">
        <v>222</v>
      </c>
      <c r="CN8" s="232" t="s">
        <v>222</v>
      </c>
      <c r="CO8" s="232" t="s">
        <v>222</v>
      </c>
      <c r="CP8" s="230">
        <f>IF(SUM(CP10:CP109)&lt;&gt;0,1,0)</f>
        <v>0</v>
      </c>
      <c r="CR8" s="13">
        <f>SUM(CR10:CR109)</f>
        <v>10</v>
      </c>
      <c r="CS8" s="230">
        <f>IF(SUM(CS10:CS109)&lt;&gt;0,1,0)</f>
        <v>0</v>
      </c>
    </row>
    <row r="9" spans="1:98" ht="20.25" x14ac:dyDescent="0.35">
      <c r="B9" s="240" t="s">
        <v>223</v>
      </c>
      <c r="C9" s="241" t="s">
        <v>224</v>
      </c>
      <c r="D9" s="240" t="s">
        <v>225</v>
      </c>
      <c r="F9" s="240" t="s">
        <v>226</v>
      </c>
      <c r="G9" s="240" t="s">
        <v>227</v>
      </c>
      <c r="I9" s="240" t="s">
        <v>228</v>
      </c>
      <c r="J9" s="240" t="s">
        <v>229</v>
      </c>
      <c r="K9" s="240" t="s">
        <v>230</v>
      </c>
      <c r="L9" s="240" t="s">
        <v>231</v>
      </c>
      <c r="M9" s="240" t="s">
        <v>232</v>
      </c>
      <c r="N9" s="240" t="s">
        <v>233</v>
      </c>
      <c r="O9" s="240" t="s">
        <v>234</v>
      </c>
      <c r="Q9" s="240" t="s">
        <v>228</v>
      </c>
      <c r="R9" s="240" t="s">
        <v>229</v>
      </c>
      <c r="S9" s="240" t="s">
        <v>230</v>
      </c>
      <c r="T9" s="240" t="s">
        <v>231</v>
      </c>
      <c r="U9" s="240" t="s">
        <v>232</v>
      </c>
      <c r="V9" s="240" t="s">
        <v>233</v>
      </c>
      <c r="W9" s="240" t="s">
        <v>234</v>
      </c>
      <c r="Y9" s="240" t="s">
        <v>235</v>
      </c>
      <c r="Z9" s="240" t="s">
        <v>236</v>
      </c>
      <c r="AA9" s="240" t="s">
        <v>237</v>
      </c>
      <c r="AB9" s="232"/>
      <c r="AC9" s="242" t="s">
        <v>238</v>
      </c>
      <c r="AD9" s="242" t="s">
        <v>239</v>
      </c>
      <c r="AF9" s="240" t="s">
        <v>240</v>
      </c>
      <c r="AG9" s="240" t="s">
        <v>241</v>
      </c>
      <c r="AI9" s="242" t="s">
        <v>242</v>
      </c>
      <c r="AJ9" s="242" t="s">
        <v>243</v>
      </c>
      <c r="AK9" s="242" t="s">
        <v>244</v>
      </c>
      <c r="AL9" s="242" t="s">
        <v>132</v>
      </c>
      <c r="AM9" s="242" t="s">
        <v>245</v>
      </c>
      <c r="AN9" s="242" t="s">
        <v>246</v>
      </c>
      <c r="AO9" s="242" t="s">
        <v>247</v>
      </c>
      <c r="AP9" s="242" t="s">
        <v>248</v>
      </c>
      <c r="AR9" s="242" t="s">
        <v>0</v>
      </c>
      <c r="AS9" s="242" t="s">
        <v>1</v>
      </c>
      <c r="AT9" s="242" t="s">
        <v>2</v>
      </c>
      <c r="AU9" s="242" t="s">
        <v>3</v>
      </c>
      <c r="AV9" s="242" t="s">
        <v>4</v>
      </c>
      <c r="AW9" s="242" t="s">
        <v>5</v>
      </c>
      <c r="AX9" s="242" t="s">
        <v>6</v>
      </c>
      <c r="AY9" s="242" t="s">
        <v>7</v>
      </c>
      <c r="AZ9" s="242" t="s">
        <v>8</v>
      </c>
      <c r="BA9" s="242" t="s">
        <v>9</v>
      </c>
      <c r="BB9" s="242" t="s">
        <v>10</v>
      </c>
      <c r="BC9" s="242" t="s">
        <v>11</v>
      </c>
      <c r="BD9" s="242" t="s">
        <v>12</v>
      </c>
      <c r="BE9" s="242" t="s">
        <v>13</v>
      </c>
      <c r="BF9" s="242" t="s">
        <v>139</v>
      </c>
      <c r="BG9" s="242" t="s">
        <v>140</v>
      </c>
      <c r="BH9" s="242" t="s">
        <v>249</v>
      </c>
      <c r="BI9" s="242" t="s">
        <v>249</v>
      </c>
      <c r="BJ9" s="242" t="s">
        <v>249</v>
      </c>
      <c r="BK9" s="242" t="s">
        <v>249</v>
      </c>
      <c r="BL9" s="242" t="s">
        <v>249</v>
      </c>
      <c r="BM9" s="242" t="s">
        <v>249</v>
      </c>
      <c r="BN9" s="242" t="s">
        <v>249</v>
      </c>
      <c r="BO9" s="242" t="s">
        <v>249</v>
      </c>
      <c r="BP9" s="242" t="s">
        <v>249</v>
      </c>
      <c r="BQ9" s="242" t="s">
        <v>249</v>
      </c>
      <c r="BR9" s="242" t="s">
        <v>249</v>
      </c>
      <c r="BS9" s="242" t="s">
        <v>249</v>
      </c>
      <c r="BT9" s="242" t="s">
        <v>249</v>
      </c>
      <c r="BU9" s="242" t="s">
        <v>249</v>
      </c>
      <c r="BV9" s="242" t="s">
        <v>249</v>
      </c>
      <c r="BW9" s="242" t="s">
        <v>249</v>
      </c>
      <c r="BX9" s="242" t="s">
        <v>249</v>
      </c>
      <c r="BY9" s="242" t="s">
        <v>249</v>
      </c>
      <c r="BZ9" s="242" t="s">
        <v>249</v>
      </c>
      <c r="CA9" s="242" t="s">
        <v>249</v>
      </c>
      <c r="CB9" s="242" t="s">
        <v>249</v>
      </c>
      <c r="CC9" s="242" t="s">
        <v>249</v>
      </c>
      <c r="CD9" s="242" t="s">
        <v>249</v>
      </c>
      <c r="CE9" s="242" t="s">
        <v>249</v>
      </c>
      <c r="CF9" s="242" t="s">
        <v>249</v>
      </c>
      <c r="CG9" s="242" t="s">
        <v>249</v>
      </c>
      <c r="CH9" s="242" t="s">
        <v>249</v>
      </c>
      <c r="CI9" s="242" t="s">
        <v>249</v>
      </c>
      <c r="CJ9" s="242" t="s">
        <v>249</v>
      </c>
      <c r="CK9" s="242" t="s">
        <v>249</v>
      </c>
      <c r="CL9" s="242" t="s">
        <v>249</v>
      </c>
      <c r="CM9" s="242" t="s">
        <v>141</v>
      </c>
      <c r="CN9" s="242" t="s">
        <v>250</v>
      </c>
      <c r="CO9" s="242" t="s">
        <v>251</v>
      </c>
      <c r="CR9" s="243" t="s">
        <v>252</v>
      </c>
      <c r="CS9" s="243" t="s">
        <v>225</v>
      </c>
      <c r="CT9" s="243" t="s">
        <v>253</v>
      </c>
    </row>
    <row r="10" spans="1:98" ht="12.75" x14ac:dyDescent="0.35">
      <c r="B10" s="13">
        <f t="shared" ref="B10:B73" si="3">N(B9)+1</f>
        <v>1</v>
      </c>
      <c r="C10" s="183" t="str">
        <f>'Net connection capex (SCS)'!$D$34&amp;" - "&amp;'Net connection capex (SCS)'!$E34</f>
        <v>RESIDENTIAL - Simple connection LV</v>
      </c>
      <c r="D10" s="181" t="s">
        <v>273</v>
      </c>
      <c r="F10" s="215" t="s">
        <v>132</v>
      </c>
      <c r="G10" s="215" t="s">
        <v>254</v>
      </c>
      <c r="I10" s="168">
        <f>'Gross connection capex (SCS)'!J38*10^3*(1+'Gifted assets'!$P$63)</f>
        <v>421.43339496724849</v>
      </c>
      <c r="J10" s="168">
        <f>'Gross connection capex (SCS)'!K38*10^3*(1+'Gifted assets'!$P$63)</f>
        <v>423.18150773640639</v>
      </c>
      <c r="K10" s="168">
        <f>'Gross connection capex (SCS)'!L38*10^3*(1+'Gifted assets'!$P$63)</f>
        <v>219.77817480608837</v>
      </c>
      <c r="L10" s="168">
        <f>'Gross connection capex (SCS)'!M38*10^3*(1+'Gifted assets'!$P$63)</f>
        <v>221.87795285414006</v>
      </c>
      <c r="M10" s="168">
        <f>'Gross connection capex (SCS)'!N38*10^3*(1+'Gifted assets'!$P$63)</f>
        <v>223.97773090219121</v>
      </c>
      <c r="N10" s="168">
        <f>'Gross connection capex (SCS)'!O38*10^3*(1+'Gifted assets'!$P$63)</f>
        <v>226.07750895024233</v>
      </c>
      <c r="O10" s="168">
        <f>'Gross connection capex (SCS)'!P38*10^3*(1+'Gifted assets'!$P$63)</f>
        <v>228.17728699829354</v>
      </c>
      <c r="Q10" s="168">
        <f>'Capital contributions (SCS)'!J37*10^3*(1+'Gifted assets'!$P$63)</f>
        <v>205.85477625726239</v>
      </c>
      <c r="R10" s="168">
        <f>'Capital contributions (SCS)'!K37*10^3*(1+'Gifted assets'!$P$63)</f>
        <v>205.50311097836916</v>
      </c>
      <c r="S10" s="168">
        <f>'Capital contributions (SCS)'!L37*10^3*(1+'Gifted assets'!$P$63)</f>
        <v>0</v>
      </c>
      <c r="T10" s="168">
        <f>'Capital contributions (SCS)'!M37*10^3*(1+'Gifted assets'!$P$63)</f>
        <v>0</v>
      </c>
      <c r="U10" s="168">
        <f>'Capital contributions (SCS)'!N37*10^3*(1+'Gifted assets'!$P$63)</f>
        <v>0</v>
      </c>
      <c r="V10" s="168">
        <f>'Capital contributions (SCS)'!O37*10^3*(1+'Gifted assets'!$P$63)</f>
        <v>0</v>
      </c>
      <c r="W10" s="168">
        <f>'Capital contributions (SCS)'!P37*10^3*(1+'Gifted assets'!$P$63)</f>
        <v>0</v>
      </c>
      <c r="Y10" s="244">
        <v>0.48</v>
      </c>
      <c r="Z10" s="244">
        <v>0.18</v>
      </c>
      <c r="AA10" s="244">
        <v>0.34</v>
      </c>
      <c r="AB10" s="230" t="str">
        <f t="shared" ref="AB10:AB73" si="4">IF(SUM(Y10:AA10,I10:O10)=0,"",IF(SUM(Y10:AA10)=1,"",1))</f>
        <v/>
      </c>
      <c r="AC10" s="215" t="s">
        <v>206</v>
      </c>
      <c r="AD10" s="215" t="s">
        <v>206</v>
      </c>
      <c r="AF10" s="245"/>
      <c r="AG10" s="245"/>
      <c r="AI10" s="244"/>
      <c r="AJ10" s="244"/>
      <c r="AK10" s="244"/>
      <c r="AL10" s="244">
        <v>1</v>
      </c>
      <c r="AM10" s="244"/>
      <c r="AN10" s="244"/>
      <c r="AO10" s="244"/>
      <c r="AP10" s="244"/>
      <c r="AQ10" s="246" t="str">
        <f t="shared" ref="AQ10:AQ73" si="5">IF(COUNT(AI10:AP10)=0,"",IF(SUM(AI10:AP10)=1,"",1))</f>
        <v/>
      </c>
      <c r="AR10" s="244">
        <f>(AR$9='Net connection capex (SCS)'!$R34)*1</f>
        <v>0</v>
      </c>
      <c r="AS10" s="244">
        <f>(AS$9='Net connection capex (SCS)'!$R34)*1</f>
        <v>0</v>
      </c>
      <c r="AT10" s="244">
        <f>(AT$9='Net connection capex (SCS)'!$R34)*1</f>
        <v>0</v>
      </c>
      <c r="AU10" s="244">
        <f>(AU$9='Net connection capex (SCS)'!$R34)*1</f>
        <v>1</v>
      </c>
      <c r="AV10" s="244">
        <f>(AV$9='Net connection capex (SCS)'!$R34)*1</f>
        <v>0</v>
      </c>
      <c r="AW10" s="244">
        <f>(AW$9='Net connection capex (SCS)'!$R34)*1</f>
        <v>0</v>
      </c>
      <c r="AX10" s="244">
        <f>(AX$9='Net connection capex (SCS)'!$R34)*1</f>
        <v>0</v>
      </c>
      <c r="AY10" s="244">
        <f>(AY$9='Net connection capex (SCS)'!$R34)*1</f>
        <v>0</v>
      </c>
      <c r="AZ10" s="244">
        <f>(AZ$9='Net connection capex (SCS)'!$R34)*1</f>
        <v>0</v>
      </c>
      <c r="BA10" s="244">
        <f>(BA$9='Net connection capex (SCS)'!$R34)*1</f>
        <v>0</v>
      </c>
      <c r="BB10" s="244">
        <f>(BB$9='Net connection capex (SCS)'!$R34)*1</f>
        <v>0</v>
      </c>
      <c r="BC10" s="244">
        <f>(BC$9='Net connection capex (SCS)'!$R34)*1</f>
        <v>0</v>
      </c>
      <c r="BD10" s="244">
        <f>(BD$9='Net connection capex (SCS)'!$R34)*1</f>
        <v>0</v>
      </c>
      <c r="BE10" s="244">
        <f>(BE$9='Net connection capex (SCS)'!$R34)*1</f>
        <v>0</v>
      </c>
      <c r="BF10" s="244">
        <f>(BF$9='Net connection capex (SCS)'!$R34)*1</f>
        <v>0</v>
      </c>
      <c r="BG10" s="244">
        <f>(BG$9='Net connection capex (SCS)'!$R34)*1</f>
        <v>0</v>
      </c>
      <c r="BH10" s="244">
        <f>(BH$9='Net connection capex (SCS)'!$R34)*1</f>
        <v>0</v>
      </c>
      <c r="BI10" s="244">
        <f>(BI$9='Net connection capex (SCS)'!$R34)*1</f>
        <v>0</v>
      </c>
      <c r="BJ10" s="244">
        <f>(BJ$9='Net connection capex (SCS)'!$R34)*1</f>
        <v>0</v>
      </c>
      <c r="BK10" s="244">
        <f>(BK$9='Net connection capex (SCS)'!$R34)*1</f>
        <v>0</v>
      </c>
      <c r="BL10" s="244">
        <f>(BL$9='Net connection capex (SCS)'!$R34)*1</f>
        <v>0</v>
      </c>
      <c r="BM10" s="244">
        <f>(BM$9='Net connection capex (SCS)'!$R34)*1</f>
        <v>0</v>
      </c>
      <c r="BN10" s="244">
        <f>(BN$9='Net connection capex (SCS)'!$R34)*1</f>
        <v>0</v>
      </c>
      <c r="BO10" s="244">
        <f>(BO$9='Net connection capex (SCS)'!$R34)*1</f>
        <v>0</v>
      </c>
      <c r="BP10" s="244">
        <f>(BP$9='Net connection capex (SCS)'!$R34)*1</f>
        <v>0</v>
      </c>
      <c r="BQ10" s="244">
        <f>(BQ$9='Net connection capex (SCS)'!$R34)*1</f>
        <v>0</v>
      </c>
      <c r="BR10" s="244">
        <f>(BR$9='Net connection capex (SCS)'!$R34)*1</f>
        <v>0</v>
      </c>
      <c r="BS10" s="244">
        <f>(BS$9='Net connection capex (SCS)'!$R34)*1</f>
        <v>0</v>
      </c>
      <c r="BT10" s="244">
        <f>(BT$9='Net connection capex (SCS)'!$R34)*1</f>
        <v>0</v>
      </c>
      <c r="BU10" s="244">
        <f>(BU$9='Net connection capex (SCS)'!$R34)*1</f>
        <v>0</v>
      </c>
      <c r="BV10" s="244">
        <f>(BV$9='Net connection capex (SCS)'!$R34)*1</f>
        <v>0</v>
      </c>
      <c r="BW10" s="244">
        <f>(BW$9='Net connection capex (SCS)'!$R34)*1</f>
        <v>0</v>
      </c>
      <c r="BX10" s="244">
        <f>(BX$9='Net connection capex (SCS)'!$R34)*1</f>
        <v>0</v>
      </c>
      <c r="BY10" s="244">
        <f>(BY$9='Net connection capex (SCS)'!$R34)*1</f>
        <v>0</v>
      </c>
      <c r="BZ10" s="244">
        <f>(BZ$9='Net connection capex (SCS)'!$R34)*1</f>
        <v>0</v>
      </c>
      <c r="CA10" s="244">
        <f>(CA$9='Net connection capex (SCS)'!$R34)*1</f>
        <v>0</v>
      </c>
      <c r="CB10" s="244">
        <f>(CB$9='Net connection capex (SCS)'!$R34)*1</f>
        <v>0</v>
      </c>
      <c r="CC10" s="244">
        <f>(CC$9='Net connection capex (SCS)'!$R34)*1</f>
        <v>0</v>
      </c>
      <c r="CD10" s="244">
        <f>(CD$9='Net connection capex (SCS)'!$R34)*1</f>
        <v>0</v>
      </c>
      <c r="CE10" s="244">
        <f>(CE$9='Net connection capex (SCS)'!$R34)*1</f>
        <v>0</v>
      </c>
      <c r="CF10" s="244">
        <f>(CF$9='Net connection capex (SCS)'!$R34)*1</f>
        <v>0</v>
      </c>
      <c r="CG10" s="244">
        <f>(CG$9='Net connection capex (SCS)'!$R34)*1</f>
        <v>0</v>
      </c>
      <c r="CH10" s="244">
        <f>(CH$9='Net connection capex (SCS)'!$R34)*1</f>
        <v>0</v>
      </c>
      <c r="CI10" s="244">
        <f>(CI$9='Net connection capex (SCS)'!$R34)*1</f>
        <v>0</v>
      </c>
      <c r="CJ10" s="244">
        <f>(CJ$9='Net connection capex (SCS)'!$R34)*1</f>
        <v>0</v>
      </c>
      <c r="CK10" s="244">
        <f>(CK$9='Net connection capex (SCS)'!$R34)*1</f>
        <v>0</v>
      </c>
      <c r="CL10" s="244">
        <f>(CL$9='Net connection capex (SCS)'!$R34)*1</f>
        <v>0</v>
      </c>
      <c r="CM10" s="244">
        <f>(CM$9='Net connection capex (SCS)'!$R34)*1</f>
        <v>0</v>
      </c>
      <c r="CN10" s="244">
        <f>(CN$9='Net connection capex (SCS)'!$R34)*1</f>
        <v>0</v>
      </c>
      <c r="CO10" s="244">
        <f>(CO$9='Net connection capex (SCS)'!$R34)*1</f>
        <v>0</v>
      </c>
      <c r="CP10" s="246" t="str">
        <f t="shared" ref="CP10:CP73" si="6">IF(COUNT(AR10:CO10)=0,"",IF(SUM(AR10:CO10)=1,"",1))</f>
        <v/>
      </c>
      <c r="CR10" s="13">
        <f>IF(SUM(I10:O10)&gt;0,1,0)</f>
        <v>1</v>
      </c>
      <c r="CS10" s="230">
        <f>IF(CR10=0,0,IF(ISERROR(MATCH(D10,D$9:D9,0)),0,1))</f>
        <v>0</v>
      </c>
      <c r="CT10" s="247"/>
    </row>
    <row r="11" spans="1:98" ht="12.75" x14ac:dyDescent="0.35">
      <c r="B11" s="13">
        <f t="shared" si="3"/>
        <v>2</v>
      </c>
      <c r="C11" s="183" t="str">
        <f>'Net connection capex (SCS)'!$D$34&amp;" - "&amp;'Net connection capex (SCS)'!$E35</f>
        <v>RESIDENTIAL - Complex connection LV</v>
      </c>
      <c r="D11" s="181" t="s">
        <v>274</v>
      </c>
      <c r="F11" s="215" t="s">
        <v>132</v>
      </c>
      <c r="G11" s="215" t="s">
        <v>254</v>
      </c>
      <c r="I11" s="168">
        <f>'Gross connection capex (SCS)'!J39*10^3*(1+'Gifted assets'!$P$63)</f>
        <v>163.23809436929037</v>
      </c>
      <c r="J11" s="168">
        <f>'Gross connection capex (SCS)'!K39*10^3*(1+'Gifted assets'!$P$63)</f>
        <v>162.76819546174292</v>
      </c>
      <c r="K11" s="168">
        <f>'Gross connection capex (SCS)'!L39*10^3*(1+'Gifted assets'!$P$63)</f>
        <v>100.73868937932527</v>
      </c>
      <c r="L11" s="168">
        <f>'Gross connection capex (SCS)'!M39*10^3*(1+'Gifted assets'!$P$63)</f>
        <v>101.00667524185921</v>
      </c>
      <c r="M11" s="168">
        <f>'Gross connection capex (SCS)'!N39*10^3*(1+'Gifted assets'!$P$63)</f>
        <v>101.2746611043931</v>
      </c>
      <c r="N11" s="168">
        <f>'Gross connection capex (SCS)'!O39*10^3*(1+'Gifted assets'!$P$63)</f>
        <v>101.54264696692707</v>
      </c>
      <c r="O11" s="168">
        <f>'Gross connection capex (SCS)'!P39*10^3*(1+'Gifted assets'!$P$63)</f>
        <v>101.81063282946097</v>
      </c>
      <c r="Q11" s="168">
        <f>'Capital contributions (SCS)'!J38*10^3*(1+'Gifted assets'!$P$63)</f>
        <v>79.735829657409141</v>
      </c>
      <c r="R11" s="168">
        <f>'Capital contributions (SCS)'!K38*10^3*(1+'Gifted assets'!$P$63)</f>
        <v>79.042609197750124</v>
      </c>
      <c r="S11" s="168">
        <f>'Capital contributions (SCS)'!L38*10^3*(1+'Gifted assets'!$P$63)</f>
        <v>16.789781563220878</v>
      </c>
      <c r="T11" s="168">
        <f>'Capital contributions (SCS)'!M38*10^3*(1+'Gifted assets'!$P$63)</f>
        <v>16.834445873643205</v>
      </c>
      <c r="U11" s="168">
        <f>'Capital contributions (SCS)'!N38*10^3*(1+'Gifted assets'!$P$63)</f>
        <v>16.879110184065521</v>
      </c>
      <c r="V11" s="168">
        <f>'Capital contributions (SCS)'!O38*10^3*(1+'Gifted assets'!$P$63)</f>
        <v>16.923774494487844</v>
      </c>
      <c r="W11" s="168">
        <f>'Capital contributions (SCS)'!P38*10^3*(1+'Gifted assets'!$P$63)</f>
        <v>16.968438804910161</v>
      </c>
      <c r="Y11" s="244">
        <f>Y10</f>
        <v>0.48</v>
      </c>
      <c r="Z11" s="244">
        <f t="shared" ref="Z11:Z23" si="7">Z10</f>
        <v>0.18</v>
      </c>
      <c r="AA11" s="244">
        <f t="shared" ref="AA11:AA23" si="8">AA10</f>
        <v>0.34</v>
      </c>
      <c r="AB11" s="230" t="str">
        <f t="shared" si="4"/>
        <v/>
      </c>
      <c r="AC11" s="215" t="s">
        <v>206</v>
      </c>
      <c r="AD11" s="215" t="s">
        <v>206</v>
      </c>
      <c r="AF11" s="245"/>
      <c r="AG11" s="245"/>
      <c r="AI11" s="244"/>
      <c r="AJ11" s="244"/>
      <c r="AK11" s="244"/>
      <c r="AL11" s="244">
        <v>1</v>
      </c>
      <c r="AM11" s="244"/>
      <c r="AN11" s="244"/>
      <c r="AO11" s="244"/>
      <c r="AP11" s="244"/>
      <c r="AQ11" s="246" t="str">
        <f t="shared" si="5"/>
        <v/>
      </c>
      <c r="AR11" s="244">
        <f>(AR$9='Net connection capex (SCS)'!$R35)*1</f>
        <v>0</v>
      </c>
      <c r="AS11" s="244">
        <f>(AS$9='Net connection capex (SCS)'!$R35)*1</f>
        <v>0</v>
      </c>
      <c r="AT11" s="244">
        <f>(AT$9='Net connection capex (SCS)'!$R35)*1</f>
        <v>0</v>
      </c>
      <c r="AU11" s="244">
        <f>(AU$9='Net connection capex (SCS)'!$R35)*1</f>
        <v>1</v>
      </c>
      <c r="AV11" s="244">
        <f>(AV$9='Net connection capex (SCS)'!$R35)*1</f>
        <v>0</v>
      </c>
      <c r="AW11" s="244">
        <f>(AW$9='Net connection capex (SCS)'!$R35)*1</f>
        <v>0</v>
      </c>
      <c r="AX11" s="244">
        <f>(AX$9='Net connection capex (SCS)'!$R35)*1</f>
        <v>0</v>
      </c>
      <c r="AY11" s="244">
        <f>(AY$9='Net connection capex (SCS)'!$R35)*1</f>
        <v>0</v>
      </c>
      <c r="AZ11" s="244">
        <f>(AZ$9='Net connection capex (SCS)'!$R35)*1</f>
        <v>0</v>
      </c>
      <c r="BA11" s="244">
        <f>(BA$9='Net connection capex (SCS)'!$R35)*1</f>
        <v>0</v>
      </c>
      <c r="BB11" s="244">
        <f>(BB$9='Net connection capex (SCS)'!$R35)*1</f>
        <v>0</v>
      </c>
      <c r="BC11" s="244">
        <f>(BC$9='Net connection capex (SCS)'!$R35)*1</f>
        <v>0</v>
      </c>
      <c r="BD11" s="244">
        <f>(BD$9='Net connection capex (SCS)'!$R35)*1</f>
        <v>0</v>
      </c>
      <c r="BE11" s="244">
        <f>(BE$9='Net connection capex (SCS)'!$R35)*1</f>
        <v>0</v>
      </c>
      <c r="BF11" s="244">
        <f>(BF$9='Net connection capex (SCS)'!$R35)*1</f>
        <v>0</v>
      </c>
      <c r="BG11" s="244">
        <f>(BG$9='Net connection capex (SCS)'!$R35)*1</f>
        <v>0</v>
      </c>
      <c r="BH11" s="244">
        <f>(BH$9='Net connection capex (SCS)'!$R35)*1</f>
        <v>0</v>
      </c>
      <c r="BI11" s="244">
        <f>(BI$9='Net connection capex (SCS)'!$R35)*1</f>
        <v>0</v>
      </c>
      <c r="BJ11" s="244">
        <f>(BJ$9='Net connection capex (SCS)'!$R35)*1</f>
        <v>0</v>
      </c>
      <c r="BK11" s="244">
        <f>(BK$9='Net connection capex (SCS)'!$R35)*1</f>
        <v>0</v>
      </c>
      <c r="BL11" s="244">
        <f>(BL$9='Net connection capex (SCS)'!$R35)*1</f>
        <v>0</v>
      </c>
      <c r="BM11" s="244">
        <f>(BM$9='Net connection capex (SCS)'!$R35)*1</f>
        <v>0</v>
      </c>
      <c r="BN11" s="244">
        <f>(BN$9='Net connection capex (SCS)'!$R35)*1</f>
        <v>0</v>
      </c>
      <c r="BO11" s="244">
        <f>(BO$9='Net connection capex (SCS)'!$R35)*1</f>
        <v>0</v>
      </c>
      <c r="BP11" s="244">
        <f>(BP$9='Net connection capex (SCS)'!$R35)*1</f>
        <v>0</v>
      </c>
      <c r="BQ11" s="244">
        <f>(BQ$9='Net connection capex (SCS)'!$R35)*1</f>
        <v>0</v>
      </c>
      <c r="BR11" s="244">
        <f>(BR$9='Net connection capex (SCS)'!$R35)*1</f>
        <v>0</v>
      </c>
      <c r="BS11" s="244">
        <f>(BS$9='Net connection capex (SCS)'!$R35)*1</f>
        <v>0</v>
      </c>
      <c r="BT11" s="244">
        <f>(BT$9='Net connection capex (SCS)'!$R35)*1</f>
        <v>0</v>
      </c>
      <c r="BU11" s="244">
        <f>(BU$9='Net connection capex (SCS)'!$R35)*1</f>
        <v>0</v>
      </c>
      <c r="BV11" s="244">
        <f>(BV$9='Net connection capex (SCS)'!$R35)*1</f>
        <v>0</v>
      </c>
      <c r="BW11" s="244">
        <f>(BW$9='Net connection capex (SCS)'!$R35)*1</f>
        <v>0</v>
      </c>
      <c r="BX11" s="244">
        <f>(BX$9='Net connection capex (SCS)'!$R35)*1</f>
        <v>0</v>
      </c>
      <c r="BY11" s="244">
        <f>(BY$9='Net connection capex (SCS)'!$R35)*1</f>
        <v>0</v>
      </c>
      <c r="BZ11" s="244">
        <f>(BZ$9='Net connection capex (SCS)'!$R35)*1</f>
        <v>0</v>
      </c>
      <c r="CA11" s="244">
        <f>(CA$9='Net connection capex (SCS)'!$R35)*1</f>
        <v>0</v>
      </c>
      <c r="CB11" s="244">
        <f>(CB$9='Net connection capex (SCS)'!$R35)*1</f>
        <v>0</v>
      </c>
      <c r="CC11" s="244">
        <f>(CC$9='Net connection capex (SCS)'!$R35)*1</f>
        <v>0</v>
      </c>
      <c r="CD11" s="244">
        <f>(CD$9='Net connection capex (SCS)'!$R35)*1</f>
        <v>0</v>
      </c>
      <c r="CE11" s="244">
        <f>(CE$9='Net connection capex (SCS)'!$R35)*1</f>
        <v>0</v>
      </c>
      <c r="CF11" s="244">
        <f>(CF$9='Net connection capex (SCS)'!$R35)*1</f>
        <v>0</v>
      </c>
      <c r="CG11" s="244">
        <f>(CG$9='Net connection capex (SCS)'!$R35)*1</f>
        <v>0</v>
      </c>
      <c r="CH11" s="244">
        <f>(CH$9='Net connection capex (SCS)'!$R35)*1</f>
        <v>0</v>
      </c>
      <c r="CI11" s="244">
        <f>(CI$9='Net connection capex (SCS)'!$R35)*1</f>
        <v>0</v>
      </c>
      <c r="CJ11" s="244">
        <f>(CJ$9='Net connection capex (SCS)'!$R35)*1</f>
        <v>0</v>
      </c>
      <c r="CK11" s="244">
        <f>(CK$9='Net connection capex (SCS)'!$R35)*1</f>
        <v>0</v>
      </c>
      <c r="CL11" s="244">
        <f>(CL$9='Net connection capex (SCS)'!$R35)*1</f>
        <v>0</v>
      </c>
      <c r="CM11" s="244">
        <f>(CM$9='Net connection capex (SCS)'!$R35)*1</f>
        <v>0</v>
      </c>
      <c r="CN11" s="244">
        <f>(CN$9='Net connection capex (SCS)'!$R35)*1</f>
        <v>0</v>
      </c>
      <c r="CO11" s="244">
        <f>(CO$9='Net connection capex (SCS)'!$R35)*1</f>
        <v>0</v>
      </c>
      <c r="CP11" s="246" t="str">
        <f t="shared" si="6"/>
        <v/>
      </c>
      <c r="CR11" s="13">
        <f t="shared" ref="CR11:CR74" si="9">IF(SUM(I11:O11)&gt;0,1,0)</f>
        <v>1</v>
      </c>
      <c r="CS11" s="230">
        <f>IF(CR11=0,0,IF(ISERROR(MATCH(D11,D$9:D10,0)),0,1))</f>
        <v>0</v>
      </c>
      <c r="CT11" s="247"/>
    </row>
    <row r="12" spans="1:98" ht="12.75" x14ac:dyDescent="0.35">
      <c r="B12" s="13">
        <f t="shared" si="3"/>
        <v>3</v>
      </c>
      <c r="C12" s="183" t="str">
        <f>'Net connection capex (SCS)'!$D$34&amp;" - "&amp;'Net connection capex (SCS)'!$E36</f>
        <v>RESIDENTIAL - Complex connection HV</v>
      </c>
      <c r="D12" s="181" t="s">
        <v>275</v>
      </c>
      <c r="F12" s="215" t="s">
        <v>132</v>
      </c>
      <c r="G12" s="215" t="s">
        <v>254</v>
      </c>
      <c r="I12" s="168">
        <f>'Gross connection capex (SCS)'!J40*10^3*(1+'Gifted assets'!$P$63)</f>
        <v>530.12700747358872</v>
      </c>
      <c r="J12" s="168">
        <f>'Gross connection capex (SCS)'!K40*10^3*(1+'Gifted assets'!$P$63)</f>
        <v>527.19103899724701</v>
      </c>
      <c r="K12" s="168">
        <f>'Gross connection capex (SCS)'!L40*10^3*(1+'Gifted assets'!$P$63)</f>
        <v>325.41525956925062</v>
      </c>
      <c r="L12" s="168">
        <f>'Gross connection capex (SCS)'!M40*10^3*(1+'Gifted assets'!$P$63)</f>
        <v>325.41525956925062</v>
      </c>
      <c r="M12" s="168">
        <f>'Gross connection capex (SCS)'!N40*10^3*(1+'Gifted assets'!$P$63)</f>
        <v>325.41525956925062</v>
      </c>
      <c r="N12" s="168">
        <f>'Gross connection capex (SCS)'!O40*10^3*(1+'Gifted assets'!$P$63)</f>
        <v>325.41525956925062</v>
      </c>
      <c r="O12" s="168">
        <f>'Gross connection capex (SCS)'!P40*10^3*(1+'Gifted assets'!$P$63)</f>
        <v>325.41525956925062</v>
      </c>
      <c r="Q12" s="168">
        <f>'Capital contributions (SCS)'!J39*10^3*(1+'Gifted assets'!$P$63)</f>
        <v>258.94762449921325</v>
      </c>
      <c r="R12" s="168">
        <f>'Capital contributions (SCS)'!K39*10^3*(1+'Gifted assets'!$P$63)</f>
        <v>256.01165602287142</v>
      </c>
      <c r="S12" s="168">
        <f>'Capital contributions (SCS)'!L39*10^3*(1+'Gifted assets'!$P$63)</f>
        <v>54.235876594875108</v>
      </c>
      <c r="T12" s="168">
        <f>'Capital contributions (SCS)'!M39*10^3*(1+'Gifted assets'!$P$63)</f>
        <v>54.235876594875108</v>
      </c>
      <c r="U12" s="168">
        <f>'Capital contributions (SCS)'!N39*10^3*(1+'Gifted assets'!$P$63)</f>
        <v>54.235876594875108</v>
      </c>
      <c r="V12" s="168">
        <f>'Capital contributions (SCS)'!O39*10^3*(1+'Gifted assets'!$P$63)</f>
        <v>54.235876594875108</v>
      </c>
      <c r="W12" s="168">
        <f>'Capital contributions (SCS)'!P39*10^3*(1+'Gifted assets'!$P$63)</f>
        <v>54.235876594875108</v>
      </c>
      <c r="Y12" s="244">
        <f t="shared" ref="Y12:Y23" si="10">Y11</f>
        <v>0.48</v>
      </c>
      <c r="Z12" s="244">
        <f t="shared" si="7"/>
        <v>0.18</v>
      </c>
      <c r="AA12" s="244">
        <f t="shared" si="8"/>
        <v>0.34</v>
      </c>
      <c r="AB12" s="230" t="str">
        <f t="shared" si="4"/>
        <v/>
      </c>
      <c r="AC12" s="215" t="s">
        <v>206</v>
      </c>
      <c r="AD12" s="215" t="s">
        <v>206</v>
      </c>
      <c r="AF12" s="245"/>
      <c r="AG12" s="245"/>
      <c r="AI12" s="244"/>
      <c r="AJ12" s="244"/>
      <c r="AK12" s="244"/>
      <c r="AL12" s="244">
        <v>1</v>
      </c>
      <c r="AM12" s="244"/>
      <c r="AN12" s="244"/>
      <c r="AO12" s="244"/>
      <c r="AP12" s="244"/>
      <c r="AQ12" s="246" t="str">
        <f t="shared" si="5"/>
        <v/>
      </c>
      <c r="AR12" s="244">
        <f>(AR$9='Net connection capex (SCS)'!$R36)*1</f>
        <v>0</v>
      </c>
      <c r="AS12" s="244">
        <f>(AS$9='Net connection capex (SCS)'!$R36)*1</f>
        <v>1</v>
      </c>
      <c r="AT12" s="244">
        <f>(AT$9='Net connection capex (SCS)'!$R36)*1</f>
        <v>0</v>
      </c>
      <c r="AU12" s="244">
        <f>(AU$9='Net connection capex (SCS)'!$R36)*1</f>
        <v>0</v>
      </c>
      <c r="AV12" s="244">
        <f>(AV$9='Net connection capex (SCS)'!$R36)*1</f>
        <v>0</v>
      </c>
      <c r="AW12" s="244">
        <f>(AW$9='Net connection capex (SCS)'!$R36)*1</f>
        <v>0</v>
      </c>
      <c r="AX12" s="244">
        <f>(AX$9='Net connection capex (SCS)'!$R36)*1</f>
        <v>0</v>
      </c>
      <c r="AY12" s="244">
        <f>(AY$9='Net connection capex (SCS)'!$R36)*1</f>
        <v>0</v>
      </c>
      <c r="AZ12" s="244">
        <f>(AZ$9='Net connection capex (SCS)'!$R36)*1</f>
        <v>0</v>
      </c>
      <c r="BA12" s="244">
        <f>(BA$9='Net connection capex (SCS)'!$R36)*1</f>
        <v>0</v>
      </c>
      <c r="BB12" s="244">
        <f>(BB$9='Net connection capex (SCS)'!$R36)*1</f>
        <v>0</v>
      </c>
      <c r="BC12" s="244">
        <f>(BC$9='Net connection capex (SCS)'!$R36)*1</f>
        <v>0</v>
      </c>
      <c r="BD12" s="244">
        <f>(BD$9='Net connection capex (SCS)'!$R36)*1</f>
        <v>0</v>
      </c>
      <c r="BE12" s="244">
        <f>(BE$9='Net connection capex (SCS)'!$R36)*1</f>
        <v>0</v>
      </c>
      <c r="BF12" s="244">
        <f>(BF$9='Net connection capex (SCS)'!$R36)*1</f>
        <v>0</v>
      </c>
      <c r="BG12" s="244">
        <f>(BG$9='Net connection capex (SCS)'!$R36)*1</f>
        <v>0</v>
      </c>
      <c r="BH12" s="244">
        <f>(BH$9='Net connection capex (SCS)'!$R36)*1</f>
        <v>0</v>
      </c>
      <c r="BI12" s="244">
        <f>(BI$9='Net connection capex (SCS)'!$R36)*1</f>
        <v>0</v>
      </c>
      <c r="BJ12" s="244">
        <f>(BJ$9='Net connection capex (SCS)'!$R36)*1</f>
        <v>0</v>
      </c>
      <c r="BK12" s="244">
        <f>(BK$9='Net connection capex (SCS)'!$R36)*1</f>
        <v>0</v>
      </c>
      <c r="BL12" s="244">
        <f>(BL$9='Net connection capex (SCS)'!$R36)*1</f>
        <v>0</v>
      </c>
      <c r="BM12" s="244">
        <f>(BM$9='Net connection capex (SCS)'!$R36)*1</f>
        <v>0</v>
      </c>
      <c r="BN12" s="244">
        <f>(BN$9='Net connection capex (SCS)'!$R36)*1</f>
        <v>0</v>
      </c>
      <c r="BO12" s="244">
        <f>(BO$9='Net connection capex (SCS)'!$R36)*1</f>
        <v>0</v>
      </c>
      <c r="BP12" s="244">
        <f>(BP$9='Net connection capex (SCS)'!$R36)*1</f>
        <v>0</v>
      </c>
      <c r="BQ12" s="244">
        <f>(BQ$9='Net connection capex (SCS)'!$R36)*1</f>
        <v>0</v>
      </c>
      <c r="BR12" s="244">
        <f>(BR$9='Net connection capex (SCS)'!$R36)*1</f>
        <v>0</v>
      </c>
      <c r="BS12" s="244">
        <f>(BS$9='Net connection capex (SCS)'!$R36)*1</f>
        <v>0</v>
      </c>
      <c r="BT12" s="244">
        <f>(BT$9='Net connection capex (SCS)'!$R36)*1</f>
        <v>0</v>
      </c>
      <c r="BU12" s="244">
        <f>(BU$9='Net connection capex (SCS)'!$R36)*1</f>
        <v>0</v>
      </c>
      <c r="BV12" s="244">
        <f>(BV$9='Net connection capex (SCS)'!$R36)*1</f>
        <v>0</v>
      </c>
      <c r="BW12" s="244">
        <f>(BW$9='Net connection capex (SCS)'!$R36)*1</f>
        <v>0</v>
      </c>
      <c r="BX12" s="244">
        <f>(BX$9='Net connection capex (SCS)'!$R36)*1</f>
        <v>0</v>
      </c>
      <c r="BY12" s="244">
        <f>(BY$9='Net connection capex (SCS)'!$R36)*1</f>
        <v>0</v>
      </c>
      <c r="BZ12" s="244">
        <f>(BZ$9='Net connection capex (SCS)'!$R36)*1</f>
        <v>0</v>
      </c>
      <c r="CA12" s="244">
        <f>(CA$9='Net connection capex (SCS)'!$R36)*1</f>
        <v>0</v>
      </c>
      <c r="CB12" s="244">
        <f>(CB$9='Net connection capex (SCS)'!$R36)*1</f>
        <v>0</v>
      </c>
      <c r="CC12" s="244">
        <f>(CC$9='Net connection capex (SCS)'!$R36)*1</f>
        <v>0</v>
      </c>
      <c r="CD12" s="244">
        <f>(CD$9='Net connection capex (SCS)'!$R36)*1</f>
        <v>0</v>
      </c>
      <c r="CE12" s="244">
        <f>(CE$9='Net connection capex (SCS)'!$R36)*1</f>
        <v>0</v>
      </c>
      <c r="CF12" s="244">
        <f>(CF$9='Net connection capex (SCS)'!$R36)*1</f>
        <v>0</v>
      </c>
      <c r="CG12" s="244">
        <f>(CG$9='Net connection capex (SCS)'!$R36)*1</f>
        <v>0</v>
      </c>
      <c r="CH12" s="244">
        <f>(CH$9='Net connection capex (SCS)'!$R36)*1</f>
        <v>0</v>
      </c>
      <c r="CI12" s="244">
        <f>(CI$9='Net connection capex (SCS)'!$R36)*1</f>
        <v>0</v>
      </c>
      <c r="CJ12" s="244">
        <f>(CJ$9='Net connection capex (SCS)'!$R36)*1</f>
        <v>0</v>
      </c>
      <c r="CK12" s="244">
        <f>(CK$9='Net connection capex (SCS)'!$R36)*1</f>
        <v>0</v>
      </c>
      <c r="CL12" s="244">
        <f>(CL$9='Net connection capex (SCS)'!$R36)*1</f>
        <v>0</v>
      </c>
      <c r="CM12" s="244">
        <f>(CM$9='Net connection capex (SCS)'!$R36)*1</f>
        <v>0</v>
      </c>
      <c r="CN12" s="244">
        <f>(CN$9='Net connection capex (SCS)'!$R36)*1</f>
        <v>0</v>
      </c>
      <c r="CO12" s="244">
        <f>(CO$9='Net connection capex (SCS)'!$R36)*1</f>
        <v>0</v>
      </c>
      <c r="CP12" s="246" t="str">
        <f t="shared" si="6"/>
        <v/>
      </c>
      <c r="CR12" s="13">
        <f t="shared" si="9"/>
        <v>1</v>
      </c>
      <c r="CS12" s="230">
        <f>IF(CR12=0,0,IF(ISERROR(MATCH(D12,D$9:D11,0)),0,1))</f>
        <v>0</v>
      </c>
      <c r="CT12" s="247"/>
    </row>
    <row r="13" spans="1:98" ht="12.75" x14ac:dyDescent="0.35">
      <c r="B13" s="13">
        <f t="shared" si="3"/>
        <v>4</v>
      </c>
      <c r="C13" s="183" t="str">
        <f>'Net connection capex (SCS)'!$D$37&amp;" - "&amp;'Net connection capex (SCS)'!$E37</f>
        <v>COMMERCIAL/INDUSTRIAL - Simple connection LV</v>
      </c>
      <c r="D13" s="181" t="s">
        <v>276</v>
      </c>
      <c r="F13" s="215" t="s">
        <v>132</v>
      </c>
      <c r="G13" s="215" t="s">
        <v>254</v>
      </c>
      <c r="I13" s="168">
        <f>'Gross connection capex (SCS)'!J41*10^3*(1+'Gifted assets'!$P$63)</f>
        <v>205.01890612234774</v>
      </c>
      <c r="J13" s="168">
        <f>'Gross connection capex (SCS)'!K41*10^3*(1+'Gifted assets'!$P$63)</f>
        <v>209.87622484881803</v>
      </c>
      <c r="K13" s="168">
        <f>'Gross connection capex (SCS)'!L41*10^3*(1+'Gifted assets'!$P$63)</f>
        <v>133.34467510167809</v>
      </c>
      <c r="L13" s="168">
        <f>'Gross connection capex (SCS)'!M41*10^3*(1+'Gifted assets'!$P$63)</f>
        <v>137.24005278750209</v>
      </c>
      <c r="M13" s="168">
        <f>'Gross connection capex (SCS)'!N41*10^3*(1+'Gifted assets'!$P$63)</f>
        <v>141.23750833008623</v>
      </c>
      <c r="N13" s="168">
        <f>'Gross connection capex (SCS)'!O41*10^3*(1+'Gifted assets'!$P$63)</f>
        <v>145.3397652272877</v>
      </c>
      <c r="O13" s="168">
        <f>'Gross connection capex (SCS)'!P41*10^3*(1+'Gifted assets'!$P$63)</f>
        <v>149.54962075449706</v>
      </c>
      <c r="Q13" s="168">
        <f>'Capital contributions (SCS)'!J40*10^3*(1+'Gifted assets'!$P$63)</f>
        <v>100.14422575981303</v>
      </c>
      <c r="R13" s="168">
        <f>'Capital contributions (SCS)'!K40*10^3*(1+'Gifted assets'!$P$63)</f>
        <v>101.91895519615426</v>
      </c>
      <c r="S13" s="168">
        <f>'Capital contributions (SCS)'!L40*10^3*(1+'Gifted assets'!$P$63)</f>
        <v>22.224112516946352</v>
      </c>
      <c r="T13" s="168">
        <f>'Capital contributions (SCS)'!M40*10^3*(1+'Gifted assets'!$P$63)</f>
        <v>22.87334213125035</v>
      </c>
      <c r="U13" s="168">
        <f>'Capital contributions (SCS)'!N40*10^3*(1+'Gifted assets'!$P$63)</f>
        <v>23.539584721681042</v>
      </c>
      <c r="V13" s="168">
        <f>'Capital contributions (SCS)'!O40*10^3*(1+'Gifted assets'!$P$63)</f>
        <v>24.223294204547948</v>
      </c>
      <c r="W13" s="168">
        <f>'Capital contributions (SCS)'!P40*10^3*(1+'Gifted assets'!$P$63)</f>
        <v>24.924936792416176</v>
      </c>
      <c r="Y13" s="244">
        <f t="shared" si="10"/>
        <v>0.48</v>
      </c>
      <c r="Z13" s="244">
        <f t="shared" si="7"/>
        <v>0.18</v>
      </c>
      <c r="AA13" s="244">
        <f t="shared" si="8"/>
        <v>0.34</v>
      </c>
      <c r="AB13" s="230" t="str">
        <f t="shared" si="4"/>
        <v/>
      </c>
      <c r="AC13" s="215" t="s">
        <v>206</v>
      </c>
      <c r="AD13" s="215" t="s">
        <v>206</v>
      </c>
      <c r="AF13" s="245"/>
      <c r="AG13" s="245"/>
      <c r="AI13" s="244"/>
      <c r="AJ13" s="244"/>
      <c r="AK13" s="244"/>
      <c r="AL13" s="244">
        <v>1</v>
      </c>
      <c r="AM13" s="244"/>
      <c r="AN13" s="244"/>
      <c r="AO13" s="244"/>
      <c r="AP13" s="244"/>
      <c r="AQ13" s="246" t="str">
        <f t="shared" si="5"/>
        <v/>
      </c>
      <c r="AR13" s="244">
        <f>(AR$9='Net connection capex (SCS)'!$R37)*1</f>
        <v>0</v>
      </c>
      <c r="AS13" s="244">
        <f>(AS$9='Net connection capex (SCS)'!$R37)*1</f>
        <v>0</v>
      </c>
      <c r="AT13" s="244">
        <f>(AT$9='Net connection capex (SCS)'!$R37)*1</f>
        <v>0</v>
      </c>
      <c r="AU13" s="244">
        <f>(AU$9='Net connection capex (SCS)'!$R37)*1</f>
        <v>1</v>
      </c>
      <c r="AV13" s="244">
        <f>(AV$9='Net connection capex (SCS)'!$R37)*1</f>
        <v>0</v>
      </c>
      <c r="AW13" s="244">
        <f>(AW$9='Net connection capex (SCS)'!$R37)*1</f>
        <v>0</v>
      </c>
      <c r="AX13" s="244">
        <f>(AX$9='Net connection capex (SCS)'!$R37)*1</f>
        <v>0</v>
      </c>
      <c r="AY13" s="244">
        <f>(AY$9='Net connection capex (SCS)'!$R37)*1</f>
        <v>0</v>
      </c>
      <c r="AZ13" s="244">
        <f>(AZ$9='Net connection capex (SCS)'!$R37)*1</f>
        <v>0</v>
      </c>
      <c r="BA13" s="244">
        <f>(BA$9='Net connection capex (SCS)'!$R37)*1</f>
        <v>0</v>
      </c>
      <c r="BB13" s="244">
        <f>(BB$9='Net connection capex (SCS)'!$R37)*1</f>
        <v>0</v>
      </c>
      <c r="BC13" s="244">
        <f>(BC$9='Net connection capex (SCS)'!$R37)*1</f>
        <v>0</v>
      </c>
      <c r="BD13" s="244">
        <f>(BD$9='Net connection capex (SCS)'!$R37)*1</f>
        <v>0</v>
      </c>
      <c r="BE13" s="244">
        <f>(BE$9='Net connection capex (SCS)'!$R37)*1</f>
        <v>0</v>
      </c>
      <c r="BF13" s="244">
        <f>(BF$9='Net connection capex (SCS)'!$R37)*1</f>
        <v>0</v>
      </c>
      <c r="BG13" s="244">
        <f>(BG$9='Net connection capex (SCS)'!$R37)*1</f>
        <v>0</v>
      </c>
      <c r="BH13" s="244">
        <f>(BH$9='Net connection capex (SCS)'!$R37)*1</f>
        <v>0</v>
      </c>
      <c r="BI13" s="244">
        <f>(BI$9='Net connection capex (SCS)'!$R37)*1</f>
        <v>0</v>
      </c>
      <c r="BJ13" s="244">
        <f>(BJ$9='Net connection capex (SCS)'!$R37)*1</f>
        <v>0</v>
      </c>
      <c r="BK13" s="244">
        <f>(BK$9='Net connection capex (SCS)'!$R37)*1</f>
        <v>0</v>
      </c>
      <c r="BL13" s="244">
        <f>(BL$9='Net connection capex (SCS)'!$R37)*1</f>
        <v>0</v>
      </c>
      <c r="BM13" s="244">
        <f>(BM$9='Net connection capex (SCS)'!$R37)*1</f>
        <v>0</v>
      </c>
      <c r="BN13" s="244">
        <f>(BN$9='Net connection capex (SCS)'!$R37)*1</f>
        <v>0</v>
      </c>
      <c r="BO13" s="244">
        <f>(BO$9='Net connection capex (SCS)'!$R37)*1</f>
        <v>0</v>
      </c>
      <c r="BP13" s="244">
        <f>(BP$9='Net connection capex (SCS)'!$R37)*1</f>
        <v>0</v>
      </c>
      <c r="BQ13" s="244">
        <f>(BQ$9='Net connection capex (SCS)'!$R37)*1</f>
        <v>0</v>
      </c>
      <c r="BR13" s="244">
        <f>(BR$9='Net connection capex (SCS)'!$R37)*1</f>
        <v>0</v>
      </c>
      <c r="BS13" s="244">
        <f>(BS$9='Net connection capex (SCS)'!$R37)*1</f>
        <v>0</v>
      </c>
      <c r="BT13" s="244">
        <f>(BT$9='Net connection capex (SCS)'!$R37)*1</f>
        <v>0</v>
      </c>
      <c r="BU13" s="244">
        <f>(BU$9='Net connection capex (SCS)'!$R37)*1</f>
        <v>0</v>
      </c>
      <c r="BV13" s="244">
        <f>(BV$9='Net connection capex (SCS)'!$R37)*1</f>
        <v>0</v>
      </c>
      <c r="BW13" s="244">
        <f>(BW$9='Net connection capex (SCS)'!$R37)*1</f>
        <v>0</v>
      </c>
      <c r="BX13" s="244">
        <f>(BX$9='Net connection capex (SCS)'!$R37)*1</f>
        <v>0</v>
      </c>
      <c r="BY13" s="244">
        <f>(BY$9='Net connection capex (SCS)'!$R37)*1</f>
        <v>0</v>
      </c>
      <c r="BZ13" s="244">
        <f>(BZ$9='Net connection capex (SCS)'!$R37)*1</f>
        <v>0</v>
      </c>
      <c r="CA13" s="244">
        <f>(CA$9='Net connection capex (SCS)'!$R37)*1</f>
        <v>0</v>
      </c>
      <c r="CB13" s="244">
        <f>(CB$9='Net connection capex (SCS)'!$R37)*1</f>
        <v>0</v>
      </c>
      <c r="CC13" s="244">
        <f>(CC$9='Net connection capex (SCS)'!$R37)*1</f>
        <v>0</v>
      </c>
      <c r="CD13" s="244">
        <f>(CD$9='Net connection capex (SCS)'!$R37)*1</f>
        <v>0</v>
      </c>
      <c r="CE13" s="244">
        <f>(CE$9='Net connection capex (SCS)'!$R37)*1</f>
        <v>0</v>
      </c>
      <c r="CF13" s="244">
        <f>(CF$9='Net connection capex (SCS)'!$R37)*1</f>
        <v>0</v>
      </c>
      <c r="CG13" s="244">
        <f>(CG$9='Net connection capex (SCS)'!$R37)*1</f>
        <v>0</v>
      </c>
      <c r="CH13" s="244">
        <f>(CH$9='Net connection capex (SCS)'!$R37)*1</f>
        <v>0</v>
      </c>
      <c r="CI13" s="244">
        <f>(CI$9='Net connection capex (SCS)'!$R37)*1</f>
        <v>0</v>
      </c>
      <c r="CJ13" s="244">
        <f>(CJ$9='Net connection capex (SCS)'!$R37)*1</f>
        <v>0</v>
      </c>
      <c r="CK13" s="244">
        <f>(CK$9='Net connection capex (SCS)'!$R37)*1</f>
        <v>0</v>
      </c>
      <c r="CL13" s="244">
        <f>(CL$9='Net connection capex (SCS)'!$R37)*1</f>
        <v>0</v>
      </c>
      <c r="CM13" s="244">
        <f>(CM$9='Net connection capex (SCS)'!$R37)*1</f>
        <v>0</v>
      </c>
      <c r="CN13" s="244">
        <f>(CN$9='Net connection capex (SCS)'!$R37)*1</f>
        <v>0</v>
      </c>
      <c r="CO13" s="244">
        <f>(CO$9='Net connection capex (SCS)'!$R37)*1</f>
        <v>0</v>
      </c>
      <c r="CP13" s="246" t="str">
        <f t="shared" si="6"/>
        <v/>
      </c>
      <c r="CR13" s="13">
        <f t="shared" si="9"/>
        <v>1</v>
      </c>
      <c r="CS13" s="230">
        <f>IF(CR13=0,0,IF(ISERROR(MATCH(D13,D$9:D12,0)),0,1))</f>
        <v>0</v>
      </c>
      <c r="CT13" s="247"/>
    </row>
    <row r="14" spans="1:98" ht="12.75" x14ac:dyDescent="0.35">
      <c r="B14" s="13">
        <f t="shared" si="3"/>
        <v>5</v>
      </c>
      <c r="C14" s="183" t="str">
        <f>'Net connection capex (SCS)'!$D$37&amp;" - "&amp;'Net connection capex (SCS)'!$E38</f>
        <v>COMMERCIAL/INDUSTRIAL - Complex connection HV (customer connected at LV, minor HV works)</v>
      </c>
      <c r="D14" s="181" t="s">
        <v>277</v>
      </c>
      <c r="F14" s="215" t="s">
        <v>132</v>
      </c>
      <c r="G14" s="215" t="s">
        <v>254</v>
      </c>
      <c r="I14" s="168">
        <f>'Gross connection capex (SCS)'!J42*10^3*(1+'Gifted assets'!$P$63)</f>
        <v>2537.4593007337921</v>
      </c>
      <c r="J14" s="168">
        <f>'Gross connection capex (SCS)'!K42*10^3*(1+'Gifted assets'!$P$63)</f>
        <v>2442.5900380458356</v>
      </c>
      <c r="K14" s="168">
        <f>'Gross connection capex (SCS)'!L42*10^3*(1+'Gifted assets'!$P$63)</f>
        <v>0</v>
      </c>
      <c r="L14" s="168">
        <f>'Gross connection capex (SCS)'!M42*10^3*(1+'Gifted assets'!$P$63)</f>
        <v>0</v>
      </c>
      <c r="M14" s="168">
        <f>'Gross connection capex (SCS)'!N42*10^3*(1+'Gifted assets'!$P$63)</f>
        <v>0</v>
      </c>
      <c r="N14" s="168">
        <f>'Gross connection capex (SCS)'!O42*10^3*(1+'Gifted assets'!$P$63)</f>
        <v>0</v>
      </c>
      <c r="O14" s="168">
        <f>'Gross connection capex (SCS)'!P42*10^3*(1+'Gifted assets'!$P$63)</f>
        <v>0</v>
      </c>
      <c r="Q14" s="168">
        <f>'Capital contributions (SCS)'!J41*10^3*(1+'Gifted assets'!$P$63)</f>
        <v>1239.4559207987261</v>
      </c>
      <c r="R14" s="168">
        <f>'Capital contributions (SCS)'!K41*10^3*(1+'Gifted assets'!$P$63)</f>
        <v>1186.1573402584875</v>
      </c>
      <c r="S14" s="168">
        <f>'Capital contributions (SCS)'!L41*10^3*(1+'Gifted assets'!$P$63)</f>
        <v>0</v>
      </c>
      <c r="T14" s="168">
        <f>'Capital contributions (SCS)'!M41*10^3*(1+'Gifted assets'!$P$63)</f>
        <v>0</v>
      </c>
      <c r="U14" s="168">
        <f>'Capital contributions (SCS)'!N41*10^3*(1+'Gifted assets'!$P$63)</f>
        <v>0</v>
      </c>
      <c r="V14" s="168">
        <f>'Capital contributions (SCS)'!O41*10^3*(1+'Gifted assets'!$P$63)</f>
        <v>0</v>
      </c>
      <c r="W14" s="168">
        <f>'Capital contributions (SCS)'!P41*10^3*(1+'Gifted assets'!$P$63)</f>
        <v>0</v>
      </c>
      <c r="Y14" s="244">
        <f t="shared" si="10"/>
        <v>0.48</v>
      </c>
      <c r="Z14" s="244">
        <f t="shared" si="7"/>
        <v>0.18</v>
      </c>
      <c r="AA14" s="244">
        <f t="shared" si="8"/>
        <v>0.34</v>
      </c>
      <c r="AB14" s="230" t="str">
        <f t="shared" si="4"/>
        <v/>
      </c>
      <c r="AC14" s="215" t="s">
        <v>206</v>
      </c>
      <c r="AD14" s="215" t="s">
        <v>206</v>
      </c>
      <c r="AF14" s="245"/>
      <c r="AG14" s="245"/>
      <c r="AI14" s="244"/>
      <c r="AJ14" s="244"/>
      <c r="AK14" s="244"/>
      <c r="AL14" s="244">
        <v>1</v>
      </c>
      <c r="AM14" s="244"/>
      <c r="AN14" s="244"/>
      <c r="AO14" s="244"/>
      <c r="AP14" s="244"/>
      <c r="AQ14" s="246" t="str">
        <f t="shared" si="5"/>
        <v/>
      </c>
      <c r="AR14" s="244">
        <f>(AR$9='Net connection capex (SCS)'!$R38)*1</f>
        <v>0</v>
      </c>
      <c r="AS14" s="244">
        <f>(AS$9='Net connection capex (SCS)'!$R38)*1</f>
        <v>1</v>
      </c>
      <c r="AT14" s="244">
        <f>(AT$9='Net connection capex (SCS)'!$R38)*1</f>
        <v>0</v>
      </c>
      <c r="AU14" s="244">
        <f>(AU$9='Net connection capex (SCS)'!$R38)*1</f>
        <v>0</v>
      </c>
      <c r="AV14" s="244">
        <f>(AV$9='Net connection capex (SCS)'!$R38)*1</f>
        <v>0</v>
      </c>
      <c r="AW14" s="244">
        <f>(AW$9='Net connection capex (SCS)'!$R38)*1</f>
        <v>0</v>
      </c>
      <c r="AX14" s="244">
        <f>(AX$9='Net connection capex (SCS)'!$R38)*1</f>
        <v>0</v>
      </c>
      <c r="AY14" s="244">
        <f>(AY$9='Net connection capex (SCS)'!$R38)*1</f>
        <v>0</v>
      </c>
      <c r="AZ14" s="244">
        <f>(AZ$9='Net connection capex (SCS)'!$R38)*1</f>
        <v>0</v>
      </c>
      <c r="BA14" s="244">
        <f>(BA$9='Net connection capex (SCS)'!$R38)*1</f>
        <v>0</v>
      </c>
      <c r="BB14" s="244">
        <f>(BB$9='Net connection capex (SCS)'!$R38)*1</f>
        <v>0</v>
      </c>
      <c r="BC14" s="244">
        <f>(BC$9='Net connection capex (SCS)'!$R38)*1</f>
        <v>0</v>
      </c>
      <c r="BD14" s="244">
        <f>(BD$9='Net connection capex (SCS)'!$R38)*1</f>
        <v>0</v>
      </c>
      <c r="BE14" s="244">
        <f>(BE$9='Net connection capex (SCS)'!$R38)*1</f>
        <v>0</v>
      </c>
      <c r="BF14" s="244">
        <f>(BF$9='Net connection capex (SCS)'!$R38)*1</f>
        <v>0</v>
      </c>
      <c r="BG14" s="244">
        <f>(BG$9='Net connection capex (SCS)'!$R38)*1</f>
        <v>0</v>
      </c>
      <c r="BH14" s="244">
        <f>(BH$9='Net connection capex (SCS)'!$R38)*1</f>
        <v>0</v>
      </c>
      <c r="BI14" s="244">
        <f>(BI$9='Net connection capex (SCS)'!$R38)*1</f>
        <v>0</v>
      </c>
      <c r="BJ14" s="244">
        <f>(BJ$9='Net connection capex (SCS)'!$R38)*1</f>
        <v>0</v>
      </c>
      <c r="BK14" s="244">
        <f>(BK$9='Net connection capex (SCS)'!$R38)*1</f>
        <v>0</v>
      </c>
      <c r="BL14" s="244">
        <f>(BL$9='Net connection capex (SCS)'!$R38)*1</f>
        <v>0</v>
      </c>
      <c r="BM14" s="244">
        <f>(BM$9='Net connection capex (SCS)'!$R38)*1</f>
        <v>0</v>
      </c>
      <c r="BN14" s="244">
        <f>(BN$9='Net connection capex (SCS)'!$R38)*1</f>
        <v>0</v>
      </c>
      <c r="BO14" s="244">
        <f>(BO$9='Net connection capex (SCS)'!$R38)*1</f>
        <v>0</v>
      </c>
      <c r="BP14" s="244">
        <f>(BP$9='Net connection capex (SCS)'!$R38)*1</f>
        <v>0</v>
      </c>
      <c r="BQ14" s="244">
        <f>(BQ$9='Net connection capex (SCS)'!$R38)*1</f>
        <v>0</v>
      </c>
      <c r="BR14" s="244">
        <f>(BR$9='Net connection capex (SCS)'!$R38)*1</f>
        <v>0</v>
      </c>
      <c r="BS14" s="244">
        <f>(BS$9='Net connection capex (SCS)'!$R38)*1</f>
        <v>0</v>
      </c>
      <c r="BT14" s="244">
        <f>(BT$9='Net connection capex (SCS)'!$R38)*1</f>
        <v>0</v>
      </c>
      <c r="BU14" s="244">
        <f>(BU$9='Net connection capex (SCS)'!$R38)*1</f>
        <v>0</v>
      </c>
      <c r="BV14" s="244">
        <f>(BV$9='Net connection capex (SCS)'!$R38)*1</f>
        <v>0</v>
      </c>
      <c r="BW14" s="244">
        <f>(BW$9='Net connection capex (SCS)'!$R38)*1</f>
        <v>0</v>
      </c>
      <c r="BX14" s="244">
        <f>(BX$9='Net connection capex (SCS)'!$R38)*1</f>
        <v>0</v>
      </c>
      <c r="BY14" s="244">
        <f>(BY$9='Net connection capex (SCS)'!$R38)*1</f>
        <v>0</v>
      </c>
      <c r="BZ14" s="244">
        <f>(BZ$9='Net connection capex (SCS)'!$R38)*1</f>
        <v>0</v>
      </c>
      <c r="CA14" s="244">
        <f>(CA$9='Net connection capex (SCS)'!$R38)*1</f>
        <v>0</v>
      </c>
      <c r="CB14" s="244">
        <f>(CB$9='Net connection capex (SCS)'!$R38)*1</f>
        <v>0</v>
      </c>
      <c r="CC14" s="244">
        <f>(CC$9='Net connection capex (SCS)'!$R38)*1</f>
        <v>0</v>
      </c>
      <c r="CD14" s="244">
        <f>(CD$9='Net connection capex (SCS)'!$R38)*1</f>
        <v>0</v>
      </c>
      <c r="CE14" s="244">
        <f>(CE$9='Net connection capex (SCS)'!$R38)*1</f>
        <v>0</v>
      </c>
      <c r="CF14" s="244">
        <f>(CF$9='Net connection capex (SCS)'!$R38)*1</f>
        <v>0</v>
      </c>
      <c r="CG14" s="244">
        <f>(CG$9='Net connection capex (SCS)'!$R38)*1</f>
        <v>0</v>
      </c>
      <c r="CH14" s="244">
        <f>(CH$9='Net connection capex (SCS)'!$R38)*1</f>
        <v>0</v>
      </c>
      <c r="CI14" s="244">
        <f>(CI$9='Net connection capex (SCS)'!$R38)*1</f>
        <v>0</v>
      </c>
      <c r="CJ14" s="244">
        <f>(CJ$9='Net connection capex (SCS)'!$R38)*1</f>
        <v>0</v>
      </c>
      <c r="CK14" s="244">
        <f>(CK$9='Net connection capex (SCS)'!$R38)*1</f>
        <v>0</v>
      </c>
      <c r="CL14" s="244">
        <f>(CL$9='Net connection capex (SCS)'!$R38)*1</f>
        <v>0</v>
      </c>
      <c r="CM14" s="244">
        <f>(CM$9='Net connection capex (SCS)'!$R38)*1</f>
        <v>0</v>
      </c>
      <c r="CN14" s="244">
        <f>(CN$9='Net connection capex (SCS)'!$R38)*1</f>
        <v>0</v>
      </c>
      <c r="CO14" s="244">
        <f>(CO$9='Net connection capex (SCS)'!$R38)*1</f>
        <v>0</v>
      </c>
      <c r="CP14" s="246" t="str">
        <f t="shared" si="6"/>
        <v/>
      </c>
      <c r="CR14" s="13">
        <f t="shared" si="9"/>
        <v>1</v>
      </c>
      <c r="CS14" s="230">
        <f>IF(CR14=0,0,IF(ISERROR(MATCH(D14,D$9:D13,0)),0,1))</f>
        <v>0</v>
      </c>
      <c r="CT14" s="247"/>
    </row>
    <row r="15" spans="1:98" ht="12.75" x14ac:dyDescent="0.35">
      <c r="B15" s="13">
        <f t="shared" si="3"/>
        <v>6</v>
      </c>
      <c r="C15" s="183" t="str">
        <f>'Net connection capex (SCS)'!$D$37&amp;" - "&amp;'Net connection capex (SCS)'!$E39</f>
        <v>COMMERCIAL/INDUSTRIAL - Complex connection HV (customer connected at LV, upstream asset works)</v>
      </c>
      <c r="D15" s="181" t="s">
        <v>278</v>
      </c>
      <c r="F15" s="215" t="s">
        <v>132</v>
      </c>
      <c r="G15" s="215" t="s">
        <v>254</v>
      </c>
      <c r="I15" s="168">
        <f>'Gross connection capex (SCS)'!J43*10^3*(1+'Gifted assets'!$P$63)</f>
        <v>530.59087833109561</v>
      </c>
      <c r="J15" s="168">
        <f>'Gross connection capex (SCS)'!K43*10^3*(1+'Gifted assets'!$P$63)</f>
        <v>526.21768063694253</v>
      </c>
      <c r="K15" s="168">
        <f>'Gross connection capex (SCS)'!L43*10^3*(1+'Gifted assets'!$P$63)</f>
        <v>0</v>
      </c>
      <c r="L15" s="168">
        <f>'Gross connection capex (SCS)'!M43*10^3*(1+'Gifted assets'!$P$63)</f>
        <v>0</v>
      </c>
      <c r="M15" s="168">
        <f>'Gross connection capex (SCS)'!N43*10^3*(1+'Gifted assets'!$P$63)</f>
        <v>0</v>
      </c>
      <c r="N15" s="168">
        <f>'Gross connection capex (SCS)'!O43*10^3*(1+'Gifted assets'!$P$63)</f>
        <v>0</v>
      </c>
      <c r="O15" s="168">
        <f>'Gross connection capex (SCS)'!P43*10^3*(1+'Gifted assets'!$P$63)</f>
        <v>0</v>
      </c>
      <c r="Q15" s="168">
        <f>'Capital contributions (SCS)'!J42*10^3*(1+'Gifted assets'!$P$63)</f>
        <v>259.17420842142894</v>
      </c>
      <c r="R15" s="168">
        <f>'Capital contributions (SCS)'!K42*10^3*(1+'Gifted assets'!$P$63)</f>
        <v>255.5389790096217</v>
      </c>
      <c r="S15" s="168">
        <f>'Capital contributions (SCS)'!L42*10^3*(1+'Gifted assets'!$P$63)</f>
        <v>0</v>
      </c>
      <c r="T15" s="168">
        <f>'Capital contributions (SCS)'!M42*10^3*(1+'Gifted assets'!$P$63)</f>
        <v>0</v>
      </c>
      <c r="U15" s="168">
        <f>'Capital contributions (SCS)'!N42*10^3*(1+'Gifted assets'!$P$63)</f>
        <v>0</v>
      </c>
      <c r="V15" s="168">
        <f>'Capital contributions (SCS)'!O42*10^3*(1+'Gifted assets'!$P$63)</f>
        <v>0</v>
      </c>
      <c r="W15" s="168">
        <f>'Capital contributions (SCS)'!P42*10^3*(1+'Gifted assets'!$P$63)</f>
        <v>0</v>
      </c>
      <c r="Y15" s="244">
        <f t="shared" si="10"/>
        <v>0.48</v>
      </c>
      <c r="Z15" s="244">
        <f t="shared" si="7"/>
        <v>0.18</v>
      </c>
      <c r="AA15" s="244">
        <f t="shared" si="8"/>
        <v>0.34</v>
      </c>
      <c r="AB15" s="230" t="str">
        <f t="shared" si="4"/>
        <v/>
      </c>
      <c r="AC15" s="215" t="s">
        <v>206</v>
      </c>
      <c r="AD15" s="215" t="s">
        <v>206</v>
      </c>
      <c r="AF15" s="245"/>
      <c r="AG15" s="245"/>
      <c r="AI15" s="244"/>
      <c r="AJ15" s="244"/>
      <c r="AK15" s="244"/>
      <c r="AL15" s="244">
        <v>1</v>
      </c>
      <c r="AM15" s="244"/>
      <c r="AN15" s="244"/>
      <c r="AO15" s="244"/>
      <c r="AP15" s="244"/>
      <c r="AQ15" s="246" t="str">
        <f t="shared" si="5"/>
        <v/>
      </c>
      <c r="AR15" s="244">
        <f>(AR$9='Net connection capex (SCS)'!$R39)*1</f>
        <v>0</v>
      </c>
      <c r="AS15" s="244">
        <f>(AS$9='Net connection capex (SCS)'!$R39)*1</f>
        <v>1</v>
      </c>
      <c r="AT15" s="244">
        <f>(AT$9='Net connection capex (SCS)'!$R39)*1</f>
        <v>0</v>
      </c>
      <c r="AU15" s="244">
        <f>(AU$9='Net connection capex (SCS)'!$R39)*1</f>
        <v>0</v>
      </c>
      <c r="AV15" s="244">
        <f>(AV$9='Net connection capex (SCS)'!$R39)*1</f>
        <v>0</v>
      </c>
      <c r="AW15" s="244">
        <f>(AW$9='Net connection capex (SCS)'!$R39)*1</f>
        <v>0</v>
      </c>
      <c r="AX15" s="244">
        <f>(AX$9='Net connection capex (SCS)'!$R39)*1</f>
        <v>0</v>
      </c>
      <c r="AY15" s="244">
        <f>(AY$9='Net connection capex (SCS)'!$R39)*1</f>
        <v>0</v>
      </c>
      <c r="AZ15" s="244">
        <f>(AZ$9='Net connection capex (SCS)'!$R39)*1</f>
        <v>0</v>
      </c>
      <c r="BA15" s="244">
        <f>(BA$9='Net connection capex (SCS)'!$R39)*1</f>
        <v>0</v>
      </c>
      <c r="BB15" s="244">
        <f>(BB$9='Net connection capex (SCS)'!$R39)*1</f>
        <v>0</v>
      </c>
      <c r="BC15" s="244">
        <f>(BC$9='Net connection capex (SCS)'!$R39)*1</f>
        <v>0</v>
      </c>
      <c r="BD15" s="244">
        <f>(BD$9='Net connection capex (SCS)'!$R39)*1</f>
        <v>0</v>
      </c>
      <c r="BE15" s="244">
        <f>(BE$9='Net connection capex (SCS)'!$R39)*1</f>
        <v>0</v>
      </c>
      <c r="BF15" s="244">
        <f>(BF$9='Net connection capex (SCS)'!$R39)*1</f>
        <v>0</v>
      </c>
      <c r="BG15" s="244">
        <f>(BG$9='Net connection capex (SCS)'!$R39)*1</f>
        <v>0</v>
      </c>
      <c r="BH15" s="244">
        <f>(BH$9='Net connection capex (SCS)'!$R39)*1</f>
        <v>0</v>
      </c>
      <c r="BI15" s="244">
        <f>(BI$9='Net connection capex (SCS)'!$R39)*1</f>
        <v>0</v>
      </c>
      <c r="BJ15" s="244">
        <f>(BJ$9='Net connection capex (SCS)'!$R39)*1</f>
        <v>0</v>
      </c>
      <c r="BK15" s="244">
        <f>(BK$9='Net connection capex (SCS)'!$R39)*1</f>
        <v>0</v>
      </c>
      <c r="BL15" s="244">
        <f>(BL$9='Net connection capex (SCS)'!$R39)*1</f>
        <v>0</v>
      </c>
      <c r="BM15" s="244">
        <f>(BM$9='Net connection capex (SCS)'!$R39)*1</f>
        <v>0</v>
      </c>
      <c r="BN15" s="244">
        <f>(BN$9='Net connection capex (SCS)'!$R39)*1</f>
        <v>0</v>
      </c>
      <c r="BO15" s="244">
        <f>(BO$9='Net connection capex (SCS)'!$R39)*1</f>
        <v>0</v>
      </c>
      <c r="BP15" s="244">
        <f>(BP$9='Net connection capex (SCS)'!$R39)*1</f>
        <v>0</v>
      </c>
      <c r="BQ15" s="244">
        <f>(BQ$9='Net connection capex (SCS)'!$R39)*1</f>
        <v>0</v>
      </c>
      <c r="BR15" s="244">
        <f>(BR$9='Net connection capex (SCS)'!$R39)*1</f>
        <v>0</v>
      </c>
      <c r="BS15" s="244">
        <f>(BS$9='Net connection capex (SCS)'!$R39)*1</f>
        <v>0</v>
      </c>
      <c r="BT15" s="244">
        <f>(BT$9='Net connection capex (SCS)'!$R39)*1</f>
        <v>0</v>
      </c>
      <c r="BU15" s="244">
        <f>(BU$9='Net connection capex (SCS)'!$R39)*1</f>
        <v>0</v>
      </c>
      <c r="BV15" s="244">
        <f>(BV$9='Net connection capex (SCS)'!$R39)*1</f>
        <v>0</v>
      </c>
      <c r="BW15" s="244">
        <f>(BW$9='Net connection capex (SCS)'!$R39)*1</f>
        <v>0</v>
      </c>
      <c r="BX15" s="244">
        <f>(BX$9='Net connection capex (SCS)'!$R39)*1</f>
        <v>0</v>
      </c>
      <c r="BY15" s="244">
        <f>(BY$9='Net connection capex (SCS)'!$R39)*1</f>
        <v>0</v>
      </c>
      <c r="BZ15" s="244">
        <f>(BZ$9='Net connection capex (SCS)'!$R39)*1</f>
        <v>0</v>
      </c>
      <c r="CA15" s="244">
        <f>(CA$9='Net connection capex (SCS)'!$R39)*1</f>
        <v>0</v>
      </c>
      <c r="CB15" s="244">
        <f>(CB$9='Net connection capex (SCS)'!$R39)*1</f>
        <v>0</v>
      </c>
      <c r="CC15" s="244">
        <f>(CC$9='Net connection capex (SCS)'!$R39)*1</f>
        <v>0</v>
      </c>
      <c r="CD15" s="244">
        <f>(CD$9='Net connection capex (SCS)'!$R39)*1</f>
        <v>0</v>
      </c>
      <c r="CE15" s="244">
        <f>(CE$9='Net connection capex (SCS)'!$R39)*1</f>
        <v>0</v>
      </c>
      <c r="CF15" s="244">
        <f>(CF$9='Net connection capex (SCS)'!$R39)*1</f>
        <v>0</v>
      </c>
      <c r="CG15" s="244">
        <f>(CG$9='Net connection capex (SCS)'!$R39)*1</f>
        <v>0</v>
      </c>
      <c r="CH15" s="244">
        <f>(CH$9='Net connection capex (SCS)'!$R39)*1</f>
        <v>0</v>
      </c>
      <c r="CI15" s="244">
        <f>(CI$9='Net connection capex (SCS)'!$R39)*1</f>
        <v>0</v>
      </c>
      <c r="CJ15" s="244">
        <f>(CJ$9='Net connection capex (SCS)'!$R39)*1</f>
        <v>0</v>
      </c>
      <c r="CK15" s="244">
        <f>(CK$9='Net connection capex (SCS)'!$R39)*1</f>
        <v>0</v>
      </c>
      <c r="CL15" s="244">
        <f>(CL$9='Net connection capex (SCS)'!$R39)*1</f>
        <v>0</v>
      </c>
      <c r="CM15" s="244">
        <f>(CM$9='Net connection capex (SCS)'!$R39)*1</f>
        <v>0</v>
      </c>
      <c r="CN15" s="244">
        <f>(CN$9='Net connection capex (SCS)'!$R39)*1</f>
        <v>0</v>
      </c>
      <c r="CO15" s="244">
        <f>(CO$9='Net connection capex (SCS)'!$R39)*1</f>
        <v>0</v>
      </c>
      <c r="CP15" s="246" t="str">
        <f t="shared" si="6"/>
        <v/>
      </c>
      <c r="CR15" s="13">
        <f t="shared" si="9"/>
        <v>1</v>
      </c>
      <c r="CS15" s="230">
        <f>IF(CR15=0,0,IF(ISERROR(MATCH(D15,D$9:D14,0)),0,1))</f>
        <v>0</v>
      </c>
      <c r="CT15" s="247"/>
    </row>
    <row r="16" spans="1:98" ht="12.75" x14ac:dyDescent="0.35">
      <c r="B16" s="13">
        <f t="shared" si="3"/>
        <v>7</v>
      </c>
      <c r="C16" s="183" t="str">
        <f>'Net connection capex (SCS)'!$D$37&amp;" - "&amp;'Net connection capex (SCS)'!$E40</f>
        <v>COMMERCIAL/INDUSTRIAL - Complex connection HV (customer connected at HV)</v>
      </c>
      <c r="D16" s="181" t="s">
        <v>279</v>
      </c>
      <c r="F16" s="215" t="s">
        <v>132</v>
      </c>
      <c r="G16" s="215" t="s">
        <v>254</v>
      </c>
      <c r="I16" s="168">
        <f>'Gross connection capex (SCS)'!J44*10^3*(1+'Gifted assets'!$P$63)</f>
        <v>1142.6180238019381</v>
      </c>
      <c r="J16" s="168">
        <f>'Gross connection capex (SCS)'!K44*10^3*(1+'Gifted assets'!$P$63)</f>
        <v>1305.9409903455451</v>
      </c>
      <c r="K16" s="168">
        <f>'Gross connection capex (SCS)'!L44*10^3*(1+'Gifted assets'!$P$63)</f>
        <v>0</v>
      </c>
      <c r="L16" s="168">
        <f>'Gross connection capex (SCS)'!M44*10^3*(1+'Gifted assets'!$P$63)</f>
        <v>0</v>
      </c>
      <c r="M16" s="168">
        <f>'Gross connection capex (SCS)'!N44*10^3*(1+'Gifted assets'!$P$63)</f>
        <v>0</v>
      </c>
      <c r="N16" s="168">
        <f>'Gross connection capex (SCS)'!O44*10^3*(1+'Gifted assets'!$P$63)</f>
        <v>0</v>
      </c>
      <c r="O16" s="168">
        <f>'Gross connection capex (SCS)'!P44*10^3*(1+'Gifted assets'!$P$63)</f>
        <v>0</v>
      </c>
      <c r="Q16" s="168">
        <f>'Capital contributions (SCS)'!J43*10^3*(1+'Gifted assets'!$P$63)</f>
        <v>558.12705031489679</v>
      </c>
      <c r="R16" s="168">
        <f>'Capital contributions (SCS)'!K43*10^3*(1+'Gifted assets'!$P$63)</f>
        <v>634.18398810883014</v>
      </c>
      <c r="S16" s="168">
        <f>'Capital contributions (SCS)'!L43*10^3*(1+'Gifted assets'!$P$63)</f>
        <v>0</v>
      </c>
      <c r="T16" s="168">
        <f>'Capital contributions (SCS)'!M43*10^3*(1+'Gifted assets'!$P$63)</f>
        <v>0</v>
      </c>
      <c r="U16" s="168">
        <f>'Capital contributions (SCS)'!N43*10^3*(1+'Gifted assets'!$P$63)</f>
        <v>0</v>
      </c>
      <c r="V16" s="168">
        <f>'Capital contributions (SCS)'!O43*10^3*(1+'Gifted assets'!$P$63)</f>
        <v>0</v>
      </c>
      <c r="W16" s="168">
        <f>'Capital contributions (SCS)'!P43*10^3*(1+'Gifted assets'!$P$63)</f>
        <v>0</v>
      </c>
      <c r="Y16" s="244">
        <f t="shared" si="10"/>
        <v>0.48</v>
      </c>
      <c r="Z16" s="244">
        <f t="shared" si="7"/>
        <v>0.18</v>
      </c>
      <c r="AA16" s="244">
        <f t="shared" si="8"/>
        <v>0.34</v>
      </c>
      <c r="AB16" s="230" t="str">
        <f t="shared" si="4"/>
        <v/>
      </c>
      <c r="AC16" s="215" t="s">
        <v>206</v>
      </c>
      <c r="AD16" s="215" t="s">
        <v>206</v>
      </c>
      <c r="AF16" s="245"/>
      <c r="AG16" s="245"/>
      <c r="AI16" s="244"/>
      <c r="AJ16" s="244"/>
      <c r="AK16" s="244"/>
      <c r="AL16" s="244">
        <v>1</v>
      </c>
      <c r="AM16" s="244"/>
      <c r="AN16" s="244"/>
      <c r="AO16" s="244"/>
      <c r="AP16" s="244"/>
      <c r="AQ16" s="246" t="str">
        <f t="shared" si="5"/>
        <v/>
      </c>
      <c r="AR16" s="244">
        <f>(AR$9='Net connection capex (SCS)'!$R40)*1</f>
        <v>0</v>
      </c>
      <c r="AS16" s="244">
        <f>(AS$9='Net connection capex (SCS)'!$R40)*1</f>
        <v>1</v>
      </c>
      <c r="AT16" s="244">
        <f>(AT$9='Net connection capex (SCS)'!$R40)*1</f>
        <v>0</v>
      </c>
      <c r="AU16" s="244">
        <f>(AU$9='Net connection capex (SCS)'!$R40)*1</f>
        <v>0</v>
      </c>
      <c r="AV16" s="244">
        <f>(AV$9='Net connection capex (SCS)'!$R40)*1</f>
        <v>0</v>
      </c>
      <c r="AW16" s="244">
        <f>(AW$9='Net connection capex (SCS)'!$R40)*1</f>
        <v>0</v>
      </c>
      <c r="AX16" s="244">
        <f>(AX$9='Net connection capex (SCS)'!$R40)*1</f>
        <v>0</v>
      </c>
      <c r="AY16" s="244">
        <f>(AY$9='Net connection capex (SCS)'!$R40)*1</f>
        <v>0</v>
      </c>
      <c r="AZ16" s="244">
        <f>(AZ$9='Net connection capex (SCS)'!$R40)*1</f>
        <v>0</v>
      </c>
      <c r="BA16" s="244">
        <f>(BA$9='Net connection capex (SCS)'!$R40)*1</f>
        <v>0</v>
      </c>
      <c r="BB16" s="244">
        <f>(BB$9='Net connection capex (SCS)'!$R40)*1</f>
        <v>0</v>
      </c>
      <c r="BC16" s="244">
        <f>(BC$9='Net connection capex (SCS)'!$R40)*1</f>
        <v>0</v>
      </c>
      <c r="BD16" s="244">
        <f>(BD$9='Net connection capex (SCS)'!$R40)*1</f>
        <v>0</v>
      </c>
      <c r="BE16" s="244">
        <f>(BE$9='Net connection capex (SCS)'!$R40)*1</f>
        <v>0</v>
      </c>
      <c r="BF16" s="244">
        <f>(BF$9='Net connection capex (SCS)'!$R40)*1</f>
        <v>0</v>
      </c>
      <c r="BG16" s="244">
        <f>(BG$9='Net connection capex (SCS)'!$R40)*1</f>
        <v>0</v>
      </c>
      <c r="BH16" s="244">
        <f>(BH$9='Net connection capex (SCS)'!$R40)*1</f>
        <v>0</v>
      </c>
      <c r="BI16" s="244">
        <f>(BI$9='Net connection capex (SCS)'!$R40)*1</f>
        <v>0</v>
      </c>
      <c r="BJ16" s="244">
        <f>(BJ$9='Net connection capex (SCS)'!$R40)*1</f>
        <v>0</v>
      </c>
      <c r="BK16" s="244">
        <f>(BK$9='Net connection capex (SCS)'!$R40)*1</f>
        <v>0</v>
      </c>
      <c r="BL16" s="244">
        <f>(BL$9='Net connection capex (SCS)'!$R40)*1</f>
        <v>0</v>
      </c>
      <c r="BM16" s="244">
        <f>(BM$9='Net connection capex (SCS)'!$R40)*1</f>
        <v>0</v>
      </c>
      <c r="BN16" s="244">
        <f>(BN$9='Net connection capex (SCS)'!$R40)*1</f>
        <v>0</v>
      </c>
      <c r="BO16" s="244">
        <f>(BO$9='Net connection capex (SCS)'!$R40)*1</f>
        <v>0</v>
      </c>
      <c r="BP16" s="244">
        <f>(BP$9='Net connection capex (SCS)'!$R40)*1</f>
        <v>0</v>
      </c>
      <c r="BQ16" s="244">
        <f>(BQ$9='Net connection capex (SCS)'!$R40)*1</f>
        <v>0</v>
      </c>
      <c r="BR16" s="244">
        <f>(BR$9='Net connection capex (SCS)'!$R40)*1</f>
        <v>0</v>
      </c>
      <c r="BS16" s="244">
        <f>(BS$9='Net connection capex (SCS)'!$R40)*1</f>
        <v>0</v>
      </c>
      <c r="BT16" s="244">
        <f>(BT$9='Net connection capex (SCS)'!$R40)*1</f>
        <v>0</v>
      </c>
      <c r="BU16" s="244">
        <f>(BU$9='Net connection capex (SCS)'!$R40)*1</f>
        <v>0</v>
      </c>
      <c r="BV16" s="244">
        <f>(BV$9='Net connection capex (SCS)'!$R40)*1</f>
        <v>0</v>
      </c>
      <c r="BW16" s="244">
        <f>(BW$9='Net connection capex (SCS)'!$R40)*1</f>
        <v>0</v>
      </c>
      <c r="BX16" s="244">
        <f>(BX$9='Net connection capex (SCS)'!$R40)*1</f>
        <v>0</v>
      </c>
      <c r="BY16" s="244">
        <f>(BY$9='Net connection capex (SCS)'!$R40)*1</f>
        <v>0</v>
      </c>
      <c r="BZ16" s="244">
        <f>(BZ$9='Net connection capex (SCS)'!$R40)*1</f>
        <v>0</v>
      </c>
      <c r="CA16" s="244">
        <f>(CA$9='Net connection capex (SCS)'!$R40)*1</f>
        <v>0</v>
      </c>
      <c r="CB16" s="244">
        <f>(CB$9='Net connection capex (SCS)'!$R40)*1</f>
        <v>0</v>
      </c>
      <c r="CC16" s="244">
        <f>(CC$9='Net connection capex (SCS)'!$R40)*1</f>
        <v>0</v>
      </c>
      <c r="CD16" s="244">
        <f>(CD$9='Net connection capex (SCS)'!$R40)*1</f>
        <v>0</v>
      </c>
      <c r="CE16" s="244">
        <f>(CE$9='Net connection capex (SCS)'!$R40)*1</f>
        <v>0</v>
      </c>
      <c r="CF16" s="244">
        <f>(CF$9='Net connection capex (SCS)'!$R40)*1</f>
        <v>0</v>
      </c>
      <c r="CG16" s="244">
        <f>(CG$9='Net connection capex (SCS)'!$R40)*1</f>
        <v>0</v>
      </c>
      <c r="CH16" s="244">
        <f>(CH$9='Net connection capex (SCS)'!$R40)*1</f>
        <v>0</v>
      </c>
      <c r="CI16" s="244">
        <f>(CI$9='Net connection capex (SCS)'!$R40)*1</f>
        <v>0</v>
      </c>
      <c r="CJ16" s="244">
        <f>(CJ$9='Net connection capex (SCS)'!$R40)*1</f>
        <v>0</v>
      </c>
      <c r="CK16" s="244">
        <f>(CK$9='Net connection capex (SCS)'!$R40)*1</f>
        <v>0</v>
      </c>
      <c r="CL16" s="244">
        <f>(CL$9='Net connection capex (SCS)'!$R40)*1</f>
        <v>0</v>
      </c>
      <c r="CM16" s="244">
        <f>(CM$9='Net connection capex (SCS)'!$R40)*1</f>
        <v>0</v>
      </c>
      <c r="CN16" s="244">
        <f>(CN$9='Net connection capex (SCS)'!$R40)*1</f>
        <v>0</v>
      </c>
      <c r="CO16" s="244">
        <f>(CO$9='Net connection capex (SCS)'!$R40)*1</f>
        <v>0</v>
      </c>
      <c r="CP16" s="246" t="str">
        <f t="shared" si="6"/>
        <v/>
      </c>
      <c r="CR16" s="13">
        <f t="shared" si="9"/>
        <v>1</v>
      </c>
      <c r="CS16" s="230">
        <f>IF(CR16=0,0,IF(ISERROR(MATCH(D16,D$9:D15,0)),0,1))</f>
        <v>0</v>
      </c>
      <c r="CT16" s="247"/>
    </row>
    <row r="17" spans="2:98" ht="12.75" x14ac:dyDescent="0.35">
      <c r="B17" s="13">
        <f t="shared" si="3"/>
        <v>8</v>
      </c>
      <c r="C17" s="183" t="str">
        <f>'Net connection capex (SCS)'!$D$37&amp;" - "&amp;'Net connection capex (SCS)'!$E41</f>
        <v>COMMERCIAL/INDUSTRIAL - Complex connection sub-transmission</v>
      </c>
      <c r="D17" s="181" t="s">
        <v>280</v>
      </c>
      <c r="F17" s="215" t="s">
        <v>132</v>
      </c>
      <c r="G17" s="215" t="s">
        <v>254</v>
      </c>
      <c r="I17" s="168">
        <f>'Gross connection capex (SCS)'!J45*10^3*(1+'Gifted assets'!$P$63)</f>
        <v>0</v>
      </c>
      <c r="J17" s="168">
        <f>'Gross connection capex (SCS)'!K45*10^3*(1+'Gifted assets'!$P$63)</f>
        <v>0</v>
      </c>
      <c r="K17" s="168">
        <f>'Gross connection capex (SCS)'!L45*10^3*(1+'Gifted assets'!$P$63)</f>
        <v>0</v>
      </c>
      <c r="L17" s="168">
        <f>'Gross connection capex (SCS)'!M45*10^3*(1+'Gifted assets'!$P$63)</f>
        <v>0</v>
      </c>
      <c r="M17" s="168">
        <f>'Gross connection capex (SCS)'!N45*10^3*(1+'Gifted assets'!$P$63)</f>
        <v>0</v>
      </c>
      <c r="N17" s="168">
        <f>'Gross connection capex (SCS)'!O45*10^3*(1+'Gifted assets'!$P$63)</f>
        <v>0</v>
      </c>
      <c r="O17" s="168">
        <f>'Gross connection capex (SCS)'!P45*10^3*(1+'Gifted assets'!$P$63)</f>
        <v>0</v>
      </c>
      <c r="Q17" s="168">
        <f>'Capital contributions (SCS)'!J44*10^3*(1+'Gifted assets'!$P$63)</f>
        <v>0</v>
      </c>
      <c r="R17" s="168">
        <f>'Capital contributions (SCS)'!K44*10^3*(1+'Gifted assets'!$P$63)</f>
        <v>0</v>
      </c>
      <c r="S17" s="168">
        <f>'Capital contributions (SCS)'!L44*10^3*(1+'Gifted assets'!$P$63)</f>
        <v>0</v>
      </c>
      <c r="T17" s="168">
        <f>'Capital contributions (SCS)'!M44*10^3*(1+'Gifted assets'!$P$63)</f>
        <v>0</v>
      </c>
      <c r="U17" s="168">
        <f>'Capital contributions (SCS)'!N44*10^3*(1+'Gifted assets'!$P$63)</f>
        <v>0</v>
      </c>
      <c r="V17" s="168">
        <f>'Capital contributions (SCS)'!O44*10^3*(1+'Gifted assets'!$P$63)</f>
        <v>0</v>
      </c>
      <c r="W17" s="168">
        <f>'Capital contributions (SCS)'!P44*10^3*(1+'Gifted assets'!$P$63)</f>
        <v>0</v>
      </c>
      <c r="Y17" s="244">
        <f t="shared" si="10"/>
        <v>0.48</v>
      </c>
      <c r="Z17" s="244">
        <f t="shared" si="7"/>
        <v>0.18</v>
      </c>
      <c r="AA17" s="244">
        <f t="shared" si="8"/>
        <v>0.34</v>
      </c>
      <c r="AB17" s="230" t="str">
        <f t="shared" si="4"/>
        <v/>
      </c>
      <c r="AC17" s="215" t="s">
        <v>206</v>
      </c>
      <c r="AD17" s="215" t="s">
        <v>206</v>
      </c>
      <c r="AF17" s="245"/>
      <c r="AG17" s="245"/>
      <c r="AI17" s="244"/>
      <c r="AJ17" s="244"/>
      <c r="AK17" s="244"/>
      <c r="AL17" s="244">
        <v>1</v>
      </c>
      <c r="AM17" s="244"/>
      <c r="AN17" s="244"/>
      <c r="AO17" s="244"/>
      <c r="AP17" s="244"/>
      <c r="AQ17" s="246" t="str">
        <f t="shared" si="5"/>
        <v/>
      </c>
      <c r="AR17" s="244">
        <f>(AR$9='Net connection capex (SCS)'!$R41)*1</f>
        <v>0</v>
      </c>
      <c r="AS17" s="244">
        <f>(AS$9='Net connection capex (SCS)'!$R41)*1</f>
        <v>1</v>
      </c>
      <c r="AT17" s="244">
        <f>(AT$9='Net connection capex (SCS)'!$R41)*1</f>
        <v>0</v>
      </c>
      <c r="AU17" s="244">
        <f>(AU$9='Net connection capex (SCS)'!$R41)*1</f>
        <v>0</v>
      </c>
      <c r="AV17" s="244">
        <f>(AV$9='Net connection capex (SCS)'!$R41)*1</f>
        <v>0</v>
      </c>
      <c r="AW17" s="244">
        <f>(AW$9='Net connection capex (SCS)'!$R41)*1</f>
        <v>0</v>
      </c>
      <c r="AX17" s="244">
        <f>(AX$9='Net connection capex (SCS)'!$R41)*1</f>
        <v>0</v>
      </c>
      <c r="AY17" s="244">
        <f>(AY$9='Net connection capex (SCS)'!$R41)*1</f>
        <v>0</v>
      </c>
      <c r="AZ17" s="244">
        <f>(AZ$9='Net connection capex (SCS)'!$R41)*1</f>
        <v>0</v>
      </c>
      <c r="BA17" s="244">
        <f>(BA$9='Net connection capex (SCS)'!$R41)*1</f>
        <v>0</v>
      </c>
      <c r="BB17" s="244">
        <f>(BB$9='Net connection capex (SCS)'!$R41)*1</f>
        <v>0</v>
      </c>
      <c r="BC17" s="244">
        <f>(BC$9='Net connection capex (SCS)'!$R41)*1</f>
        <v>0</v>
      </c>
      <c r="BD17" s="244">
        <f>(BD$9='Net connection capex (SCS)'!$R41)*1</f>
        <v>0</v>
      </c>
      <c r="BE17" s="244">
        <f>(BE$9='Net connection capex (SCS)'!$R41)*1</f>
        <v>0</v>
      </c>
      <c r="BF17" s="244">
        <f>(BF$9='Net connection capex (SCS)'!$R41)*1</f>
        <v>0</v>
      </c>
      <c r="BG17" s="244">
        <f>(BG$9='Net connection capex (SCS)'!$R41)*1</f>
        <v>0</v>
      </c>
      <c r="BH17" s="244">
        <f>(BH$9='Net connection capex (SCS)'!$R41)*1</f>
        <v>0</v>
      </c>
      <c r="BI17" s="244">
        <f>(BI$9='Net connection capex (SCS)'!$R41)*1</f>
        <v>0</v>
      </c>
      <c r="BJ17" s="244">
        <f>(BJ$9='Net connection capex (SCS)'!$R41)*1</f>
        <v>0</v>
      </c>
      <c r="BK17" s="244">
        <f>(BK$9='Net connection capex (SCS)'!$R41)*1</f>
        <v>0</v>
      </c>
      <c r="BL17" s="244">
        <f>(BL$9='Net connection capex (SCS)'!$R41)*1</f>
        <v>0</v>
      </c>
      <c r="BM17" s="244">
        <f>(BM$9='Net connection capex (SCS)'!$R41)*1</f>
        <v>0</v>
      </c>
      <c r="BN17" s="244">
        <f>(BN$9='Net connection capex (SCS)'!$R41)*1</f>
        <v>0</v>
      </c>
      <c r="BO17" s="244">
        <f>(BO$9='Net connection capex (SCS)'!$R41)*1</f>
        <v>0</v>
      </c>
      <c r="BP17" s="244">
        <f>(BP$9='Net connection capex (SCS)'!$R41)*1</f>
        <v>0</v>
      </c>
      <c r="BQ17" s="244">
        <f>(BQ$9='Net connection capex (SCS)'!$R41)*1</f>
        <v>0</v>
      </c>
      <c r="BR17" s="244">
        <f>(BR$9='Net connection capex (SCS)'!$R41)*1</f>
        <v>0</v>
      </c>
      <c r="BS17" s="244">
        <f>(BS$9='Net connection capex (SCS)'!$R41)*1</f>
        <v>0</v>
      </c>
      <c r="BT17" s="244">
        <f>(BT$9='Net connection capex (SCS)'!$R41)*1</f>
        <v>0</v>
      </c>
      <c r="BU17" s="244">
        <f>(BU$9='Net connection capex (SCS)'!$R41)*1</f>
        <v>0</v>
      </c>
      <c r="BV17" s="244">
        <f>(BV$9='Net connection capex (SCS)'!$R41)*1</f>
        <v>0</v>
      </c>
      <c r="BW17" s="244">
        <f>(BW$9='Net connection capex (SCS)'!$R41)*1</f>
        <v>0</v>
      </c>
      <c r="BX17" s="244">
        <f>(BX$9='Net connection capex (SCS)'!$R41)*1</f>
        <v>0</v>
      </c>
      <c r="BY17" s="244">
        <f>(BY$9='Net connection capex (SCS)'!$R41)*1</f>
        <v>0</v>
      </c>
      <c r="BZ17" s="244">
        <f>(BZ$9='Net connection capex (SCS)'!$R41)*1</f>
        <v>0</v>
      </c>
      <c r="CA17" s="244">
        <f>(CA$9='Net connection capex (SCS)'!$R41)*1</f>
        <v>0</v>
      </c>
      <c r="CB17" s="244">
        <f>(CB$9='Net connection capex (SCS)'!$R41)*1</f>
        <v>0</v>
      </c>
      <c r="CC17" s="244">
        <f>(CC$9='Net connection capex (SCS)'!$R41)*1</f>
        <v>0</v>
      </c>
      <c r="CD17" s="244">
        <f>(CD$9='Net connection capex (SCS)'!$R41)*1</f>
        <v>0</v>
      </c>
      <c r="CE17" s="244">
        <f>(CE$9='Net connection capex (SCS)'!$R41)*1</f>
        <v>0</v>
      </c>
      <c r="CF17" s="244">
        <f>(CF$9='Net connection capex (SCS)'!$R41)*1</f>
        <v>0</v>
      </c>
      <c r="CG17" s="244">
        <f>(CG$9='Net connection capex (SCS)'!$R41)*1</f>
        <v>0</v>
      </c>
      <c r="CH17" s="244">
        <f>(CH$9='Net connection capex (SCS)'!$R41)*1</f>
        <v>0</v>
      </c>
      <c r="CI17" s="244">
        <f>(CI$9='Net connection capex (SCS)'!$R41)*1</f>
        <v>0</v>
      </c>
      <c r="CJ17" s="244">
        <f>(CJ$9='Net connection capex (SCS)'!$R41)*1</f>
        <v>0</v>
      </c>
      <c r="CK17" s="244">
        <f>(CK$9='Net connection capex (SCS)'!$R41)*1</f>
        <v>0</v>
      </c>
      <c r="CL17" s="244">
        <f>(CL$9='Net connection capex (SCS)'!$R41)*1</f>
        <v>0</v>
      </c>
      <c r="CM17" s="244">
        <f>(CM$9='Net connection capex (SCS)'!$R41)*1</f>
        <v>0</v>
      </c>
      <c r="CN17" s="244">
        <f>(CN$9='Net connection capex (SCS)'!$R41)*1</f>
        <v>0</v>
      </c>
      <c r="CO17" s="244">
        <f>(CO$9='Net connection capex (SCS)'!$R41)*1</f>
        <v>0</v>
      </c>
      <c r="CP17" s="246" t="str">
        <f t="shared" si="6"/>
        <v/>
      </c>
      <c r="CR17" s="13">
        <f t="shared" si="9"/>
        <v>0</v>
      </c>
      <c r="CS17" s="230">
        <f>IF(CR17=0,0,IF(ISERROR(MATCH(D17,D$9:D16,0)),0,1))</f>
        <v>0</v>
      </c>
      <c r="CT17" s="247"/>
    </row>
    <row r="18" spans="2:98" ht="12.75" x14ac:dyDescent="0.35">
      <c r="B18" s="13">
        <f t="shared" si="3"/>
        <v>9</v>
      </c>
      <c r="C18" s="183" t="str">
        <f>'Net connection capex (SCS)'!$D$42&amp;" - "&amp;'Net connection capex (SCS)'!$E42</f>
        <v>SUBDIVISION - Complex connection LV</v>
      </c>
      <c r="D18" s="181" t="s">
        <v>281</v>
      </c>
      <c r="F18" s="215" t="s">
        <v>132</v>
      </c>
      <c r="G18" s="215" t="s">
        <v>254</v>
      </c>
      <c r="I18" s="168">
        <f>'Gross connection capex (SCS)'!J46*10^3*(1+'Gifted assets'!$P$63)</f>
        <v>719.76454870832094</v>
      </c>
      <c r="J18" s="168">
        <f>'Gross connection capex (SCS)'!K46*10^3*(1+'Gifted assets'!$P$63)</f>
        <v>715.7783227745266</v>
      </c>
      <c r="K18" s="168">
        <f>'Gross connection capex (SCS)'!L46*10^3*(1+'Gifted assets'!$P$63)</f>
        <v>441.82311812953969</v>
      </c>
      <c r="L18" s="168">
        <f>'Gross connection capex (SCS)'!M46*10^3*(1+'Gifted assets'!$P$63)</f>
        <v>441.82311812953969</v>
      </c>
      <c r="M18" s="168">
        <f>'Gross connection capex (SCS)'!N46*10^3*(1+'Gifted assets'!$P$63)</f>
        <v>441.82311812953969</v>
      </c>
      <c r="N18" s="168">
        <f>'Gross connection capex (SCS)'!O46*10^3*(1+'Gifted assets'!$P$63)</f>
        <v>441.82311812953969</v>
      </c>
      <c r="O18" s="168">
        <f>'Gross connection capex (SCS)'!P46*10^3*(1+'Gifted assets'!$P$63)</f>
        <v>441.82311812953969</v>
      </c>
      <c r="Q18" s="168">
        <f>'Capital contributions (SCS)'!J45*10^3*(1+'Gifted assets'!$P$63)</f>
        <v>351.5786169337045</v>
      </c>
      <c r="R18" s="168">
        <f>'Capital contributions (SCS)'!K45*10^3*(1+'Gifted assets'!$P$63)</f>
        <v>347.59239099991015</v>
      </c>
      <c r="S18" s="168">
        <f>'Capital contributions (SCS)'!L45*10^3*(1+'Gifted assets'!$P$63)</f>
        <v>73.637186354923301</v>
      </c>
      <c r="T18" s="168">
        <f>'Capital contributions (SCS)'!M45*10^3*(1+'Gifted assets'!$P$63)</f>
        <v>73.637186354923301</v>
      </c>
      <c r="U18" s="168">
        <f>'Capital contributions (SCS)'!N45*10^3*(1+'Gifted assets'!$P$63)</f>
        <v>73.637186354923301</v>
      </c>
      <c r="V18" s="168">
        <f>'Capital contributions (SCS)'!O45*10^3*(1+'Gifted assets'!$P$63)</f>
        <v>73.637186354923301</v>
      </c>
      <c r="W18" s="168">
        <f>'Capital contributions (SCS)'!P45*10^3*(1+'Gifted assets'!$P$63)</f>
        <v>73.637186354923301</v>
      </c>
      <c r="Y18" s="244">
        <f t="shared" si="10"/>
        <v>0.48</v>
      </c>
      <c r="Z18" s="244">
        <f t="shared" si="7"/>
        <v>0.18</v>
      </c>
      <c r="AA18" s="244">
        <f t="shared" si="8"/>
        <v>0.34</v>
      </c>
      <c r="AB18" s="230" t="str">
        <f t="shared" si="4"/>
        <v/>
      </c>
      <c r="AC18" s="215" t="s">
        <v>206</v>
      </c>
      <c r="AD18" s="215" t="s">
        <v>206</v>
      </c>
      <c r="AF18" s="245"/>
      <c r="AG18" s="245"/>
      <c r="AI18" s="244"/>
      <c r="AJ18" s="244"/>
      <c r="AK18" s="244"/>
      <c r="AL18" s="244">
        <v>1</v>
      </c>
      <c r="AM18" s="244"/>
      <c r="AN18" s="244"/>
      <c r="AO18" s="244"/>
      <c r="AP18" s="244"/>
      <c r="AQ18" s="246" t="str">
        <f t="shared" si="5"/>
        <v/>
      </c>
      <c r="AR18" s="244">
        <f>(AR$9='Net connection capex (SCS)'!$R42)*1</f>
        <v>0</v>
      </c>
      <c r="AS18" s="244">
        <f>(AS$9='Net connection capex (SCS)'!$R42)*1</f>
        <v>0</v>
      </c>
      <c r="AT18" s="244">
        <f>(AT$9='Net connection capex (SCS)'!$R42)*1</f>
        <v>0</v>
      </c>
      <c r="AU18" s="244">
        <f>(AU$9='Net connection capex (SCS)'!$R42)*1</f>
        <v>1</v>
      </c>
      <c r="AV18" s="244">
        <f>(AV$9='Net connection capex (SCS)'!$R42)*1</f>
        <v>0</v>
      </c>
      <c r="AW18" s="244">
        <f>(AW$9='Net connection capex (SCS)'!$R42)*1</f>
        <v>0</v>
      </c>
      <c r="AX18" s="244">
        <f>(AX$9='Net connection capex (SCS)'!$R42)*1</f>
        <v>0</v>
      </c>
      <c r="AY18" s="244">
        <f>(AY$9='Net connection capex (SCS)'!$R42)*1</f>
        <v>0</v>
      </c>
      <c r="AZ18" s="244">
        <f>(AZ$9='Net connection capex (SCS)'!$R42)*1</f>
        <v>0</v>
      </c>
      <c r="BA18" s="244">
        <f>(BA$9='Net connection capex (SCS)'!$R42)*1</f>
        <v>0</v>
      </c>
      <c r="BB18" s="244">
        <f>(BB$9='Net connection capex (SCS)'!$R42)*1</f>
        <v>0</v>
      </c>
      <c r="BC18" s="244">
        <f>(BC$9='Net connection capex (SCS)'!$R42)*1</f>
        <v>0</v>
      </c>
      <c r="BD18" s="244">
        <f>(BD$9='Net connection capex (SCS)'!$R42)*1</f>
        <v>0</v>
      </c>
      <c r="BE18" s="244">
        <f>(BE$9='Net connection capex (SCS)'!$R42)*1</f>
        <v>0</v>
      </c>
      <c r="BF18" s="244">
        <f>(BF$9='Net connection capex (SCS)'!$R42)*1</f>
        <v>0</v>
      </c>
      <c r="BG18" s="244">
        <f>(BG$9='Net connection capex (SCS)'!$R42)*1</f>
        <v>0</v>
      </c>
      <c r="BH18" s="244">
        <f>(BH$9='Net connection capex (SCS)'!$R42)*1</f>
        <v>0</v>
      </c>
      <c r="BI18" s="244">
        <f>(BI$9='Net connection capex (SCS)'!$R42)*1</f>
        <v>0</v>
      </c>
      <c r="BJ18" s="244">
        <f>(BJ$9='Net connection capex (SCS)'!$R42)*1</f>
        <v>0</v>
      </c>
      <c r="BK18" s="244">
        <f>(BK$9='Net connection capex (SCS)'!$R42)*1</f>
        <v>0</v>
      </c>
      <c r="BL18" s="244">
        <f>(BL$9='Net connection capex (SCS)'!$R42)*1</f>
        <v>0</v>
      </c>
      <c r="BM18" s="244">
        <f>(BM$9='Net connection capex (SCS)'!$R42)*1</f>
        <v>0</v>
      </c>
      <c r="BN18" s="244">
        <f>(BN$9='Net connection capex (SCS)'!$R42)*1</f>
        <v>0</v>
      </c>
      <c r="BO18" s="244">
        <f>(BO$9='Net connection capex (SCS)'!$R42)*1</f>
        <v>0</v>
      </c>
      <c r="BP18" s="244">
        <f>(BP$9='Net connection capex (SCS)'!$R42)*1</f>
        <v>0</v>
      </c>
      <c r="BQ18" s="244">
        <f>(BQ$9='Net connection capex (SCS)'!$R42)*1</f>
        <v>0</v>
      </c>
      <c r="BR18" s="244">
        <f>(BR$9='Net connection capex (SCS)'!$R42)*1</f>
        <v>0</v>
      </c>
      <c r="BS18" s="244">
        <f>(BS$9='Net connection capex (SCS)'!$R42)*1</f>
        <v>0</v>
      </c>
      <c r="BT18" s="244">
        <f>(BT$9='Net connection capex (SCS)'!$R42)*1</f>
        <v>0</v>
      </c>
      <c r="BU18" s="244">
        <f>(BU$9='Net connection capex (SCS)'!$R42)*1</f>
        <v>0</v>
      </c>
      <c r="BV18" s="244">
        <f>(BV$9='Net connection capex (SCS)'!$R42)*1</f>
        <v>0</v>
      </c>
      <c r="BW18" s="244">
        <f>(BW$9='Net connection capex (SCS)'!$R42)*1</f>
        <v>0</v>
      </c>
      <c r="BX18" s="244">
        <f>(BX$9='Net connection capex (SCS)'!$R42)*1</f>
        <v>0</v>
      </c>
      <c r="BY18" s="244">
        <f>(BY$9='Net connection capex (SCS)'!$R42)*1</f>
        <v>0</v>
      </c>
      <c r="BZ18" s="244">
        <f>(BZ$9='Net connection capex (SCS)'!$R42)*1</f>
        <v>0</v>
      </c>
      <c r="CA18" s="244">
        <f>(CA$9='Net connection capex (SCS)'!$R42)*1</f>
        <v>0</v>
      </c>
      <c r="CB18" s="244">
        <f>(CB$9='Net connection capex (SCS)'!$R42)*1</f>
        <v>0</v>
      </c>
      <c r="CC18" s="244">
        <f>(CC$9='Net connection capex (SCS)'!$R42)*1</f>
        <v>0</v>
      </c>
      <c r="CD18" s="244">
        <f>(CD$9='Net connection capex (SCS)'!$R42)*1</f>
        <v>0</v>
      </c>
      <c r="CE18" s="244">
        <f>(CE$9='Net connection capex (SCS)'!$R42)*1</f>
        <v>0</v>
      </c>
      <c r="CF18" s="244">
        <f>(CF$9='Net connection capex (SCS)'!$R42)*1</f>
        <v>0</v>
      </c>
      <c r="CG18" s="244">
        <f>(CG$9='Net connection capex (SCS)'!$R42)*1</f>
        <v>0</v>
      </c>
      <c r="CH18" s="244">
        <f>(CH$9='Net connection capex (SCS)'!$R42)*1</f>
        <v>0</v>
      </c>
      <c r="CI18" s="244">
        <f>(CI$9='Net connection capex (SCS)'!$R42)*1</f>
        <v>0</v>
      </c>
      <c r="CJ18" s="244">
        <f>(CJ$9='Net connection capex (SCS)'!$R42)*1</f>
        <v>0</v>
      </c>
      <c r="CK18" s="244">
        <f>(CK$9='Net connection capex (SCS)'!$R42)*1</f>
        <v>0</v>
      </c>
      <c r="CL18" s="244">
        <f>(CL$9='Net connection capex (SCS)'!$R42)*1</f>
        <v>0</v>
      </c>
      <c r="CM18" s="244">
        <f>(CM$9='Net connection capex (SCS)'!$R42)*1</f>
        <v>0</v>
      </c>
      <c r="CN18" s="244">
        <f>(CN$9='Net connection capex (SCS)'!$R42)*1</f>
        <v>0</v>
      </c>
      <c r="CO18" s="244">
        <f>(CO$9='Net connection capex (SCS)'!$R42)*1</f>
        <v>0</v>
      </c>
      <c r="CP18" s="246" t="str">
        <f t="shared" si="6"/>
        <v/>
      </c>
      <c r="CR18" s="13">
        <f t="shared" si="9"/>
        <v>1</v>
      </c>
      <c r="CS18" s="230">
        <f>IF(CR18=0,0,IF(ISERROR(MATCH(D18,D$9:D17,0)),0,1))</f>
        <v>0</v>
      </c>
      <c r="CT18" s="247"/>
    </row>
    <row r="19" spans="2:98" ht="12.75" x14ac:dyDescent="0.35">
      <c r="B19" s="13">
        <f t="shared" si="3"/>
        <v>10</v>
      </c>
      <c r="C19" s="183" t="str">
        <f>'Net connection capex (SCS)'!$D$42&amp;" - "&amp;'Net connection capex (SCS)'!$E43</f>
        <v>SUBDIVISION - Complex connection HV (no upstream asset works)</v>
      </c>
      <c r="D19" s="181" t="s">
        <v>282</v>
      </c>
      <c r="F19" s="215" t="s">
        <v>132</v>
      </c>
      <c r="G19" s="215" t="s">
        <v>254</v>
      </c>
      <c r="I19" s="168">
        <f>'Gross connection capex (SCS)'!J47*10^3*(1+'Gifted assets'!$P$63)</f>
        <v>265.95623697345968</v>
      </c>
      <c r="J19" s="168">
        <f>'Gross connection capex (SCS)'!K47*10^3*(1+'Gifted assets'!$P$63)</f>
        <v>264.48330856794075</v>
      </c>
      <c r="K19" s="168">
        <f>'Gross connection capex (SCS)'!L47*10^3*(1+'Gifted assets'!$P$63)</f>
        <v>0</v>
      </c>
      <c r="L19" s="168">
        <f>'Gross connection capex (SCS)'!M47*10^3*(1+'Gifted assets'!$P$63)</f>
        <v>0</v>
      </c>
      <c r="M19" s="168">
        <f>'Gross connection capex (SCS)'!N47*10^3*(1+'Gifted assets'!$P$63)</f>
        <v>0</v>
      </c>
      <c r="N19" s="168">
        <f>'Gross connection capex (SCS)'!O47*10^3*(1+'Gifted assets'!$P$63)</f>
        <v>0</v>
      </c>
      <c r="O19" s="168">
        <f>'Gross connection capex (SCS)'!P47*10^3*(1+'Gifted assets'!$P$63)</f>
        <v>0</v>
      </c>
      <c r="Q19" s="168">
        <f>'Capital contributions (SCS)'!J46*10^3*(1+'Gifted assets'!$P$63)</f>
        <v>129.90987973473185</v>
      </c>
      <c r="R19" s="168">
        <f>'Capital contributions (SCS)'!K46*10^3*(1+'Gifted assets'!$P$63)</f>
        <v>128.43695132921297</v>
      </c>
      <c r="S19" s="168">
        <f>'Capital contributions (SCS)'!L46*10^3*(1+'Gifted assets'!$P$63)</f>
        <v>0</v>
      </c>
      <c r="T19" s="168">
        <f>'Capital contributions (SCS)'!M46*10^3*(1+'Gifted assets'!$P$63)</f>
        <v>0</v>
      </c>
      <c r="U19" s="168">
        <f>'Capital contributions (SCS)'!N46*10^3*(1+'Gifted assets'!$P$63)</f>
        <v>0</v>
      </c>
      <c r="V19" s="168">
        <f>'Capital contributions (SCS)'!O46*10^3*(1+'Gifted assets'!$P$63)</f>
        <v>0</v>
      </c>
      <c r="W19" s="168">
        <f>'Capital contributions (SCS)'!P46*10^3*(1+'Gifted assets'!$P$63)</f>
        <v>0</v>
      </c>
      <c r="Y19" s="244">
        <f t="shared" si="10"/>
        <v>0.48</v>
      </c>
      <c r="Z19" s="244">
        <f t="shared" si="7"/>
        <v>0.18</v>
      </c>
      <c r="AA19" s="244">
        <f t="shared" si="8"/>
        <v>0.34</v>
      </c>
      <c r="AB19" s="230" t="str">
        <f t="shared" si="4"/>
        <v/>
      </c>
      <c r="AC19" s="215" t="s">
        <v>206</v>
      </c>
      <c r="AD19" s="215" t="s">
        <v>206</v>
      </c>
      <c r="AF19" s="245"/>
      <c r="AG19" s="245"/>
      <c r="AI19" s="244"/>
      <c r="AJ19" s="244"/>
      <c r="AK19" s="244"/>
      <c r="AL19" s="244">
        <v>1</v>
      </c>
      <c r="AM19" s="244"/>
      <c r="AN19" s="244"/>
      <c r="AO19" s="244"/>
      <c r="AP19" s="244"/>
      <c r="AQ19" s="246" t="str">
        <f t="shared" si="5"/>
        <v/>
      </c>
      <c r="AR19" s="244">
        <f>(AR$9='Net connection capex (SCS)'!$R43)*1</f>
        <v>0</v>
      </c>
      <c r="AS19" s="244">
        <f>(AS$9='Net connection capex (SCS)'!$R43)*1</f>
        <v>1</v>
      </c>
      <c r="AT19" s="244">
        <f>(AT$9='Net connection capex (SCS)'!$R43)*1</f>
        <v>0</v>
      </c>
      <c r="AU19" s="244">
        <f>(AU$9='Net connection capex (SCS)'!$R43)*1</f>
        <v>0</v>
      </c>
      <c r="AV19" s="244">
        <f>(AV$9='Net connection capex (SCS)'!$R43)*1</f>
        <v>0</v>
      </c>
      <c r="AW19" s="244">
        <f>(AW$9='Net connection capex (SCS)'!$R43)*1</f>
        <v>0</v>
      </c>
      <c r="AX19" s="244">
        <f>(AX$9='Net connection capex (SCS)'!$R43)*1</f>
        <v>0</v>
      </c>
      <c r="AY19" s="244">
        <f>(AY$9='Net connection capex (SCS)'!$R43)*1</f>
        <v>0</v>
      </c>
      <c r="AZ19" s="244">
        <f>(AZ$9='Net connection capex (SCS)'!$R43)*1</f>
        <v>0</v>
      </c>
      <c r="BA19" s="244">
        <f>(BA$9='Net connection capex (SCS)'!$R43)*1</f>
        <v>0</v>
      </c>
      <c r="BB19" s="244">
        <f>(BB$9='Net connection capex (SCS)'!$R43)*1</f>
        <v>0</v>
      </c>
      <c r="BC19" s="244">
        <f>(BC$9='Net connection capex (SCS)'!$R43)*1</f>
        <v>0</v>
      </c>
      <c r="BD19" s="244">
        <f>(BD$9='Net connection capex (SCS)'!$R43)*1</f>
        <v>0</v>
      </c>
      <c r="BE19" s="244">
        <f>(BE$9='Net connection capex (SCS)'!$R43)*1</f>
        <v>0</v>
      </c>
      <c r="BF19" s="244">
        <f>(BF$9='Net connection capex (SCS)'!$R43)*1</f>
        <v>0</v>
      </c>
      <c r="BG19" s="244">
        <f>(BG$9='Net connection capex (SCS)'!$R43)*1</f>
        <v>0</v>
      </c>
      <c r="BH19" s="244">
        <f>(BH$9='Net connection capex (SCS)'!$R43)*1</f>
        <v>0</v>
      </c>
      <c r="BI19" s="244">
        <f>(BI$9='Net connection capex (SCS)'!$R43)*1</f>
        <v>0</v>
      </c>
      <c r="BJ19" s="244">
        <f>(BJ$9='Net connection capex (SCS)'!$R43)*1</f>
        <v>0</v>
      </c>
      <c r="BK19" s="244">
        <f>(BK$9='Net connection capex (SCS)'!$R43)*1</f>
        <v>0</v>
      </c>
      <c r="BL19" s="244">
        <f>(BL$9='Net connection capex (SCS)'!$R43)*1</f>
        <v>0</v>
      </c>
      <c r="BM19" s="244">
        <f>(BM$9='Net connection capex (SCS)'!$R43)*1</f>
        <v>0</v>
      </c>
      <c r="BN19" s="244">
        <f>(BN$9='Net connection capex (SCS)'!$R43)*1</f>
        <v>0</v>
      </c>
      <c r="BO19" s="244">
        <f>(BO$9='Net connection capex (SCS)'!$R43)*1</f>
        <v>0</v>
      </c>
      <c r="BP19" s="244">
        <f>(BP$9='Net connection capex (SCS)'!$R43)*1</f>
        <v>0</v>
      </c>
      <c r="BQ19" s="244">
        <f>(BQ$9='Net connection capex (SCS)'!$R43)*1</f>
        <v>0</v>
      </c>
      <c r="BR19" s="244">
        <f>(BR$9='Net connection capex (SCS)'!$R43)*1</f>
        <v>0</v>
      </c>
      <c r="BS19" s="244">
        <f>(BS$9='Net connection capex (SCS)'!$R43)*1</f>
        <v>0</v>
      </c>
      <c r="BT19" s="244">
        <f>(BT$9='Net connection capex (SCS)'!$R43)*1</f>
        <v>0</v>
      </c>
      <c r="BU19" s="244">
        <f>(BU$9='Net connection capex (SCS)'!$R43)*1</f>
        <v>0</v>
      </c>
      <c r="BV19" s="244">
        <f>(BV$9='Net connection capex (SCS)'!$R43)*1</f>
        <v>0</v>
      </c>
      <c r="BW19" s="244">
        <f>(BW$9='Net connection capex (SCS)'!$R43)*1</f>
        <v>0</v>
      </c>
      <c r="BX19" s="244">
        <f>(BX$9='Net connection capex (SCS)'!$R43)*1</f>
        <v>0</v>
      </c>
      <c r="BY19" s="244">
        <f>(BY$9='Net connection capex (SCS)'!$R43)*1</f>
        <v>0</v>
      </c>
      <c r="BZ19" s="244">
        <f>(BZ$9='Net connection capex (SCS)'!$R43)*1</f>
        <v>0</v>
      </c>
      <c r="CA19" s="244">
        <f>(CA$9='Net connection capex (SCS)'!$R43)*1</f>
        <v>0</v>
      </c>
      <c r="CB19" s="244">
        <f>(CB$9='Net connection capex (SCS)'!$R43)*1</f>
        <v>0</v>
      </c>
      <c r="CC19" s="244">
        <f>(CC$9='Net connection capex (SCS)'!$R43)*1</f>
        <v>0</v>
      </c>
      <c r="CD19" s="244">
        <f>(CD$9='Net connection capex (SCS)'!$R43)*1</f>
        <v>0</v>
      </c>
      <c r="CE19" s="244">
        <f>(CE$9='Net connection capex (SCS)'!$R43)*1</f>
        <v>0</v>
      </c>
      <c r="CF19" s="244">
        <f>(CF$9='Net connection capex (SCS)'!$R43)*1</f>
        <v>0</v>
      </c>
      <c r="CG19" s="244">
        <f>(CG$9='Net connection capex (SCS)'!$R43)*1</f>
        <v>0</v>
      </c>
      <c r="CH19" s="244">
        <f>(CH$9='Net connection capex (SCS)'!$R43)*1</f>
        <v>0</v>
      </c>
      <c r="CI19" s="244">
        <f>(CI$9='Net connection capex (SCS)'!$R43)*1</f>
        <v>0</v>
      </c>
      <c r="CJ19" s="244">
        <f>(CJ$9='Net connection capex (SCS)'!$R43)*1</f>
        <v>0</v>
      </c>
      <c r="CK19" s="244">
        <f>(CK$9='Net connection capex (SCS)'!$R43)*1</f>
        <v>0</v>
      </c>
      <c r="CL19" s="244">
        <f>(CL$9='Net connection capex (SCS)'!$R43)*1</f>
        <v>0</v>
      </c>
      <c r="CM19" s="244">
        <f>(CM$9='Net connection capex (SCS)'!$R43)*1</f>
        <v>0</v>
      </c>
      <c r="CN19" s="244">
        <f>(CN$9='Net connection capex (SCS)'!$R43)*1</f>
        <v>0</v>
      </c>
      <c r="CO19" s="244">
        <f>(CO$9='Net connection capex (SCS)'!$R43)*1</f>
        <v>0</v>
      </c>
      <c r="CP19" s="246" t="str">
        <f t="shared" si="6"/>
        <v/>
      </c>
      <c r="CR19" s="13">
        <f t="shared" si="9"/>
        <v>1</v>
      </c>
      <c r="CS19" s="230">
        <f>IF(CR19=0,0,IF(ISERROR(MATCH(D19,D$9:D18,0)),0,1))</f>
        <v>0</v>
      </c>
      <c r="CT19" s="247"/>
    </row>
    <row r="20" spans="2:98" ht="12.75" x14ac:dyDescent="0.35">
      <c r="B20" s="13">
        <f t="shared" si="3"/>
        <v>11</v>
      </c>
      <c r="C20" s="183" t="str">
        <f>'Net connection capex (SCS)'!$D$42&amp;" - "&amp;'Net connection capex (SCS)'!$E44</f>
        <v>SUBDIVISION - Complex connection HV (with upstream asset works)</v>
      </c>
      <c r="D20" s="181" t="s">
        <v>283</v>
      </c>
      <c r="F20" s="215" t="s">
        <v>132</v>
      </c>
      <c r="G20" s="215" t="s">
        <v>254</v>
      </c>
      <c r="I20" s="168">
        <f>'Gross connection capex (SCS)'!J48*10^3*(1+'Gifted assets'!$P$63)</f>
        <v>250.1221115391522</v>
      </c>
      <c r="J20" s="168">
        <f>'Gross connection capex (SCS)'!K48*10^3*(1+'Gifted assets'!$P$63)</f>
        <v>248.73687625711165</v>
      </c>
      <c r="K20" s="168">
        <f>'Gross connection capex (SCS)'!L48*10^3*(1+'Gifted assets'!$P$63)</f>
        <v>0</v>
      </c>
      <c r="L20" s="168">
        <f>'Gross connection capex (SCS)'!M48*10^3*(1+'Gifted assets'!$P$63)</f>
        <v>0</v>
      </c>
      <c r="M20" s="168">
        <f>'Gross connection capex (SCS)'!N48*10^3*(1+'Gifted assets'!$P$63)</f>
        <v>0</v>
      </c>
      <c r="N20" s="168">
        <f>'Gross connection capex (SCS)'!O48*10^3*(1+'Gifted assets'!$P$63)</f>
        <v>0</v>
      </c>
      <c r="O20" s="168">
        <f>'Gross connection capex (SCS)'!P48*10^3*(1+'Gifted assets'!$P$63)</f>
        <v>0</v>
      </c>
      <c r="Q20" s="168">
        <f>'Capital contributions (SCS)'!J47*10^3*(1+'Gifted assets'!$P$63)</f>
        <v>122.17548946705477</v>
      </c>
      <c r="R20" s="168">
        <f>'Capital contributions (SCS)'!K47*10^3*(1+'Gifted assets'!$P$63)</f>
        <v>120.79025418501422</v>
      </c>
      <c r="S20" s="168">
        <f>'Capital contributions (SCS)'!L47*10^3*(1+'Gifted assets'!$P$63)</f>
        <v>0</v>
      </c>
      <c r="T20" s="168">
        <f>'Capital contributions (SCS)'!M47*10^3*(1+'Gifted assets'!$P$63)</f>
        <v>0</v>
      </c>
      <c r="U20" s="168">
        <f>'Capital contributions (SCS)'!N47*10^3*(1+'Gifted assets'!$P$63)</f>
        <v>0</v>
      </c>
      <c r="V20" s="168">
        <f>'Capital contributions (SCS)'!O47*10^3*(1+'Gifted assets'!$P$63)</f>
        <v>0</v>
      </c>
      <c r="W20" s="168">
        <f>'Capital contributions (SCS)'!P47*10^3*(1+'Gifted assets'!$P$63)</f>
        <v>0</v>
      </c>
      <c r="Y20" s="244">
        <f t="shared" si="10"/>
        <v>0.48</v>
      </c>
      <c r="Z20" s="244">
        <f t="shared" si="7"/>
        <v>0.18</v>
      </c>
      <c r="AA20" s="244">
        <f t="shared" si="8"/>
        <v>0.34</v>
      </c>
      <c r="AB20" s="230" t="str">
        <f t="shared" si="4"/>
        <v/>
      </c>
      <c r="AC20" s="215" t="s">
        <v>206</v>
      </c>
      <c r="AD20" s="215" t="s">
        <v>206</v>
      </c>
      <c r="AF20" s="245"/>
      <c r="AG20" s="245"/>
      <c r="AI20" s="244"/>
      <c r="AJ20" s="244"/>
      <c r="AK20" s="244"/>
      <c r="AL20" s="244">
        <v>1</v>
      </c>
      <c r="AM20" s="244"/>
      <c r="AN20" s="244"/>
      <c r="AO20" s="244"/>
      <c r="AP20" s="244"/>
      <c r="AQ20" s="246" t="str">
        <f t="shared" si="5"/>
        <v/>
      </c>
      <c r="AR20" s="244">
        <f>(AR$9='Net connection capex (SCS)'!$R44)*1</f>
        <v>0</v>
      </c>
      <c r="AS20" s="244">
        <f>(AS$9='Net connection capex (SCS)'!$R44)*1</f>
        <v>1</v>
      </c>
      <c r="AT20" s="244">
        <f>(AT$9='Net connection capex (SCS)'!$R44)*1</f>
        <v>0</v>
      </c>
      <c r="AU20" s="244">
        <f>(AU$9='Net connection capex (SCS)'!$R44)*1</f>
        <v>0</v>
      </c>
      <c r="AV20" s="244">
        <f>(AV$9='Net connection capex (SCS)'!$R44)*1</f>
        <v>0</v>
      </c>
      <c r="AW20" s="244">
        <f>(AW$9='Net connection capex (SCS)'!$R44)*1</f>
        <v>0</v>
      </c>
      <c r="AX20" s="244">
        <f>(AX$9='Net connection capex (SCS)'!$R44)*1</f>
        <v>0</v>
      </c>
      <c r="AY20" s="244">
        <f>(AY$9='Net connection capex (SCS)'!$R44)*1</f>
        <v>0</v>
      </c>
      <c r="AZ20" s="244">
        <f>(AZ$9='Net connection capex (SCS)'!$R44)*1</f>
        <v>0</v>
      </c>
      <c r="BA20" s="244">
        <f>(BA$9='Net connection capex (SCS)'!$R44)*1</f>
        <v>0</v>
      </c>
      <c r="BB20" s="244">
        <f>(BB$9='Net connection capex (SCS)'!$R44)*1</f>
        <v>0</v>
      </c>
      <c r="BC20" s="244">
        <f>(BC$9='Net connection capex (SCS)'!$R44)*1</f>
        <v>0</v>
      </c>
      <c r="BD20" s="244">
        <f>(BD$9='Net connection capex (SCS)'!$R44)*1</f>
        <v>0</v>
      </c>
      <c r="BE20" s="244">
        <f>(BE$9='Net connection capex (SCS)'!$R44)*1</f>
        <v>0</v>
      </c>
      <c r="BF20" s="244">
        <f>(BF$9='Net connection capex (SCS)'!$R44)*1</f>
        <v>0</v>
      </c>
      <c r="BG20" s="244">
        <f>(BG$9='Net connection capex (SCS)'!$R44)*1</f>
        <v>0</v>
      </c>
      <c r="BH20" s="244">
        <f>(BH$9='Net connection capex (SCS)'!$R44)*1</f>
        <v>0</v>
      </c>
      <c r="BI20" s="244">
        <f>(BI$9='Net connection capex (SCS)'!$R44)*1</f>
        <v>0</v>
      </c>
      <c r="BJ20" s="244">
        <f>(BJ$9='Net connection capex (SCS)'!$R44)*1</f>
        <v>0</v>
      </c>
      <c r="BK20" s="244">
        <f>(BK$9='Net connection capex (SCS)'!$R44)*1</f>
        <v>0</v>
      </c>
      <c r="BL20" s="244">
        <f>(BL$9='Net connection capex (SCS)'!$R44)*1</f>
        <v>0</v>
      </c>
      <c r="BM20" s="244">
        <f>(BM$9='Net connection capex (SCS)'!$R44)*1</f>
        <v>0</v>
      </c>
      <c r="BN20" s="244">
        <f>(BN$9='Net connection capex (SCS)'!$R44)*1</f>
        <v>0</v>
      </c>
      <c r="BO20" s="244">
        <f>(BO$9='Net connection capex (SCS)'!$R44)*1</f>
        <v>0</v>
      </c>
      <c r="BP20" s="244">
        <f>(BP$9='Net connection capex (SCS)'!$R44)*1</f>
        <v>0</v>
      </c>
      <c r="BQ20" s="244">
        <f>(BQ$9='Net connection capex (SCS)'!$R44)*1</f>
        <v>0</v>
      </c>
      <c r="BR20" s="244">
        <f>(BR$9='Net connection capex (SCS)'!$R44)*1</f>
        <v>0</v>
      </c>
      <c r="BS20" s="244">
        <f>(BS$9='Net connection capex (SCS)'!$R44)*1</f>
        <v>0</v>
      </c>
      <c r="BT20" s="244">
        <f>(BT$9='Net connection capex (SCS)'!$R44)*1</f>
        <v>0</v>
      </c>
      <c r="BU20" s="244">
        <f>(BU$9='Net connection capex (SCS)'!$R44)*1</f>
        <v>0</v>
      </c>
      <c r="BV20" s="244">
        <f>(BV$9='Net connection capex (SCS)'!$R44)*1</f>
        <v>0</v>
      </c>
      <c r="BW20" s="244">
        <f>(BW$9='Net connection capex (SCS)'!$R44)*1</f>
        <v>0</v>
      </c>
      <c r="BX20" s="244">
        <f>(BX$9='Net connection capex (SCS)'!$R44)*1</f>
        <v>0</v>
      </c>
      <c r="BY20" s="244">
        <f>(BY$9='Net connection capex (SCS)'!$R44)*1</f>
        <v>0</v>
      </c>
      <c r="BZ20" s="244">
        <f>(BZ$9='Net connection capex (SCS)'!$R44)*1</f>
        <v>0</v>
      </c>
      <c r="CA20" s="244">
        <f>(CA$9='Net connection capex (SCS)'!$R44)*1</f>
        <v>0</v>
      </c>
      <c r="CB20" s="244">
        <f>(CB$9='Net connection capex (SCS)'!$R44)*1</f>
        <v>0</v>
      </c>
      <c r="CC20" s="244">
        <f>(CC$9='Net connection capex (SCS)'!$R44)*1</f>
        <v>0</v>
      </c>
      <c r="CD20" s="244">
        <f>(CD$9='Net connection capex (SCS)'!$R44)*1</f>
        <v>0</v>
      </c>
      <c r="CE20" s="244">
        <f>(CE$9='Net connection capex (SCS)'!$R44)*1</f>
        <v>0</v>
      </c>
      <c r="CF20" s="244">
        <f>(CF$9='Net connection capex (SCS)'!$R44)*1</f>
        <v>0</v>
      </c>
      <c r="CG20" s="244">
        <f>(CG$9='Net connection capex (SCS)'!$R44)*1</f>
        <v>0</v>
      </c>
      <c r="CH20" s="244">
        <f>(CH$9='Net connection capex (SCS)'!$R44)*1</f>
        <v>0</v>
      </c>
      <c r="CI20" s="244">
        <f>(CI$9='Net connection capex (SCS)'!$R44)*1</f>
        <v>0</v>
      </c>
      <c r="CJ20" s="244">
        <f>(CJ$9='Net connection capex (SCS)'!$R44)*1</f>
        <v>0</v>
      </c>
      <c r="CK20" s="244">
        <f>(CK$9='Net connection capex (SCS)'!$R44)*1</f>
        <v>0</v>
      </c>
      <c r="CL20" s="244">
        <f>(CL$9='Net connection capex (SCS)'!$R44)*1</f>
        <v>0</v>
      </c>
      <c r="CM20" s="244">
        <f>(CM$9='Net connection capex (SCS)'!$R44)*1</f>
        <v>0</v>
      </c>
      <c r="CN20" s="244">
        <f>(CN$9='Net connection capex (SCS)'!$R44)*1</f>
        <v>0</v>
      </c>
      <c r="CO20" s="244">
        <f>(CO$9='Net connection capex (SCS)'!$R44)*1</f>
        <v>0</v>
      </c>
      <c r="CP20" s="246" t="str">
        <f t="shared" si="6"/>
        <v/>
      </c>
      <c r="CR20" s="13">
        <f t="shared" si="9"/>
        <v>1</v>
      </c>
      <c r="CS20" s="230">
        <f>IF(CR20=0,0,IF(ISERROR(MATCH(D20,D$9:D19,0)),0,1))</f>
        <v>0</v>
      </c>
      <c r="CT20" s="247"/>
    </row>
    <row r="21" spans="2:98" ht="12.75" x14ac:dyDescent="0.35">
      <c r="B21" s="13">
        <f t="shared" si="3"/>
        <v>12</v>
      </c>
      <c r="C21" s="183" t="str">
        <f>'Net connection capex (SCS)'!$D$45&amp;" - "&amp;'Net connection capex (SCS)'!$E45</f>
        <v>EMBEDDED GENERATION - Simple connection LV</v>
      </c>
      <c r="D21" s="181" t="s">
        <v>284</v>
      </c>
      <c r="F21" s="215" t="s">
        <v>132</v>
      </c>
      <c r="G21" s="215" t="s">
        <v>254</v>
      </c>
      <c r="I21" s="168">
        <f>'Gross connection capex (SCS)'!J49*10^3*(1+'Gifted assets'!$P$63)</f>
        <v>0</v>
      </c>
      <c r="J21" s="168">
        <f>'Gross connection capex (SCS)'!K49*10^3*(1+'Gifted assets'!$P$63)</f>
        <v>0</v>
      </c>
      <c r="K21" s="168">
        <f>'Gross connection capex (SCS)'!L49*10^3*(1+'Gifted assets'!$P$63)</f>
        <v>0</v>
      </c>
      <c r="L21" s="168">
        <f>'Gross connection capex (SCS)'!M49*10^3*(1+'Gifted assets'!$P$63)</f>
        <v>0</v>
      </c>
      <c r="M21" s="168">
        <f>'Gross connection capex (SCS)'!N49*10^3*(1+'Gifted assets'!$P$63)</f>
        <v>0</v>
      </c>
      <c r="N21" s="168">
        <f>'Gross connection capex (SCS)'!O49*10^3*(1+'Gifted assets'!$P$63)</f>
        <v>0</v>
      </c>
      <c r="O21" s="168">
        <f>'Gross connection capex (SCS)'!P49*10^3*(1+'Gifted assets'!$P$63)</f>
        <v>0</v>
      </c>
      <c r="Q21" s="168">
        <f>'Capital contributions (SCS)'!J48*10^3*(1+'Gifted assets'!$P$63)</f>
        <v>0</v>
      </c>
      <c r="R21" s="168">
        <f>'Capital contributions (SCS)'!K48*10^3*(1+'Gifted assets'!$P$63)</f>
        <v>0</v>
      </c>
      <c r="S21" s="168">
        <f>'Capital contributions (SCS)'!L48*10^3*(1+'Gifted assets'!$P$63)</f>
        <v>0</v>
      </c>
      <c r="T21" s="168">
        <f>'Capital contributions (SCS)'!M48*10^3*(1+'Gifted assets'!$P$63)</f>
        <v>0</v>
      </c>
      <c r="U21" s="168">
        <f>'Capital contributions (SCS)'!N48*10^3*(1+'Gifted assets'!$P$63)</f>
        <v>0</v>
      </c>
      <c r="V21" s="168">
        <f>'Capital contributions (SCS)'!O48*10^3*(1+'Gifted assets'!$P$63)</f>
        <v>0</v>
      </c>
      <c r="W21" s="168">
        <f>'Capital contributions (SCS)'!P48*10^3*(1+'Gifted assets'!$P$63)</f>
        <v>0</v>
      </c>
      <c r="Y21" s="244">
        <f t="shared" si="10"/>
        <v>0.48</v>
      </c>
      <c r="Z21" s="244">
        <f t="shared" si="7"/>
        <v>0.18</v>
      </c>
      <c r="AA21" s="244">
        <f t="shared" si="8"/>
        <v>0.34</v>
      </c>
      <c r="AB21" s="230" t="str">
        <f t="shared" si="4"/>
        <v/>
      </c>
      <c r="AC21" s="215" t="s">
        <v>206</v>
      </c>
      <c r="AD21" s="215" t="s">
        <v>206</v>
      </c>
      <c r="AF21" s="245"/>
      <c r="AG21" s="245"/>
      <c r="AI21" s="244"/>
      <c r="AJ21" s="244"/>
      <c r="AK21" s="244"/>
      <c r="AL21" s="244">
        <v>1</v>
      </c>
      <c r="AM21" s="244"/>
      <c r="AN21" s="244"/>
      <c r="AO21" s="244"/>
      <c r="AP21" s="244"/>
      <c r="AQ21" s="246" t="str">
        <f t="shared" si="5"/>
        <v/>
      </c>
      <c r="AR21" s="244">
        <f>(AR$9='Net connection capex (SCS)'!$R45)*1</f>
        <v>0</v>
      </c>
      <c r="AS21" s="244">
        <f>(AS$9='Net connection capex (SCS)'!$R45)*1</f>
        <v>0</v>
      </c>
      <c r="AT21" s="244">
        <f>(AT$9='Net connection capex (SCS)'!$R45)*1</f>
        <v>0</v>
      </c>
      <c r="AU21" s="244">
        <f>(AU$9='Net connection capex (SCS)'!$R45)*1</f>
        <v>1</v>
      </c>
      <c r="AV21" s="244">
        <f>(AV$9='Net connection capex (SCS)'!$R45)*1</f>
        <v>0</v>
      </c>
      <c r="AW21" s="244">
        <f>(AW$9='Net connection capex (SCS)'!$R45)*1</f>
        <v>0</v>
      </c>
      <c r="AX21" s="244">
        <f>(AX$9='Net connection capex (SCS)'!$R45)*1</f>
        <v>0</v>
      </c>
      <c r="AY21" s="244">
        <f>(AY$9='Net connection capex (SCS)'!$R45)*1</f>
        <v>0</v>
      </c>
      <c r="AZ21" s="244">
        <f>(AZ$9='Net connection capex (SCS)'!$R45)*1</f>
        <v>0</v>
      </c>
      <c r="BA21" s="244">
        <f>(BA$9='Net connection capex (SCS)'!$R45)*1</f>
        <v>0</v>
      </c>
      <c r="BB21" s="244">
        <f>(BB$9='Net connection capex (SCS)'!$R45)*1</f>
        <v>0</v>
      </c>
      <c r="BC21" s="244">
        <f>(BC$9='Net connection capex (SCS)'!$R45)*1</f>
        <v>0</v>
      </c>
      <c r="BD21" s="244">
        <f>(BD$9='Net connection capex (SCS)'!$R45)*1</f>
        <v>0</v>
      </c>
      <c r="BE21" s="244">
        <f>(BE$9='Net connection capex (SCS)'!$R45)*1</f>
        <v>0</v>
      </c>
      <c r="BF21" s="244">
        <f>(BF$9='Net connection capex (SCS)'!$R45)*1</f>
        <v>0</v>
      </c>
      <c r="BG21" s="244">
        <f>(BG$9='Net connection capex (SCS)'!$R45)*1</f>
        <v>0</v>
      </c>
      <c r="BH21" s="244">
        <f>(BH$9='Net connection capex (SCS)'!$R45)*1</f>
        <v>0</v>
      </c>
      <c r="BI21" s="244">
        <f>(BI$9='Net connection capex (SCS)'!$R45)*1</f>
        <v>0</v>
      </c>
      <c r="BJ21" s="244">
        <f>(BJ$9='Net connection capex (SCS)'!$R45)*1</f>
        <v>0</v>
      </c>
      <c r="BK21" s="244">
        <f>(BK$9='Net connection capex (SCS)'!$R45)*1</f>
        <v>0</v>
      </c>
      <c r="BL21" s="244">
        <f>(BL$9='Net connection capex (SCS)'!$R45)*1</f>
        <v>0</v>
      </c>
      <c r="BM21" s="244">
        <f>(BM$9='Net connection capex (SCS)'!$R45)*1</f>
        <v>0</v>
      </c>
      <c r="BN21" s="244">
        <f>(BN$9='Net connection capex (SCS)'!$R45)*1</f>
        <v>0</v>
      </c>
      <c r="BO21" s="244">
        <f>(BO$9='Net connection capex (SCS)'!$R45)*1</f>
        <v>0</v>
      </c>
      <c r="BP21" s="244">
        <f>(BP$9='Net connection capex (SCS)'!$R45)*1</f>
        <v>0</v>
      </c>
      <c r="BQ21" s="244">
        <f>(BQ$9='Net connection capex (SCS)'!$R45)*1</f>
        <v>0</v>
      </c>
      <c r="BR21" s="244">
        <f>(BR$9='Net connection capex (SCS)'!$R45)*1</f>
        <v>0</v>
      </c>
      <c r="BS21" s="244">
        <f>(BS$9='Net connection capex (SCS)'!$R45)*1</f>
        <v>0</v>
      </c>
      <c r="BT21" s="244">
        <f>(BT$9='Net connection capex (SCS)'!$R45)*1</f>
        <v>0</v>
      </c>
      <c r="BU21" s="244">
        <f>(BU$9='Net connection capex (SCS)'!$R45)*1</f>
        <v>0</v>
      </c>
      <c r="BV21" s="244">
        <f>(BV$9='Net connection capex (SCS)'!$R45)*1</f>
        <v>0</v>
      </c>
      <c r="BW21" s="244">
        <f>(BW$9='Net connection capex (SCS)'!$R45)*1</f>
        <v>0</v>
      </c>
      <c r="BX21" s="244">
        <f>(BX$9='Net connection capex (SCS)'!$R45)*1</f>
        <v>0</v>
      </c>
      <c r="BY21" s="244">
        <f>(BY$9='Net connection capex (SCS)'!$R45)*1</f>
        <v>0</v>
      </c>
      <c r="BZ21" s="244">
        <f>(BZ$9='Net connection capex (SCS)'!$R45)*1</f>
        <v>0</v>
      </c>
      <c r="CA21" s="244">
        <f>(CA$9='Net connection capex (SCS)'!$R45)*1</f>
        <v>0</v>
      </c>
      <c r="CB21" s="244">
        <f>(CB$9='Net connection capex (SCS)'!$R45)*1</f>
        <v>0</v>
      </c>
      <c r="CC21" s="244">
        <f>(CC$9='Net connection capex (SCS)'!$R45)*1</f>
        <v>0</v>
      </c>
      <c r="CD21" s="244">
        <f>(CD$9='Net connection capex (SCS)'!$R45)*1</f>
        <v>0</v>
      </c>
      <c r="CE21" s="244">
        <f>(CE$9='Net connection capex (SCS)'!$R45)*1</f>
        <v>0</v>
      </c>
      <c r="CF21" s="244">
        <f>(CF$9='Net connection capex (SCS)'!$R45)*1</f>
        <v>0</v>
      </c>
      <c r="CG21" s="244">
        <f>(CG$9='Net connection capex (SCS)'!$R45)*1</f>
        <v>0</v>
      </c>
      <c r="CH21" s="244">
        <f>(CH$9='Net connection capex (SCS)'!$R45)*1</f>
        <v>0</v>
      </c>
      <c r="CI21" s="244">
        <f>(CI$9='Net connection capex (SCS)'!$R45)*1</f>
        <v>0</v>
      </c>
      <c r="CJ21" s="244">
        <f>(CJ$9='Net connection capex (SCS)'!$R45)*1</f>
        <v>0</v>
      </c>
      <c r="CK21" s="244">
        <f>(CK$9='Net connection capex (SCS)'!$R45)*1</f>
        <v>0</v>
      </c>
      <c r="CL21" s="244">
        <f>(CL$9='Net connection capex (SCS)'!$R45)*1</f>
        <v>0</v>
      </c>
      <c r="CM21" s="244">
        <f>(CM$9='Net connection capex (SCS)'!$R45)*1</f>
        <v>0</v>
      </c>
      <c r="CN21" s="244">
        <f>(CN$9='Net connection capex (SCS)'!$R45)*1</f>
        <v>0</v>
      </c>
      <c r="CO21" s="244">
        <f>(CO$9='Net connection capex (SCS)'!$R45)*1</f>
        <v>0</v>
      </c>
      <c r="CP21" s="246" t="str">
        <f t="shared" si="6"/>
        <v/>
      </c>
      <c r="CR21" s="13">
        <f t="shared" si="9"/>
        <v>0</v>
      </c>
      <c r="CS21" s="230">
        <f>IF(CR21=0,0,IF(ISERROR(MATCH(D21,D$9:D20,0)),0,1))</f>
        <v>0</v>
      </c>
      <c r="CT21" s="247"/>
    </row>
    <row r="22" spans="2:98" ht="12.75" x14ac:dyDescent="0.35">
      <c r="B22" s="13">
        <f t="shared" si="3"/>
        <v>13</v>
      </c>
      <c r="C22" s="183" t="str">
        <f>'Net connection capex (SCS)'!$D$45&amp;" - "&amp;'Net connection capex (SCS)'!$E46</f>
        <v>EMBEDDED GENERATION - Complex connection HV (small capacity)</v>
      </c>
      <c r="D22" s="181" t="s">
        <v>285</v>
      </c>
      <c r="F22" s="215" t="s">
        <v>132</v>
      </c>
      <c r="G22" s="215" t="s">
        <v>254</v>
      </c>
      <c r="I22" s="168">
        <f>'Gross connection capex (SCS)'!J50*10^3*(1+'Gifted assets'!$P$63)</f>
        <v>0</v>
      </c>
      <c r="J22" s="168">
        <f>'Gross connection capex (SCS)'!K50*10^3*(1+'Gifted assets'!$P$63)</f>
        <v>0</v>
      </c>
      <c r="K22" s="168">
        <f>'Gross connection capex (SCS)'!L50*10^3*(1+'Gifted assets'!$P$63)</f>
        <v>0</v>
      </c>
      <c r="L22" s="168">
        <f>'Gross connection capex (SCS)'!M50*10^3*(1+'Gifted assets'!$P$63)</f>
        <v>0</v>
      </c>
      <c r="M22" s="168">
        <f>'Gross connection capex (SCS)'!N50*10^3*(1+'Gifted assets'!$P$63)</f>
        <v>0</v>
      </c>
      <c r="N22" s="168">
        <f>'Gross connection capex (SCS)'!O50*10^3*(1+'Gifted assets'!$P$63)</f>
        <v>0</v>
      </c>
      <c r="O22" s="168">
        <f>'Gross connection capex (SCS)'!P50*10^3*(1+'Gifted assets'!$P$63)</f>
        <v>0</v>
      </c>
      <c r="Q22" s="168">
        <f>'Capital contributions (SCS)'!J49*10^3*(1+'Gifted assets'!$P$63)</f>
        <v>0</v>
      </c>
      <c r="R22" s="168">
        <f>'Capital contributions (SCS)'!K49*10^3*(1+'Gifted assets'!$P$63)</f>
        <v>0</v>
      </c>
      <c r="S22" s="168">
        <f>'Capital contributions (SCS)'!L49*10^3*(1+'Gifted assets'!$P$63)</f>
        <v>0</v>
      </c>
      <c r="T22" s="168">
        <f>'Capital contributions (SCS)'!M49*10^3*(1+'Gifted assets'!$P$63)</f>
        <v>0</v>
      </c>
      <c r="U22" s="168">
        <f>'Capital contributions (SCS)'!N49*10^3*(1+'Gifted assets'!$P$63)</f>
        <v>0</v>
      </c>
      <c r="V22" s="168">
        <f>'Capital contributions (SCS)'!O49*10^3*(1+'Gifted assets'!$P$63)</f>
        <v>0</v>
      </c>
      <c r="W22" s="168">
        <f>'Capital contributions (SCS)'!P49*10^3*(1+'Gifted assets'!$P$63)</f>
        <v>0</v>
      </c>
      <c r="Y22" s="244">
        <f t="shared" si="10"/>
        <v>0.48</v>
      </c>
      <c r="Z22" s="244">
        <f t="shared" si="7"/>
        <v>0.18</v>
      </c>
      <c r="AA22" s="244">
        <f t="shared" si="8"/>
        <v>0.34</v>
      </c>
      <c r="AB22" s="230" t="str">
        <f t="shared" si="4"/>
        <v/>
      </c>
      <c r="AC22" s="215" t="s">
        <v>206</v>
      </c>
      <c r="AD22" s="215" t="s">
        <v>206</v>
      </c>
      <c r="AF22" s="245"/>
      <c r="AG22" s="245"/>
      <c r="AI22" s="244"/>
      <c r="AJ22" s="244"/>
      <c r="AK22" s="244"/>
      <c r="AL22" s="244">
        <v>1</v>
      </c>
      <c r="AM22" s="244"/>
      <c r="AN22" s="244"/>
      <c r="AO22" s="244"/>
      <c r="AP22" s="244"/>
      <c r="AQ22" s="246" t="str">
        <f t="shared" si="5"/>
        <v/>
      </c>
      <c r="AR22" s="244">
        <f>(AR$9='Net connection capex (SCS)'!$R46)*1</f>
        <v>0</v>
      </c>
      <c r="AS22" s="244">
        <f>(AS$9='Net connection capex (SCS)'!$R46)*1</f>
        <v>1</v>
      </c>
      <c r="AT22" s="244">
        <f>(AT$9='Net connection capex (SCS)'!$R46)*1</f>
        <v>0</v>
      </c>
      <c r="AU22" s="244">
        <f>(AU$9='Net connection capex (SCS)'!$R46)*1</f>
        <v>0</v>
      </c>
      <c r="AV22" s="244">
        <f>(AV$9='Net connection capex (SCS)'!$R46)*1</f>
        <v>0</v>
      </c>
      <c r="AW22" s="244">
        <f>(AW$9='Net connection capex (SCS)'!$R46)*1</f>
        <v>0</v>
      </c>
      <c r="AX22" s="244">
        <f>(AX$9='Net connection capex (SCS)'!$R46)*1</f>
        <v>0</v>
      </c>
      <c r="AY22" s="244">
        <f>(AY$9='Net connection capex (SCS)'!$R46)*1</f>
        <v>0</v>
      </c>
      <c r="AZ22" s="244">
        <f>(AZ$9='Net connection capex (SCS)'!$R46)*1</f>
        <v>0</v>
      </c>
      <c r="BA22" s="244">
        <f>(BA$9='Net connection capex (SCS)'!$R46)*1</f>
        <v>0</v>
      </c>
      <c r="BB22" s="244">
        <f>(BB$9='Net connection capex (SCS)'!$R46)*1</f>
        <v>0</v>
      </c>
      <c r="BC22" s="244">
        <f>(BC$9='Net connection capex (SCS)'!$R46)*1</f>
        <v>0</v>
      </c>
      <c r="BD22" s="244">
        <f>(BD$9='Net connection capex (SCS)'!$R46)*1</f>
        <v>0</v>
      </c>
      <c r="BE22" s="244">
        <f>(BE$9='Net connection capex (SCS)'!$R46)*1</f>
        <v>0</v>
      </c>
      <c r="BF22" s="244">
        <f>(BF$9='Net connection capex (SCS)'!$R46)*1</f>
        <v>0</v>
      </c>
      <c r="BG22" s="244">
        <f>(BG$9='Net connection capex (SCS)'!$R46)*1</f>
        <v>0</v>
      </c>
      <c r="BH22" s="244">
        <f>(BH$9='Net connection capex (SCS)'!$R46)*1</f>
        <v>0</v>
      </c>
      <c r="BI22" s="244">
        <f>(BI$9='Net connection capex (SCS)'!$R46)*1</f>
        <v>0</v>
      </c>
      <c r="BJ22" s="244">
        <f>(BJ$9='Net connection capex (SCS)'!$R46)*1</f>
        <v>0</v>
      </c>
      <c r="BK22" s="244">
        <f>(BK$9='Net connection capex (SCS)'!$R46)*1</f>
        <v>0</v>
      </c>
      <c r="BL22" s="244">
        <f>(BL$9='Net connection capex (SCS)'!$R46)*1</f>
        <v>0</v>
      </c>
      <c r="BM22" s="244">
        <f>(BM$9='Net connection capex (SCS)'!$R46)*1</f>
        <v>0</v>
      </c>
      <c r="BN22" s="244">
        <f>(BN$9='Net connection capex (SCS)'!$R46)*1</f>
        <v>0</v>
      </c>
      <c r="BO22" s="244">
        <f>(BO$9='Net connection capex (SCS)'!$R46)*1</f>
        <v>0</v>
      </c>
      <c r="BP22" s="244">
        <f>(BP$9='Net connection capex (SCS)'!$R46)*1</f>
        <v>0</v>
      </c>
      <c r="BQ22" s="244">
        <f>(BQ$9='Net connection capex (SCS)'!$R46)*1</f>
        <v>0</v>
      </c>
      <c r="BR22" s="244">
        <f>(BR$9='Net connection capex (SCS)'!$R46)*1</f>
        <v>0</v>
      </c>
      <c r="BS22" s="244">
        <f>(BS$9='Net connection capex (SCS)'!$R46)*1</f>
        <v>0</v>
      </c>
      <c r="BT22" s="244">
        <f>(BT$9='Net connection capex (SCS)'!$R46)*1</f>
        <v>0</v>
      </c>
      <c r="BU22" s="244">
        <f>(BU$9='Net connection capex (SCS)'!$R46)*1</f>
        <v>0</v>
      </c>
      <c r="BV22" s="244">
        <f>(BV$9='Net connection capex (SCS)'!$R46)*1</f>
        <v>0</v>
      </c>
      <c r="BW22" s="244">
        <f>(BW$9='Net connection capex (SCS)'!$R46)*1</f>
        <v>0</v>
      </c>
      <c r="BX22" s="244">
        <f>(BX$9='Net connection capex (SCS)'!$R46)*1</f>
        <v>0</v>
      </c>
      <c r="BY22" s="244">
        <f>(BY$9='Net connection capex (SCS)'!$R46)*1</f>
        <v>0</v>
      </c>
      <c r="BZ22" s="244">
        <f>(BZ$9='Net connection capex (SCS)'!$R46)*1</f>
        <v>0</v>
      </c>
      <c r="CA22" s="244">
        <f>(CA$9='Net connection capex (SCS)'!$R46)*1</f>
        <v>0</v>
      </c>
      <c r="CB22" s="244">
        <f>(CB$9='Net connection capex (SCS)'!$R46)*1</f>
        <v>0</v>
      </c>
      <c r="CC22" s="244">
        <f>(CC$9='Net connection capex (SCS)'!$R46)*1</f>
        <v>0</v>
      </c>
      <c r="CD22" s="244">
        <f>(CD$9='Net connection capex (SCS)'!$R46)*1</f>
        <v>0</v>
      </c>
      <c r="CE22" s="244">
        <f>(CE$9='Net connection capex (SCS)'!$R46)*1</f>
        <v>0</v>
      </c>
      <c r="CF22" s="244">
        <f>(CF$9='Net connection capex (SCS)'!$R46)*1</f>
        <v>0</v>
      </c>
      <c r="CG22" s="244">
        <f>(CG$9='Net connection capex (SCS)'!$R46)*1</f>
        <v>0</v>
      </c>
      <c r="CH22" s="244">
        <f>(CH$9='Net connection capex (SCS)'!$R46)*1</f>
        <v>0</v>
      </c>
      <c r="CI22" s="244">
        <f>(CI$9='Net connection capex (SCS)'!$R46)*1</f>
        <v>0</v>
      </c>
      <c r="CJ22" s="244">
        <f>(CJ$9='Net connection capex (SCS)'!$R46)*1</f>
        <v>0</v>
      </c>
      <c r="CK22" s="244">
        <f>(CK$9='Net connection capex (SCS)'!$R46)*1</f>
        <v>0</v>
      </c>
      <c r="CL22" s="244">
        <f>(CL$9='Net connection capex (SCS)'!$R46)*1</f>
        <v>0</v>
      </c>
      <c r="CM22" s="244">
        <f>(CM$9='Net connection capex (SCS)'!$R46)*1</f>
        <v>0</v>
      </c>
      <c r="CN22" s="244">
        <f>(CN$9='Net connection capex (SCS)'!$R46)*1</f>
        <v>0</v>
      </c>
      <c r="CO22" s="244">
        <f>(CO$9='Net connection capex (SCS)'!$R46)*1</f>
        <v>0</v>
      </c>
      <c r="CP22" s="246" t="str">
        <f t="shared" si="6"/>
        <v/>
      </c>
      <c r="CR22" s="13">
        <f t="shared" si="9"/>
        <v>0</v>
      </c>
      <c r="CS22" s="230">
        <f>IF(CR22=0,0,IF(ISERROR(MATCH(D22,D$9:D21,0)),0,1))</f>
        <v>0</v>
      </c>
      <c r="CT22" s="247"/>
    </row>
    <row r="23" spans="2:98" ht="12.75" x14ac:dyDescent="0.35">
      <c r="B23" s="13">
        <f t="shared" si="3"/>
        <v>14</v>
      </c>
      <c r="C23" s="183" t="str">
        <f>'Net connection capex (SCS)'!$D$45&amp;" - "&amp;'Net connection capex (SCS)'!$E47</f>
        <v>EMBEDDED GENERATION - Complex connection HV (large capacity)</v>
      </c>
      <c r="D23" s="181" t="s">
        <v>286</v>
      </c>
      <c r="F23" s="215" t="s">
        <v>132</v>
      </c>
      <c r="G23" s="215" t="s">
        <v>254</v>
      </c>
      <c r="I23" s="168">
        <f>'Gross connection capex (SCS)'!J51*10^3*(1+'Gifted assets'!$P$63)</f>
        <v>0</v>
      </c>
      <c r="J23" s="168">
        <f>'Gross connection capex (SCS)'!K51*10^3*(1+'Gifted assets'!$P$63)</f>
        <v>0</v>
      </c>
      <c r="K23" s="168">
        <f>'Gross connection capex (SCS)'!L51*10^3*(1+'Gifted assets'!$P$63)</f>
        <v>0</v>
      </c>
      <c r="L23" s="168">
        <f>'Gross connection capex (SCS)'!M51*10^3*(1+'Gifted assets'!$P$63)</f>
        <v>0</v>
      </c>
      <c r="M23" s="168">
        <f>'Gross connection capex (SCS)'!N51*10^3*(1+'Gifted assets'!$P$63)</f>
        <v>0</v>
      </c>
      <c r="N23" s="168">
        <f>'Gross connection capex (SCS)'!O51*10^3*(1+'Gifted assets'!$P$63)</f>
        <v>0</v>
      </c>
      <c r="O23" s="168">
        <f>'Gross connection capex (SCS)'!P51*10^3*(1+'Gifted assets'!$P$63)</f>
        <v>0</v>
      </c>
      <c r="Q23" s="168">
        <f>'Capital contributions (SCS)'!J50*10^3*(1+'Gifted assets'!$P$63)</f>
        <v>0</v>
      </c>
      <c r="R23" s="168">
        <f>'Capital contributions (SCS)'!K50*10^3*(1+'Gifted assets'!$P$63)</f>
        <v>0</v>
      </c>
      <c r="S23" s="168">
        <f>'Capital contributions (SCS)'!L50*10^3*(1+'Gifted assets'!$P$63)</f>
        <v>0</v>
      </c>
      <c r="T23" s="168">
        <f>'Capital contributions (SCS)'!M50*10^3*(1+'Gifted assets'!$P$63)</f>
        <v>0</v>
      </c>
      <c r="U23" s="168">
        <f>'Capital contributions (SCS)'!N50*10^3*(1+'Gifted assets'!$P$63)</f>
        <v>0</v>
      </c>
      <c r="V23" s="168">
        <f>'Capital contributions (SCS)'!O50*10^3*(1+'Gifted assets'!$P$63)</f>
        <v>0</v>
      </c>
      <c r="W23" s="168">
        <f>'Capital contributions (SCS)'!P50*10^3*(1+'Gifted assets'!$P$63)</f>
        <v>0</v>
      </c>
      <c r="Y23" s="244">
        <f t="shared" si="10"/>
        <v>0.48</v>
      </c>
      <c r="Z23" s="244">
        <f t="shared" si="7"/>
        <v>0.18</v>
      </c>
      <c r="AA23" s="244">
        <f t="shared" si="8"/>
        <v>0.34</v>
      </c>
      <c r="AB23" s="230" t="str">
        <f t="shared" si="4"/>
        <v/>
      </c>
      <c r="AC23" s="215" t="s">
        <v>206</v>
      </c>
      <c r="AD23" s="215" t="s">
        <v>206</v>
      </c>
      <c r="AF23" s="245"/>
      <c r="AG23" s="245"/>
      <c r="AI23" s="244"/>
      <c r="AJ23" s="244"/>
      <c r="AK23" s="244"/>
      <c r="AL23" s="244">
        <v>1</v>
      </c>
      <c r="AM23" s="244"/>
      <c r="AN23" s="244"/>
      <c r="AO23" s="244"/>
      <c r="AP23" s="244"/>
      <c r="AQ23" s="246" t="str">
        <f t="shared" si="5"/>
        <v/>
      </c>
      <c r="AR23" s="244">
        <f>(AR$9='Net connection capex (SCS)'!$R47)*1</f>
        <v>0</v>
      </c>
      <c r="AS23" s="244">
        <f>(AS$9='Net connection capex (SCS)'!$R47)*1</f>
        <v>1</v>
      </c>
      <c r="AT23" s="244">
        <f>(AT$9='Net connection capex (SCS)'!$R47)*1</f>
        <v>0</v>
      </c>
      <c r="AU23" s="244">
        <f>(AU$9='Net connection capex (SCS)'!$R47)*1</f>
        <v>0</v>
      </c>
      <c r="AV23" s="244">
        <f>(AV$9='Net connection capex (SCS)'!$R47)*1</f>
        <v>0</v>
      </c>
      <c r="AW23" s="244">
        <f>(AW$9='Net connection capex (SCS)'!$R47)*1</f>
        <v>0</v>
      </c>
      <c r="AX23" s="244">
        <f>(AX$9='Net connection capex (SCS)'!$R47)*1</f>
        <v>0</v>
      </c>
      <c r="AY23" s="244">
        <f>(AY$9='Net connection capex (SCS)'!$R47)*1</f>
        <v>0</v>
      </c>
      <c r="AZ23" s="244">
        <f>(AZ$9='Net connection capex (SCS)'!$R47)*1</f>
        <v>0</v>
      </c>
      <c r="BA23" s="244">
        <f>(BA$9='Net connection capex (SCS)'!$R47)*1</f>
        <v>0</v>
      </c>
      <c r="BB23" s="244">
        <f>(BB$9='Net connection capex (SCS)'!$R47)*1</f>
        <v>0</v>
      </c>
      <c r="BC23" s="244">
        <f>(BC$9='Net connection capex (SCS)'!$R47)*1</f>
        <v>0</v>
      </c>
      <c r="BD23" s="244">
        <f>(BD$9='Net connection capex (SCS)'!$R47)*1</f>
        <v>0</v>
      </c>
      <c r="BE23" s="244">
        <f>(BE$9='Net connection capex (SCS)'!$R47)*1</f>
        <v>0</v>
      </c>
      <c r="BF23" s="244">
        <f>(BF$9='Net connection capex (SCS)'!$R47)*1</f>
        <v>0</v>
      </c>
      <c r="BG23" s="244">
        <f>(BG$9='Net connection capex (SCS)'!$R47)*1</f>
        <v>0</v>
      </c>
      <c r="BH23" s="244">
        <f>(BH$9='Net connection capex (SCS)'!$R47)*1</f>
        <v>0</v>
      </c>
      <c r="BI23" s="244">
        <f>(BI$9='Net connection capex (SCS)'!$R47)*1</f>
        <v>0</v>
      </c>
      <c r="BJ23" s="244">
        <f>(BJ$9='Net connection capex (SCS)'!$R47)*1</f>
        <v>0</v>
      </c>
      <c r="BK23" s="244">
        <f>(BK$9='Net connection capex (SCS)'!$R47)*1</f>
        <v>0</v>
      </c>
      <c r="BL23" s="244">
        <f>(BL$9='Net connection capex (SCS)'!$R47)*1</f>
        <v>0</v>
      </c>
      <c r="BM23" s="244">
        <f>(BM$9='Net connection capex (SCS)'!$R47)*1</f>
        <v>0</v>
      </c>
      <c r="BN23" s="244">
        <f>(BN$9='Net connection capex (SCS)'!$R47)*1</f>
        <v>0</v>
      </c>
      <c r="BO23" s="244">
        <f>(BO$9='Net connection capex (SCS)'!$R47)*1</f>
        <v>0</v>
      </c>
      <c r="BP23" s="244">
        <f>(BP$9='Net connection capex (SCS)'!$R47)*1</f>
        <v>0</v>
      </c>
      <c r="BQ23" s="244">
        <f>(BQ$9='Net connection capex (SCS)'!$R47)*1</f>
        <v>0</v>
      </c>
      <c r="BR23" s="244">
        <f>(BR$9='Net connection capex (SCS)'!$R47)*1</f>
        <v>0</v>
      </c>
      <c r="BS23" s="244">
        <f>(BS$9='Net connection capex (SCS)'!$R47)*1</f>
        <v>0</v>
      </c>
      <c r="BT23" s="244">
        <f>(BT$9='Net connection capex (SCS)'!$R47)*1</f>
        <v>0</v>
      </c>
      <c r="BU23" s="244">
        <f>(BU$9='Net connection capex (SCS)'!$R47)*1</f>
        <v>0</v>
      </c>
      <c r="BV23" s="244">
        <f>(BV$9='Net connection capex (SCS)'!$R47)*1</f>
        <v>0</v>
      </c>
      <c r="BW23" s="244">
        <f>(BW$9='Net connection capex (SCS)'!$R47)*1</f>
        <v>0</v>
      </c>
      <c r="BX23" s="244">
        <f>(BX$9='Net connection capex (SCS)'!$R47)*1</f>
        <v>0</v>
      </c>
      <c r="BY23" s="244">
        <f>(BY$9='Net connection capex (SCS)'!$R47)*1</f>
        <v>0</v>
      </c>
      <c r="BZ23" s="244">
        <f>(BZ$9='Net connection capex (SCS)'!$R47)*1</f>
        <v>0</v>
      </c>
      <c r="CA23" s="244">
        <f>(CA$9='Net connection capex (SCS)'!$R47)*1</f>
        <v>0</v>
      </c>
      <c r="CB23" s="244">
        <f>(CB$9='Net connection capex (SCS)'!$R47)*1</f>
        <v>0</v>
      </c>
      <c r="CC23" s="244">
        <f>(CC$9='Net connection capex (SCS)'!$R47)*1</f>
        <v>0</v>
      </c>
      <c r="CD23" s="244">
        <f>(CD$9='Net connection capex (SCS)'!$R47)*1</f>
        <v>0</v>
      </c>
      <c r="CE23" s="244">
        <f>(CE$9='Net connection capex (SCS)'!$R47)*1</f>
        <v>0</v>
      </c>
      <c r="CF23" s="244">
        <f>(CF$9='Net connection capex (SCS)'!$R47)*1</f>
        <v>0</v>
      </c>
      <c r="CG23" s="244">
        <f>(CG$9='Net connection capex (SCS)'!$R47)*1</f>
        <v>0</v>
      </c>
      <c r="CH23" s="244">
        <f>(CH$9='Net connection capex (SCS)'!$R47)*1</f>
        <v>0</v>
      </c>
      <c r="CI23" s="244">
        <f>(CI$9='Net connection capex (SCS)'!$R47)*1</f>
        <v>0</v>
      </c>
      <c r="CJ23" s="244">
        <f>(CJ$9='Net connection capex (SCS)'!$R47)*1</f>
        <v>0</v>
      </c>
      <c r="CK23" s="244">
        <f>(CK$9='Net connection capex (SCS)'!$R47)*1</f>
        <v>0</v>
      </c>
      <c r="CL23" s="244">
        <f>(CL$9='Net connection capex (SCS)'!$R47)*1</f>
        <v>0</v>
      </c>
      <c r="CM23" s="244">
        <f>(CM$9='Net connection capex (SCS)'!$R47)*1</f>
        <v>0</v>
      </c>
      <c r="CN23" s="244">
        <f>(CN$9='Net connection capex (SCS)'!$R47)*1</f>
        <v>0</v>
      </c>
      <c r="CO23" s="244">
        <f>(CO$9='Net connection capex (SCS)'!$R47)*1</f>
        <v>0</v>
      </c>
      <c r="CP23" s="246" t="str">
        <f t="shared" si="6"/>
        <v/>
      </c>
      <c r="CR23" s="13">
        <f t="shared" si="9"/>
        <v>0</v>
      </c>
      <c r="CS23" s="230">
        <f>IF(CR23=0,0,IF(ISERROR(MATCH(D23,D$9:D22,0)),0,1))</f>
        <v>0</v>
      </c>
      <c r="CT23" s="247"/>
    </row>
    <row r="24" spans="2:98" ht="12.75" x14ac:dyDescent="0.35">
      <c r="B24" s="13">
        <f t="shared" si="3"/>
        <v>15</v>
      </c>
      <c r="C24" s="183"/>
      <c r="D24" s="181"/>
      <c r="F24" s="215" t="s">
        <v>254</v>
      </c>
      <c r="G24" s="215" t="s">
        <v>254</v>
      </c>
      <c r="I24" s="168"/>
      <c r="J24" s="168"/>
      <c r="K24" s="168"/>
      <c r="L24" s="168"/>
      <c r="M24" s="168"/>
      <c r="N24" s="168"/>
      <c r="O24" s="168"/>
      <c r="Q24" s="168"/>
      <c r="R24" s="168"/>
      <c r="S24" s="168"/>
      <c r="T24" s="168"/>
      <c r="U24" s="168"/>
      <c r="V24" s="168"/>
      <c r="W24" s="168"/>
      <c r="Y24" s="244"/>
      <c r="Z24" s="244"/>
      <c r="AA24" s="244"/>
      <c r="AB24" s="230" t="str">
        <f t="shared" si="4"/>
        <v/>
      </c>
      <c r="AC24" s="215" t="s">
        <v>206</v>
      </c>
      <c r="AD24" s="215" t="s">
        <v>206</v>
      </c>
      <c r="AF24" s="245"/>
      <c r="AG24" s="245"/>
      <c r="AI24" s="244"/>
      <c r="AJ24" s="244"/>
      <c r="AK24" s="244"/>
      <c r="AL24" s="244"/>
      <c r="AM24" s="244"/>
      <c r="AN24" s="244"/>
      <c r="AO24" s="244"/>
      <c r="AP24" s="244"/>
      <c r="AQ24" s="246" t="str">
        <f t="shared" si="5"/>
        <v/>
      </c>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6" t="str">
        <f t="shared" si="6"/>
        <v/>
      </c>
      <c r="CR24" s="13">
        <f t="shared" si="9"/>
        <v>0</v>
      </c>
      <c r="CS24" s="230">
        <f>IF(CR24=0,0,IF(ISERROR(MATCH(D24,D$9:D23,0)),0,1))</f>
        <v>0</v>
      </c>
      <c r="CT24" s="247"/>
    </row>
    <row r="25" spans="2:98" ht="12.75" x14ac:dyDescent="0.35">
      <c r="B25" s="13">
        <f t="shared" si="3"/>
        <v>16</v>
      </c>
      <c r="C25" s="183"/>
      <c r="D25" s="181"/>
      <c r="F25" s="215" t="s">
        <v>254</v>
      </c>
      <c r="G25" s="215" t="s">
        <v>254</v>
      </c>
      <c r="I25" s="168"/>
      <c r="J25" s="168"/>
      <c r="K25" s="168"/>
      <c r="L25" s="168"/>
      <c r="M25" s="168"/>
      <c r="N25" s="168"/>
      <c r="O25" s="168"/>
      <c r="Q25" s="168"/>
      <c r="R25" s="168"/>
      <c r="S25" s="168"/>
      <c r="T25" s="168"/>
      <c r="U25" s="168"/>
      <c r="V25" s="168"/>
      <c r="W25" s="168"/>
      <c r="Y25" s="244"/>
      <c r="Z25" s="244"/>
      <c r="AA25" s="244"/>
      <c r="AB25" s="230" t="str">
        <f t="shared" si="4"/>
        <v/>
      </c>
      <c r="AC25" s="215" t="s">
        <v>206</v>
      </c>
      <c r="AD25" s="215" t="s">
        <v>206</v>
      </c>
      <c r="AF25" s="245"/>
      <c r="AG25" s="245"/>
      <c r="AI25" s="244"/>
      <c r="AJ25" s="244"/>
      <c r="AK25" s="244"/>
      <c r="AL25" s="244"/>
      <c r="AM25" s="244"/>
      <c r="AN25" s="244"/>
      <c r="AO25" s="244"/>
      <c r="AP25" s="244"/>
      <c r="AQ25" s="246" t="str">
        <f t="shared" si="5"/>
        <v/>
      </c>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6" t="str">
        <f t="shared" si="6"/>
        <v/>
      </c>
      <c r="CR25" s="13">
        <f t="shared" si="9"/>
        <v>0</v>
      </c>
      <c r="CS25" s="230">
        <f>IF(CR25=0,0,IF(ISERROR(MATCH(D25,D$9:D24,0)),0,1))</f>
        <v>0</v>
      </c>
      <c r="CT25" s="247"/>
    </row>
    <row r="26" spans="2:98" ht="12.75" x14ac:dyDescent="0.35">
      <c r="B26" s="13">
        <f t="shared" si="3"/>
        <v>17</v>
      </c>
      <c r="C26" s="183"/>
      <c r="D26" s="181"/>
      <c r="F26" s="215" t="s">
        <v>254</v>
      </c>
      <c r="G26" s="215" t="s">
        <v>254</v>
      </c>
      <c r="I26" s="168"/>
      <c r="J26" s="168"/>
      <c r="K26" s="168"/>
      <c r="L26" s="168"/>
      <c r="M26" s="168"/>
      <c r="N26" s="168"/>
      <c r="O26" s="168"/>
      <c r="Q26" s="168"/>
      <c r="R26" s="168"/>
      <c r="S26" s="168"/>
      <c r="T26" s="168"/>
      <c r="U26" s="168"/>
      <c r="V26" s="168"/>
      <c r="W26" s="168"/>
      <c r="Y26" s="244"/>
      <c r="Z26" s="244"/>
      <c r="AA26" s="244"/>
      <c r="AB26" s="230" t="str">
        <f t="shared" si="4"/>
        <v/>
      </c>
      <c r="AC26" s="215" t="s">
        <v>206</v>
      </c>
      <c r="AD26" s="215" t="s">
        <v>206</v>
      </c>
      <c r="AF26" s="245"/>
      <c r="AG26" s="245"/>
      <c r="AI26" s="244"/>
      <c r="AJ26" s="244"/>
      <c r="AK26" s="244"/>
      <c r="AL26" s="244"/>
      <c r="AM26" s="244"/>
      <c r="AN26" s="244"/>
      <c r="AO26" s="244"/>
      <c r="AP26" s="244"/>
      <c r="AQ26" s="246" t="str">
        <f t="shared" si="5"/>
        <v/>
      </c>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4"/>
      <c r="CO26" s="244"/>
      <c r="CP26" s="246" t="str">
        <f t="shared" si="6"/>
        <v/>
      </c>
      <c r="CR26" s="13">
        <f t="shared" si="9"/>
        <v>0</v>
      </c>
      <c r="CS26" s="230">
        <f>IF(CR26=0,0,IF(ISERROR(MATCH(D26,D$9:D25,0)),0,1))</f>
        <v>0</v>
      </c>
      <c r="CT26" s="247"/>
    </row>
    <row r="27" spans="2:98" ht="12.75" x14ac:dyDescent="0.35">
      <c r="B27" s="13">
        <f t="shared" si="3"/>
        <v>18</v>
      </c>
      <c r="C27" s="183"/>
      <c r="D27" s="181"/>
      <c r="F27" s="215" t="s">
        <v>254</v>
      </c>
      <c r="G27" s="215" t="s">
        <v>254</v>
      </c>
      <c r="I27" s="168"/>
      <c r="J27" s="168"/>
      <c r="K27" s="168"/>
      <c r="L27" s="168"/>
      <c r="M27" s="168"/>
      <c r="N27" s="168"/>
      <c r="O27" s="168"/>
      <c r="Q27" s="168"/>
      <c r="R27" s="168"/>
      <c r="S27" s="168"/>
      <c r="T27" s="168"/>
      <c r="U27" s="168"/>
      <c r="V27" s="168"/>
      <c r="W27" s="168"/>
      <c r="Y27" s="244"/>
      <c r="Z27" s="244"/>
      <c r="AA27" s="244"/>
      <c r="AB27" s="230" t="str">
        <f t="shared" si="4"/>
        <v/>
      </c>
      <c r="AC27" s="215" t="s">
        <v>206</v>
      </c>
      <c r="AD27" s="215" t="s">
        <v>206</v>
      </c>
      <c r="AF27" s="245"/>
      <c r="AG27" s="245"/>
      <c r="AI27" s="244"/>
      <c r="AJ27" s="244"/>
      <c r="AK27" s="244"/>
      <c r="AL27" s="244"/>
      <c r="AM27" s="244"/>
      <c r="AN27" s="244"/>
      <c r="AO27" s="244"/>
      <c r="AP27" s="244"/>
      <c r="AQ27" s="246" t="str">
        <f t="shared" si="5"/>
        <v/>
      </c>
      <c r="AR27" s="244"/>
      <c r="AS27" s="244"/>
      <c r="AT27" s="244"/>
      <c r="AU27" s="244"/>
      <c r="AV27" s="244"/>
      <c r="AW27" s="244"/>
      <c r="AX27" s="244"/>
      <c r="AY27" s="244"/>
      <c r="AZ27" s="244"/>
      <c r="BA27" s="244"/>
      <c r="BB27" s="244"/>
      <c r="BC27" s="244"/>
      <c r="BD27" s="244"/>
      <c r="BE27" s="244"/>
      <c r="BF27" s="244"/>
      <c r="BG27" s="244"/>
      <c r="BH27" s="244"/>
      <c r="BI27" s="244"/>
      <c r="BJ27" s="244"/>
      <c r="BK27" s="244"/>
      <c r="BL27" s="244"/>
      <c r="BM27" s="244"/>
      <c r="BN27" s="244"/>
      <c r="BO27" s="244"/>
      <c r="BP27" s="244"/>
      <c r="BQ27" s="244"/>
      <c r="BR27" s="244"/>
      <c r="BS27" s="244"/>
      <c r="BT27" s="244"/>
      <c r="BU27" s="244"/>
      <c r="BV27" s="244"/>
      <c r="BW27" s="244"/>
      <c r="BX27" s="244"/>
      <c r="BY27" s="244"/>
      <c r="BZ27" s="244"/>
      <c r="CA27" s="244"/>
      <c r="CB27" s="244"/>
      <c r="CC27" s="244"/>
      <c r="CD27" s="244"/>
      <c r="CE27" s="244"/>
      <c r="CF27" s="244"/>
      <c r="CG27" s="244"/>
      <c r="CH27" s="244"/>
      <c r="CI27" s="244"/>
      <c r="CJ27" s="244"/>
      <c r="CK27" s="244"/>
      <c r="CL27" s="244"/>
      <c r="CM27" s="244"/>
      <c r="CN27" s="244"/>
      <c r="CO27" s="244"/>
      <c r="CP27" s="246" t="str">
        <f t="shared" si="6"/>
        <v/>
      </c>
      <c r="CR27" s="13">
        <f t="shared" si="9"/>
        <v>0</v>
      </c>
      <c r="CS27" s="230">
        <f>IF(CR27=0,0,IF(ISERROR(MATCH(D27,D$9:D26,0)),0,1))</f>
        <v>0</v>
      </c>
      <c r="CT27" s="247"/>
    </row>
    <row r="28" spans="2:98" ht="12.75" x14ac:dyDescent="0.35">
      <c r="B28" s="13">
        <f t="shared" si="3"/>
        <v>19</v>
      </c>
      <c r="C28" s="183"/>
      <c r="D28" s="181"/>
      <c r="F28" s="215" t="s">
        <v>254</v>
      </c>
      <c r="G28" s="215" t="s">
        <v>254</v>
      </c>
      <c r="I28" s="168"/>
      <c r="J28" s="168"/>
      <c r="K28" s="168"/>
      <c r="L28" s="168"/>
      <c r="M28" s="168"/>
      <c r="N28" s="168"/>
      <c r="O28" s="168"/>
      <c r="Q28" s="168"/>
      <c r="R28" s="168"/>
      <c r="S28" s="168"/>
      <c r="T28" s="168"/>
      <c r="U28" s="168"/>
      <c r="V28" s="168"/>
      <c r="W28" s="168"/>
      <c r="Y28" s="244"/>
      <c r="Z28" s="244"/>
      <c r="AA28" s="244"/>
      <c r="AB28" s="230" t="str">
        <f t="shared" si="4"/>
        <v/>
      </c>
      <c r="AC28" s="215" t="s">
        <v>206</v>
      </c>
      <c r="AD28" s="215" t="s">
        <v>206</v>
      </c>
      <c r="AF28" s="245"/>
      <c r="AG28" s="245"/>
      <c r="AI28" s="244"/>
      <c r="AJ28" s="244"/>
      <c r="AK28" s="244"/>
      <c r="AL28" s="244"/>
      <c r="AM28" s="244"/>
      <c r="AN28" s="244"/>
      <c r="AO28" s="244"/>
      <c r="AP28" s="244"/>
      <c r="AQ28" s="246" t="str">
        <f t="shared" si="5"/>
        <v/>
      </c>
      <c r="AR28" s="244"/>
      <c r="AS28" s="244"/>
      <c r="AT28" s="244"/>
      <c r="AU28" s="244"/>
      <c r="AV28" s="244"/>
      <c r="AW28" s="244"/>
      <c r="AX28" s="244"/>
      <c r="AY28" s="244"/>
      <c r="AZ28" s="244"/>
      <c r="BA28" s="244"/>
      <c r="BB28" s="244"/>
      <c r="BC28" s="244"/>
      <c r="BD28" s="244"/>
      <c r="BE28" s="244"/>
      <c r="BF28" s="244"/>
      <c r="BG28" s="244"/>
      <c r="BH28" s="244"/>
      <c r="BI28" s="244"/>
      <c r="BJ28" s="244"/>
      <c r="BK28" s="244"/>
      <c r="BL28" s="244"/>
      <c r="BM28" s="244"/>
      <c r="BN28" s="244"/>
      <c r="BO28" s="244"/>
      <c r="BP28" s="244"/>
      <c r="BQ28" s="244"/>
      <c r="BR28" s="244"/>
      <c r="BS28" s="244"/>
      <c r="BT28" s="244"/>
      <c r="BU28" s="244"/>
      <c r="BV28" s="244"/>
      <c r="BW28" s="244"/>
      <c r="BX28" s="244"/>
      <c r="BY28" s="244"/>
      <c r="BZ28" s="244"/>
      <c r="CA28" s="244"/>
      <c r="CB28" s="244"/>
      <c r="CC28" s="244"/>
      <c r="CD28" s="244"/>
      <c r="CE28" s="244"/>
      <c r="CF28" s="244"/>
      <c r="CG28" s="244"/>
      <c r="CH28" s="244"/>
      <c r="CI28" s="244"/>
      <c r="CJ28" s="244"/>
      <c r="CK28" s="244"/>
      <c r="CL28" s="244"/>
      <c r="CM28" s="244"/>
      <c r="CN28" s="244"/>
      <c r="CO28" s="244"/>
      <c r="CP28" s="246" t="str">
        <f t="shared" si="6"/>
        <v/>
      </c>
      <c r="CR28" s="13">
        <f t="shared" si="9"/>
        <v>0</v>
      </c>
      <c r="CS28" s="230">
        <f>IF(CR28=0,0,IF(ISERROR(MATCH(D28,D$9:D27,0)),0,1))</f>
        <v>0</v>
      </c>
      <c r="CT28" s="247"/>
    </row>
    <row r="29" spans="2:98" ht="12.75" x14ac:dyDescent="0.35">
      <c r="B29" s="13">
        <f t="shared" si="3"/>
        <v>20</v>
      </c>
      <c r="C29" s="183"/>
      <c r="D29" s="181"/>
      <c r="F29" s="215" t="s">
        <v>254</v>
      </c>
      <c r="G29" s="215" t="s">
        <v>254</v>
      </c>
      <c r="I29" s="168"/>
      <c r="J29" s="168"/>
      <c r="K29" s="168"/>
      <c r="L29" s="168"/>
      <c r="M29" s="168"/>
      <c r="N29" s="168"/>
      <c r="O29" s="168"/>
      <c r="Q29" s="168"/>
      <c r="R29" s="168"/>
      <c r="S29" s="168"/>
      <c r="T29" s="168"/>
      <c r="U29" s="168"/>
      <c r="V29" s="168"/>
      <c r="W29" s="168"/>
      <c r="Y29" s="244"/>
      <c r="Z29" s="244"/>
      <c r="AA29" s="244"/>
      <c r="AB29" s="230" t="str">
        <f t="shared" si="4"/>
        <v/>
      </c>
      <c r="AC29" s="215" t="s">
        <v>206</v>
      </c>
      <c r="AD29" s="215" t="s">
        <v>206</v>
      </c>
      <c r="AF29" s="245"/>
      <c r="AG29" s="245"/>
      <c r="AI29" s="244"/>
      <c r="AJ29" s="244"/>
      <c r="AK29" s="244"/>
      <c r="AL29" s="244"/>
      <c r="AM29" s="244"/>
      <c r="AN29" s="244"/>
      <c r="AO29" s="244"/>
      <c r="AP29" s="244"/>
      <c r="AQ29" s="246" t="str">
        <f t="shared" si="5"/>
        <v/>
      </c>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44"/>
      <c r="BP29" s="244"/>
      <c r="BQ29" s="244"/>
      <c r="BR29" s="244"/>
      <c r="BS29" s="244"/>
      <c r="BT29" s="244"/>
      <c r="BU29" s="244"/>
      <c r="BV29" s="244"/>
      <c r="BW29" s="244"/>
      <c r="BX29" s="244"/>
      <c r="BY29" s="244"/>
      <c r="BZ29" s="244"/>
      <c r="CA29" s="244"/>
      <c r="CB29" s="244"/>
      <c r="CC29" s="244"/>
      <c r="CD29" s="244"/>
      <c r="CE29" s="244"/>
      <c r="CF29" s="244"/>
      <c r="CG29" s="244"/>
      <c r="CH29" s="244"/>
      <c r="CI29" s="244"/>
      <c r="CJ29" s="244"/>
      <c r="CK29" s="244"/>
      <c r="CL29" s="244"/>
      <c r="CM29" s="244"/>
      <c r="CN29" s="244"/>
      <c r="CO29" s="244"/>
      <c r="CP29" s="246" t="str">
        <f t="shared" si="6"/>
        <v/>
      </c>
      <c r="CR29" s="13">
        <f t="shared" si="9"/>
        <v>0</v>
      </c>
      <c r="CS29" s="230">
        <f>IF(CR29=0,0,IF(ISERROR(MATCH(D29,D$9:D28,0)),0,1))</f>
        <v>0</v>
      </c>
      <c r="CT29" s="247"/>
    </row>
    <row r="30" spans="2:98" ht="12.75" x14ac:dyDescent="0.35">
      <c r="B30" s="13">
        <f t="shared" si="3"/>
        <v>21</v>
      </c>
      <c r="C30" s="183"/>
      <c r="D30" s="181"/>
      <c r="F30" s="215" t="s">
        <v>254</v>
      </c>
      <c r="G30" s="215" t="s">
        <v>254</v>
      </c>
      <c r="I30" s="168"/>
      <c r="J30" s="168"/>
      <c r="K30" s="168"/>
      <c r="L30" s="168"/>
      <c r="M30" s="168"/>
      <c r="N30" s="168"/>
      <c r="O30" s="168"/>
      <c r="Q30" s="168"/>
      <c r="R30" s="168"/>
      <c r="S30" s="168"/>
      <c r="T30" s="168"/>
      <c r="U30" s="168"/>
      <c r="V30" s="168"/>
      <c r="W30" s="168"/>
      <c r="Y30" s="244"/>
      <c r="Z30" s="244"/>
      <c r="AA30" s="244"/>
      <c r="AB30" s="230" t="str">
        <f t="shared" si="4"/>
        <v/>
      </c>
      <c r="AC30" s="215" t="s">
        <v>206</v>
      </c>
      <c r="AD30" s="215" t="s">
        <v>206</v>
      </c>
      <c r="AF30" s="245"/>
      <c r="AG30" s="245"/>
      <c r="AI30" s="244"/>
      <c r="AJ30" s="244"/>
      <c r="AK30" s="244"/>
      <c r="AL30" s="244"/>
      <c r="AM30" s="244"/>
      <c r="AN30" s="244"/>
      <c r="AO30" s="244"/>
      <c r="AP30" s="244"/>
      <c r="AQ30" s="246" t="str">
        <f t="shared" si="5"/>
        <v/>
      </c>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4"/>
      <c r="BX30" s="244"/>
      <c r="BY30" s="244"/>
      <c r="BZ30" s="244"/>
      <c r="CA30" s="244"/>
      <c r="CB30" s="244"/>
      <c r="CC30" s="244"/>
      <c r="CD30" s="244"/>
      <c r="CE30" s="244"/>
      <c r="CF30" s="244"/>
      <c r="CG30" s="244"/>
      <c r="CH30" s="244"/>
      <c r="CI30" s="244"/>
      <c r="CJ30" s="244"/>
      <c r="CK30" s="244"/>
      <c r="CL30" s="244"/>
      <c r="CM30" s="244"/>
      <c r="CN30" s="244"/>
      <c r="CO30" s="244"/>
      <c r="CP30" s="246" t="str">
        <f t="shared" si="6"/>
        <v/>
      </c>
      <c r="CR30" s="13">
        <f t="shared" si="9"/>
        <v>0</v>
      </c>
      <c r="CS30" s="230">
        <f>IF(CR30=0,0,IF(ISERROR(MATCH(D30,D$9:D29,0)),0,1))</f>
        <v>0</v>
      </c>
      <c r="CT30" s="247"/>
    </row>
    <row r="31" spans="2:98" ht="12.75" x14ac:dyDescent="0.35">
      <c r="B31" s="13">
        <f t="shared" si="3"/>
        <v>22</v>
      </c>
      <c r="C31" s="183"/>
      <c r="D31" s="181"/>
      <c r="F31" s="215" t="s">
        <v>254</v>
      </c>
      <c r="G31" s="215" t="s">
        <v>254</v>
      </c>
      <c r="I31" s="168"/>
      <c r="J31" s="168"/>
      <c r="K31" s="168"/>
      <c r="L31" s="168"/>
      <c r="M31" s="168"/>
      <c r="N31" s="168"/>
      <c r="O31" s="168"/>
      <c r="Q31" s="168"/>
      <c r="R31" s="168"/>
      <c r="S31" s="168"/>
      <c r="T31" s="168"/>
      <c r="U31" s="168"/>
      <c r="V31" s="168"/>
      <c r="W31" s="168"/>
      <c r="Y31" s="244"/>
      <c r="Z31" s="244"/>
      <c r="AA31" s="244"/>
      <c r="AB31" s="230" t="str">
        <f t="shared" si="4"/>
        <v/>
      </c>
      <c r="AC31" s="215" t="s">
        <v>206</v>
      </c>
      <c r="AD31" s="215" t="s">
        <v>206</v>
      </c>
      <c r="AF31" s="245"/>
      <c r="AG31" s="245"/>
      <c r="AI31" s="244"/>
      <c r="AJ31" s="244"/>
      <c r="AK31" s="244"/>
      <c r="AL31" s="244"/>
      <c r="AM31" s="244"/>
      <c r="AN31" s="244"/>
      <c r="AO31" s="244"/>
      <c r="AP31" s="244"/>
      <c r="AQ31" s="246" t="str">
        <f t="shared" si="5"/>
        <v/>
      </c>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44"/>
      <c r="CH31" s="244"/>
      <c r="CI31" s="244"/>
      <c r="CJ31" s="244"/>
      <c r="CK31" s="244"/>
      <c r="CL31" s="244"/>
      <c r="CM31" s="244"/>
      <c r="CN31" s="244"/>
      <c r="CO31" s="244"/>
      <c r="CP31" s="246" t="str">
        <f t="shared" si="6"/>
        <v/>
      </c>
      <c r="CR31" s="13">
        <f t="shared" si="9"/>
        <v>0</v>
      </c>
      <c r="CS31" s="230">
        <f>IF(CR31=0,0,IF(ISERROR(MATCH(D31,D$9:D30,0)),0,1))</f>
        <v>0</v>
      </c>
      <c r="CT31" s="247"/>
    </row>
    <row r="32" spans="2:98" ht="12.75" x14ac:dyDescent="0.35">
      <c r="B32" s="13">
        <f t="shared" si="3"/>
        <v>23</v>
      </c>
      <c r="C32" s="183"/>
      <c r="D32" s="181"/>
      <c r="F32" s="215" t="s">
        <v>254</v>
      </c>
      <c r="G32" s="215" t="s">
        <v>254</v>
      </c>
      <c r="I32" s="168"/>
      <c r="J32" s="168"/>
      <c r="K32" s="168"/>
      <c r="L32" s="168"/>
      <c r="M32" s="168"/>
      <c r="N32" s="168"/>
      <c r="O32" s="168"/>
      <c r="Q32" s="168"/>
      <c r="R32" s="168"/>
      <c r="S32" s="168"/>
      <c r="T32" s="168"/>
      <c r="U32" s="168"/>
      <c r="V32" s="168"/>
      <c r="W32" s="168"/>
      <c r="Y32" s="244"/>
      <c r="Z32" s="244"/>
      <c r="AA32" s="244"/>
      <c r="AB32" s="230" t="str">
        <f t="shared" si="4"/>
        <v/>
      </c>
      <c r="AC32" s="215" t="s">
        <v>206</v>
      </c>
      <c r="AD32" s="215" t="s">
        <v>206</v>
      </c>
      <c r="AF32" s="245"/>
      <c r="AG32" s="245"/>
      <c r="AI32" s="244"/>
      <c r="AJ32" s="244"/>
      <c r="AK32" s="244"/>
      <c r="AL32" s="244"/>
      <c r="AM32" s="244"/>
      <c r="AN32" s="244"/>
      <c r="AO32" s="244"/>
      <c r="AP32" s="244"/>
      <c r="AQ32" s="246" t="str">
        <f t="shared" si="5"/>
        <v/>
      </c>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S32" s="244"/>
      <c r="BT32" s="244"/>
      <c r="BU32" s="244"/>
      <c r="BV32" s="244"/>
      <c r="BW32" s="244"/>
      <c r="BX32" s="244"/>
      <c r="BY32" s="244"/>
      <c r="BZ32" s="244"/>
      <c r="CA32" s="244"/>
      <c r="CB32" s="244"/>
      <c r="CC32" s="244"/>
      <c r="CD32" s="244"/>
      <c r="CE32" s="244"/>
      <c r="CF32" s="244"/>
      <c r="CG32" s="244"/>
      <c r="CH32" s="244"/>
      <c r="CI32" s="244"/>
      <c r="CJ32" s="244"/>
      <c r="CK32" s="244"/>
      <c r="CL32" s="244"/>
      <c r="CM32" s="244"/>
      <c r="CN32" s="244"/>
      <c r="CO32" s="244"/>
      <c r="CP32" s="246" t="str">
        <f t="shared" si="6"/>
        <v/>
      </c>
      <c r="CR32" s="13">
        <f t="shared" si="9"/>
        <v>0</v>
      </c>
      <c r="CS32" s="230">
        <f>IF(CR32=0,0,IF(ISERROR(MATCH(D32,D$9:D31,0)),0,1))</f>
        <v>0</v>
      </c>
      <c r="CT32" s="247"/>
    </row>
    <row r="33" spans="2:98" ht="12.75" x14ac:dyDescent="0.35">
      <c r="B33" s="13">
        <f t="shared" si="3"/>
        <v>24</v>
      </c>
      <c r="C33" s="183"/>
      <c r="D33" s="181"/>
      <c r="F33" s="215" t="s">
        <v>254</v>
      </c>
      <c r="G33" s="215" t="s">
        <v>254</v>
      </c>
      <c r="I33" s="168"/>
      <c r="J33" s="168"/>
      <c r="K33" s="168"/>
      <c r="L33" s="168"/>
      <c r="M33" s="168"/>
      <c r="N33" s="168"/>
      <c r="O33" s="168"/>
      <c r="Q33" s="168"/>
      <c r="R33" s="168"/>
      <c r="S33" s="168"/>
      <c r="T33" s="168"/>
      <c r="U33" s="168"/>
      <c r="V33" s="168"/>
      <c r="W33" s="168"/>
      <c r="Y33" s="244"/>
      <c r="Z33" s="244"/>
      <c r="AA33" s="244"/>
      <c r="AB33" s="230" t="str">
        <f t="shared" si="4"/>
        <v/>
      </c>
      <c r="AC33" s="215" t="s">
        <v>206</v>
      </c>
      <c r="AD33" s="215" t="s">
        <v>206</v>
      </c>
      <c r="AF33" s="245"/>
      <c r="AG33" s="245"/>
      <c r="AI33" s="244"/>
      <c r="AJ33" s="244"/>
      <c r="AK33" s="244"/>
      <c r="AL33" s="244"/>
      <c r="AM33" s="244"/>
      <c r="AN33" s="244"/>
      <c r="AO33" s="244"/>
      <c r="AP33" s="244"/>
      <c r="AQ33" s="246" t="str">
        <f t="shared" si="5"/>
        <v/>
      </c>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c r="CH33" s="244"/>
      <c r="CI33" s="244"/>
      <c r="CJ33" s="244"/>
      <c r="CK33" s="244"/>
      <c r="CL33" s="244"/>
      <c r="CM33" s="244"/>
      <c r="CN33" s="244"/>
      <c r="CO33" s="244"/>
      <c r="CP33" s="246" t="str">
        <f t="shared" si="6"/>
        <v/>
      </c>
      <c r="CR33" s="13">
        <f t="shared" si="9"/>
        <v>0</v>
      </c>
      <c r="CS33" s="230">
        <f>IF(CR33=0,0,IF(ISERROR(MATCH(D33,D$9:D32,0)),0,1))</f>
        <v>0</v>
      </c>
      <c r="CT33" s="247"/>
    </row>
    <row r="34" spans="2:98" ht="12.75" x14ac:dyDescent="0.35">
      <c r="B34" s="13">
        <f t="shared" si="3"/>
        <v>25</v>
      </c>
      <c r="C34" s="183"/>
      <c r="D34" s="181"/>
      <c r="F34" s="215" t="s">
        <v>254</v>
      </c>
      <c r="G34" s="215" t="s">
        <v>254</v>
      </c>
      <c r="I34" s="168"/>
      <c r="J34" s="168"/>
      <c r="K34" s="168"/>
      <c r="L34" s="168"/>
      <c r="M34" s="168"/>
      <c r="N34" s="168"/>
      <c r="O34" s="168"/>
      <c r="Q34" s="168"/>
      <c r="R34" s="168"/>
      <c r="S34" s="168"/>
      <c r="T34" s="168"/>
      <c r="U34" s="168"/>
      <c r="V34" s="168"/>
      <c r="W34" s="168"/>
      <c r="Y34" s="244"/>
      <c r="Z34" s="244"/>
      <c r="AA34" s="244"/>
      <c r="AB34" s="230" t="str">
        <f t="shared" si="4"/>
        <v/>
      </c>
      <c r="AC34" s="215" t="s">
        <v>206</v>
      </c>
      <c r="AD34" s="215" t="s">
        <v>206</v>
      </c>
      <c r="AF34" s="245"/>
      <c r="AG34" s="245"/>
      <c r="AI34" s="244"/>
      <c r="AJ34" s="244"/>
      <c r="AK34" s="244"/>
      <c r="AL34" s="244"/>
      <c r="AM34" s="244"/>
      <c r="AN34" s="244"/>
      <c r="AO34" s="244"/>
      <c r="AP34" s="244"/>
      <c r="AQ34" s="246" t="str">
        <f t="shared" si="5"/>
        <v/>
      </c>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BP34" s="244"/>
      <c r="BQ34" s="244"/>
      <c r="BR34" s="244"/>
      <c r="BS34" s="244"/>
      <c r="BT34" s="244"/>
      <c r="BU34" s="244"/>
      <c r="BV34" s="244"/>
      <c r="BW34" s="244"/>
      <c r="BX34" s="244"/>
      <c r="BY34" s="244"/>
      <c r="BZ34" s="244"/>
      <c r="CA34" s="244"/>
      <c r="CB34" s="244"/>
      <c r="CC34" s="244"/>
      <c r="CD34" s="244"/>
      <c r="CE34" s="244"/>
      <c r="CF34" s="244"/>
      <c r="CG34" s="244"/>
      <c r="CH34" s="244"/>
      <c r="CI34" s="244"/>
      <c r="CJ34" s="244"/>
      <c r="CK34" s="244"/>
      <c r="CL34" s="244"/>
      <c r="CM34" s="244"/>
      <c r="CN34" s="244"/>
      <c r="CO34" s="244"/>
      <c r="CP34" s="246" t="str">
        <f t="shared" si="6"/>
        <v/>
      </c>
      <c r="CR34" s="13">
        <f t="shared" si="9"/>
        <v>0</v>
      </c>
      <c r="CS34" s="230">
        <f>IF(CR34=0,0,IF(ISERROR(MATCH(D34,D$9:D33,0)),0,1))</f>
        <v>0</v>
      </c>
      <c r="CT34" s="247"/>
    </row>
    <row r="35" spans="2:98" ht="12.75" x14ac:dyDescent="0.35">
      <c r="B35" s="13">
        <f t="shared" si="3"/>
        <v>26</v>
      </c>
      <c r="C35" s="183"/>
      <c r="D35" s="181"/>
      <c r="F35" s="215" t="s">
        <v>254</v>
      </c>
      <c r="G35" s="215" t="s">
        <v>254</v>
      </c>
      <c r="I35" s="168"/>
      <c r="J35" s="168"/>
      <c r="K35" s="168"/>
      <c r="L35" s="168"/>
      <c r="M35" s="168"/>
      <c r="N35" s="168"/>
      <c r="O35" s="168"/>
      <c r="Q35" s="168"/>
      <c r="R35" s="168"/>
      <c r="S35" s="168"/>
      <c r="T35" s="168"/>
      <c r="U35" s="168"/>
      <c r="V35" s="168"/>
      <c r="W35" s="168"/>
      <c r="Y35" s="244"/>
      <c r="Z35" s="244"/>
      <c r="AA35" s="244"/>
      <c r="AB35" s="230" t="str">
        <f t="shared" si="4"/>
        <v/>
      </c>
      <c r="AC35" s="215" t="s">
        <v>206</v>
      </c>
      <c r="AD35" s="215" t="s">
        <v>206</v>
      </c>
      <c r="AF35" s="245"/>
      <c r="AG35" s="245"/>
      <c r="AI35" s="244"/>
      <c r="AJ35" s="244"/>
      <c r="AK35" s="244"/>
      <c r="AL35" s="244"/>
      <c r="AM35" s="244"/>
      <c r="AN35" s="244"/>
      <c r="AO35" s="244"/>
      <c r="AP35" s="244"/>
      <c r="AQ35" s="246" t="str">
        <f t="shared" si="5"/>
        <v/>
      </c>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4"/>
      <c r="BR35" s="244"/>
      <c r="BS35" s="244"/>
      <c r="BT35" s="244"/>
      <c r="BU35" s="244"/>
      <c r="BV35" s="244"/>
      <c r="BW35" s="244"/>
      <c r="BX35" s="244"/>
      <c r="BY35" s="244"/>
      <c r="BZ35" s="244"/>
      <c r="CA35" s="244"/>
      <c r="CB35" s="244"/>
      <c r="CC35" s="244"/>
      <c r="CD35" s="244"/>
      <c r="CE35" s="244"/>
      <c r="CF35" s="244"/>
      <c r="CG35" s="244"/>
      <c r="CH35" s="244"/>
      <c r="CI35" s="244"/>
      <c r="CJ35" s="244"/>
      <c r="CK35" s="244"/>
      <c r="CL35" s="244"/>
      <c r="CM35" s="244"/>
      <c r="CN35" s="244"/>
      <c r="CO35" s="244"/>
      <c r="CP35" s="246" t="str">
        <f t="shared" si="6"/>
        <v/>
      </c>
      <c r="CR35" s="13">
        <f t="shared" si="9"/>
        <v>0</v>
      </c>
      <c r="CS35" s="230">
        <f>IF(CR35=0,0,IF(ISERROR(MATCH(D35,D$9:D34,0)),0,1))</f>
        <v>0</v>
      </c>
      <c r="CT35" s="247"/>
    </row>
    <row r="36" spans="2:98" ht="12.75" x14ac:dyDescent="0.35">
      <c r="B36" s="13">
        <f t="shared" si="3"/>
        <v>27</v>
      </c>
      <c r="C36" s="183"/>
      <c r="D36" s="181"/>
      <c r="F36" s="215" t="s">
        <v>254</v>
      </c>
      <c r="G36" s="215" t="s">
        <v>254</v>
      </c>
      <c r="I36" s="168"/>
      <c r="J36" s="168"/>
      <c r="K36" s="168"/>
      <c r="L36" s="168"/>
      <c r="M36" s="168"/>
      <c r="N36" s="168"/>
      <c r="O36" s="168"/>
      <c r="Q36" s="168"/>
      <c r="R36" s="168"/>
      <c r="S36" s="168"/>
      <c r="T36" s="168"/>
      <c r="U36" s="168"/>
      <c r="V36" s="168"/>
      <c r="W36" s="168"/>
      <c r="Y36" s="244"/>
      <c r="Z36" s="244"/>
      <c r="AA36" s="244"/>
      <c r="AB36" s="230" t="str">
        <f t="shared" si="4"/>
        <v/>
      </c>
      <c r="AC36" s="215" t="s">
        <v>206</v>
      </c>
      <c r="AD36" s="215" t="s">
        <v>206</v>
      </c>
      <c r="AF36" s="245"/>
      <c r="AG36" s="245"/>
      <c r="AI36" s="244"/>
      <c r="AJ36" s="244"/>
      <c r="AK36" s="244"/>
      <c r="AL36" s="244"/>
      <c r="AM36" s="244"/>
      <c r="AN36" s="244"/>
      <c r="AO36" s="244"/>
      <c r="AP36" s="244"/>
      <c r="AQ36" s="246" t="str">
        <f t="shared" si="5"/>
        <v/>
      </c>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4"/>
      <c r="BR36" s="244"/>
      <c r="BS36" s="244"/>
      <c r="BT36" s="244"/>
      <c r="BU36" s="244"/>
      <c r="BV36" s="244"/>
      <c r="BW36" s="244"/>
      <c r="BX36" s="244"/>
      <c r="BY36" s="244"/>
      <c r="BZ36" s="244"/>
      <c r="CA36" s="244"/>
      <c r="CB36" s="244"/>
      <c r="CC36" s="244"/>
      <c r="CD36" s="244"/>
      <c r="CE36" s="244"/>
      <c r="CF36" s="244"/>
      <c r="CG36" s="244"/>
      <c r="CH36" s="244"/>
      <c r="CI36" s="244"/>
      <c r="CJ36" s="244"/>
      <c r="CK36" s="244"/>
      <c r="CL36" s="244"/>
      <c r="CM36" s="244"/>
      <c r="CN36" s="244"/>
      <c r="CO36" s="244"/>
      <c r="CP36" s="246" t="str">
        <f t="shared" si="6"/>
        <v/>
      </c>
      <c r="CR36" s="13">
        <f t="shared" si="9"/>
        <v>0</v>
      </c>
      <c r="CS36" s="230">
        <f>IF(CR36=0,0,IF(ISERROR(MATCH(D36,D$9:D35,0)),0,1))</f>
        <v>0</v>
      </c>
      <c r="CT36" s="247"/>
    </row>
    <row r="37" spans="2:98" ht="12.75" x14ac:dyDescent="0.35">
      <c r="B37" s="13">
        <f t="shared" si="3"/>
        <v>28</v>
      </c>
      <c r="C37" s="183"/>
      <c r="D37" s="181"/>
      <c r="F37" s="215" t="s">
        <v>254</v>
      </c>
      <c r="G37" s="215" t="s">
        <v>254</v>
      </c>
      <c r="I37" s="168"/>
      <c r="J37" s="168"/>
      <c r="K37" s="168"/>
      <c r="L37" s="168"/>
      <c r="M37" s="168"/>
      <c r="N37" s="168"/>
      <c r="O37" s="168"/>
      <c r="Q37" s="168"/>
      <c r="R37" s="168"/>
      <c r="S37" s="168"/>
      <c r="T37" s="168"/>
      <c r="U37" s="168"/>
      <c r="V37" s="168"/>
      <c r="W37" s="168"/>
      <c r="Y37" s="244"/>
      <c r="Z37" s="244"/>
      <c r="AA37" s="244"/>
      <c r="AB37" s="230" t="str">
        <f t="shared" si="4"/>
        <v/>
      </c>
      <c r="AC37" s="215" t="s">
        <v>206</v>
      </c>
      <c r="AD37" s="215" t="s">
        <v>206</v>
      </c>
      <c r="AF37" s="245"/>
      <c r="AG37" s="245"/>
      <c r="AI37" s="244"/>
      <c r="AJ37" s="244"/>
      <c r="AK37" s="244"/>
      <c r="AL37" s="244"/>
      <c r="AM37" s="244"/>
      <c r="AN37" s="244"/>
      <c r="AO37" s="244"/>
      <c r="AP37" s="244"/>
      <c r="AQ37" s="246" t="str">
        <f t="shared" si="5"/>
        <v/>
      </c>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4"/>
      <c r="BR37" s="244"/>
      <c r="BS37" s="244"/>
      <c r="BT37" s="244"/>
      <c r="BU37" s="244"/>
      <c r="BV37" s="244"/>
      <c r="BW37" s="244"/>
      <c r="BX37" s="244"/>
      <c r="BY37" s="244"/>
      <c r="BZ37" s="244"/>
      <c r="CA37" s="244"/>
      <c r="CB37" s="244"/>
      <c r="CC37" s="244"/>
      <c r="CD37" s="244"/>
      <c r="CE37" s="244"/>
      <c r="CF37" s="244"/>
      <c r="CG37" s="244"/>
      <c r="CH37" s="244"/>
      <c r="CI37" s="244"/>
      <c r="CJ37" s="244"/>
      <c r="CK37" s="244"/>
      <c r="CL37" s="244"/>
      <c r="CM37" s="244"/>
      <c r="CN37" s="244"/>
      <c r="CO37" s="244"/>
      <c r="CP37" s="246" t="str">
        <f t="shared" si="6"/>
        <v/>
      </c>
      <c r="CR37" s="13">
        <f t="shared" si="9"/>
        <v>0</v>
      </c>
      <c r="CS37" s="230">
        <f>IF(CR37=0,0,IF(ISERROR(MATCH(D37,D$9:D36,0)),0,1))</f>
        <v>0</v>
      </c>
      <c r="CT37" s="247"/>
    </row>
    <row r="38" spans="2:98" ht="12.75" x14ac:dyDescent="0.35">
      <c r="B38" s="13">
        <f t="shared" si="3"/>
        <v>29</v>
      </c>
      <c r="C38" s="183"/>
      <c r="D38" s="181"/>
      <c r="F38" s="215" t="s">
        <v>254</v>
      </c>
      <c r="G38" s="215" t="s">
        <v>254</v>
      </c>
      <c r="I38" s="168"/>
      <c r="J38" s="168"/>
      <c r="K38" s="168"/>
      <c r="L38" s="168"/>
      <c r="M38" s="168"/>
      <c r="N38" s="168"/>
      <c r="O38" s="168"/>
      <c r="Q38" s="168"/>
      <c r="R38" s="168"/>
      <c r="S38" s="168"/>
      <c r="T38" s="168"/>
      <c r="U38" s="168"/>
      <c r="V38" s="168"/>
      <c r="W38" s="168"/>
      <c r="Y38" s="244"/>
      <c r="Z38" s="244"/>
      <c r="AA38" s="244"/>
      <c r="AB38" s="230" t="str">
        <f t="shared" si="4"/>
        <v/>
      </c>
      <c r="AC38" s="215" t="s">
        <v>206</v>
      </c>
      <c r="AD38" s="215" t="s">
        <v>206</v>
      </c>
      <c r="AF38" s="245"/>
      <c r="AG38" s="245"/>
      <c r="AI38" s="244"/>
      <c r="AJ38" s="244"/>
      <c r="AK38" s="244"/>
      <c r="AL38" s="244"/>
      <c r="AM38" s="244"/>
      <c r="AN38" s="244"/>
      <c r="AO38" s="244"/>
      <c r="AP38" s="244"/>
      <c r="AQ38" s="246" t="str">
        <f t="shared" si="5"/>
        <v/>
      </c>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4"/>
      <c r="BR38" s="244"/>
      <c r="BS38" s="244"/>
      <c r="BT38" s="244"/>
      <c r="BU38" s="244"/>
      <c r="BV38" s="244"/>
      <c r="BW38" s="244"/>
      <c r="BX38" s="244"/>
      <c r="BY38" s="244"/>
      <c r="BZ38" s="244"/>
      <c r="CA38" s="244"/>
      <c r="CB38" s="244"/>
      <c r="CC38" s="244"/>
      <c r="CD38" s="244"/>
      <c r="CE38" s="244"/>
      <c r="CF38" s="244"/>
      <c r="CG38" s="244"/>
      <c r="CH38" s="244"/>
      <c r="CI38" s="244"/>
      <c r="CJ38" s="244"/>
      <c r="CK38" s="244"/>
      <c r="CL38" s="244"/>
      <c r="CM38" s="244"/>
      <c r="CN38" s="244"/>
      <c r="CO38" s="244"/>
      <c r="CP38" s="246" t="str">
        <f t="shared" si="6"/>
        <v/>
      </c>
      <c r="CR38" s="13">
        <f t="shared" si="9"/>
        <v>0</v>
      </c>
      <c r="CS38" s="230">
        <f>IF(CR38=0,0,IF(ISERROR(MATCH(D38,D$9:D37,0)),0,1))</f>
        <v>0</v>
      </c>
      <c r="CT38" s="247"/>
    </row>
    <row r="39" spans="2:98" ht="12.75" x14ac:dyDescent="0.35">
      <c r="B39" s="13">
        <f t="shared" si="3"/>
        <v>30</v>
      </c>
      <c r="C39" s="183"/>
      <c r="D39" s="181"/>
      <c r="F39" s="215" t="s">
        <v>254</v>
      </c>
      <c r="G39" s="215" t="s">
        <v>254</v>
      </c>
      <c r="I39" s="168"/>
      <c r="J39" s="168"/>
      <c r="K39" s="168"/>
      <c r="L39" s="168"/>
      <c r="M39" s="168"/>
      <c r="N39" s="168"/>
      <c r="O39" s="168"/>
      <c r="Q39" s="168"/>
      <c r="R39" s="168"/>
      <c r="S39" s="168"/>
      <c r="T39" s="168"/>
      <c r="U39" s="168"/>
      <c r="V39" s="168"/>
      <c r="W39" s="168"/>
      <c r="Y39" s="244"/>
      <c r="Z39" s="244"/>
      <c r="AA39" s="244"/>
      <c r="AB39" s="230" t="str">
        <f t="shared" si="4"/>
        <v/>
      </c>
      <c r="AC39" s="215" t="s">
        <v>206</v>
      </c>
      <c r="AD39" s="215" t="s">
        <v>206</v>
      </c>
      <c r="AF39" s="245"/>
      <c r="AG39" s="245"/>
      <c r="AI39" s="244"/>
      <c r="AJ39" s="244"/>
      <c r="AK39" s="244"/>
      <c r="AL39" s="244"/>
      <c r="AM39" s="244"/>
      <c r="AN39" s="244"/>
      <c r="AO39" s="244"/>
      <c r="AP39" s="244"/>
      <c r="AQ39" s="246" t="str">
        <f t="shared" si="5"/>
        <v/>
      </c>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4"/>
      <c r="BR39" s="244"/>
      <c r="BS39" s="244"/>
      <c r="BT39" s="244"/>
      <c r="BU39" s="244"/>
      <c r="BV39" s="244"/>
      <c r="BW39" s="244"/>
      <c r="BX39" s="244"/>
      <c r="BY39" s="244"/>
      <c r="BZ39" s="244"/>
      <c r="CA39" s="244"/>
      <c r="CB39" s="244"/>
      <c r="CC39" s="244"/>
      <c r="CD39" s="244"/>
      <c r="CE39" s="244"/>
      <c r="CF39" s="244"/>
      <c r="CG39" s="244"/>
      <c r="CH39" s="244"/>
      <c r="CI39" s="244"/>
      <c r="CJ39" s="244"/>
      <c r="CK39" s="244"/>
      <c r="CL39" s="244"/>
      <c r="CM39" s="244"/>
      <c r="CN39" s="244"/>
      <c r="CO39" s="244"/>
      <c r="CP39" s="246" t="str">
        <f t="shared" si="6"/>
        <v/>
      </c>
      <c r="CR39" s="13">
        <f t="shared" si="9"/>
        <v>0</v>
      </c>
      <c r="CS39" s="230">
        <f>IF(CR39=0,0,IF(ISERROR(MATCH(D39,D$9:D38,0)),0,1))</f>
        <v>0</v>
      </c>
      <c r="CT39" s="247"/>
    </row>
    <row r="40" spans="2:98" ht="12.75" x14ac:dyDescent="0.35">
      <c r="B40" s="13">
        <f t="shared" si="3"/>
        <v>31</v>
      </c>
      <c r="C40" s="183"/>
      <c r="D40" s="181"/>
      <c r="F40" s="215" t="s">
        <v>254</v>
      </c>
      <c r="G40" s="215" t="s">
        <v>254</v>
      </c>
      <c r="I40" s="168"/>
      <c r="J40" s="168"/>
      <c r="K40" s="168"/>
      <c r="L40" s="168"/>
      <c r="M40" s="168"/>
      <c r="N40" s="168"/>
      <c r="O40" s="168"/>
      <c r="Q40" s="168"/>
      <c r="R40" s="168"/>
      <c r="S40" s="168"/>
      <c r="T40" s="168"/>
      <c r="U40" s="168"/>
      <c r="V40" s="168"/>
      <c r="W40" s="168"/>
      <c r="Y40" s="244"/>
      <c r="Z40" s="244"/>
      <c r="AA40" s="244"/>
      <c r="AB40" s="230" t="str">
        <f t="shared" si="4"/>
        <v/>
      </c>
      <c r="AC40" s="215" t="s">
        <v>206</v>
      </c>
      <c r="AD40" s="215" t="s">
        <v>206</v>
      </c>
      <c r="AF40" s="245"/>
      <c r="AG40" s="245"/>
      <c r="AI40" s="244"/>
      <c r="AJ40" s="244"/>
      <c r="AK40" s="244"/>
      <c r="AL40" s="244"/>
      <c r="AM40" s="244"/>
      <c r="AN40" s="244"/>
      <c r="AO40" s="244"/>
      <c r="AP40" s="244"/>
      <c r="AQ40" s="246" t="str">
        <f t="shared" si="5"/>
        <v/>
      </c>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4"/>
      <c r="BR40" s="244"/>
      <c r="BS40" s="244"/>
      <c r="BT40" s="244"/>
      <c r="BU40" s="244"/>
      <c r="BV40" s="244"/>
      <c r="BW40" s="244"/>
      <c r="BX40" s="244"/>
      <c r="BY40" s="244"/>
      <c r="BZ40" s="244"/>
      <c r="CA40" s="244"/>
      <c r="CB40" s="244"/>
      <c r="CC40" s="244"/>
      <c r="CD40" s="244"/>
      <c r="CE40" s="244"/>
      <c r="CF40" s="244"/>
      <c r="CG40" s="244"/>
      <c r="CH40" s="244"/>
      <c r="CI40" s="244"/>
      <c r="CJ40" s="244"/>
      <c r="CK40" s="244"/>
      <c r="CL40" s="244"/>
      <c r="CM40" s="244"/>
      <c r="CN40" s="244"/>
      <c r="CO40" s="244"/>
      <c r="CP40" s="246" t="str">
        <f t="shared" si="6"/>
        <v/>
      </c>
      <c r="CR40" s="13">
        <f t="shared" si="9"/>
        <v>0</v>
      </c>
      <c r="CS40" s="230">
        <f>IF(CR40=0,0,IF(ISERROR(MATCH(D40,D$9:D39,0)),0,1))</f>
        <v>0</v>
      </c>
      <c r="CT40" s="247"/>
    </row>
    <row r="41" spans="2:98" ht="12.75" x14ac:dyDescent="0.35">
      <c r="B41" s="13">
        <f t="shared" si="3"/>
        <v>32</v>
      </c>
      <c r="C41" s="183"/>
      <c r="D41" s="181"/>
      <c r="F41" s="215" t="s">
        <v>254</v>
      </c>
      <c r="G41" s="215" t="s">
        <v>254</v>
      </c>
      <c r="I41" s="168"/>
      <c r="J41" s="168"/>
      <c r="K41" s="168"/>
      <c r="L41" s="168"/>
      <c r="M41" s="168"/>
      <c r="N41" s="168"/>
      <c r="O41" s="168"/>
      <c r="Q41" s="168"/>
      <c r="R41" s="168"/>
      <c r="S41" s="168"/>
      <c r="T41" s="168"/>
      <c r="U41" s="168"/>
      <c r="V41" s="168"/>
      <c r="W41" s="168"/>
      <c r="Y41" s="244"/>
      <c r="Z41" s="244"/>
      <c r="AA41" s="244"/>
      <c r="AB41" s="230" t="str">
        <f t="shared" si="4"/>
        <v/>
      </c>
      <c r="AC41" s="215" t="s">
        <v>206</v>
      </c>
      <c r="AD41" s="215" t="s">
        <v>206</v>
      </c>
      <c r="AF41" s="245"/>
      <c r="AG41" s="245"/>
      <c r="AI41" s="244"/>
      <c r="AJ41" s="244"/>
      <c r="AK41" s="244"/>
      <c r="AL41" s="244"/>
      <c r="AM41" s="244"/>
      <c r="AN41" s="244"/>
      <c r="AO41" s="244"/>
      <c r="AP41" s="244"/>
      <c r="AQ41" s="246" t="str">
        <f t="shared" si="5"/>
        <v/>
      </c>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4"/>
      <c r="BX41" s="244"/>
      <c r="BY41" s="244"/>
      <c r="BZ41" s="244"/>
      <c r="CA41" s="244"/>
      <c r="CB41" s="244"/>
      <c r="CC41" s="244"/>
      <c r="CD41" s="244"/>
      <c r="CE41" s="244"/>
      <c r="CF41" s="244"/>
      <c r="CG41" s="244"/>
      <c r="CH41" s="244"/>
      <c r="CI41" s="244"/>
      <c r="CJ41" s="244"/>
      <c r="CK41" s="244"/>
      <c r="CL41" s="244"/>
      <c r="CM41" s="244"/>
      <c r="CN41" s="244"/>
      <c r="CO41" s="244"/>
      <c r="CP41" s="246" t="str">
        <f t="shared" si="6"/>
        <v/>
      </c>
      <c r="CR41" s="13">
        <f t="shared" si="9"/>
        <v>0</v>
      </c>
      <c r="CS41" s="230">
        <f>IF(CR41=0,0,IF(ISERROR(MATCH(D41,D$9:D40,0)),0,1))</f>
        <v>0</v>
      </c>
      <c r="CT41" s="247"/>
    </row>
    <row r="42" spans="2:98" ht="12.75" x14ac:dyDescent="0.35">
      <c r="B42" s="13">
        <f t="shared" si="3"/>
        <v>33</v>
      </c>
      <c r="C42" s="183"/>
      <c r="D42" s="181"/>
      <c r="F42" s="215" t="s">
        <v>254</v>
      </c>
      <c r="G42" s="215" t="s">
        <v>254</v>
      </c>
      <c r="I42" s="168"/>
      <c r="J42" s="168"/>
      <c r="K42" s="168"/>
      <c r="L42" s="168"/>
      <c r="M42" s="168"/>
      <c r="N42" s="168"/>
      <c r="O42" s="168"/>
      <c r="Q42" s="168"/>
      <c r="R42" s="168"/>
      <c r="S42" s="168"/>
      <c r="T42" s="168"/>
      <c r="U42" s="168"/>
      <c r="V42" s="168"/>
      <c r="W42" s="168"/>
      <c r="Y42" s="244"/>
      <c r="Z42" s="244"/>
      <c r="AA42" s="244"/>
      <c r="AB42" s="230" t="str">
        <f t="shared" si="4"/>
        <v/>
      </c>
      <c r="AC42" s="215" t="s">
        <v>206</v>
      </c>
      <c r="AD42" s="215" t="s">
        <v>206</v>
      </c>
      <c r="AF42" s="245"/>
      <c r="AG42" s="245"/>
      <c r="AI42" s="244"/>
      <c r="AJ42" s="244"/>
      <c r="AK42" s="244"/>
      <c r="AL42" s="244"/>
      <c r="AM42" s="244"/>
      <c r="AN42" s="244"/>
      <c r="AO42" s="244"/>
      <c r="AP42" s="244"/>
      <c r="AQ42" s="246" t="str">
        <f t="shared" si="5"/>
        <v/>
      </c>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4"/>
      <c r="CE42" s="244"/>
      <c r="CF42" s="244"/>
      <c r="CG42" s="244"/>
      <c r="CH42" s="244"/>
      <c r="CI42" s="244"/>
      <c r="CJ42" s="244"/>
      <c r="CK42" s="244"/>
      <c r="CL42" s="244"/>
      <c r="CM42" s="244"/>
      <c r="CN42" s="244"/>
      <c r="CO42" s="244"/>
      <c r="CP42" s="246" t="str">
        <f t="shared" si="6"/>
        <v/>
      </c>
      <c r="CR42" s="13">
        <f t="shared" si="9"/>
        <v>0</v>
      </c>
      <c r="CS42" s="230">
        <f>IF(CR42=0,0,IF(ISERROR(MATCH(D42,D$9:D41,0)),0,1))</f>
        <v>0</v>
      </c>
      <c r="CT42" s="247"/>
    </row>
    <row r="43" spans="2:98" ht="12.75" x14ac:dyDescent="0.35">
      <c r="B43" s="13">
        <f t="shared" si="3"/>
        <v>34</v>
      </c>
      <c r="C43" s="183"/>
      <c r="D43" s="181"/>
      <c r="F43" s="215" t="s">
        <v>254</v>
      </c>
      <c r="G43" s="215" t="s">
        <v>254</v>
      </c>
      <c r="I43" s="168"/>
      <c r="J43" s="168"/>
      <c r="K43" s="168"/>
      <c r="L43" s="168"/>
      <c r="M43" s="168"/>
      <c r="N43" s="168"/>
      <c r="O43" s="168"/>
      <c r="Q43" s="168"/>
      <c r="R43" s="168"/>
      <c r="S43" s="168"/>
      <c r="T43" s="168"/>
      <c r="U43" s="168"/>
      <c r="V43" s="168"/>
      <c r="W43" s="168"/>
      <c r="Y43" s="244"/>
      <c r="Z43" s="244"/>
      <c r="AA43" s="244"/>
      <c r="AB43" s="230" t="str">
        <f t="shared" si="4"/>
        <v/>
      </c>
      <c r="AC43" s="215" t="s">
        <v>206</v>
      </c>
      <c r="AD43" s="215" t="s">
        <v>206</v>
      </c>
      <c r="AF43" s="245"/>
      <c r="AG43" s="245"/>
      <c r="AI43" s="244"/>
      <c r="AJ43" s="244"/>
      <c r="AK43" s="244"/>
      <c r="AL43" s="244"/>
      <c r="AM43" s="244"/>
      <c r="AN43" s="244"/>
      <c r="AO43" s="244"/>
      <c r="AP43" s="244"/>
      <c r="AQ43" s="246" t="str">
        <f t="shared" si="5"/>
        <v/>
      </c>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4"/>
      <c r="BR43" s="244"/>
      <c r="BS43" s="244"/>
      <c r="BT43" s="244"/>
      <c r="BU43" s="244"/>
      <c r="BV43" s="244"/>
      <c r="BW43" s="244"/>
      <c r="BX43" s="244"/>
      <c r="BY43" s="244"/>
      <c r="BZ43" s="244"/>
      <c r="CA43" s="244"/>
      <c r="CB43" s="244"/>
      <c r="CC43" s="244"/>
      <c r="CD43" s="244"/>
      <c r="CE43" s="244"/>
      <c r="CF43" s="244"/>
      <c r="CG43" s="244"/>
      <c r="CH43" s="244"/>
      <c r="CI43" s="244"/>
      <c r="CJ43" s="244"/>
      <c r="CK43" s="244"/>
      <c r="CL43" s="244"/>
      <c r="CM43" s="244"/>
      <c r="CN43" s="244"/>
      <c r="CO43" s="244"/>
      <c r="CP43" s="246" t="str">
        <f t="shared" si="6"/>
        <v/>
      </c>
      <c r="CR43" s="13">
        <f t="shared" si="9"/>
        <v>0</v>
      </c>
      <c r="CS43" s="230">
        <f>IF(CR43=0,0,IF(ISERROR(MATCH(D43,D$9:D42,0)),0,1))</f>
        <v>0</v>
      </c>
      <c r="CT43" s="247"/>
    </row>
    <row r="44" spans="2:98" ht="12.75" x14ac:dyDescent="0.35">
      <c r="B44" s="13">
        <f t="shared" si="3"/>
        <v>35</v>
      </c>
      <c r="C44" s="183"/>
      <c r="D44" s="181"/>
      <c r="F44" s="215" t="s">
        <v>254</v>
      </c>
      <c r="G44" s="215" t="s">
        <v>254</v>
      </c>
      <c r="I44" s="168"/>
      <c r="J44" s="168"/>
      <c r="K44" s="168"/>
      <c r="L44" s="168"/>
      <c r="M44" s="168"/>
      <c r="N44" s="168"/>
      <c r="O44" s="168"/>
      <c r="Q44" s="168"/>
      <c r="R44" s="168"/>
      <c r="S44" s="168"/>
      <c r="T44" s="168"/>
      <c r="U44" s="168"/>
      <c r="V44" s="168"/>
      <c r="W44" s="168"/>
      <c r="Y44" s="244"/>
      <c r="Z44" s="244"/>
      <c r="AA44" s="244"/>
      <c r="AB44" s="230" t="str">
        <f t="shared" si="4"/>
        <v/>
      </c>
      <c r="AC44" s="215" t="s">
        <v>206</v>
      </c>
      <c r="AD44" s="215" t="s">
        <v>206</v>
      </c>
      <c r="AF44" s="245"/>
      <c r="AG44" s="245"/>
      <c r="AI44" s="244"/>
      <c r="AJ44" s="244"/>
      <c r="AK44" s="244"/>
      <c r="AL44" s="244"/>
      <c r="AM44" s="244"/>
      <c r="AN44" s="244"/>
      <c r="AO44" s="244"/>
      <c r="AP44" s="244"/>
      <c r="AQ44" s="246" t="str">
        <f t="shared" si="5"/>
        <v/>
      </c>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c r="BZ44" s="244"/>
      <c r="CA44" s="244"/>
      <c r="CB44" s="244"/>
      <c r="CC44" s="244"/>
      <c r="CD44" s="244"/>
      <c r="CE44" s="244"/>
      <c r="CF44" s="244"/>
      <c r="CG44" s="244"/>
      <c r="CH44" s="244"/>
      <c r="CI44" s="244"/>
      <c r="CJ44" s="244"/>
      <c r="CK44" s="244"/>
      <c r="CL44" s="244"/>
      <c r="CM44" s="244"/>
      <c r="CN44" s="244"/>
      <c r="CO44" s="244"/>
      <c r="CP44" s="246" t="str">
        <f t="shared" si="6"/>
        <v/>
      </c>
      <c r="CR44" s="13">
        <f t="shared" si="9"/>
        <v>0</v>
      </c>
      <c r="CS44" s="230">
        <f>IF(CR44=0,0,IF(ISERROR(MATCH(D44,D$9:D43,0)),0,1))</f>
        <v>0</v>
      </c>
      <c r="CT44" s="247"/>
    </row>
    <row r="45" spans="2:98" ht="12.75" x14ac:dyDescent="0.35">
      <c r="B45" s="13">
        <f t="shared" si="3"/>
        <v>36</v>
      </c>
      <c r="C45" s="183"/>
      <c r="D45" s="181"/>
      <c r="F45" s="215" t="s">
        <v>254</v>
      </c>
      <c r="G45" s="215" t="s">
        <v>254</v>
      </c>
      <c r="I45" s="168"/>
      <c r="J45" s="168"/>
      <c r="K45" s="168"/>
      <c r="L45" s="168"/>
      <c r="M45" s="168"/>
      <c r="N45" s="168"/>
      <c r="O45" s="168"/>
      <c r="Q45" s="168"/>
      <c r="R45" s="168"/>
      <c r="S45" s="168"/>
      <c r="T45" s="168"/>
      <c r="U45" s="168"/>
      <c r="V45" s="168"/>
      <c r="W45" s="168"/>
      <c r="Y45" s="244"/>
      <c r="Z45" s="244"/>
      <c r="AA45" s="244"/>
      <c r="AB45" s="230" t="str">
        <f t="shared" si="4"/>
        <v/>
      </c>
      <c r="AC45" s="215" t="s">
        <v>206</v>
      </c>
      <c r="AD45" s="215" t="s">
        <v>206</v>
      </c>
      <c r="AF45" s="245"/>
      <c r="AG45" s="245"/>
      <c r="AI45" s="244"/>
      <c r="AJ45" s="244"/>
      <c r="AK45" s="244"/>
      <c r="AL45" s="244"/>
      <c r="AM45" s="244"/>
      <c r="AN45" s="244"/>
      <c r="AO45" s="244"/>
      <c r="AP45" s="244"/>
      <c r="AQ45" s="246" t="str">
        <f t="shared" si="5"/>
        <v/>
      </c>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4"/>
      <c r="BR45" s="244"/>
      <c r="BS45" s="244"/>
      <c r="BT45" s="244"/>
      <c r="BU45" s="244"/>
      <c r="BV45" s="244"/>
      <c r="BW45" s="244"/>
      <c r="BX45" s="244"/>
      <c r="BY45" s="244"/>
      <c r="BZ45" s="244"/>
      <c r="CA45" s="244"/>
      <c r="CB45" s="244"/>
      <c r="CC45" s="244"/>
      <c r="CD45" s="244"/>
      <c r="CE45" s="244"/>
      <c r="CF45" s="244"/>
      <c r="CG45" s="244"/>
      <c r="CH45" s="244"/>
      <c r="CI45" s="244"/>
      <c r="CJ45" s="244"/>
      <c r="CK45" s="244"/>
      <c r="CL45" s="244"/>
      <c r="CM45" s="244"/>
      <c r="CN45" s="244"/>
      <c r="CO45" s="244"/>
      <c r="CP45" s="246" t="str">
        <f t="shared" si="6"/>
        <v/>
      </c>
      <c r="CR45" s="13">
        <f t="shared" si="9"/>
        <v>0</v>
      </c>
      <c r="CS45" s="230">
        <f>IF(CR45=0,0,IF(ISERROR(MATCH(D45,D$9:D44,0)),0,1))</f>
        <v>0</v>
      </c>
      <c r="CT45" s="247"/>
    </row>
    <row r="46" spans="2:98" ht="12.75" x14ac:dyDescent="0.35">
      <c r="B46" s="13">
        <f t="shared" si="3"/>
        <v>37</v>
      </c>
      <c r="C46" s="183"/>
      <c r="D46" s="181"/>
      <c r="F46" s="215" t="s">
        <v>254</v>
      </c>
      <c r="G46" s="215" t="s">
        <v>254</v>
      </c>
      <c r="I46" s="168"/>
      <c r="J46" s="168"/>
      <c r="K46" s="168"/>
      <c r="L46" s="168"/>
      <c r="M46" s="168"/>
      <c r="N46" s="168"/>
      <c r="O46" s="168"/>
      <c r="Q46" s="168"/>
      <c r="R46" s="168"/>
      <c r="S46" s="168"/>
      <c r="T46" s="168"/>
      <c r="U46" s="168"/>
      <c r="V46" s="168"/>
      <c r="W46" s="168"/>
      <c r="Y46" s="244"/>
      <c r="Z46" s="244"/>
      <c r="AA46" s="244"/>
      <c r="AB46" s="230" t="str">
        <f t="shared" si="4"/>
        <v/>
      </c>
      <c r="AC46" s="215" t="s">
        <v>206</v>
      </c>
      <c r="AD46" s="215" t="s">
        <v>206</v>
      </c>
      <c r="AF46" s="245"/>
      <c r="AG46" s="245"/>
      <c r="AI46" s="244"/>
      <c r="AJ46" s="244"/>
      <c r="AK46" s="244"/>
      <c r="AL46" s="244"/>
      <c r="AM46" s="244"/>
      <c r="AN46" s="244"/>
      <c r="AO46" s="244"/>
      <c r="AP46" s="244"/>
      <c r="AQ46" s="246" t="str">
        <f t="shared" si="5"/>
        <v/>
      </c>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4"/>
      <c r="BR46" s="244"/>
      <c r="BS46" s="244"/>
      <c r="BT46" s="244"/>
      <c r="BU46" s="244"/>
      <c r="BV46" s="244"/>
      <c r="BW46" s="244"/>
      <c r="BX46" s="244"/>
      <c r="BY46" s="244"/>
      <c r="BZ46" s="244"/>
      <c r="CA46" s="244"/>
      <c r="CB46" s="244"/>
      <c r="CC46" s="244"/>
      <c r="CD46" s="244"/>
      <c r="CE46" s="244"/>
      <c r="CF46" s="244"/>
      <c r="CG46" s="244"/>
      <c r="CH46" s="244"/>
      <c r="CI46" s="244"/>
      <c r="CJ46" s="244"/>
      <c r="CK46" s="244"/>
      <c r="CL46" s="244"/>
      <c r="CM46" s="244"/>
      <c r="CN46" s="244"/>
      <c r="CO46" s="244"/>
      <c r="CP46" s="246" t="str">
        <f t="shared" si="6"/>
        <v/>
      </c>
      <c r="CR46" s="13">
        <f t="shared" si="9"/>
        <v>0</v>
      </c>
      <c r="CS46" s="230">
        <f>IF(CR46=0,0,IF(ISERROR(MATCH(D46,D$9:D45,0)),0,1))</f>
        <v>0</v>
      </c>
      <c r="CT46" s="247"/>
    </row>
    <row r="47" spans="2:98" ht="12.75" x14ac:dyDescent="0.35">
      <c r="B47" s="13">
        <f t="shared" si="3"/>
        <v>38</v>
      </c>
      <c r="C47" s="183"/>
      <c r="D47" s="181"/>
      <c r="F47" s="215" t="s">
        <v>254</v>
      </c>
      <c r="G47" s="215" t="s">
        <v>254</v>
      </c>
      <c r="I47" s="168"/>
      <c r="J47" s="168"/>
      <c r="K47" s="168"/>
      <c r="L47" s="168"/>
      <c r="M47" s="168"/>
      <c r="N47" s="168"/>
      <c r="O47" s="168"/>
      <c r="Q47" s="168"/>
      <c r="R47" s="168"/>
      <c r="S47" s="168"/>
      <c r="T47" s="168"/>
      <c r="U47" s="168"/>
      <c r="V47" s="168"/>
      <c r="W47" s="168"/>
      <c r="Y47" s="244"/>
      <c r="Z47" s="244"/>
      <c r="AA47" s="244"/>
      <c r="AB47" s="230" t="str">
        <f t="shared" si="4"/>
        <v/>
      </c>
      <c r="AC47" s="215" t="s">
        <v>206</v>
      </c>
      <c r="AD47" s="215" t="s">
        <v>206</v>
      </c>
      <c r="AF47" s="245"/>
      <c r="AG47" s="245"/>
      <c r="AI47" s="244"/>
      <c r="AJ47" s="244"/>
      <c r="AK47" s="244"/>
      <c r="AL47" s="244"/>
      <c r="AM47" s="244"/>
      <c r="AN47" s="244"/>
      <c r="AO47" s="244"/>
      <c r="AP47" s="244"/>
      <c r="AQ47" s="246" t="str">
        <f t="shared" si="5"/>
        <v/>
      </c>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4"/>
      <c r="BR47" s="244"/>
      <c r="BS47" s="244"/>
      <c r="BT47" s="244"/>
      <c r="BU47" s="244"/>
      <c r="BV47" s="244"/>
      <c r="BW47" s="244"/>
      <c r="BX47" s="244"/>
      <c r="BY47" s="244"/>
      <c r="BZ47" s="244"/>
      <c r="CA47" s="244"/>
      <c r="CB47" s="244"/>
      <c r="CC47" s="244"/>
      <c r="CD47" s="244"/>
      <c r="CE47" s="244"/>
      <c r="CF47" s="244"/>
      <c r="CG47" s="244"/>
      <c r="CH47" s="244"/>
      <c r="CI47" s="244"/>
      <c r="CJ47" s="244"/>
      <c r="CK47" s="244"/>
      <c r="CL47" s="244"/>
      <c r="CM47" s="244"/>
      <c r="CN47" s="244"/>
      <c r="CO47" s="244"/>
      <c r="CP47" s="246" t="str">
        <f t="shared" si="6"/>
        <v/>
      </c>
      <c r="CR47" s="13">
        <f t="shared" si="9"/>
        <v>0</v>
      </c>
      <c r="CS47" s="230">
        <f>IF(CR47=0,0,IF(ISERROR(MATCH(D47,D$9:D46,0)),0,1))</f>
        <v>0</v>
      </c>
      <c r="CT47" s="247"/>
    </row>
    <row r="48" spans="2:98" ht="12.75" x14ac:dyDescent="0.35">
      <c r="B48" s="13">
        <f t="shared" si="3"/>
        <v>39</v>
      </c>
      <c r="C48" s="183"/>
      <c r="D48" s="181"/>
      <c r="F48" s="215" t="s">
        <v>254</v>
      </c>
      <c r="G48" s="215" t="s">
        <v>254</v>
      </c>
      <c r="I48" s="168"/>
      <c r="J48" s="168"/>
      <c r="K48" s="168"/>
      <c r="L48" s="168"/>
      <c r="M48" s="168"/>
      <c r="N48" s="168"/>
      <c r="O48" s="168"/>
      <c r="Q48" s="168"/>
      <c r="R48" s="168"/>
      <c r="S48" s="168"/>
      <c r="T48" s="168"/>
      <c r="U48" s="168"/>
      <c r="V48" s="168"/>
      <c r="W48" s="168"/>
      <c r="Y48" s="244"/>
      <c r="Z48" s="244"/>
      <c r="AA48" s="244"/>
      <c r="AB48" s="230" t="str">
        <f t="shared" si="4"/>
        <v/>
      </c>
      <c r="AC48" s="215" t="s">
        <v>206</v>
      </c>
      <c r="AD48" s="215" t="s">
        <v>206</v>
      </c>
      <c r="AF48" s="245"/>
      <c r="AG48" s="245"/>
      <c r="AI48" s="244"/>
      <c r="AJ48" s="244"/>
      <c r="AK48" s="244"/>
      <c r="AL48" s="244"/>
      <c r="AM48" s="244"/>
      <c r="AN48" s="244"/>
      <c r="AO48" s="244"/>
      <c r="AP48" s="244"/>
      <c r="AQ48" s="246" t="str">
        <f t="shared" si="5"/>
        <v/>
      </c>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4"/>
      <c r="BR48" s="244"/>
      <c r="BS48" s="244"/>
      <c r="BT48" s="244"/>
      <c r="BU48" s="244"/>
      <c r="BV48" s="244"/>
      <c r="BW48" s="244"/>
      <c r="BX48" s="244"/>
      <c r="BY48" s="244"/>
      <c r="BZ48" s="244"/>
      <c r="CA48" s="244"/>
      <c r="CB48" s="244"/>
      <c r="CC48" s="244"/>
      <c r="CD48" s="244"/>
      <c r="CE48" s="244"/>
      <c r="CF48" s="244"/>
      <c r="CG48" s="244"/>
      <c r="CH48" s="244"/>
      <c r="CI48" s="244"/>
      <c r="CJ48" s="244"/>
      <c r="CK48" s="244"/>
      <c r="CL48" s="244"/>
      <c r="CM48" s="244"/>
      <c r="CN48" s="244"/>
      <c r="CO48" s="244"/>
      <c r="CP48" s="246" t="str">
        <f t="shared" si="6"/>
        <v/>
      </c>
      <c r="CR48" s="13">
        <f t="shared" si="9"/>
        <v>0</v>
      </c>
      <c r="CS48" s="230">
        <f>IF(CR48=0,0,IF(ISERROR(MATCH(D48,D$9:D47,0)),0,1))</f>
        <v>0</v>
      </c>
      <c r="CT48" s="247"/>
    </row>
    <row r="49" spans="2:98" ht="12.75" x14ac:dyDescent="0.35">
      <c r="B49" s="13">
        <f t="shared" si="3"/>
        <v>40</v>
      </c>
      <c r="C49" s="183"/>
      <c r="D49" s="181"/>
      <c r="F49" s="215" t="s">
        <v>254</v>
      </c>
      <c r="G49" s="215" t="s">
        <v>254</v>
      </c>
      <c r="I49" s="168"/>
      <c r="J49" s="168"/>
      <c r="K49" s="168"/>
      <c r="L49" s="168"/>
      <c r="M49" s="168"/>
      <c r="N49" s="168"/>
      <c r="O49" s="168"/>
      <c r="Q49" s="168"/>
      <c r="R49" s="168"/>
      <c r="S49" s="168"/>
      <c r="T49" s="168"/>
      <c r="U49" s="168"/>
      <c r="V49" s="168"/>
      <c r="W49" s="168"/>
      <c r="Y49" s="244"/>
      <c r="Z49" s="244"/>
      <c r="AA49" s="244"/>
      <c r="AB49" s="230" t="str">
        <f t="shared" si="4"/>
        <v/>
      </c>
      <c r="AC49" s="215" t="s">
        <v>206</v>
      </c>
      <c r="AD49" s="215" t="s">
        <v>206</v>
      </c>
      <c r="AF49" s="245"/>
      <c r="AG49" s="245"/>
      <c r="AI49" s="244"/>
      <c r="AJ49" s="244"/>
      <c r="AK49" s="244"/>
      <c r="AL49" s="244"/>
      <c r="AM49" s="244"/>
      <c r="AN49" s="244"/>
      <c r="AO49" s="244"/>
      <c r="AP49" s="244"/>
      <c r="AQ49" s="246" t="str">
        <f t="shared" si="5"/>
        <v/>
      </c>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4"/>
      <c r="BR49" s="244"/>
      <c r="BS49" s="244"/>
      <c r="BT49" s="244"/>
      <c r="BU49" s="244"/>
      <c r="BV49" s="244"/>
      <c r="BW49" s="244"/>
      <c r="BX49" s="244"/>
      <c r="BY49" s="244"/>
      <c r="BZ49" s="244"/>
      <c r="CA49" s="244"/>
      <c r="CB49" s="244"/>
      <c r="CC49" s="244"/>
      <c r="CD49" s="244"/>
      <c r="CE49" s="244"/>
      <c r="CF49" s="244"/>
      <c r="CG49" s="244"/>
      <c r="CH49" s="244"/>
      <c r="CI49" s="244"/>
      <c r="CJ49" s="244"/>
      <c r="CK49" s="244"/>
      <c r="CL49" s="244"/>
      <c r="CM49" s="244"/>
      <c r="CN49" s="244"/>
      <c r="CO49" s="244"/>
      <c r="CP49" s="246" t="str">
        <f t="shared" si="6"/>
        <v/>
      </c>
      <c r="CR49" s="13">
        <f t="shared" si="9"/>
        <v>0</v>
      </c>
      <c r="CS49" s="230">
        <f>IF(CR49=0,0,IF(ISERROR(MATCH(D49,D$9:D48,0)),0,1))</f>
        <v>0</v>
      </c>
      <c r="CT49" s="247"/>
    </row>
    <row r="50" spans="2:98" ht="12.75" x14ac:dyDescent="0.35">
      <c r="B50" s="13">
        <f t="shared" si="3"/>
        <v>41</v>
      </c>
      <c r="C50" s="183"/>
      <c r="D50" s="181"/>
      <c r="F50" s="215" t="s">
        <v>254</v>
      </c>
      <c r="G50" s="215" t="s">
        <v>254</v>
      </c>
      <c r="I50" s="168"/>
      <c r="J50" s="168"/>
      <c r="K50" s="168"/>
      <c r="L50" s="168"/>
      <c r="M50" s="168"/>
      <c r="N50" s="168"/>
      <c r="O50" s="168"/>
      <c r="Q50" s="168"/>
      <c r="R50" s="168"/>
      <c r="S50" s="168"/>
      <c r="T50" s="168"/>
      <c r="U50" s="168"/>
      <c r="V50" s="168"/>
      <c r="W50" s="168"/>
      <c r="Y50" s="244"/>
      <c r="Z50" s="244"/>
      <c r="AA50" s="244"/>
      <c r="AB50" s="230" t="str">
        <f t="shared" si="4"/>
        <v/>
      </c>
      <c r="AC50" s="215" t="s">
        <v>206</v>
      </c>
      <c r="AD50" s="215" t="s">
        <v>206</v>
      </c>
      <c r="AF50" s="245"/>
      <c r="AG50" s="245"/>
      <c r="AI50" s="244"/>
      <c r="AJ50" s="244"/>
      <c r="AK50" s="244"/>
      <c r="AL50" s="244"/>
      <c r="AM50" s="244"/>
      <c r="AN50" s="244"/>
      <c r="AO50" s="244"/>
      <c r="AP50" s="244"/>
      <c r="AQ50" s="246" t="str">
        <f t="shared" si="5"/>
        <v/>
      </c>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4"/>
      <c r="BR50" s="244"/>
      <c r="BS50" s="244"/>
      <c r="BT50" s="244"/>
      <c r="BU50" s="244"/>
      <c r="BV50" s="244"/>
      <c r="BW50" s="244"/>
      <c r="BX50" s="244"/>
      <c r="BY50" s="244"/>
      <c r="BZ50" s="244"/>
      <c r="CA50" s="244"/>
      <c r="CB50" s="244"/>
      <c r="CC50" s="244"/>
      <c r="CD50" s="244"/>
      <c r="CE50" s="244"/>
      <c r="CF50" s="244"/>
      <c r="CG50" s="244"/>
      <c r="CH50" s="244"/>
      <c r="CI50" s="244"/>
      <c r="CJ50" s="244"/>
      <c r="CK50" s="244"/>
      <c r="CL50" s="244"/>
      <c r="CM50" s="244"/>
      <c r="CN50" s="244"/>
      <c r="CO50" s="244"/>
      <c r="CP50" s="246" t="str">
        <f t="shared" si="6"/>
        <v/>
      </c>
      <c r="CR50" s="13">
        <f t="shared" si="9"/>
        <v>0</v>
      </c>
      <c r="CS50" s="230">
        <f>IF(CR50=0,0,IF(ISERROR(MATCH(D50,D$9:D49,0)),0,1))</f>
        <v>0</v>
      </c>
      <c r="CT50" s="247"/>
    </row>
    <row r="51" spans="2:98" ht="12.75" x14ac:dyDescent="0.35">
      <c r="B51" s="13">
        <f t="shared" si="3"/>
        <v>42</v>
      </c>
      <c r="C51" s="183"/>
      <c r="D51" s="181"/>
      <c r="F51" s="215" t="s">
        <v>254</v>
      </c>
      <c r="G51" s="215" t="s">
        <v>254</v>
      </c>
      <c r="I51" s="168"/>
      <c r="J51" s="168"/>
      <c r="K51" s="168"/>
      <c r="L51" s="168"/>
      <c r="M51" s="168"/>
      <c r="N51" s="168"/>
      <c r="O51" s="168"/>
      <c r="Q51" s="168"/>
      <c r="R51" s="168"/>
      <c r="S51" s="168"/>
      <c r="T51" s="168"/>
      <c r="U51" s="168"/>
      <c r="V51" s="168"/>
      <c r="W51" s="168"/>
      <c r="Y51" s="244"/>
      <c r="Z51" s="244"/>
      <c r="AA51" s="244"/>
      <c r="AB51" s="230" t="str">
        <f t="shared" si="4"/>
        <v/>
      </c>
      <c r="AC51" s="215" t="s">
        <v>206</v>
      </c>
      <c r="AD51" s="215" t="s">
        <v>206</v>
      </c>
      <c r="AF51" s="245"/>
      <c r="AG51" s="245"/>
      <c r="AI51" s="244"/>
      <c r="AJ51" s="244"/>
      <c r="AK51" s="244"/>
      <c r="AL51" s="244"/>
      <c r="AM51" s="244"/>
      <c r="AN51" s="244"/>
      <c r="AO51" s="244"/>
      <c r="AP51" s="244"/>
      <c r="AQ51" s="246" t="str">
        <f t="shared" si="5"/>
        <v/>
      </c>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4"/>
      <c r="BR51" s="244"/>
      <c r="BS51" s="244"/>
      <c r="BT51" s="244"/>
      <c r="BU51" s="244"/>
      <c r="BV51" s="244"/>
      <c r="BW51" s="244"/>
      <c r="BX51" s="244"/>
      <c r="BY51" s="244"/>
      <c r="BZ51" s="244"/>
      <c r="CA51" s="244"/>
      <c r="CB51" s="244"/>
      <c r="CC51" s="244"/>
      <c r="CD51" s="244"/>
      <c r="CE51" s="244"/>
      <c r="CF51" s="244"/>
      <c r="CG51" s="244"/>
      <c r="CH51" s="244"/>
      <c r="CI51" s="244"/>
      <c r="CJ51" s="244"/>
      <c r="CK51" s="244"/>
      <c r="CL51" s="244"/>
      <c r="CM51" s="244"/>
      <c r="CN51" s="244"/>
      <c r="CO51" s="244"/>
      <c r="CP51" s="246" t="str">
        <f t="shared" si="6"/>
        <v/>
      </c>
      <c r="CR51" s="13">
        <f t="shared" si="9"/>
        <v>0</v>
      </c>
      <c r="CS51" s="230">
        <f>IF(CR51=0,0,IF(ISERROR(MATCH(D51,D$9:D50,0)),0,1))</f>
        <v>0</v>
      </c>
      <c r="CT51" s="247"/>
    </row>
    <row r="52" spans="2:98" ht="12.75" x14ac:dyDescent="0.35">
      <c r="B52" s="13">
        <f t="shared" si="3"/>
        <v>43</v>
      </c>
      <c r="C52" s="183"/>
      <c r="D52" s="181"/>
      <c r="F52" s="215" t="s">
        <v>254</v>
      </c>
      <c r="G52" s="215" t="s">
        <v>254</v>
      </c>
      <c r="I52" s="168"/>
      <c r="J52" s="168"/>
      <c r="K52" s="168"/>
      <c r="L52" s="168"/>
      <c r="M52" s="168"/>
      <c r="N52" s="168"/>
      <c r="O52" s="168"/>
      <c r="Q52" s="168"/>
      <c r="R52" s="168"/>
      <c r="S52" s="168"/>
      <c r="T52" s="168"/>
      <c r="U52" s="168"/>
      <c r="V52" s="168"/>
      <c r="W52" s="168"/>
      <c r="Y52" s="244"/>
      <c r="Z52" s="244"/>
      <c r="AA52" s="244"/>
      <c r="AB52" s="230" t="str">
        <f t="shared" si="4"/>
        <v/>
      </c>
      <c r="AC52" s="215" t="s">
        <v>206</v>
      </c>
      <c r="AD52" s="215" t="s">
        <v>206</v>
      </c>
      <c r="AF52" s="245"/>
      <c r="AG52" s="245"/>
      <c r="AI52" s="244"/>
      <c r="AJ52" s="244"/>
      <c r="AK52" s="244"/>
      <c r="AL52" s="244"/>
      <c r="AM52" s="244"/>
      <c r="AN52" s="244"/>
      <c r="AO52" s="244"/>
      <c r="AP52" s="244"/>
      <c r="AQ52" s="246" t="str">
        <f t="shared" si="5"/>
        <v/>
      </c>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4"/>
      <c r="BR52" s="244"/>
      <c r="BS52" s="244"/>
      <c r="BT52" s="244"/>
      <c r="BU52" s="244"/>
      <c r="BV52" s="244"/>
      <c r="BW52" s="244"/>
      <c r="BX52" s="244"/>
      <c r="BY52" s="244"/>
      <c r="BZ52" s="244"/>
      <c r="CA52" s="244"/>
      <c r="CB52" s="244"/>
      <c r="CC52" s="244"/>
      <c r="CD52" s="244"/>
      <c r="CE52" s="244"/>
      <c r="CF52" s="244"/>
      <c r="CG52" s="244"/>
      <c r="CH52" s="244"/>
      <c r="CI52" s="244"/>
      <c r="CJ52" s="244"/>
      <c r="CK52" s="244"/>
      <c r="CL52" s="244"/>
      <c r="CM52" s="244"/>
      <c r="CN52" s="244"/>
      <c r="CO52" s="244"/>
      <c r="CP52" s="246" t="str">
        <f t="shared" si="6"/>
        <v/>
      </c>
      <c r="CR52" s="13">
        <f t="shared" si="9"/>
        <v>0</v>
      </c>
      <c r="CS52" s="230">
        <f>IF(CR52=0,0,IF(ISERROR(MATCH(D52,D$9:D51,0)),0,1))</f>
        <v>0</v>
      </c>
      <c r="CT52" s="247"/>
    </row>
    <row r="53" spans="2:98" ht="12.75" x14ac:dyDescent="0.35">
      <c r="B53" s="13">
        <f t="shared" si="3"/>
        <v>44</v>
      </c>
      <c r="C53" s="183"/>
      <c r="D53" s="181"/>
      <c r="F53" s="215" t="s">
        <v>254</v>
      </c>
      <c r="G53" s="215" t="s">
        <v>254</v>
      </c>
      <c r="I53" s="168"/>
      <c r="J53" s="168"/>
      <c r="K53" s="168"/>
      <c r="L53" s="168"/>
      <c r="M53" s="168"/>
      <c r="N53" s="168"/>
      <c r="O53" s="168"/>
      <c r="Q53" s="168"/>
      <c r="R53" s="168"/>
      <c r="S53" s="168"/>
      <c r="T53" s="168"/>
      <c r="U53" s="168"/>
      <c r="V53" s="168"/>
      <c r="W53" s="168"/>
      <c r="Y53" s="244"/>
      <c r="Z53" s="244"/>
      <c r="AA53" s="244"/>
      <c r="AB53" s="230" t="str">
        <f t="shared" si="4"/>
        <v/>
      </c>
      <c r="AC53" s="215" t="s">
        <v>206</v>
      </c>
      <c r="AD53" s="215" t="s">
        <v>206</v>
      </c>
      <c r="AF53" s="245"/>
      <c r="AG53" s="245"/>
      <c r="AI53" s="244"/>
      <c r="AJ53" s="244"/>
      <c r="AK53" s="244"/>
      <c r="AL53" s="244"/>
      <c r="AM53" s="244"/>
      <c r="AN53" s="244"/>
      <c r="AO53" s="244"/>
      <c r="AP53" s="244"/>
      <c r="AQ53" s="246" t="str">
        <f t="shared" si="5"/>
        <v/>
      </c>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4"/>
      <c r="BR53" s="244"/>
      <c r="BS53" s="244"/>
      <c r="BT53" s="244"/>
      <c r="BU53" s="244"/>
      <c r="BV53" s="244"/>
      <c r="BW53" s="244"/>
      <c r="BX53" s="244"/>
      <c r="BY53" s="244"/>
      <c r="BZ53" s="244"/>
      <c r="CA53" s="244"/>
      <c r="CB53" s="244"/>
      <c r="CC53" s="244"/>
      <c r="CD53" s="244"/>
      <c r="CE53" s="244"/>
      <c r="CF53" s="244"/>
      <c r="CG53" s="244"/>
      <c r="CH53" s="244"/>
      <c r="CI53" s="244"/>
      <c r="CJ53" s="244"/>
      <c r="CK53" s="244"/>
      <c r="CL53" s="244"/>
      <c r="CM53" s="244"/>
      <c r="CN53" s="244"/>
      <c r="CO53" s="244"/>
      <c r="CP53" s="246" t="str">
        <f t="shared" si="6"/>
        <v/>
      </c>
      <c r="CR53" s="13">
        <f t="shared" si="9"/>
        <v>0</v>
      </c>
      <c r="CS53" s="230">
        <f>IF(CR53=0,0,IF(ISERROR(MATCH(D53,D$9:D52,0)),0,1))</f>
        <v>0</v>
      </c>
      <c r="CT53" s="247"/>
    </row>
    <row r="54" spans="2:98" ht="12.75" x14ac:dyDescent="0.35">
      <c r="B54" s="13">
        <f t="shared" si="3"/>
        <v>45</v>
      </c>
      <c r="C54" s="183"/>
      <c r="D54" s="181"/>
      <c r="F54" s="215" t="s">
        <v>254</v>
      </c>
      <c r="G54" s="215" t="s">
        <v>254</v>
      </c>
      <c r="I54" s="168"/>
      <c r="J54" s="168"/>
      <c r="K54" s="168"/>
      <c r="L54" s="168"/>
      <c r="M54" s="168"/>
      <c r="N54" s="168"/>
      <c r="O54" s="168"/>
      <c r="Q54" s="168"/>
      <c r="R54" s="168"/>
      <c r="S54" s="168"/>
      <c r="T54" s="168"/>
      <c r="U54" s="168"/>
      <c r="V54" s="168"/>
      <c r="W54" s="168"/>
      <c r="Y54" s="244"/>
      <c r="Z54" s="244"/>
      <c r="AA54" s="244"/>
      <c r="AB54" s="230" t="str">
        <f t="shared" si="4"/>
        <v/>
      </c>
      <c r="AC54" s="215" t="s">
        <v>206</v>
      </c>
      <c r="AD54" s="215" t="s">
        <v>206</v>
      </c>
      <c r="AF54" s="245"/>
      <c r="AG54" s="245"/>
      <c r="AI54" s="244"/>
      <c r="AJ54" s="244"/>
      <c r="AK54" s="244"/>
      <c r="AL54" s="244"/>
      <c r="AM54" s="244"/>
      <c r="AN54" s="244"/>
      <c r="AO54" s="244"/>
      <c r="AP54" s="244"/>
      <c r="AQ54" s="246" t="str">
        <f t="shared" si="5"/>
        <v/>
      </c>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4"/>
      <c r="BR54" s="244"/>
      <c r="BS54" s="244"/>
      <c r="BT54" s="244"/>
      <c r="BU54" s="244"/>
      <c r="BV54" s="244"/>
      <c r="BW54" s="244"/>
      <c r="BX54" s="244"/>
      <c r="BY54" s="244"/>
      <c r="BZ54" s="244"/>
      <c r="CA54" s="244"/>
      <c r="CB54" s="244"/>
      <c r="CC54" s="244"/>
      <c r="CD54" s="244"/>
      <c r="CE54" s="244"/>
      <c r="CF54" s="244"/>
      <c r="CG54" s="244"/>
      <c r="CH54" s="244"/>
      <c r="CI54" s="244"/>
      <c r="CJ54" s="244"/>
      <c r="CK54" s="244"/>
      <c r="CL54" s="244"/>
      <c r="CM54" s="244"/>
      <c r="CN54" s="244"/>
      <c r="CO54" s="244"/>
      <c r="CP54" s="246" t="str">
        <f t="shared" si="6"/>
        <v/>
      </c>
      <c r="CR54" s="13">
        <f t="shared" si="9"/>
        <v>0</v>
      </c>
      <c r="CS54" s="230">
        <f>IF(CR54=0,0,IF(ISERROR(MATCH(D54,D$9:D53,0)),0,1))</f>
        <v>0</v>
      </c>
      <c r="CT54" s="247"/>
    </row>
    <row r="55" spans="2:98" ht="12.75" x14ac:dyDescent="0.35">
      <c r="B55" s="13">
        <f t="shared" si="3"/>
        <v>46</v>
      </c>
      <c r="C55" s="183"/>
      <c r="D55" s="181"/>
      <c r="F55" s="215" t="s">
        <v>254</v>
      </c>
      <c r="G55" s="215" t="s">
        <v>254</v>
      </c>
      <c r="I55" s="168"/>
      <c r="J55" s="168"/>
      <c r="K55" s="168"/>
      <c r="L55" s="168"/>
      <c r="M55" s="168"/>
      <c r="N55" s="168"/>
      <c r="O55" s="168"/>
      <c r="Q55" s="168"/>
      <c r="R55" s="168"/>
      <c r="S55" s="168"/>
      <c r="T55" s="168"/>
      <c r="U55" s="168"/>
      <c r="V55" s="168"/>
      <c r="W55" s="168"/>
      <c r="Y55" s="244"/>
      <c r="Z55" s="244"/>
      <c r="AA55" s="244"/>
      <c r="AB55" s="230" t="str">
        <f t="shared" si="4"/>
        <v/>
      </c>
      <c r="AC55" s="215" t="s">
        <v>206</v>
      </c>
      <c r="AD55" s="215" t="s">
        <v>206</v>
      </c>
      <c r="AF55" s="245"/>
      <c r="AG55" s="245"/>
      <c r="AI55" s="244"/>
      <c r="AJ55" s="244"/>
      <c r="AK55" s="244"/>
      <c r="AL55" s="244"/>
      <c r="AM55" s="244"/>
      <c r="AN55" s="244"/>
      <c r="AO55" s="244"/>
      <c r="AP55" s="244"/>
      <c r="AQ55" s="246" t="str">
        <f t="shared" si="5"/>
        <v/>
      </c>
      <c r="AR55" s="244"/>
      <c r="AS55" s="244"/>
      <c r="AT55" s="244"/>
      <c r="AU55" s="244"/>
      <c r="AV55" s="244"/>
      <c r="AW55" s="244"/>
      <c r="AX55" s="244"/>
      <c r="AY55" s="244"/>
      <c r="AZ55" s="244"/>
      <c r="BA55" s="244"/>
      <c r="BB55" s="244"/>
      <c r="BC55" s="244"/>
      <c r="BD55" s="244"/>
      <c r="BE55" s="244"/>
      <c r="BF55" s="244"/>
      <c r="BG55" s="244"/>
      <c r="BH55" s="244"/>
      <c r="BI55" s="244"/>
      <c r="BJ55" s="244"/>
      <c r="BK55" s="244"/>
      <c r="BL55" s="244"/>
      <c r="BM55" s="244"/>
      <c r="BN55" s="244"/>
      <c r="BO55" s="244"/>
      <c r="BP55" s="244"/>
      <c r="BQ55" s="244"/>
      <c r="BR55" s="244"/>
      <c r="BS55" s="244"/>
      <c r="BT55" s="244"/>
      <c r="BU55" s="244"/>
      <c r="BV55" s="244"/>
      <c r="BW55" s="244"/>
      <c r="BX55" s="244"/>
      <c r="BY55" s="244"/>
      <c r="BZ55" s="244"/>
      <c r="CA55" s="244"/>
      <c r="CB55" s="244"/>
      <c r="CC55" s="244"/>
      <c r="CD55" s="244"/>
      <c r="CE55" s="244"/>
      <c r="CF55" s="244"/>
      <c r="CG55" s="244"/>
      <c r="CH55" s="244"/>
      <c r="CI55" s="244"/>
      <c r="CJ55" s="244"/>
      <c r="CK55" s="244"/>
      <c r="CL55" s="244"/>
      <c r="CM55" s="244"/>
      <c r="CN55" s="244"/>
      <c r="CO55" s="244"/>
      <c r="CP55" s="246" t="str">
        <f t="shared" si="6"/>
        <v/>
      </c>
      <c r="CR55" s="13">
        <f t="shared" si="9"/>
        <v>0</v>
      </c>
      <c r="CS55" s="230">
        <f>IF(CR55=0,0,IF(ISERROR(MATCH(D55,D$9:D54,0)),0,1))</f>
        <v>0</v>
      </c>
      <c r="CT55" s="247"/>
    </row>
    <row r="56" spans="2:98" ht="12.75" x14ac:dyDescent="0.35">
      <c r="B56" s="13">
        <f t="shared" si="3"/>
        <v>47</v>
      </c>
      <c r="C56" s="183"/>
      <c r="D56" s="181"/>
      <c r="F56" s="215" t="s">
        <v>254</v>
      </c>
      <c r="G56" s="215" t="s">
        <v>254</v>
      </c>
      <c r="I56" s="168"/>
      <c r="J56" s="168"/>
      <c r="K56" s="168"/>
      <c r="L56" s="168"/>
      <c r="M56" s="168"/>
      <c r="N56" s="168"/>
      <c r="O56" s="168"/>
      <c r="Q56" s="168"/>
      <c r="R56" s="168"/>
      <c r="S56" s="168"/>
      <c r="T56" s="168"/>
      <c r="U56" s="168"/>
      <c r="V56" s="168"/>
      <c r="W56" s="168"/>
      <c r="Y56" s="244"/>
      <c r="Z56" s="244"/>
      <c r="AA56" s="244"/>
      <c r="AB56" s="230" t="str">
        <f t="shared" si="4"/>
        <v/>
      </c>
      <c r="AC56" s="215" t="s">
        <v>206</v>
      </c>
      <c r="AD56" s="215" t="s">
        <v>206</v>
      </c>
      <c r="AF56" s="245"/>
      <c r="AG56" s="245"/>
      <c r="AI56" s="244"/>
      <c r="AJ56" s="244"/>
      <c r="AK56" s="244"/>
      <c r="AL56" s="244"/>
      <c r="AM56" s="244"/>
      <c r="AN56" s="244"/>
      <c r="AO56" s="244"/>
      <c r="AP56" s="244"/>
      <c r="AQ56" s="246" t="str">
        <f t="shared" si="5"/>
        <v/>
      </c>
      <c r="AR56" s="244"/>
      <c r="AS56" s="244"/>
      <c r="AT56" s="244"/>
      <c r="AU56" s="244"/>
      <c r="AV56" s="244"/>
      <c r="AW56" s="244"/>
      <c r="AX56" s="244"/>
      <c r="AY56" s="244"/>
      <c r="AZ56" s="244"/>
      <c r="BA56" s="244"/>
      <c r="BB56" s="244"/>
      <c r="BC56" s="244"/>
      <c r="BD56" s="244"/>
      <c r="BE56" s="244"/>
      <c r="BF56" s="244"/>
      <c r="BG56" s="244"/>
      <c r="BH56" s="244"/>
      <c r="BI56" s="244"/>
      <c r="BJ56" s="244"/>
      <c r="BK56" s="244"/>
      <c r="BL56" s="244"/>
      <c r="BM56" s="244"/>
      <c r="BN56" s="244"/>
      <c r="BO56" s="244"/>
      <c r="BP56" s="244"/>
      <c r="BQ56" s="244"/>
      <c r="BR56" s="244"/>
      <c r="BS56" s="244"/>
      <c r="BT56" s="244"/>
      <c r="BU56" s="244"/>
      <c r="BV56" s="244"/>
      <c r="BW56" s="244"/>
      <c r="BX56" s="244"/>
      <c r="BY56" s="244"/>
      <c r="BZ56" s="244"/>
      <c r="CA56" s="244"/>
      <c r="CB56" s="244"/>
      <c r="CC56" s="244"/>
      <c r="CD56" s="244"/>
      <c r="CE56" s="244"/>
      <c r="CF56" s="244"/>
      <c r="CG56" s="244"/>
      <c r="CH56" s="244"/>
      <c r="CI56" s="244"/>
      <c r="CJ56" s="244"/>
      <c r="CK56" s="244"/>
      <c r="CL56" s="244"/>
      <c r="CM56" s="244"/>
      <c r="CN56" s="244"/>
      <c r="CO56" s="244"/>
      <c r="CP56" s="246" t="str">
        <f t="shared" si="6"/>
        <v/>
      </c>
      <c r="CR56" s="13">
        <f t="shared" si="9"/>
        <v>0</v>
      </c>
      <c r="CS56" s="230">
        <f>IF(CR56=0,0,IF(ISERROR(MATCH(D56,D$9:D55,0)),0,1))</f>
        <v>0</v>
      </c>
      <c r="CT56" s="247"/>
    </row>
    <row r="57" spans="2:98" ht="12.75" x14ac:dyDescent="0.35">
      <c r="B57" s="13">
        <f t="shared" si="3"/>
        <v>48</v>
      </c>
      <c r="C57" s="183"/>
      <c r="D57" s="181"/>
      <c r="F57" s="215" t="s">
        <v>254</v>
      </c>
      <c r="G57" s="215" t="s">
        <v>254</v>
      </c>
      <c r="I57" s="168"/>
      <c r="J57" s="168"/>
      <c r="K57" s="168"/>
      <c r="L57" s="168"/>
      <c r="M57" s="168"/>
      <c r="N57" s="168"/>
      <c r="O57" s="168"/>
      <c r="Q57" s="168"/>
      <c r="R57" s="168"/>
      <c r="S57" s="168"/>
      <c r="T57" s="168"/>
      <c r="U57" s="168"/>
      <c r="V57" s="168"/>
      <c r="W57" s="168"/>
      <c r="Y57" s="244"/>
      <c r="Z57" s="244"/>
      <c r="AA57" s="244"/>
      <c r="AB57" s="230" t="str">
        <f t="shared" si="4"/>
        <v/>
      </c>
      <c r="AC57" s="215" t="s">
        <v>206</v>
      </c>
      <c r="AD57" s="215" t="s">
        <v>206</v>
      </c>
      <c r="AF57" s="245"/>
      <c r="AG57" s="245"/>
      <c r="AI57" s="244"/>
      <c r="AJ57" s="244"/>
      <c r="AK57" s="244"/>
      <c r="AL57" s="244"/>
      <c r="AM57" s="244"/>
      <c r="AN57" s="244"/>
      <c r="AO57" s="244"/>
      <c r="AP57" s="244"/>
      <c r="AQ57" s="246" t="str">
        <f t="shared" si="5"/>
        <v/>
      </c>
      <c r="AR57" s="244"/>
      <c r="AS57" s="244"/>
      <c r="AT57" s="244"/>
      <c r="AU57" s="244"/>
      <c r="AV57" s="244"/>
      <c r="AW57" s="244"/>
      <c r="AX57" s="244"/>
      <c r="AY57" s="244"/>
      <c r="AZ57" s="244"/>
      <c r="BA57" s="244"/>
      <c r="BB57" s="244"/>
      <c r="BC57" s="244"/>
      <c r="BD57" s="244"/>
      <c r="BE57" s="244"/>
      <c r="BF57" s="244"/>
      <c r="BG57" s="244"/>
      <c r="BH57" s="244"/>
      <c r="BI57" s="244"/>
      <c r="BJ57" s="244"/>
      <c r="BK57" s="244"/>
      <c r="BL57" s="244"/>
      <c r="BM57" s="244"/>
      <c r="BN57" s="244"/>
      <c r="BO57" s="244"/>
      <c r="BP57" s="244"/>
      <c r="BQ57" s="244"/>
      <c r="BR57" s="244"/>
      <c r="BS57" s="244"/>
      <c r="BT57" s="244"/>
      <c r="BU57" s="244"/>
      <c r="BV57" s="244"/>
      <c r="BW57" s="244"/>
      <c r="BX57" s="244"/>
      <c r="BY57" s="244"/>
      <c r="BZ57" s="244"/>
      <c r="CA57" s="244"/>
      <c r="CB57" s="244"/>
      <c r="CC57" s="244"/>
      <c r="CD57" s="244"/>
      <c r="CE57" s="244"/>
      <c r="CF57" s="244"/>
      <c r="CG57" s="244"/>
      <c r="CH57" s="244"/>
      <c r="CI57" s="244"/>
      <c r="CJ57" s="244"/>
      <c r="CK57" s="244"/>
      <c r="CL57" s="244"/>
      <c r="CM57" s="244"/>
      <c r="CN57" s="244"/>
      <c r="CO57" s="244"/>
      <c r="CP57" s="246" t="str">
        <f t="shared" si="6"/>
        <v/>
      </c>
      <c r="CR57" s="13">
        <f t="shared" si="9"/>
        <v>0</v>
      </c>
      <c r="CS57" s="230">
        <f>IF(CR57=0,0,IF(ISERROR(MATCH(D57,D$9:D56,0)),0,1))</f>
        <v>0</v>
      </c>
      <c r="CT57" s="247"/>
    </row>
    <row r="58" spans="2:98" ht="12.75" x14ac:dyDescent="0.35">
      <c r="B58" s="13">
        <f t="shared" si="3"/>
        <v>49</v>
      </c>
      <c r="C58" s="183"/>
      <c r="D58" s="181"/>
      <c r="F58" s="215" t="s">
        <v>254</v>
      </c>
      <c r="G58" s="215" t="s">
        <v>254</v>
      </c>
      <c r="I58" s="168"/>
      <c r="J58" s="168"/>
      <c r="K58" s="168"/>
      <c r="L58" s="168"/>
      <c r="M58" s="168"/>
      <c r="N58" s="168"/>
      <c r="O58" s="168"/>
      <c r="Q58" s="168"/>
      <c r="R58" s="168"/>
      <c r="S58" s="168"/>
      <c r="T58" s="168"/>
      <c r="U58" s="168"/>
      <c r="V58" s="168"/>
      <c r="W58" s="168"/>
      <c r="Y58" s="244"/>
      <c r="Z58" s="244"/>
      <c r="AA58" s="244"/>
      <c r="AB58" s="230" t="str">
        <f t="shared" si="4"/>
        <v/>
      </c>
      <c r="AC58" s="215" t="s">
        <v>206</v>
      </c>
      <c r="AD58" s="215" t="s">
        <v>206</v>
      </c>
      <c r="AF58" s="245"/>
      <c r="AG58" s="245"/>
      <c r="AI58" s="244"/>
      <c r="AJ58" s="244"/>
      <c r="AK58" s="244"/>
      <c r="AL58" s="244"/>
      <c r="AM58" s="244"/>
      <c r="AN58" s="244"/>
      <c r="AO58" s="244"/>
      <c r="AP58" s="244"/>
      <c r="AQ58" s="246" t="str">
        <f t="shared" si="5"/>
        <v/>
      </c>
      <c r="AR58" s="244"/>
      <c r="AS58" s="244"/>
      <c r="AT58" s="244"/>
      <c r="AU58" s="244"/>
      <c r="AV58" s="244"/>
      <c r="AW58" s="244"/>
      <c r="AX58" s="244"/>
      <c r="AY58" s="244"/>
      <c r="AZ58" s="244"/>
      <c r="BA58" s="244"/>
      <c r="BB58" s="244"/>
      <c r="BC58" s="244"/>
      <c r="BD58" s="244"/>
      <c r="BE58" s="244"/>
      <c r="BF58" s="244"/>
      <c r="BG58" s="244"/>
      <c r="BH58" s="244"/>
      <c r="BI58" s="244"/>
      <c r="BJ58" s="244"/>
      <c r="BK58" s="244"/>
      <c r="BL58" s="244"/>
      <c r="BM58" s="244"/>
      <c r="BN58" s="244"/>
      <c r="BO58" s="244"/>
      <c r="BP58" s="244"/>
      <c r="BQ58" s="244"/>
      <c r="BR58" s="244"/>
      <c r="BS58" s="244"/>
      <c r="BT58" s="244"/>
      <c r="BU58" s="244"/>
      <c r="BV58" s="244"/>
      <c r="BW58" s="244"/>
      <c r="BX58" s="244"/>
      <c r="BY58" s="244"/>
      <c r="BZ58" s="244"/>
      <c r="CA58" s="244"/>
      <c r="CB58" s="244"/>
      <c r="CC58" s="244"/>
      <c r="CD58" s="244"/>
      <c r="CE58" s="244"/>
      <c r="CF58" s="244"/>
      <c r="CG58" s="244"/>
      <c r="CH58" s="244"/>
      <c r="CI58" s="244"/>
      <c r="CJ58" s="244"/>
      <c r="CK58" s="244"/>
      <c r="CL58" s="244"/>
      <c r="CM58" s="244"/>
      <c r="CN58" s="244"/>
      <c r="CO58" s="244"/>
      <c r="CP58" s="246" t="str">
        <f t="shared" si="6"/>
        <v/>
      </c>
      <c r="CR58" s="13">
        <f t="shared" si="9"/>
        <v>0</v>
      </c>
      <c r="CS58" s="230">
        <f>IF(CR58=0,0,IF(ISERROR(MATCH(D58,D$9:D57,0)),0,1))</f>
        <v>0</v>
      </c>
      <c r="CT58" s="247"/>
    </row>
    <row r="59" spans="2:98" ht="12.75" x14ac:dyDescent="0.35">
      <c r="B59" s="13">
        <f t="shared" si="3"/>
        <v>50</v>
      </c>
      <c r="C59" s="183"/>
      <c r="D59" s="181"/>
      <c r="F59" s="215" t="s">
        <v>254</v>
      </c>
      <c r="G59" s="215" t="s">
        <v>254</v>
      </c>
      <c r="I59" s="168"/>
      <c r="J59" s="168"/>
      <c r="K59" s="168"/>
      <c r="L59" s="168"/>
      <c r="M59" s="168"/>
      <c r="N59" s="168"/>
      <c r="O59" s="168"/>
      <c r="Q59" s="168"/>
      <c r="R59" s="168"/>
      <c r="S59" s="168"/>
      <c r="T59" s="168"/>
      <c r="U59" s="168"/>
      <c r="V59" s="168"/>
      <c r="W59" s="168"/>
      <c r="Y59" s="244"/>
      <c r="Z59" s="244"/>
      <c r="AA59" s="244"/>
      <c r="AB59" s="230" t="str">
        <f t="shared" si="4"/>
        <v/>
      </c>
      <c r="AC59" s="215" t="s">
        <v>206</v>
      </c>
      <c r="AD59" s="215" t="s">
        <v>206</v>
      </c>
      <c r="AF59" s="245"/>
      <c r="AG59" s="245"/>
      <c r="AI59" s="244"/>
      <c r="AJ59" s="244"/>
      <c r="AK59" s="244"/>
      <c r="AL59" s="244"/>
      <c r="AM59" s="244"/>
      <c r="AN59" s="244"/>
      <c r="AO59" s="244"/>
      <c r="AP59" s="244"/>
      <c r="AQ59" s="246" t="str">
        <f t="shared" si="5"/>
        <v/>
      </c>
      <c r="AR59" s="244"/>
      <c r="AS59" s="244"/>
      <c r="AT59" s="244"/>
      <c r="AU59" s="244"/>
      <c r="AV59" s="244"/>
      <c r="AW59" s="244"/>
      <c r="AX59" s="244"/>
      <c r="AY59" s="244"/>
      <c r="AZ59" s="244"/>
      <c r="BA59" s="244"/>
      <c r="BB59" s="244"/>
      <c r="BC59" s="244"/>
      <c r="BD59" s="244"/>
      <c r="BE59" s="244"/>
      <c r="BF59" s="244"/>
      <c r="BG59" s="244"/>
      <c r="BH59" s="244"/>
      <c r="BI59" s="244"/>
      <c r="BJ59" s="244"/>
      <c r="BK59" s="244"/>
      <c r="BL59" s="244"/>
      <c r="BM59" s="244"/>
      <c r="BN59" s="244"/>
      <c r="BO59" s="244"/>
      <c r="BP59" s="244"/>
      <c r="BQ59" s="244"/>
      <c r="BR59" s="244"/>
      <c r="BS59" s="244"/>
      <c r="BT59" s="244"/>
      <c r="BU59" s="244"/>
      <c r="BV59" s="244"/>
      <c r="BW59" s="244"/>
      <c r="BX59" s="244"/>
      <c r="BY59" s="244"/>
      <c r="BZ59" s="244"/>
      <c r="CA59" s="244"/>
      <c r="CB59" s="244"/>
      <c r="CC59" s="244"/>
      <c r="CD59" s="244"/>
      <c r="CE59" s="244"/>
      <c r="CF59" s="244"/>
      <c r="CG59" s="244"/>
      <c r="CH59" s="244"/>
      <c r="CI59" s="244"/>
      <c r="CJ59" s="244"/>
      <c r="CK59" s="244"/>
      <c r="CL59" s="244"/>
      <c r="CM59" s="244"/>
      <c r="CN59" s="244"/>
      <c r="CO59" s="244"/>
      <c r="CP59" s="246" t="str">
        <f t="shared" si="6"/>
        <v/>
      </c>
      <c r="CR59" s="13">
        <f t="shared" si="9"/>
        <v>0</v>
      </c>
      <c r="CS59" s="230">
        <f>IF(CR59=0,0,IF(ISERROR(MATCH(D59,D$9:D58,0)),0,1))</f>
        <v>0</v>
      </c>
      <c r="CT59" s="247"/>
    </row>
    <row r="60" spans="2:98" ht="12.75" x14ac:dyDescent="0.35">
      <c r="B60" s="13">
        <f t="shared" si="3"/>
        <v>51</v>
      </c>
      <c r="C60" s="183"/>
      <c r="D60" s="181"/>
      <c r="F60" s="215" t="s">
        <v>254</v>
      </c>
      <c r="G60" s="215" t="s">
        <v>254</v>
      </c>
      <c r="I60" s="168"/>
      <c r="J60" s="168"/>
      <c r="K60" s="168"/>
      <c r="L60" s="168"/>
      <c r="M60" s="168"/>
      <c r="N60" s="168"/>
      <c r="O60" s="168"/>
      <c r="Q60" s="168"/>
      <c r="R60" s="168"/>
      <c r="S60" s="168"/>
      <c r="T60" s="168"/>
      <c r="U60" s="168"/>
      <c r="V60" s="168"/>
      <c r="W60" s="168"/>
      <c r="Y60" s="244"/>
      <c r="Z60" s="244"/>
      <c r="AA60" s="244"/>
      <c r="AB60" s="230" t="str">
        <f t="shared" si="4"/>
        <v/>
      </c>
      <c r="AC60" s="215" t="s">
        <v>206</v>
      </c>
      <c r="AD60" s="215" t="s">
        <v>206</v>
      </c>
      <c r="AF60" s="245"/>
      <c r="AG60" s="245"/>
      <c r="AI60" s="244"/>
      <c r="AJ60" s="244"/>
      <c r="AK60" s="244"/>
      <c r="AL60" s="244"/>
      <c r="AM60" s="244"/>
      <c r="AN60" s="244"/>
      <c r="AO60" s="244"/>
      <c r="AP60" s="244"/>
      <c r="AQ60" s="246" t="str">
        <f t="shared" si="5"/>
        <v/>
      </c>
      <c r="AR60" s="244"/>
      <c r="AS60" s="244"/>
      <c r="AT60" s="244"/>
      <c r="AU60" s="244"/>
      <c r="AV60" s="244"/>
      <c r="AW60" s="244"/>
      <c r="AX60" s="244"/>
      <c r="AY60" s="244"/>
      <c r="AZ60" s="244"/>
      <c r="BA60" s="244"/>
      <c r="BB60" s="244"/>
      <c r="BC60" s="244"/>
      <c r="BD60" s="244"/>
      <c r="BE60" s="244"/>
      <c r="BF60" s="244"/>
      <c r="BG60" s="244"/>
      <c r="BH60" s="244"/>
      <c r="BI60" s="244"/>
      <c r="BJ60" s="244"/>
      <c r="BK60" s="244"/>
      <c r="BL60" s="244"/>
      <c r="BM60" s="244"/>
      <c r="BN60" s="244"/>
      <c r="BO60" s="244"/>
      <c r="BP60" s="244"/>
      <c r="BQ60" s="244"/>
      <c r="BR60" s="244"/>
      <c r="BS60" s="244"/>
      <c r="BT60" s="244"/>
      <c r="BU60" s="244"/>
      <c r="BV60" s="244"/>
      <c r="BW60" s="244"/>
      <c r="BX60" s="244"/>
      <c r="BY60" s="244"/>
      <c r="BZ60" s="244"/>
      <c r="CA60" s="244"/>
      <c r="CB60" s="244"/>
      <c r="CC60" s="244"/>
      <c r="CD60" s="244"/>
      <c r="CE60" s="244"/>
      <c r="CF60" s="244"/>
      <c r="CG60" s="244"/>
      <c r="CH60" s="244"/>
      <c r="CI60" s="244"/>
      <c r="CJ60" s="244"/>
      <c r="CK60" s="244"/>
      <c r="CL60" s="244"/>
      <c r="CM60" s="244"/>
      <c r="CN60" s="244"/>
      <c r="CO60" s="244"/>
      <c r="CP60" s="246" t="str">
        <f t="shared" si="6"/>
        <v/>
      </c>
      <c r="CR60" s="13">
        <f t="shared" si="9"/>
        <v>0</v>
      </c>
      <c r="CS60" s="230">
        <f>IF(CR60=0,0,IF(ISERROR(MATCH(D60,D$9:D59,0)),0,1))</f>
        <v>0</v>
      </c>
      <c r="CT60" s="247"/>
    </row>
    <row r="61" spans="2:98" ht="12.75" x14ac:dyDescent="0.35">
      <c r="B61" s="13">
        <f t="shared" si="3"/>
        <v>52</v>
      </c>
      <c r="C61" s="183"/>
      <c r="D61" s="181"/>
      <c r="F61" s="215" t="s">
        <v>254</v>
      </c>
      <c r="G61" s="215" t="s">
        <v>254</v>
      </c>
      <c r="I61" s="168"/>
      <c r="J61" s="168"/>
      <c r="K61" s="168"/>
      <c r="L61" s="168"/>
      <c r="M61" s="168"/>
      <c r="N61" s="168"/>
      <c r="O61" s="168"/>
      <c r="Q61" s="168"/>
      <c r="R61" s="168"/>
      <c r="S61" s="168"/>
      <c r="T61" s="168"/>
      <c r="U61" s="168"/>
      <c r="V61" s="168"/>
      <c r="W61" s="168"/>
      <c r="Y61" s="244"/>
      <c r="Z61" s="244"/>
      <c r="AA61" s="244"/>
      <c r="AB61" s="230" t="str">
        <f t="shared" si="4"/>
        <v/>
      </c>
      <c r="AC61" s="215" t="s">
        <v>206</v>
      </c>
      <c r="AD61" s="215" t="s">
        <v>206</v>
      </c>
      <c r="AF61" s="245"/>
      <c r="AG61" s="245"/>
      <c r="AI61" s="244"/>
      <c r="AJ61" s="244"/>
      <c r="AK61" s="244"/>
      <c r="AL61" s="244"/>
      <c r="AM61" s="244"/>
      <c r="AN61" s="244"/>
      <c r="AO61" s="244"/>
      <c r="AP61" s="244"/>
      <c r="AQ61" s="246" t="str">
        <f t="shared" si="5"/>
        <v/>
      </c>
      <c r="AR61" s="244"/>
      <c r="AS61" s="244"/>
      <c r="AT61" s="244"/>
      <c r="AU61" s="244"/>
      <c r="AV61" s="244"/>
      <c r="AW61" s="244"/>
      <c r="AX61" s="244"/>
      <c r="AY61" s="244"/>
      <c r="AZ61" s="244"/>
      <c r="BA61" s="244"/>
      <c r="BB61" s="244"/>
      <c r="BC61" s="244"/>
      <c r="BD61" s="244"/>
      <c r="BE61" s="244"/>
      <c r="BF61" s="244"/>
      <c r="BG61" s="244"/>
      <c r="BH61" s="244"/>
      <c r="BI61" s="244"/>
      <c r="BJ61" s="244"/>
      <c r="BK61" s="244"/>
      <c r="BL61" s="244"/>
      <c r="BM61" s="244"/>
      <c r="BN61" s="244"/>
      <c r="BO61" s="244"/>
      <c r="BP61" s="244"/>
      <c r="BQ61" s="244"/>
      <c r="BR61" s="244"/>
      <c r="BS61" s="244"/>
      <c r="BT61" s="244"/>
      <c r="BU61" s="244"/>
      <c r="BV61" s="244"/>
      <c r="BW61" s="244"/>
      <c r="BX61" s="244"/>
      <c r="BY61" s="244"/>
      <c r="BZ61" s="244"/>
      <c r="CA61" s="244"/>
      <c r="CB61" s="244"/>
      <c r="CC61" s="244"/>
      <c r="CD61" s="244"/>
      <c r="CE61" s="244"/>
      <c r="CF61" s="244"/>
      <c r="CG61" s="244"/>
      <c r="CH61" s="244"/>
      <c r="CI61" s="244"/>
      <c r="CJ61" s="244"/>
      <c r="CK61" s="244"/>
      <c r="CL61" s="244"/>
      <c r="CM61" s="244"/>
      <c r="CN61" s="244"/>
      <c r="CO61" s="244"/>
      <c r="CP61" s="246" t="str">
        <f t="shared" si="6"/>
        <v/>
      </c>
      <c r="CR61" s="13">
        <f t="shared" si="9"/>
        <v>0</v>
      </c>
      <c r="CS61" s="230">
        <f>IF(CR61=0,0,IF(ISERROR(MATCH(D61,D$9:D60,0)),0,1))</f>
        <v>0</v>
      </c>
      <c r="CT61" s="247"/>
    </row>
    <row r="62" spans="2:98" ht="12.75" x14ac:dyDescent="0.35">
      <c r="B62" s="13">
        <f t="shared" si="3"/>
        <v>53</v>
      </c>
      <c r="C62" s="183"/>
      <c r="D62" s="181"/>
      <c r="F62" s="215" t="s">
        <v>254</v>
      </c>
      <c r="G62" s="215" t="s">
        <v>254</v>
      </c>
      <c r="I62" s="168"/>
      <c r="J62" s="168"/>
      <c r="K62" s="168"/>
      <c r="L62" s="168"/>
      <c r="M62" s="168"/>
      <c r="N62" s="168"/>
      <c r="O62" s="168"/>
      <c r="Q62" s="168"/>
      <c r="R62" s="168"/>
      <c r="S62" s="168"/>
      <c r="T62" s="168"/>
      <c r="U62" s="168"/>
      <c r="V62" s="168"/>
      <c r="W62" s="168"/>
      <c r="Y62" s="244"/>
      <c r="Z62" s="244"/>
      <c r="AA62" s="244"/>
      <c r="AB62" s="230" t="str">
        <f t="shared" si="4"/>
        <v/>
      </c>
      <c r="AC62" s="215" t="s">
        <v>206</v>
      </c>
      <c r="AD62" s="215" t="s">
        <v>206</v>
      </c>
      <c r="AF62" s="245"/>
      <c r="AG62" s="245"/>
      <c r="AI62" s="244"/>
      <c r="AJ62" s="244"/>
      <c r="AK62" s="244"/>
      <c r="AL62" s="244"/>
      <c r="AM62" s="244"/>
      <c r="AN62" s="244"/>
      <c r="AO62" s="244"/>
      <c r="AP62" s="244"/>
      <c r="AQ62" s="246" t="str">
        <f t="shared" si="5"/>
        <v/>
      </c>
      <c r="AR62" s="244"/>
      <c r="AS62" s="244"/>
      <c r="AT62" s="244"/>
      <c r="AU62" s="244"/>
      <c r="AV62" s="244"/>
      <c r="AW62" s="244"/>
      <c r="AX62" s="244"/>
      <c r="AY62" s="244"/>
      <c r="AZ62" s="244"/>
      <c r="BA62" s="244"/>
      <c r="BB62" s="244"/>
      <c r="BC62" s="244"/>
      <c r="BD62" s="244"/>
      <c r="BE62" s="244"/>
      <c r="BF62" s="244"/>
      <c r="BG62" s="244"/>
      <c r="BH62" s="244"/>
      <c r="BI62" s="244"/>
      <c r="BJ62" s="244"/>
      <c r="BK62" s="244"/>
      <c r="BL62" s="244"/>
      <c r="BM62" s="244"/>
      <c r="BN62" s="244"/>
      <c r="BO62" s="244"/>
      <c r="BP62" s="244"/>
      <c r="BQ62" s="244"/>
      <c r="BR62" s="244"/>
      <c r="BS62" s="244"/>
      <c r="BT62" s="244"/>
      <c r="BU62" s="244"/>
      <c r="BV62" s="244"/>
      <c r="BW62" s="244"/>
      <c r="BX62" s="244"/>
      <c r="BY62" s="244"/>
      <c r="BZ62" s="244"/>
      <c r="CA62" s="244"/>
      <c r="CB62" s="244"/>
      <c r="CC62" s="244"/>
      <c r="CD62" s="244"/>
      <c r="CE62" s="244"/>
      <c r="CF62" s="244"/>
      <c r="CG62" s="244"/>
      <c r="CH62" s="244"/>
      <c r="CI62" s="244"/>
      <c r="CJ62" s="244"/>
      <c r="CK62" s="244"/>
      <c r="CL62" s="244"/>
      <c r="CM62" s="244"/>
      <c r="CN62" s="244"/>
      <c r="CO62" s="244"/>
      <c r="CP62" s="246" t="str">
        <f t="shared" si="6"/>
        <v/>
      </c>
      <c r="CR62" s="13">
        <f t="shared" si="9"/>
        <v>0</v>
      </c>
      <c r="CS62" s="230">
        <f>IF(CR62=0,0,IF(ISERROR(MATCH(D62,D$9:D61,0)),0,1))</f>
        <v>0</v>
      </c>
      <c r="CT62" s="247"/>
    </row>
    <row r="63" spans="2:98" ht="12.75" x14ac:dyDescent="0.35">
      <c r="B63" s="13">
        <f t="shared" si="3"/>
        <v>54</v>
      </c>
      <c r="C63" s="183"/>
      <c r="D63" s="181"/>
      <c r="F63" s="215" t="s">
        <v>254</v>
      </c>
      <c r="G63" s="215" t="s">
        <v>254</v>
      </c>
      <c r="I63" s="168"/>
      <c r="J63" s="168"/>
      <c r="K63" s="168"/>
      <c r="L63" s="168"/>
      <c r="M63" s="168"/>
      <c r="N63" s="168"/>
      <c r="O63" s="168"/>
      <c r="Q63" s="168"/>
      <c r="R63" s="168"/>
      <c r="S63" s="168"/>
      <c r="T63" s="168"/>
      <c r="U63" s="168"/>
      <c r="V63" s="168"/>
      <c r="W63" s="168"/>
      <c r="Y63" s="244"/>
      <c r="Z63" s="244"/>
      <c r="AA63" s="244"/>
      <c r="AB63" s="230" t="str">
        <f t="shared" si="4"/>
        <v/>
      </c>
      <c r="AC63" s="215" t="s">
        <v>206</v>
      </c>
      <c r="AD63" s="215" t="s">
        <v>206</v>
      </c>
      <c r="AF63" s="245"/>
      <c r="AG63" s="245"/>
      <c r="AI63" s="244"/>
      <c r="AJ63" s="244"/>
      <c r="AK63" s="244"/>
      <c r="AL63" s="244"/>
      <c r="AM63" s="244"/>
      <c r="AN63" s="244"/>
      <c r="AO63" s="244"/>
      <c r="AP63" s="244"/>
      <c r="AQ63" s="246" t="str">
        <f t="shared" si="5"/>
        <v/>
      </c>
      <c r="AR63" s="244"/>
      <c r="AS63" s="244"/>
      <c r="AT63" s="244"/>
      <c r="AU63" s="244"/>
      <c r="AV63" s="244"/>
      <c r="AW63" s="244"/>
      <c r="AX63" s="244"/>
      <c r="AY63" s="244"/>
      <c r="AZ63" s="244"/>
      <c r="BA63" s="244"/>
      <c r="BB63" s="244"/>
      <c r="BC63" s="244"/>
      <c r="BD63" s="244"/>
      <c r="BE63" s="244"/>
      <c r="BF63" s="244"/>
      <c r="BG63" s="244"/>
      <c r="BH63" s="244"/>
      <c r="BI63" s="244"/>
      <c r="BJ63" s="244"/>
      <c r="BK63" s="244"/>
      <c r="BL63" s="244"/>
      <c r="BM63" s="244"/>
      <c r="BN63" s="244"/>
      <c r="BO63" s="244"/>
      <c r="BP63" s="244"/>
      <c r="BQ63" s="244"/>
      <c r="BR63" s="244"/>
      <c r="BS63" s="244"/>
      <c r="BT63" s="244"/>
      <c r="BU63" s="244"/>
      <c r="BV63" s="244"/>
      <c r="BW63" s="244"/>
      <c r="BX63" s="244"/>
      <c r="BY63" s="244"/>
      <c r="BZ63" s="244"/>
      <c r="CA63" s="244"/>
      <c r="CB63" s="244"/>
      <c r="CC63" s="244"/>
      <c r="CD63" s="244"/>
      <c r="CE63" s="244"/>
      <c r="CF63" s="244"/>
      <c r="CG63" s="244"/>
      <c r="CH63" s="244"/>
      <c r="CI63" s="244"/>
      <c r="CJ63" s="244"/>
      <c r="CK63" s="244"/>
      <c r="CL63" s="244"/>
      <c r="CM63" s="244"/>
      <c r="CN63" s="244"/>
      <c r="CO63" s="244"/>
      <c r="CP63" s="246" t="str">
        <f t="shared" si="6"/>
        <v/>
      </c>
      <c r="CR63" s="13">
        <f t="shared" si="9"/>
        <v>0</v>
      </c>
      <c r="CS63" s="230">
        <f>IF(CR63=0,0,IF(ISERROR(MATCH(D63,D$9:D62,0)),0,1))</f>
        <v>0</v>
      </c>
      <c r="CT63" s="247"/>
    </row>
    <row r="64" spans="2:98" ht="12.75" x14ac:dyDescent="0.35">
      <c r="B64" s="13">
        <f t="shared" si="3"/>
        <v>55</v>
      </c>
      <c r="C64" s="183"/>
      <c r="D64" s="181"/>
      <c r="F64" s="215" t="s">
        <v>254</v>
      </c>
      <c r="G64" s="215" t="s">
        <v>254</v>
      </c>
      <c r="I64" s="168"/>
      <c r="J64" s="168"/>
      <c r="K64" s="168"/>
      <c r="L64" s="168"/>
      <c r="M64" s="168"/>
      <c r="N64" s="168"/>
      <c r="O64" s="168"/>
      <c r="Q64" s="168"/>
      <c r="R64" s="168"/>
      <c r="S64" s="168"/>
      <c r="T64" s="168"/>
      <c r="U64" s="168"/>
      <c r="V64" s="168"/>
      <c r="W64" s="168"/>
      <c r="Y64" s="244"/>
      <c r="Z64" s="244"/>
      <c r="AA64" s="244"/>
      <c r="AB64" s="230" t="str">
        <f t="shared" si="4"/>
        <v/>
      </c>
      <c r="AC64" s="215" t="s">
        <v>206</v>
      </c>
      <c r="AD64" s="215" t="s">
        <v>206</v>
      </c>
      <c r="AF64" s="245"/>
      <c r="AG64" s="245"/>
      <c r="AI64" s="244"/>
      <c r="AJ64" s="244"/>
      <c r="AK64" s="244"/>
      <c r="AL64" s="244"/>
      <c r="AM64" s="244"/>
      <c r="AN64" s="244"/>
      <c r="AO64" s="244"/>
      <c r="AP64" s="244"/>
      <c r="AQ64" s="246" t="str">
        <f t="shared" si="5"/>
        <v/>
      </c>
      <c r="AR64" s="244"/>
      <c r="AS64" s="244"/>
      <c r="AT64" s="244"/>
      <c r="AU64" s="244"/>
      <c r="AV64" s="244"/>
      <c r="AW64" s="244"/>
      <c r="AX64" s="244"/>
      <c r="AY64" s="244"/>
      <c r="AZ64" s="244"/>
      <c r="BA64" s="244"/>
      <c r="BB64" s="244"/>
      <c r="BC64" s="244"/>
      <c r="BD64" s="244"/>
      <c r="BE64" s="244"/>
      <c r="BF64" s="244"/>
      <c r="BG64" s="244"/>
      <c r="BH64" s="244"/>
      <c r="BI64" s="244"/>
      <c r="BJ64" s="244"/>
      <c r="BK64" s="244"/>
      <c r="BL64" s="244"/>
      <c r="BM64" s="244"/>
      <c r="BN64" s="244"/>
      <c r="BO64" s="244"/>
      <c r="BP64" s="244"/>
      <c r="BQ64" s="244"/>
      <c r="BR64" s="244"/>
      <c r="BS64" s="244"/>
      <c r="BT64" s="244"/>
      <c r="BU64" s="244"/>
      <c r="BV64" s="244"/>
      <c r="BW64" s="244"/>
      <c r="BX64" s="244"/>
      <c r="BY64" s="244"/>
      <c r="BZ64" s="244"/>
      <c r="CA64" s="244"/>
      <c r="CB64" s="244"/>
      <c r="CC64" s="244"/>
      <c r="CD64" s="244"/>
      <c r="CE64" s="244"/>
      <c r="CF64" s="244"/>
      <c r="CG64" s="244"/>
      <c r="CH64" s="244"/>
      <c r="CI64" s="244"/>
      <c r="CJ64" s="244"/>
      <c r="CK64" s="244"/>
      <c r="CL64" s="244"/>
      <c r="CM64" s="244"/>
      <c r="CN64" s="244"/>
      <c r="CO64" s="244"/>
      <c r="CP64" s="246" t="str">
        <f t="shared" si="6"/>
        <v/>
      </c>
      <c r="CR64" s="13">
        <f t="shared" si="9"/>
        <v>0</v>
      </c>
      <c r="CS64" s="230">
        <f>IF(CR64=0,0,IF(ISERROR(MATCH(D64,D$9:D63,0)),0,1))</f>
        <v>0</v>
      </c>
      <c r="CT64" s="247"/>
    </row>
    <row r="65" spans="2:98" ht="12.75" x14ac:dyDescent="0.35">
      <c r="B65" s="13">
        <f t="shared" si="3"/>
        <v>56</v>
      </c>
      <c r="C65" s="183"/>
      <c r="D65" s="181"/>
      <c r="F65" s="215" t="s">
        <v>254</v>
      </c>
      <c r="G65" s="215" t="s">
        <v>254</v>
      </c>
      <c r="I65" s="168"/>
      <c r="J65" s="168"/>
      <c r="K65" s="168"/>
      <c r="L65" s="168"/>
      <c r="M65" s="168"/>
      <c r="N65" s="168"/>
      <c r="O65" s="168"/>
      <c r="Q65" s="168"/>
      <c r="R65" s="168"/>
      <c r="S65" s="168"/>
      <c r="T65" s="168"/>
      <c r="U65" s="168"/>
      <c r="V65" s="168"/>
      <c r="W65" s="168"/>
      <c r="Y65" s="244"/>
      <c r="Z65" s="244"/>
      <c r="AA65" s="244"/>
      <c r="AB65" s="230" t="str">
        <f t="shared" si="4"/>
        <v/>
      </c>
      <c r="AC65" s="215" t="s">
        <v>206</v>
      </c>
      <c r="AD65" s="215" t="s">
        <v>206</v>
      </c>
      <c r="AF65" s="245"/>
      <c r="AG65" s="245"/>
      <c r="AI65" s="244"/>
      <c r="AJ65" s="244"/>
      <c r="AK65" s="244"/>
      <c r="AL65" s="244"/>
      <c r="AM65" s="244"/>
      <c r="AN65" s="244"/>
      <c r="AO65" s="244"/>
      <c r="AP65" s="244"/>
      <c r="AQ65" s="246" t="str">
        <f t="shared" si="5"/>
        <v/>
      </c>
      <c r="AR65" s="244"/>
      <c r="AS65" s="244"/>
      <c r="AT65" s="244"/>
      <c r="AU65" s="244"/>
      <c r="AV65" s="244"/>
      <c r="AW65" s="244"/>
      <c r="AX65" s="244"/>
      <c r="AY65" s="244"/>
      <c r="AZ65" s="244"/>
      <c r="BA65" s="244"/>
      <c r="BB65" s="244"/>
      <c r="BC65" s="244"/>
      <c r="BD65" s="244"/>
      <c r="BE65" s="244"/>
      <c r="BF65" s="244"/>
      <c r="BG65" s="244"/>
      <c r="BH65" s="244"/>
      <c r="BI65" s="244"/>
      <c r="BJ65" s="244"/>
      <c r="BK65" s="244"/>
      <c r="BL65" s="244"/>
      <c r="BM65" s="244"/>
      <c r="BN65" s="244"/>
      <c r="BO65" s="244"/>
      <c r="BP65" s="244"/>
      <c r="BQ65" s="244"/>
      <c r="BR65" s="244"/>
      <c r="BS65" s="244"/>
      <c r="BT65" s="244"/>
      <c r="BU65" s="244"/>
      <c r="BV65" s="244"/>
      <c r="BW65" s="244"/>
      <c r="BX65" s="244"/>
      <c r="BY65" s="244"/>
      <c r="BZ65" s="244"/>
      <c r="CA65" s="244"/>
      <c r="CB65" s="244"/>
      <c r="CC65" s="244"/>
      <c r="CD65" s="244"/>
      <c r="CE65" s="244"/>
      <c r="CF65" s="244"/>
      <c r="CG65" s="244"/>
      <c r="CH65" s="244"/>
      <c r="CI65" s="244"/>
      <c r="CJ65" s="244"/>
      <c r="CK65" s="244"/>
      <c r="CL65" s="244"/>
      <c r="CM65" s="244"/>
      <c r="CN65" s="244"/>
      <c r="CO65" s="244"/>
      <c r="CP65" s="246" t="str">
        <f t="shared" si="6"/>
        <v/>
      </c>
      <c r="CR65" s="13">
        <f t="shared" si="9"/>
        <v>0</v>
      </c>
      <c r="CS65" s="230">
        <f>IF(CR65=0,0,IF(ISERROR(MATCH(D65,D$9:D64,0)),0,1))</f>
        <v>0</v>
      </c>
      <c r="CT65" s="247"/>
    </row>
    <row r="66" spans="2:98" ht="12.75" x14ac:dyDescent="0.35">
      <c r="B66" s="13">
        <f t="shared" si="3"/>
        <v>57</v>
      </c>
      <c r="C66" s="183"/>
      <c r="D66" s="181"/>
      <c r="F66" s="215" t="s">
        <v>254</v>
      </c>
      <c r="G66" s="215" t="s">
        <v>254</v>
      </c>
      <c r="I66" s="168"/>
      <c r="J66" s="168"/>
      <c r="K66" s="168"/>
      <c r="L66" s="168"/>
      <c r="M66" s="168"/>
      <c r="N66" s="168"/>
      <c r="O66" s="168"/>
      <c r="Q66" s="168"/>
      <c r="R66" s="168"/>
      <c r="S66" s="168"/>
      <c r="T66" s="168"/>
      <c r="U66" s="168"/>
      <c r="V66" s="168"/>
      <c r="W66" s="168"/>
      <c r="Y66" s="244"/>
      <c r="Z66" s="244"/>
      <c r="AA66" s="244"/>
      <c r="AB66" s="230" t="str">
        <f t="shared" si="4"/>
        <v/>
      </c>
      <c r="AC66" s="215" t="s">
        <v>206</v>
      </c>
      <c r="AD66" s="215" t="s">
        <v>206</v>
      </c>
      <c r="AF66" s="245"/>
      <c r="AG66" s="245"/>
      <c r="AI66" s="244"/>
      <c r="AJ66" s="244"/>
      <c r="AK66" s="244"/>
      <c r="AL66" s="244"/>
      <c r="AM66" s="244"/>
      <c r="AN66" s="244"/>
      <c r="AO66" s="244"/>
      <c r="AP66" s="244"/>
      <c r="AQ66" s="246" t="str">
        <f t="shared" si="5"/>
        <v/>
      </c>
      <c r="AR66" s="244"/>
      <c r="AS66" s="244"/>
      <c r="AT66" s="244"/>
      <c r="AU66" s="244"/>
      <c r="AV66" s="244"/>
      <c r="AW66" s="244"/>
      <c r="AX66" s="244"/>
      <c r="AY66" s="244"/>
      <c r="AZ66" s="244"/>
      <c r="BA66" s="244"/>
      <c r="BB66" s="244"/>
      <c r="BC66" s="244"/>
      <c r="BD66" s="244"/>
      <c r="BE66" s="244"/>
      <c r="BF66" s="244"/>
      <c r="BG66" s="244"/>
      <c r="BH66" s="244"/>
      <c r="BI66" s="244"/>
      <c r="BJ66" s="244"/>
      <c r="BK66" s="244"/>
      <c r="BL66" s="244"/>
      <c r="BM66" s="244"/>
      <c r="BN66" s="244"/>
      <c r="BO66" s="244"/>
      <c r="BP66" s="244"/>
      <c r="BQ66" s="244"/>
      <c r="BR66" s="244"/>
      <c r="BS66" s="244"/>
      <c r="BT66" s="244"/>
      <c r="BU66" s="244"/>
      <c r="BV66" s="244"/>
      <c r="BW66" s="244"/>
      <c r="BX66" s="244"/>
      <c r="BY66" s="244"/>
      <c r="BZ66" s="244"/>
      <c r="CA66" s="244"/>
      <c r="CB66" s="244"/>
      <c r="CC66" s="244"/>
      <c r="CD66" s="244"/>
      <c r="CE66" s="244"/>
      <c r="CF66" s="244"/>
      <c r="CG66" s="244"/>
      <c r="CH66" s="244"/>
      <c r="CI66" s="244"/>
      <c r="CJ66" s="244"/>
      <c r="CK66" s="244"/>
      <c r="CL66" s="244"/>
      <c r="CM66" s="244"/>
      <c r="CN66" s="244"/>
      <c r="CO66" s="244"/>
      <c r="CP66" s="246" t="str">
        <f t="shared" si="6"/>
        <v/>
      </c>
      <c r="CR66" s="13">
        <f t="shared" si="9"/>
        <v>0</v>
      </c>
      <c r="CS66" s="230">
        <f>IF(CR66=0,0,IF(ISERROR(MATCH(D66,D$9:D65,0)),0,1))</f>
        <v>0</v>
      </c>
      <c r="CT66" s="247"/>
    </row>
    <row r="67" spans="2:98" ht="12.75" x14ac:dyDescent="0.35">
      <c r="B67" s="13">
        <f t="shared" si="3"/>
        <v>58</v>
      </c>
      <c r="C67" s="183"/>
      <c r="D67" s="181"/>
      <c r="F67" s="215" t="s">
        <v>254</v>
      </c>
      <c r="G67" s="215" t="s">
        <v>254</v>
      </c>
      <c r="I67" s="168"/>
      <c r="J67" s="168"/>
      <c r="K67" s="168"/>
      <c r="L67" s="168"/>
      <c r="M67" s="168"/>
      <c r="N67" s="168"/>
      <c r="O67" s="168"/>
      <c r="Q67" s="168"/>
      <c r="R67" s="168"/>
      <c r="S67" s="168"/>
      <c r="T67" s="168"/>
      <c r="U67" s="168"/>
      <c r="V67" s="168"/>
      <c r="W67" s="168"/>
      <c r="Y67" s="244"/>
      <c r="Z67" s="244"/>
      <c r="AA67" s="244"/>
      <c r="AB67" s="230" t="str">
        <f t="shared" si="4"/>
        <v/>
      </c>
      <c r="AC67" s="215" t="s">
        <v>206</v>
      </c>
      <c r="AD67" s="215" t="s">
        <v>206</v>
      </c>
      <c r="AF67" s="245"/>
      <c r="AG67" s="245"/>
      <c r="AI67" s="244"/>
      <c r="AJ67" s="244"/>
      <c r="AK67" s="244"/>
      <c r="AL67" s="244"/>
      <c r="AM67" s="244"/>
      <c r="AN67" s="244"/>
      <c r="AO67" s="244"/>
      <c r="AP67" s="244"/>
      <c r="AQ67" s="246" t="str">
        <f t="shared" si="5"/>
        <v/>
      </c>
      <c r="AR67" s="244"/>
      <c r="AS67" s="244"/>
      <c r="AT67" s="244"/>
      <c r="AU67" s="244"/>
      <c r="AV67" s="244"/>
      <c r="AW67" s="244"/>
      <c r="AX67" s="244"/>
      <c r="AY67" s="244"/>
      <c r="AZ67" s="244"/>
      <c r="BA67" s="244"/>
      <c r="BB67" s="244"/>
      <c r="BC67" s="244"/>
      <c r="BD67" s="244"/>
      <c r="BE67" s="244"/>
      <c r="BF67" s="244"/>
      <c r="BG67" s="244"/>
      <c r="BH67" s="244"/>
      <c r="BI67" s="244"/>
      <c r="BJ67" s="244"/>
      <c r="BK67" s="244"/>
      <c r="BL67" s="244"/>
      <c r="BM67" s="244"/>
      <c r="BN67" s="244"/>
      <c r="BO67" s="244"/>
      <c r="BP67" s="244"/>
      <c r="BQ67" s="244"/>
      <c r="BR67" s="244"/>
      <c r="BS67" s="244"/>
      <c r="BT67" s="244"/>
      <c r="BU67" s="244"/>
      <c r="BV67" s="244"/>
      <c r="BW67" s="244"/>
      <c r="BX67" s="244"/>
      <c r="BY67" s="244"/>
      <c r="BZ67" s="244"/>
      <c r="CA67" s="244"/>
      <c r="CB67" s="244"/>
      <c r="CC67" s="244"/>
      <c r="CD67" s="244"/>
      <c r="CE67" s="244"/>
      <c r="CF67" s="244"/>
      <c r="CG67" s="244"/>
      <c r="CH67" s="244"/>
      <c r="CI67" s="244"/>
      <c r="CJ67" s="244"/>
      <c r="CK67" s="244"/>
      <c r="CL67" s="244"/>
      <c r="CM67" s="244"/>
      <c r="CN67" s="244"/>
      <c r="CO67" s="244"/>
      <c r="CP67" s="246" t="str">
        <f t="shared" si="6"/>
        <v/>
      </c>
      <c r="CR67" s="13">
        <f t="shared" si="9"/>
        <v>0</v>
      </c>
      <c r="CS67" s="230">
        <f>IF(CR67=0,0,IF(ISERROR(MATCH(D67,D$9:D66,0)),0,1))</f>
        <v>0</v>
      </c>
      <c r="CT67" s="247"/>
    </row>
    <row r="68" spans="2:98" ht="12.75" x14ac:dyDescent="0.35">
      <c r="B68" s="13">
        <f t="shared" si="3"/>
        <v>59</v>
      </c>
      <c r="C68" s="183"/>
      <c r="D68" s="181"/>
      <c r="F68" s="215" t="s">
        <v>254</v>
      </c>
      <c r="G68" s="215" t="s">
        <v>254</v>
      </c>
      <c r="I68" s="168"/>
      <c r="J68" s="168"/>
      <c r="K68" s="168"/>
      <c r="L68" s="168"/>
      <c r="M68" s="168"/>
      <c r="N68" s="168"/>
      <c r="O68" s="168"/>
      <c r="Q68" s="168"/>
      <c r="R68" s="168"/>
      <c r="S68" s="168"/>
      <c r="T68" s="168"/>
      <c r="U68" s="168"/>
      <c r="V68" s="168"/>
      <c r="W68" s="168"/>
      <c r="Y68" s="244"/>
      <c r="Z68" s="244"/>
      <c r="AA68" s="244"/>
      <c r="AB68" s="230" t="str">
        <f t="shared" si="4"/>
        <v/>
      </c>
      <c r="AC68" s="215" t="s">
        <v>206</v>
      </c>
      <c r="AD68" s="215" t="s">
        <v>206</v>
      </c>
      <c r="AF68" s="245"/>
      <c r="AG68" s="245"/>
      <c r="AI68" s="244"/>
      <c r="AJ68" s="244"/>
      <c r="AK68" s="244"/>
      <c r="AL68" s="244"/>
      <c r="AM68" s="244"/>
      <c r="AN68" s="244"/>
      <c r="AO68" s="244"/>
      <c r="AP68" s="244"/>
      <c r="AQ68" s="246" t="str">
        <f t="shared" si="5"/>
        <v/>
      </c>
      <c r="AR68" s="244"/>
      <c r="AS68" s="244"/>
      <c r="AT68" s="244"/>
      <c r="AU68" s="244"/>
      <c r="AV68" s="244"/>
      <c r="AW68" s="244"/>
      <c r="AX68" s="244"/>
      <c r="AY68" s="244"/>
      <c r="AZ68" s="244"/>
      <c r="BA68" s="244"/>
      <c r="BB68" s="244"/>
      <c r="BC68" s="244"/>
      <c r="BD68" s="244"/>
      <c r="BE68" s="244"/>
      <c r="BF68" s="244"/>
      <c r="BG68" s="244"/>
      <c r="BH68" s="244"/>
      <c r="BI68" s="244"/>
      <c r="BJ68" s="244"/>
      <c r="BK68" s="244"/>
      <c r="BL68" s="244"/>
      <c r="BM68" s="244"/>
      <c r="BN68" s="244"/>
      <c r="BO68" s="244"/>
      <c r="BP68" s="244"/>
      <c r="BQ68" s="244"/>
      <c r="BR68" s="244"/>
      <c r="BS68" s="244"/>
      <c r="BT68" s="244"/>
      <c r="BU68" s="244"/>
      <c r="BV68" s="244"/>
      <c r="BW68" s="244"/>
      <c r="BX68" s="244"/>
      <c r="BY68" s="244"/>
      <c r="BZ68" s="244"/>
      <c r="CA68" s="244"/>
      <c r="CB68" s="244"/>
      <c r="CC68" s="244"/>
      <c r="CD68" s="244"/>
      <c r="CE68" s="244"/>
      <c r="CF68" s="244"/>
      <c r="CG68" s="244"/>
      <c r="CH68" s="244"/>
      <c r="CI68" s="244"/>
      <c r="CJ68" s="244"/>
      <c r="CK68" s="244"/>
      <c r="CL68" s="244"/>
      <c r="CM68" s="244"/>
      <c r="CN68" s="244"/>
      <c r="CO68" s="244"/>
      <c r="CP68" s="246" t="str">
        <f t="shared" si="6"/>
        <v/>
      </c>
      <c r="CR68" s="13">
        <f t="shared" si="9"/>
        <v>0</v>
      </c>
      <c r="CS68" s="230">
        <f>IF(CR68=0,0,IF(ISERROR(MATCH(D68,D$9:D67,0)),0,1))</f>
        <v>0</v>
      </c>
      <c r="CT68" s="247"/>
    </row>
    <row r="69" spans="2:98" ht="12.75" x14ac:dyDescent="0.35">
      <c r="B69" s="13">
        <f t="shared" si="3"/>
        <v>60</v>
      </c>
      <c r="C69" s="183"/>
      <c r="D69" s="181"/>
      <c r="F69" s="215" t="s">
        <v>254</v>
      </c>
      <c r="G69" s="215" t="s">
        <v>254</v>
      </c>
      <c r="I69" s="168"/>
      <c r="J69" s="168"/>
      <c r="K69" s="168"/>
      <c r="L69" s="168"/>
      <c r="M69" s="168"/>
      <c r="N69" s="168"/>
      <c r="O69" s="168"/>
      <c r="Q69" s="168"/>
      <c r="R69" s="168"/>
      <c r="S69" s="168"/>
      <c r="T69" s="168"/>
      <c r="U69" s="168"/>
      <c r="V69" s="168"/>
      <c r="W69" s="168"/>
      <c r="Y69" s="244"/>
      <c r="Z69" s="244"/>
      <c r="AA69" s="244"/>
      <c r="AB69" s="230" t="str">
        <f t="shared" si="4"/>
        <v/>
      </c>
      <c r="AC69" s="215" t="s">
        <v>206</v>
      </c>
      <c r="AD69" s="215" t="s">
        <v>206</v>
      </c>
      <c r="AF69" s="245"/>
      <c r="AG69" s="245"/>
      <c r="AI69" s="244"/>
      <c r="AJ69" s="244"/>
      <c r="AK69" s="244"/>
      <c r="AL69" s="244"/>
      <c r="AM69" s="244"/>
      <c r="AN69" s="244"/>
      <c r="AO69" s="244"/>
      <c r="AP69" s="244"/>
      <c r="AQ69" s="246" t="str">
        <f t="shared" si="5"/>
        <v/>
      </c>
      <c r="AR69" s="244"/>
      <c r="AS69" s="244"/>
      <c r="AT69" s="244"/>
      <c r="AU69" s="244"/>
      <c r="AV69" s="244"/>
      <c r="AW69" s="244"/>
      <c r="AX69" s="244"/>
      <c r="AY69" s="244"/>
      <c r="AZ69" s="244"/>
      <c r="BA69" s="244"/>
      <c r="BB69" s="244"/>
      <c r="BC69" s="244"/>
      <c r="BD69" s="244"/>
      <c r="BE69" s="244"/>
      <c r="BF69" s="244"/>
      <c r="BG69" s="244"/>
      <c r="BH69" s="244"/>
      <c r="BI69" s="244"/>
      <c r="BJ69" s="244"/>
      <c r="BK69" s="244"/>
      <c r="BL69" s="244"/>
      <c r="BM69" s="244"/>
      <c r="BN69" s="244"/>
      <c r="BO69" s="244"/>
      <c r="BP69" s="244"/>
      <c r="BQ69" s="244"/>
      <c r="BR69" s="244"/>
      <c r="BS69" s="244"/>
      <c r="BT69" s="244"/>
      <c r="BU69" s="244"/>
      <c r="BV69" s="244"/>
      <c r="BW69" s="244"/>
      <c r="BX69" s="244"/>
      <c r="BY69" s="244"/>
      <c r="BZ69" s="244"/>
      <c r="CA69" s="244"/>
      <c r="CB69" s="244"/>
      <c r="CC69" s="244"/>
      <c r="CD69" s="244"/>
      <c r="CE69" s="244"/>
      <c r="CF69" s="244"/>
      <c r="CG69" s="244"/>
      <c r="CH69" s="244"/>
      <c r="CI69" s="244"/>
      <c r="CJ69" s="244"/>
      <c r="CK69" s="244"/>
      <c r="CL69" s="244"/>
      <c r="CM69" s="244"/>
      <c r="CN69" s="244"/>
      <c r="CO69" s="244"/>
      <c r="CP69" s="246" t="str">
        <f t="shared" si="6"/>
        <v/>
      </c>
      <c r="CR69" s="13">
        <f t="shared" si="9"/>
        <v>0</v>
      </c>
      <c r="CS69" s="230">
        <f>IF(CR69=0,0,IF(ISERROR(MATCH(D69,D$9:D68,0)),0,1))</f>
        <v>0</v>
      </c>
      <c r="CT69" s="247"/>
    </row>
    <row r="70" spans="2:98" ht="12.75" x14ac:dyDescent="0.35">
      <c r="B70" s="13">
        <f t="shared" si="3"/>
        <v>61</v>
      </c>
      <c r="C70" s="183"/>
      <c r="D70" s="181"/>
      <c r="F70" s="215" t="s">
        <v>254</v>
      </c>
      <c r="G70" s="215" t="s">
        <v>254</v>
      </c>
      <c r="I70" s="168"/>
      <c r="J70" s="168"/>
      <c r="K70" s="168"/>
      <c r="L70" s="168"/>
      <c r="M70" s="168"/>
      <c r="N70" s="168"/>
      <c r="O70" s="168"/>
      <c r="Q70" s="168"/>
      <c r="R70" s="168"/>
      <c r="S70" s="168"/>
      <c r="T70" s="168"/>
      <c r="U70" s="168"/>
      <c r="V70" s="168"/>
      <c r="W70" s="168"/>
      <c r="Y70" s="244"/>
      <c r="Z70" s="244"/>
      <c r="AA70" s="244"/>
      <c r="AB70" s="230" t="str">
        <f t="shared" si="4"/>
        <v/>
      </c>
      <c r="AC70" s="215" t="s">
        <v>206</v>
      </c>
      <c r="AD70" s="215" t="s">
        <v>206</v>
      </c>
      <c r="AF70" s="245"/>
      <c r="AG70" s="245"/>
      <c r="AI70" s="244"/>
      <c r="AJ70" s="244"/>
      <c r="AK70" s="244"/>
      <c r="AL70" s="244"/>
      <c r="AM70" s="244"/>
      <c r="AN70" s="244"/>
      <c r="AO70" s="244"/>
      <c r="AP70" s="244"/>
      <c r="AQ70" s="246" t="str">
        <f t="shared" si="5"/>
        <v/>
      </c>
      <c r="AR70" s="244"/>
      <c r="AS70" s="244"/>
      <c r="AT70" s="244"/>
      <c r="AU70" s="244"/>
      <c r="AV70" s="244"/>
      <c r="AW70" s="244"/>
      <c r="AX70" s="244"/>
      <c r="AY70" s="244"/>
      <c r="AZ70" s="244"/>
      <c r="BA70" s="244"/>
      <c r="BB70" s="244"/>
      <c r="BC70" s="244"/>
      <c r="BD70" s="244"/>
      <c r="BE70" s="244"/>
      <c r="BF70" s="244"/>
      <c r="BG70" s="244"/>
      <c r="BH70" s="244"/>
      <c r="BI70" s="244"/>
      <c r="BJ70" s="244"/>
      <c r="BK70" s="244"/>
      <c r="BL70" s="244"/>
      <c r="BM70" s="244"/>
      <c r="BN70" s="244"/>
      <c r="BO70" s="244"/>
      <c r="BP70" s="244"/>
      <c r="BQ70" s="244"/>
      <c r="BR70" s="244"/>
      <c r="BS70" s="244"/>
      <c r="BT70" s="244"/>
      <c r="BU70" s="244"/>
      <c r="BV70" s="244"/>
      <c r="BW70" s="244"/>
      <c r="BX70" s="244"/>
      <c r="BY70" s="244"/>
      <c r="BZ70" s="244"/>
      <c r="CA70" s="244"/>
      <c r="CB70" s="244"/>
      <c r="CC70" s="244"/>
      <c r="CD70" s="244"/>
      <c r="CE70" s="244"/>
      <c r="CF70" s="244"/>
      <c r="CG70" s="244"/>
      <c r="CH70" s="244"/>
      <c r="CI70" s="244"/>
      <c r="CJ70" s="244"/>
      <c r="CK70" s="244"/>
      <c r="CL70" s="244"/>
      <c r="CM70" s="244"/>
      <c r="CN70" s="244"/>
      <c r="CO70" s="244"/>
      <c r="CP70" s="246" t="str">
        <f t="shared" si="6"/>
        <v/>
      </c>
      <c r="CR70" s="13">
        <f t="shared" si="9"/>
        <v>0</v>
      </c>
      <c r="CS70" s="230">
        <f>IF(CR70=0,0,IF(ISERROR(MATCH(D70,D$9:D69,0)),0,1))</f>
        <v>0</v>
      </c>
      <c r="CT70" s="247"/>
    </row>
    <row r="71" spans="2:98" ht="12.75" x14ac:dyDescent="0.35">
      <c r="B71" s="13">
        <f t="shared" si="3"/>
        <v>62</v>
      </c>
      <c r="C71" s="183"/>
      <c r="D71" s="181"/>
      <c r="F71" s="215" t="s">
        <v>254</v>
      </c>
      <c r="G71" s="215" t="s">
        <v>254</v>
      </c>
      <c r="I71" s="168"/>
      <c r="J71" s="168"/>
      <c r="K71" s="168"/>
      <c r="L71" s="168"/>
      <c r="M71" s="168"/>
      <c r="N71" s="168"/>
      <c r="O71" s="168"/>
      <c r="Q71" s="168"/>
      <c r="R71" s="168"/>
      <c r="S71" s="168"/>
      <c r="T71" s="168"/>
      <c r="U71" s="168"/>
      <c r="V71" s="168"/>
      <c r="W71" s="168"/>
      <c r="Y71" s="244"/>
      <c r="Z71" s="244"/>
      <c r="AA71" s="244"/>
      <c r="AB71" s="230" t="str">
        <f t="shared" si="4"/>
        <v/>
      </c>
      <c r="AC71" s="215" t="s">
        <v>206</v>
      </c>
      <c r="AD71" s="215" t="s">
        <v>206</v>
      </c>
      <c r="AF71" s="245"/>
      <c r="AG71" s="245"/>
      <c r="AI71" s="244"/>
      <c r="AJ71" s="244"/>
      <c r="AK71" s="244"/>
      <c r="AL71" s="244"/>
      <c r="AM71" s="244"/>
      <c r="AN71" s="244"/>
      <c r="AO71" s="244"/>
      <c r="AP71" s="244"/>
      <c r="AQ71" s="246" t="str">
        <f t="shared" si="5"/>
        <v/>
      </c>
      <c r="AR71" s="244"/>
      <c r="AS71" s="244"/>
      <c r="AT71" s="244"/>
      <c r="AU71" s="244"/>
      <c r="AV71" s="244"/>
      <c r="AW71" s="244"/>
      <c r="AX71" s="244"/>
      <c r="AY71" s="244"/>
      <c r="AZ71" s="244"/>
      <c r="BA71" s="244"/>
      <c r="BB71" s="244"/>
      <c r="BC71" s="244"/>
      <c r="BD71" s="244"/>
      <c r="BE71" s="244"/>
      <c r="BF71" s="244"/>
      <c r="BG71" s="244"/>
      <c r="BH71" s="244"/>
      <c r="BI71" s="244"/>
      <c r="BJ71" s="244"/>
      <c r="BK71" s="244"/>
      <c r="BL71" s="244"/>
      <c r="BM71" s="244"/>
      <c r="BN71" s="244"/>
      <c r="BO71" s="244"/>
      <c r="BP71" s="244"/>
      <c r="BQ71" s="244"/>
      <c r="BR71" s="244"/>
      <c r="BS71" s="244"/>
      <c r="BT71" s="244"/>
      <c r="BU71" s="244"/>
      <c r="BV71" s="244"/>
      <c r="BW71" s="244"/>
      <c r="BX71" s="244"/>
      <c r="BY71" s="244"/>
      <c r="BZ71" s="244"/>
      <c r="CA71" s="244"/>
      <c r="CB71" s="244"/>
      <c r="CC71" s="244"/>
      <c r="CD71" s="244"/>
      <c r="CE71" s="244"/>
      <c r="CF71" s="244"/>
      <c r="CG71" s="244"/>
      <c r="CH71" s="244"/>
      <c r="CI71" s="244"/>
      <c r="CJ71" s="244"/>
      <c r="CK71" s="244"/>
      <c r="CL71" s="244"/>
      <c r="CM71" s="244"/>
      <c r="CN71" s="244"/>
      <c r="CO71" s="244"/>
      <c r="CP71" s="246" t="str">
        <f t="shared" si="6"/>
        <v/>
      </c>
      <c r="CR71" s="13">
        <f t="shared" si="9"/>
        <v>0</v>
      </c>
      <c r="CS71" s="230">
        <f>IF(CR71=0,0,IF(ISERROR(MATCH(D71,D$9:D70,0)),0,1))</f>
        <v>0</v>
      </c>
      <c r="CT71" s="247"/>
    </row>
    <row r="72" spans="2:98" ht="12.75" x14ac:dyDescent="0.35">
      <c r="B72" s="13">
        <f t="shared" si="3"/>
        <v>63</v>
      </c>
      <c r="C72" s="183"/>
      <c r="D72" s="181"/>
      <c r="F72" s="215" t="s">
        <v>254</v>
      </c>
      <c r="G72" s="215" t="s">
        <v>254</v>
      </c>
      <c r="I72" s="168"/>
      <c r="J72" s="168"/>
      <c r="K72" s="168"/>
      <c r="L72" s="168"/>
      <c r="M72" s="168"/>
      <c r="N72" s="168"/>
      <c r="O72" s="168"/>
      <c r="Q72" s="168"/>
      <c r="R72" s="168"/>
      <c r="S72" s="168"/>
      <c r="T72" s="168"/>
      <c r="U72" s="168"/>
      <c r="V72" s="168"/>
      <c r="W72" s="168"/>
      <c r="Y72" s="244"/>
      <c r="Z72" s="244"/>
      <c r="AA72" s="244"/>
      <c r="AB72" s="230" t="str">
        <f t="shared" si="4"/>
        <v/>
      </c>
      <c r="AC72" s="215" t="s">
        <v>206</v>
      </c>
      <c r="AD72" s="215" t="s">
        <v>206</v>
      </c>
      <c r="AF72" s="245"/>
      <c r="AG72" s="245"/>
      <c r="AI72" s="244"/>
      <c r="AJ72" s="244"/>
      <c r="AK72" s="244"/>
      <c r="AL72" s="244"/>
      <c r="AM72" s="244"/>
      <c r="AN72" s="244"/>
      <c r="AO72" s="244"/>
      <c r="AP72" s="244"/>
      <c r="AQ72" s="246" t="str">
        <f t="shared" si="5"/>
        <v/>
      </c>
      <c r="AR72" s="244"/>
      <c r="AS72" s="244"/>
      <c r="AT72" s="244"/>
      <c r="AU72" s="244"/>
      <c r="AV72" s="244"/>
      <c r="AW72" s="244"/>
      <c r="AX72" s="244"/>
      <c r="AY72" s="244"/>
      <c r="AZ72" s="244"/>
      <c r="BA72" s="244"/>
      <c r="BB72" s="244"/>
      <c r="BC72" s="244"/>
      <c r="BD72" s="244"/>
      <c r="BE72" s="244"/>
      <c r="BF72" s="244"/>
      <c r="BG72" s="244"/>
      <c r="BH72" s="244"/>
      <c r="BI72" s="244"/>
      <c r="BJ72" s="244"/>
      <c r="BK72" s="244"/>
      <c r="BL72" s="244"/>
      <c r="BM72" s="244"/>
      <c r="BN72" s="244"/>
      <c r="BO72" s="244"/>
      <c r="BP72" s="244"/>
      <c r="BQ72" s="244"/>
      <c r="BR72" s="244"/>
      <c r="BS72" s="244"/>
      <c r="BT72" s="244"/>
      <c r="BU72" s="244"/>
      <c r="BV72" s="244"/>
      <c r="BW72" s="244"/>
      <c r="BX72" s="244"/>
      <c r="BY72" s="244"/>
      <c r="BZ72" s="244"/>
      <c r="CA72" s="244"/>
      <c r="CB72" s="244"/>
      <c r="CC72" s="244"/>
      <c r="CD72" s="244"/>
      <c r="CE72" s="244"/>
      <c r="CF72" s="244"/>
      <c r="CG72" s="244"/>
      <c r="CH72" s="244"/>
      <c r="CI72" s="244"/>
      <c r="CJ72" s="244"/>
      <c r="CK72" s="244"/>
      <c r="CL72" s="244"/>
      <c r="CM72" s="244"/>
      <c r="CN72" s="244"/>
      <c r="CO72" s="244"/>
      <c r="CP72" s="246" t="str">
        <f t="shared" si="6"/>
        <v/>
      </c>
      <c r="CR72" s="13">
        <f t="shared" si="9"/>
        <v>0</v>
      </c>
      <c r="CS72" s="230">
        <f>IF(CR72=0,0,IF(ISERROR(MATCH(D72,D$9:D71,0)),0,1))</f>
        <v>0</v>
      </c>
      <c r="CT72" s="247"/>
    </row>
    <row r="73" spans="2:98" ht="12.75" x14ac:dyDescent="0.35">
      <c r="B73" s="13">
        <f t="shared" si="3"/>
        <v>64</v>
      </c>
      <c r="C73" s="183"/>
      <c r="D73" s="181"/>
      <c r="F73" s="215" t="s">
        <v>254</v>
      </c>
      <c r="G73" s="215" t="s">
        <v>254</v>
      </c>
      <c r="I73" s="168"/>
      <c r="J73" s="168"/>
      <c r="K73" s="168"/>
      <c r="L73" s="168"/>
      <c r="M73" s="168"/>
      <c r="N73" s="168"/>
      <c r="O73" s="168"/>
      <c r="Q73" s="168"/>
      <c r="R73" s="168"/>
      <c r="S73" s="168"/>
      <c r="T73" s="168"/>
      <c r="U73" s="168"/>
      <c r="V73" s="168"/>
      <c r="W73" s="168"/>
      <c r="Y73" s="244"/>
      <c r="Z73" s="244"/>
      <c r="AA73" s="244"/>
      <c r="AB73" s="230" t="str">
        <f t="shared" si="4"/>
        <v/>
      </c>
      <c r="AC73" s="215" t="s">
        <v>206</v>
      </c>
      <c r="AD73" s="215" t="s">
        <v>206</v>
      </c>
      <c r="AF73" s="245"/>
      <c r="AG73" s="245"/>
      <c r="AI73" s="244"/>
      <c r="AJ73" s="244"/>
      <c r="AK73" s="244"/>
      <c r="AL73" s="244"/>
      <c r="AM73" s="244"/>
      <c r="AN73" s="244"/>
      <c r="AO73" s="244"/>
      <c r="AP73" s="244"/>
      <c r="AQ73" s="246" t="str">
        <f t="shared" si="5"/>
        <v/>
      </c>
      <c r="AR73" s="244"/>
      <c r="AS73" s="244"/>
      <c r="AT73" s="244"/>
      <c r="AU73" s="244"/>
      <c r="AV73" s="244"/>
      <c r="AW73" s="244"/>
      <c r="AX73" s="244"/>
      <c r="AY73" s="244"/>
      <c r="AZ73" s="244"/>
      <c r="BA73" s="244"/>
      <c r="BB73" s="244"/>
      <c r="BC73" s="244"/>
      <c r="BD73" s="244"/>
      <c r="BE73" s="244"/>
      <c r="BF73" s="244"/>
      <c r="BG73" s="244"/>
      <c r="BH73" s="244"/>
      <c r="BI73" s="244"/>
      <c r="BJ73" s="244"/>
      <c r="BK73" s="244"/>
      <c r="BL73" s="244"/>
      <c r="BM73" s="244"/>
      <c r="BN73" s="244"/>
      <c r="BO73" s="244"/>
      <c r="BP73" s="244"/>
      <c r="BQ73" s="244"/>
      <c r="BR73" s="244"/>
      <c r="BS73" s="244"/>
      <c r="BT73" s="244"/>
      <c r="BU73" s="244"/>
      <c r="BV73" s="244"/>
      <c r="BW73" s="244"/>
      <c r="BX73" s="244"/>
      <c r="BY73" s="244"/>
      <c r="BZ73" s="244"/>
      <c r="CA73" s="244"/>
      <c r="CB73" s="244"/>
      <c r="CC73" s="244"/>
      <c r="CD73" s="244"/>
      <c r="CE73" s="244"/>
      <c r="CF73" s="244"/>
      <c r="CG73" s="244"/>
      <c r="CH73" s="244"/>
      <c r="CI73" s="244"/>
      <c r="CJ73" s="244"/>
      <c r="CK73" s="244"/>
      <c r="CL73" s="244"/>
      <c r="CM73" s="244"/>
      <c r="CN73" s="244"/>
      <c r="CO73" s="244"/>
      <c r="CP73" s="246" t="str">
        <f t="shared" si="6"/>
        <v/>
      </c>
      <c r="CR73" s="13">
        <f t="shared" si="9"/>
        <v>0</v>
      </c>
      <c r="CS73" s="230">
        <f>IF(CR73=0,0,IF(ISERROR(MATCH(D73,D$9:D72,0)),0,1))</f>
        <v>0</v>
      </c>
      <c r="CT73" s="247"/>
    </row>
    <row r="74" spans="2:98" ht="12.75" x14ac:dyDescent="0.35">
      <c r="B74" s="13">
        <f t="shared" ref="B74:B109" si="11">N(B73)+1</f>
        <v>65</v>
      </c>
      <c r="C74" s="183"/>
      <c r="D74" s="181"/>
      <c r="F74" s="215" t="s">
        <v>254</v>
      </c>
      <c r="G74" s="215" t="s">
        <v>254</v>
      </c>
      <c r="I74" s="168"/>
      <c r="J74" s="168"/>
      <c r="K74" s="168"/>
      <c r="L74" s="168"/>
      <c r="M74" s="168"/>
      <c r="N74" s="168"/>
      <c r="O74" s="168"/>
      <c r="Q74" s="168"/>
      <c r="R74" s="168"/>
      <c r="S74" s="168"/>
      <c r="T74" s="168"/>
      <c r="U74" s="168"/>
      <c r="V74" s="168"/>
      <c r="W74" s="168"/>
      <c r="Y74" s="244"/>
      <c r="Z74" s="244"/>
      <c r="AA74" s="244"/>
      <c r="AB74" s="230" t="str">
        <f t="shared" ref="AB74:AB109" si="12">IF(SUM(Y74:AA74,I74:O74)=0,"",IF(SUM(Y74:AA74)=1,"",1))</f>
        <v/>
      </c>
      <c r="AC74" s="215" t="s">
        <v>206</v>
      </c>
      <c r="AD74" s="215" t="s">
        <v>206</v>
      </c>
      <c r="AF74" s="245"/>
      <c r="AG74" s="245"/>
      <c r="AI74" s="244"/>
      <c r="AJ74" s="244"/>
      <c r="AK74" s="244"/>
      <c r="AL74" s="244"/>
      <c r="AM74" s="244"/>
      <c r="AN74" s="244"/>
      <c r="AO74" s="244"/>
      <c r="AP74" s="244"/>
      <c r="AQ74" s="246" t="str">
        <f t="shared" ref="AQ74:AQ109" si="13">IF(COUNT(AI74:AP74)=0,"",IF(SUM(AI74:AP74)=1,"",1))</f>
        <v/>
      </c>
      <c r="AR74" s="244"/>
      <c r="AS74" s="244"/>
      <c r="AT74" s="244"/>
      <c r="AU74" s="244"/>
      <c r="AV74" s="244"/>
      <c r="AW74" s="244"/>
      <c r="AX74" s="244"/>
      <c r="AY74" s="244"/>
      <c r="AZ74" s="244"/>
      <c r="BA74" s="244"/>
      <c r="BB74" s="244"/>
      <c r="BC74" s="244"/>
      <c r="BD74" s="244"/>
      <c r="BE74" s="244"/>
      <c r="BF74" s="244"/>
      <c r="BG74" s="244"/>
      <c r="BH74" s="244"/>
      <c r="BI74" s="244"/>
      <c r="BJ74" s="244"/>
      <c r="BK74" s="244"/>
      <c r="BL74" s="244"/>
      <c r="BM74" s="244"/>
      <c r="BN74" s="244"/>
      <c r="BO74" s="244"/>
      <c r="BP74" s="244"/>
      <c r="BQ74" s="244"/>
      <c r="BR74" s="244"/>
      <c r="BS74" s="244"/>
      <c r="BT74" s="244"/>
      <c r="BU74" s="244"/>
      <c r="BV74" s="244"/>
      <c r="BW74" s="244"/>
      <c r="BX74" s="244"/>
      <c r="BY74" s="244"/>
      <c r="BZ74" s="244"/>
      <c r="CA74" s="244"/>
      <c r="CB74" s="244"/>
      <c r="CC74" s="244"/>
      <c r="CD74" s="244"/>
      <c r="CE74" s="244"/>
      <c r="CF74" s="244"/>
      <c r="CG74" s="244"/>
      <c r="CH74" s="244"/>
      <c r="CI74" s="244"/>
      <c r="CJ74" s="244"/>
      <c r="CK74" s="244"/>
      <c r="CL74" s="244"/>
      <c r="CM74" s="244"/>
      <c r="CN74" s="244"/>
      <c r="CO74" s="244"/>
      <c r="CP74" s="246" t="str">
        <f t="shared" ref="CP74:CP109" si="14">IF(COUNT(AR74:CO74)=0,"",IF(SUM(AR74:CO74)=1,"",1))</f>
        <v/>
      </c>
      <c r="CR74" s="13">
        <f t="shared" si="9"/>
        <v>0</v>
      </c>
      <c r="CS74" s="230">
        <f>IF(CR74=0,0,IF(ISERROR(MATCH(D74,D$9:D73,0)),0,1))</f>
        <v>0</v>
      </c>
      <c r="CT74" s="247"/>
    </row>
    <row r="75" spans="2:98" ht="12.75" x14ac:dyDescent="0.35">
      <c r="B75" s="13">
        <f t="shared" si="11"/>
        <v>66</v>
      </c>
      <c r="C75" s="183"/>
      <c r="D75" s="181"/>
      <c r="F75" s="215" t="s">
        <v>254</v>
      </c>
      <c r="G75" s="215" t="s">
        <v>254</v>
      </c>
      <c r="I75" s="168"/>
      <c r="J75" s="168"/>
      <c r="K75" s="168"/>
      <c r="L75" s="168"/>
      <c r="M75" s="168"/>
      <c r="N75" s="168"/>
      <c r="O75" s="168"/>
      <c r="Q75" s="168"/>
      <c r="R75" s="168"/>
      <c r="S75" s="168"/>
      <c r="T75" s="168"/>
      <c r="U75" s="168"/>
      <c r="V75" s="168"/>
      <c r="W75" s="168"/>
      <c r="Y75" s="244"/>
      <c r="Z75" s="244"/>
      <c r="AA75" s="244"/>
      <c r="AB75" s="230" t="str">
        <f t="shared" si="12"/>
        <v/>
      </c>
      <c r="AC75" s="215" t="s">
        <v>206</v>
      </c>
      <c r="AD75" s="215" t="s">
        <v>206</v>
      </c>
      <c r="AF75" s="245"/>
      <c r="AG75" s="245"/>
      <c r="AI75" s="244"/>
      <c r="AJ75" s="244"/>
      <c r="AK75" s="244"/>
      <c r="AL75" s="244"/>
      <c r="AM75" s="244"/>
      <c r="AN75" s="244"/>
      <c r="AO75" s="244"/>
      <c r="AP75" s="244"/>
      <c r="AQ75" s="246" t="str">
        <f t="shared" si="13"/>
        <v/>
      </c>
      <c r="AR75" s="244"/>
      <c r="AS75" s="244"/>
      <c r="AT75" s="244"/>
      <c r="AU75" s="244"/>
      <c r="AV75" s="244"/>
      <c r="AW75" s="244"/>
      <c r="AX75" s="244"/>
      <c r="AY75" s="244"/>
      <c r="AZ75" s="244"/>
      <c r="BA75" s="244"/>
      <c r="BB75" s="244"/>
      <c r="BC75" s="244"/>
      <c r="BD75" s="244"/>
      <c r="BE75" s="244"/>
      <c r="BF75" s="244"/>
      <c r="BG75" s="244"/>
      <c r="BH75" s="244"/>
      <c r="BI75" s="244"/>
      <c r="BJ75" s="244"/>
      <c r="BK75" s="244"/>
      <c r="BL75" s="244"/>
      <c r="BM75" s="244"/>
      <c r="BN75" s="244"/>
      <c r="BO75" s="244"/>
      <c r="BP75" s="244"/>
      <c r="BQ75" s="244"/>
      <c r="BR75" s="244"/>
      <c r="BS75" s="244"/>
      <c r="BT75" s="244"/>
      <c r="BU75" s="244"/>
      <c r="BV75" s="244"/>
      <c r="BW75" s="244"/>
      <c r="BX75" s="244"/>
      <c r="BY75" s="244"/>
      <c r="BZ75" s="244"/>
      <c r="CA75" s="244"/>
      <c r="CB75" s="244"/>
      <c r="CC75" s="244"/>
      <c r="CD75" s="244"/>
      <c r="CE75" s="244"/>
      <c r="CF75" s="244"/>
      <c r="CG75" s="244"/>
      <c r="CH75" s="244"/>
      <c r="CI75" s="244"/>
      <c r="CJ75" s="244"/>
      <c r="CK75" s="244"/>
      <c r="CL75" s="244"/>
      <c r="CM75" s="244"/>
      <c r="CN75" s="244"/>
      <c r="CO75" s="244"/>
      <c r="CP75" s="246" t="str">
        <f t="shared" si="14"/>
        <v/>
      </c>
      <c r="CR75" s="13">
        <f t="shared" ref="CR75:CR109" si="15">IF(SUM(I75:O75)&gt;0,1,0)</f>
        <v>0</v>
      </c>
      <c r="CS75" s="230">
        <f>IF(CR75=0,0,IF(ISERROR(MATCH(D75,D$9:D74,0)),0,1))</f>
        <v>0</v>
      </c>
      <c r="CT75" s="247"/>
    </row>
    <row r="76" spans="2:98" ht="12.75" x14ac:dyDescent="0.35">
      <c r="B76" s="13">
        <f t="shared" si="11"/>
        <v>67</v>
      </c>
      <c r="C76" s="183"/>
      <c r="D76" s="181"/>
      <c r="F76" s="215" t="s">
        <v>254</v>
      </c>
      <c r="G76" s="215" t="s">
        <v>254</v>
      </c>
      <c r="I76" s="168"/>
      <c r="J76" s="168"/>
      <c r="K76" s="168"/>
      <c r="L76" s="168"/>
      <c r="M76" s="168"/>
      <c r="N76" s="168"/>
      <c r="O76" s="168"/>
      <c r="Q76" s="168"/>
      <c r="R76" s="168"/>
      <c r="S76" s="168"/>
      <c r="T76" s="168"/>
      <c r="U76" s="168"/>
      <c r="V76" s="168"/>
      <c r="W76" s="168"/>
      <c r="Y76" s="244"/>
      <c r="Z76" s="244"/>
      <c r="AA76" s="244"/>
      <c r="AB76" s="230" t="str">
        <f t="shared" si="12"/>
        <v/>
      </c>
      <c r="AC76" s="215" t="s">
        <v>206</v>
      </c>
      <c r="AD76" s="215" t="s">
        <v>206</v>
      </c>
      <c r="AF76" s="245"/>
      <c r="AG76" s="245"/>
      <c r="AI76" s="244"/>
      <c r="AJ76" s="244"/>
      <c r="AK76" s="244"/>
      <c r="AL76" s="244"/>
      <c r="AM76" s="244"/>
      <c r="AN76" s="244"/>
      <c r="AO76" s="244"/>
      <c r="AP76" s="244"/>
      <c r="AQ76" s="246" t="str">
        <f t="shared" si="13"/>
        <v/>
      </c>
      <c r="AR76" s="244"/>
      <c r="AS76" s="244"/>
      <c r="AT76" s="244"/>
      <c r="AU76" s="244"/>
      <c r="AV76" s="244"/>
      <c r="AW76" s="244"/>
      <c r="AX76" s="244"/>
      <c r="AY76" s="244"/>
      <c r="AZ76" s="244"/>
      <c r="BA76" s="244"/>
      <c r="BB76" s="244"/>
      <c r="BC76" s="244"/>
      <c r="BD76" s="244"/>
      <c r="BE76" s="244"/>
      <c r="BF76" s="244"/>
      <c r="BG76" s="244"/>
      <c r="BH76" s="244"/>
      <c r="BI76" s="244"/>
      <c r="BJ76" s="244"/>
      <c r="BK76" s="244"/>
      <c r="BL76" s="244"/>
      <c r="BM76" s="244"/>
      <c r="BN76" s="244"/>
      <c r="BO76" s="244"/>
      <c r="BP76" s="244"/>
      <c r="BQ76" s="244"/>
      <c r="BR76" s="244"/>
      <c r="BS76" s="244"/>
      <c r="BT76" s="244"/>
      <c r="BU76" s="244"/>
      <c r="BV76" s="244"/>
      <c r="BW76" s="244"/>
      <c r="BX76" s="244"/>
      <c r="BY76" s="244"/>
      <c r="BZ76" s="244"/>
      <c r="CA76" s="244"/>
      <c r="CB76" s="244"/>
      <c r="CC76" s="244"/>
      <c r="CD76" s="244"/>
      <c r="CE76" s="244"/>
      <c r="CF76" s="244"/>
      <c r="CG76" s="244"/>
      <c r="CH76" s="244"/>
      <c r="CI76" s="244"/>
      <c r="CJ76" s="244"/>
      <c r="CK76" s="244"/>
      <c r="CL76" s="244"/>
      <c r="CM76" s="244"/>
      <c r="CN76" s="244"/>
      <c r="CO76" s="244"/>
      <c r="CP76" s="246" t="str">
        <f t="shared" si="14"/>
        <v/>
      </c>
      <c r="CR76" s="13">
        <f t="shared" si="15"/>
        <v>0</v>
      </c>
      <c r="CS76" s="230">
        <f>IF(CR76=0,0,IF(ISERROR(MATCH(D76,D$9:D75,0)),0,1))</f>
        <v>0</v>
      </c>
      <c r="CT76" s="247"/>
    </row>
    <row r="77" spans="2:98" ht="12.75" x14ac:dyDescent="0.35">
      <c r="B77" s="13">
        <f t="shared" si="11"/>
        <v>68</v>
      </c>
      <c r="C77" s="183"/>
      <c r="D77" s="181"/>
      <c r="F77" s="215" t="s">
        <v>254</v>
      </c>
      <c r="G77" s="215" t="s">
        <v>254</v>
      </c>
      <c r="I77" s="168"/>
      <c r="J77" s="168"/>
      <c r="K77" s="168"/>
      <c r="L77" s="168"/>
      <c r="M77" s="168"/>
      <c r="N77" s="168"/>
      <c r="O77" s="168"/>
      <c r="Q77" s="168"/>
      <c r="R77" s="168"/>
      <c r="S77" s="168"/>
      <c r="T77" s="168"/>
      <c r="U77" s="168"/>
      <c r="V77" s="168"/>
      <c r="W77" s="168"/>
      <c r="Y77" s="244"/>
      <c r="Z77" s="244"/>
      <c r="AA77" s="244"/>
      <c r="AB77" s="230" t="str">
        <f t="shared" si="12"/>
        <v/>
      </c>
      <c r="AC77" s="215" t="s">
        <v>206</v>
      </c>
      <c r="AD77" s="215" t="s">
        <v>206</v>
      </c>
      <c r="AF77" s="245"/>
      <c r="AG77" s="245"/>
      <c r="AI77" s="244"/>
      <c r="AJ77" s="244"/>
      <c r="AK77" s="244"/>
      <c r="AL77" s="244"/>
      <c r="AM77" s="244"/>
      <c r="AN77" s="244"/>
      <c r="AO77" s="244"/>
      <c r="AP77" s="244"/>
      <c r="AQ77" s="246" t="str">
        <f t="shared" si="13"/>
        <v/>
      </c>
      <c r="AR77" s="244"/>
      <c r="AS77" s="244"/>
      <c r="AT77" s="244"/>
      <c r="AU77" s="244"/>
      <c r="AV77" s="244"/>
      <c r="AW77" s="244"/>
      <c r="AX77" s="244"/>
      <c r="AY77" s="244"/>
      <c r="AZ77" s="244"/>
      <c r="BA77" s="244"/>
      <c r="BB77" s="244"/>
      <c r="BC77" s="244"/>
      <c r="BD77" s="244"/>
      <c r="BE77" s="244"/>
      <c r="BF77" s="244"/>
      <c r="BG77" s="244"/>
      <c r="BH77" s="244"/>
      <c r="BI77" s="244"/>
      <c r="BJ77" s="244"/>
      <c r="BK77" s="244"/>
      <c r="BL77" s="244"/>
      <c r="BM77" s="244"/>
      <c r="BN77" s="244"/>
      <c r="BO77" s="244"/>
      <c r="BP77" s="244"/>
      <c r="BQ77" s="244"/>
      <c r="BR77" s="244"/>
      <c r="BS77" s="244"/>
      <c r="BT77" s="244"/>
      <c r="BU77" s="244"/>
      <c r="BV77" s="244"/>
      <c r="BW77" s="244"/>
      <c r="BX77" s="244"/>
      <c r="BY77" s="244"/>
      <c r="BZ77" s="244"/>
      <c r="CA77" s="244"/>
      <c r="CB77" s="244"/>
      <c r="CC77" s="244"/>
      <c r="CD77" s="244"/>
      <c r="CE77" s="244"/>
      <c r="CF77" s="244"/>
      <c r="CG77" s="244"/>
      <c r="CH77" s="244"/>
      <c r="CI77" s="244"/>
      <c r="CJ77" s="244"/>
      <c r="CK77" s="244"/>
      <c r="CL77" s="244"/>
      <c r="CM77" s="244"/>
      <c r="CN77" s="244"/>
      <c r="CO77" s="244"/>
      <c r="CP77" s="246" t="str">
        <f t="shared" si="14"/>
        <v/>
      </c>
      <c r="CR77" s="13">
        <f t="shared" si="15"/>
        <v>0</v>
      </c>
      <c r="CS77" s="230">
        <f>IF(CR77=0,0,IF(ISERROR(MATCH(D77,D$9:D76,0)),0,1))</f>
        <v>0</v>
      </c>
      <c r="CT77" s="247"/>
    </row>
    <row r="78" spans="2:98" ht="12.75" x14ac:dyDescent="0.35">
      <c r="B78" s="13">
        <f t="shared" si="11"/>
        <v>69</v>
      </c>
      <c r="C78" s="183"/>
      <c r="D78" s="181"/>
      <c r="F78" s="215" t="s">
        <v>254</v>
      </c>
      <c r="G78" s="215" t="s">
        <v>254</v>
      </c>
      <c r="I78" s="168"/>
      <c r="J78" s="168"/>
      <c r="K78" s="168"/>
      <c r="L78" s="168"/>
      <c r="M78" s="168"/>
      <c r="N78" s="168"/>
      <c r="O78" s="168"/>
      <c r="Q78" s="168"/>
      <c r="R78" s="168"/>
      <c r="S78" s="168"/>
      <c r="T78" s="168"/>
      <c r="U78" s="168"/>
      <c r="V78" s="168"/>
      <c r="W78" s="168"/>
      <c r="Y78" s="244"/>
      <c r="Z78" s="244"/>
      <c r="AA78" s="244"/>
      <c r="AB78" s="230" t="str">
        <f t="shared" si="12"/>
        <v/>
      </c>
      <c r="AC78" s="215" t="s">
        <v>206</v>
      </c>
      <c r="AD78" s="215" t="s">
        <v>206</v>
      </c>
      <c r="AF78" s="245"/>
      <c r="AG78" s="245"/>
      <c r="AI78" s="244"/>
      <c r="AJ78" s="244"/>
      <c r="AK78" s="244"/>
      <c r="AL78" s="244"/>
      <c r="AM78" s="244"/>
      <c r="AN78" s="244"/>
      <c r="AO78" s="244"/>
      <c r="AP78" s="244"/>
      <c r="AQ78" s="246" t="str">
        <f t="shared" si="13"/>
        <v/>
      </c>
      <c r="AR78" s="244"/>
      <c r="AS78" s="244"/>
      <c r="AT78" s="244"/>
      <c r="AU78" s="244"/>
      <c r="AV78" s="244"/>
      <c r="AW78" s="244"/>
      <c r="AX78" s="244"/>
      <c r="AY78" s="244"/>
      <c r="AZ78" s="244"/>
      <c r="BA78" s="244"/>
      <c r="BB78" s="244"/>
      <c r="BC78" s="244"/>
      <c r="BD78" s="244"/>
      <c r="BE78" s="244"/>
      <c r="BF78" s="244"/>
      <c r="BG78" s="244"/>
      <c r="BH78" s="244"/>
      <c r="BI78" s="244"/>
      <c r="BJ78" s="244"/>
      <c r="BK78" s="244"/>
      <c r="BL78" s="244"/>
      <c r="BM78" s="244"/>
      <c r="BN78" s="244"/>
      <c r="BO78" s="244"/>
      <c r="BP78" s="244"/>
      <c r="BQ78" s="244"/>
      <c r="BR78" s="244"/>
      <c r="BS78" s="244"/>
      <c r="BT78" s="244"/>
      <c r="BU78" s="244"/>
      <c r="BV78" s="244"/>
      <c r="BW78" s="244"/>
      <c r="BX78" s="244"/>
      <c r="BY78" s="244"/>
      <c r="BZ78" s="244"/>
      <c r="CA78" s="244"/>
      <c r="CB78" s="244"/>
      <c r="CC78" s="244"/>
      <c r="CD78" s="244"/>
      <c r="CE78" s="244"/>
      <c r="CF78" s="244"/>
      <c r="CG78" s="244"/>
      <c r="CH78" s="244"/>
      <c r="CI78" s="244"/>
      <c r="CJ78" s="244"/>
      <c r="CK78" s="244"/>
      <c r="CL78" s="244"/>
      <c r="CM78" s="244"/>
      <c r="CN78" s="244"/>
      <c r="CO78" s="244"/>
      <c r="CP78" s="246" t="str">
        <f t="shared" si="14"/>
        <v/>
      </c>
      <c r="CR78" s="13">
        <f t="shared" si="15"/>
        <v>0</v>
      </c>
      <c r="CS78" s="230">
        <f>IF(CR78=0,0,IF(ISERROR(MATCH(D78,D$9:D77,0)),0,1))</f>
        <v>0</v>
      </c>
      <c r="CT78" s="247"/>
    </row>
    <row r="79" spans="2:98" ht="12.75" x14ac:dyDescent="0.35">
      <c r="B79" s="13">
        <f t="shared" si="11"/>
        <v>70</v>
      </c>
      <c r="C79" s="183"/>
      <c r="D79" s="181"/>
      <c r="F79" s="215" t="s">
        <v>254</v>
      </c>
      <c r="G79" s="215" t="s">
        <v>254</v>
      </c>
      <c r="I79" s="168"/>
      <c r="J79" s="168"/>
      <c r="K79" s="168"/>
      <c r="L79" s="168"/>
      <c r="M79" s="168"/>
      <c r="N79" s="168"/>
      <c r="O79" s="168"/>
      <c r="Q79" s="168"/>
      <c r="R79" s="168"/>
      <c r="S79" s="168"/>
      <c r="T79" s="168"/>
      <c r="U79" s="168"/>
      <c r="V79" s="168"/>
      <c r="W79" s="168"/>
      <c r="Y79" s="244"/>
      <c r="Z79" s="244"/>
      <c r="AA79" s="244"/>
      <c r="AB79" s="230" t="str">
        <f t="shared" si="12"/>
        <v/>
      </c>
      <c r="AC79" s="215" t="s">
        <v>206</v>
      </c>
      <c r="AD79" s="215" t="s">
        <v>206</v>
      </c>
      <c r="AF79" s="245"/>
      <c r="AG79" s="245"/>
      <c r="AI79" s="244"/>
      <c r="AJ79" s="244"/>
      <c r="AK79" s="244"/>
      <c r="AL79" s="244"/>
      <c r="AM79" s="244"/>
      <c r="AN79" s="244"/>
      <c r="AO79" s="244"/>
      <c r="AP79" s="244"/>
      <c r="AQ79" s="246" t="str">
        <f t="shared" si="13"/>
        <v/>
      </c>
      <c r="AR79" s="244"/>
      <c r="AS79" s="244"/>
      <c r="AT79" s="244"/>
      <c r="AU79" s="244"/>
      <c r="AV79" s="244"/>
      <c r="AW79" s="244"/>
      <c r="AX79" s="244"/>
      <c r="AY79" s="244"/>
      <c r="AZ79" s="244"/>
      <c r="BA79" s="244"/>
      <c r="BB79" s="244"/>
      <c r="BC79" s="244"/>
      <c r="BD79" s="244"/>
      <c r="BE79" s="244"/>
      <c r="BF79" s="244"/>
      <c r="BG79" s="244"/>
      <c r="BH79" s="244"/>
      <c r="BI79" s="244"/>
      <c r="BJ79" s="244"/>
      <c r="BK79" s="244"/>
      <c r="BL79" s="244"/>
      <c r="BM79" s="244"/>
      <c r="BN79" s="244"/>
      <c r="BO79" s="244"/>
      <c r="BP79" s="244"/>
      <c r="BQ79" s="244"/>
      <c r="BR79" s="244"/>
      <c r="BS79" s="244"/>
      <c r="BT79" s="244"/>
      <c r="BU79" s="244"/>
      <c r="BV79" s="244"/>
      <c r="BW79" s="244"/>
      <c r="BX79" s="244"/>
      <c r="BY79" s="244"/>
      <c r="BZ79" s="244"/>
      <c r="CA79" s="244"/>
      <c r="CB79" s="244"/>
      <c r="CC79" s="244"/>
      <c r="CD79" s="244"/>
      <c r="CE79" s="244"/>
      <c r="CF79" s="244"/>
      <c r="CG79" s="244"/>
      <c r="CH79" s="244"/>
      <c r="CI79" s="244"/>
      <c r="CJ79" s="244"/>
      <c r="CK79" s="244"/>
      <c r="CL79" s="244"/>
      <c r="CM79" s="244"/>
      <c r="CN79" s="244"/>
      <c r="CO79" s="244"/>
      <c r="CP79" s="246" t="str">
        <f t="shared" si="14"/>
        <v/>
      </c>
      <c r="CR79" s="13">
        <f t="shared" si="15"/>
        <v>0</v>
      </c>
      <c r="CS79" s="230">
        <f>IF(CR79=0,0,IF(ISERROR(MATCH(D79,D$9:D78,0)),0,1))</f>
        <v>0</v>
      </c>
      <c r="CT79" s="247"/>
    </row>
    <row r="80" spans="2:98" ht="12.75" x14ac:dyDescent="0.35">
      <c r="B80" s="13">
        <f t="shared" si="11"/>
        <v>71</v>
      </c>
      <c r="C80" s="183"/>
      <c r="D80" s="181"/>
      <c r="F80" s="215" t="s">
        <v>254</v>
      </c>
      <c r="G80" s="215" t="s">
        <v>254</v>
      </c>
      <c r="I80" s="168"/>
      <c r="J80" s="168"/>
      <c r="K80" s="168"/>
      <c r="L80" s="168"/>
      <c r="M80" s="168"/>
      <c r="N80" s="168"/>
      <c r="O80" s="168"/>
      <c r="Q80" s="168"/>
      <c r="R80" s="168"/>
      <c r="S80" s="168"/>
      <c r="T80" s="168"/>
      <c r="U80" s="168"/>
      <c r="V80" s="168"/>
      <c r="W80" s="168"/>
      <c r="Y80" s="244"/>
      <c r="Z80" s="244"/>
      <c r="AA80" s="244"/>
      <c r="AB80" s="230" t="str">
        <f t="shared" si="12"/>
        <v/>
      </c>
      <c r="AC80" s="215" t="s">
        <v>206</v>
      </c>
      <c r="AD80" s="215" t="s">
        <v>206</v>
      </c>
      <c r="AF80" s="245"/>
      <c r="AG80" s="245"/>
      <c r="AI80" s="244"/>
      <c r="AJ80" s="244"/>
      <c r="AK80" s="244"/>
      <c r="AL80" s="244"/>
      <c r="AM80" s="244"/>
      <c r="AN80" s="244"/>
      <c r="AO80" s="244"/>
      <c r="AP80" s="244"/>
      <c r="AQ80" s="246" t="str">
        <f t="shared" si="13"/>
        <v/>
      </c>
      <c r="AR80" s="244"/>
      <c r="AS80" s="244"/>
      <c r="AT80" s="244"/>
      <c r="AU80" s="244"/>
      <c r="AV80" s="244"/>
      <c r="AW80" s="244"/>
      <c r="AX80" s="244"/>
      <c r="AY80" s="244"/>
      <c r="AZ80" s="244"/>
      <c r="BA80" s="244"/>
      <c r="BB80" s="244"/>
      <c r="BC80" s="244"/>
      <c r="BD80" s="244"/>
      <c r="BE80" s="244"/>
      <c r="BF80" s="244"/>
      <c r="BG80" s="244"/>
      <c r="BH80" s="244"/>
      <c r="BI80" s="244"/>
      <c r="BJ80" s="244"/>
      <c r="BK80" s="244"/>
      <c r="BL80" s="244"/>
      <c r="BM80" s="244"/>
      <c r="BN80" s="244"/>
      <c r="BO80" s="244"/>
      <c r="BP80" s="244"/>
      <c r="BQ80" s="244"/>
      <c r="BR80" s="244"/>
      <c r="BS80" s="244"/>
      <c r="BT80" s="244"/>
      <c r="BU80" s="244"/>
      <c r="BV80" s="244"/>
      <c r="BW80" s="244"/>
      <c r="BX80" s="244"/>
      <c r="BY80" s="244"/>
      <c r="BZ80" s="244"/>
      <c r="CA80" s="244"/>
      <c r="CB80" s="244"/>
      <c r="CC80" s="244"/>
      <c r="CD80" s="244"/>
      <c r="CE80" s="244"/>
      <c r="CF80" s="244"/>
      <c r="CG80" s="244"/>
      <c r="CH80" s="244"/>
      <c r="CI80" s="244"/>
      <c r="CJ80" s="244"/>
      <c r="CK80" s="244"/>
      <c r="CL80" s="244"/>
      <c r="CM80" s="244"/>
      <c r="CN80" s="244"/>
      <c r="CO80" s="244"/>
      <c r="CP80" s="246" t="str">
        <f t="shared" si="14"/>
        <v/>
      </c>
      <c r="CR80" s="13">
        <f t="shared" si="15"/>
        <v>0</v>
      </c>
      <c r="CS80" s="230">
        <f>IF(CR80=0,0,IF(ISERROR(MATCH(D80,D$9:D79,0)),0,1))</f>
        <v>0</v>
      </c>
      <c r="CT80" s="247"/>
    </row>
    <row r="81" spans="2:98" ht="12.75" x14ac:dyDescent="0.35">
      <c r="B81" s="13">
        <f t="shared" si="11"/>
        <v>72</v>
      </c>
      <c r="C81" s="183"/>
      <c r="D81" s="181"/>
      <c r="F81" s="215" t="s">
        <v>254</v>
      </c>
      <c r="G81" s="215" t="s">
        <v>254</v>
      </c>
      <c r="I81" s="168"/>
      <c r="J81" s="168"/>
      <c r="K81" s="168"/>
      <c r="L81" s="168"/>
      <c r="M81" s="168"/>
      <c r="N81" s="168"/>
      <c r="O81" s="168"/>
      <c r="Q81" s="168"/>
      <c r="R81" s="168"/>
      <c r="S81" s="168"/>
      <c r="T81" s="168"/>
      <c r="U81" s="168"/>
      <c r="V81" s="168"/>
      <c r="W81" s="168"/>
      <c r="Y81" s="244"/>
      <c r="Z81" s="244"/>
      <c r="AA81" s="244"/>
      <c r="AB81" s="230" t="str">
        <f t="shared" si="12"/>
        <v/>
      </c>
      <c r="AC81" s="215" t="s">
        <v>206</v>
      </c>
      <c r="AD81" s="215" t="s">
        <v>206</v>
      </c>
      <c r="AF81" s="245"/>
      <c r="AG81" s="245"/>
      <c r="AI81" s="244"/>
      <c r="AJ81" s="244"/>
      <c r="AK81" s="244"/>
      <c r="AL81" s="244"/>
      <c r="AM81" s="244"/>
      <c r="AN81" s="244"/>
      <c r="AO81" s="244"/>
      <c r="AP81" s="244"/>
      <c r="AQ81" s="246" t="str">
        <f t="shared" si="13"/>
        <v/>
      </c>
      <c r="AR81" s="244"/>
      <c r="AS81" s="244"/>
      <c r="AT81" s="244"/>
      <c r="AU81" s="244"/>
      <c r="AV81" s="244"/>
      <c r="AW81" s="244"/>
      <c r="AX81" s="244"/>
      <c r="AY81" s="244"/>
      <c r="AZ81" s="244"/>
      <c r="BA81" s="244"/>
      <c r="BB81" s="244"/>
      <c r="BC81" s="244"/>
      <c r="BD81" s="244"/>
      <c r="BE81" s="244"/>
      <c r="BF81" s="244"/>
      <c r="BG81" s="244"/>
      <c r="BH81" s="244"/>
      <c r="BI81" s="244"/>
      <c r="BJ81" s="244"/>
      <c r="BK81" s="244"/>
      <c r="BL81" s="244"/>
      <c r="BM81" s="244"/>
      <c r="BN81" s="244"/>
      <c r="BO81" s="244"/>
      <c r="BP81" s="244"/>
      <c r="BQ81" s="244"/>
      <c r="BR81" s="244"/>
      <c r="BS81" s="244"/>
      <c r="BT81" s="244"/>
      <c r="BU81" s="244"/>
      <c r="BV81" s="244"/>
      <c r="BW81" s="244"/>
      <c r="BX81" s="244"/>
      <c r="BY81" s="244"/>
      <c r="BZ81" s="244"/>
      <c r="CA81" s="244"/>
      <c r="CB81" s="244"/>
      <c r="CC81" s="244"/>
      <c r="CD81" s="244"/>
      <c r="CE81" s="244"/>
      <c r="CF81" s="244"/>
      <c r="CG81" s="244"/>
      <c r="CH81" s="244"/>
      <c r="CI81" s="244"/>
      <c r="CJ81" s="244"/>
      <c r="CK81" s="244"/>
      <c r="CL81" s="244"/>
      <c r="CM81" s="244"/>
      <c r="CN81" s="244"/>
      <c r="CO81" s="244"/>
      <c r="CP81" s="246" t="str">
        <f t="shared" si="14"/>
        <v/>
      </c>
      <c r="CR81" s="13">
        <f t="shared" si="15"/>
        <v>0</v>
      </c>
      <c r="CS81" s="230">
        <f>IF(CR81=0,0,IF(ISERROR(MATCH(D81,D$9:D80,0)),0,1))</f>
        <v>0</v>
      </c>
      <c r="CT81" s="247"/>
    </row>
    <row r="82" spans="2:98" ht="12.75" x14ac:dyDescent="0.35">
      <c r="B82" s="13">
        <f t="shared" si="11"/>
        <v>73</v>
      </c>
      <c r="C82" s="183"/>
      <c r="D82" s="181"/>
      <c r="F82" s="215" t="s">
        <v>254</v>
      </c>
      <c r="G82" s="215" t="s">
        <v>254</v>
      </c>
      <c r="I82" s="168"/>
      <c r="J82" s="168"/>
      <c r="K82" s="168"/>
      <c r="L82" s="168"/>
      <c r="M82" s="168"/>
      <c r="N82" s="168"/>
      <c r="O82" s="168"/>
      <c r="Q82" s="168"/>
      <c r="R82" s="168"/>
      <c r="S82" s="168"/>
      <c r="T82" s="168"/>
      <c r="U82" s="168"/>
      <c r="V82" s="168"/>
      <c r="W82" s="168"/>
      <c r="Y82" s="244"/>
      <c r="Z82" s="244"/>
      <c r="AA82" s="244"/>
      <c r="AB82" s="230" t="str">
        <f t="shared" si="12"/>
        <v/>
      </c>
      <c r="AC82" s="215" t="s">
        <v>206</v>
      </c>
      <c r="AD82" s="215" t="s">
        <v>206</v>
      </c>
      <c r="AF82" s="245"/>
      <c r="AG82" s="245"/>
      <c r="AI82" s="244"/>
      <c r="AJ82" s="244"/>
      <c r="AK82" s="244"/>
      <c r="AL82" s="244"/>
      <c r="AM82" s="244"/>
      <c r="AN82" s="244"/>
      <c r="AO82" s="244"/>
      <c r="AP82" s="244"/>
      <c r="AQ82" s="246" t="str">
        <f t="shared" si="13"/>
        <v/>
      </c>
      <c r="AR82" s="244"/>
      <c r="AS82" s="244"/>
      <c r="AT82" s="244"/>
      <c r="AU82" s="244"/>
      <c r="AV82" s="244"/>
      <c r="AW82" s="244"/>
      <c r="AX82" s="244"/>
      <c r="AY82" s="244"/>
      <c r="AZ82" s="244"/>
      <c r="BA82" s="244"/>
      <c r="BB82" s="244"/>
      <c r="BC82" s="244"/>
      <c r="BD82" s="244"/>
      <c r="BE82" s="244"/>
      <c r="BF82" s="244"/>
      <c r="BG82" s="244"/>
      <c r="BH82" s="244"/>
      <c r="BI82" s="244"/>
      <c r="BJ82" s="244"/>
      <c r="BK82" s="244"/>
      <c r="BL82" s="244"/>
      <c r="BM82" s="244"/>
      <c r="BN82" s="244"/>
      <c r="BO82" s="244"/>
      <c r="BP82" s="244"/>
      <c r="BQ82" s="244"/>
      <c r="BR82" s="244"/>
      <c r="BS82" s="244"/>
      <c r="BT82" s="244"/>
      <c r="BU82" s="244"/>
      <c r="BV82" s="244"/>
      <c r="BW82" s="244"/>
      <c r="BX82" s="244"/>
      <c r="BY82" s="244"/>
      <c r="BZ82" s="244"/>
      <c r="CA82" s="244"/>
      <c r="CB82" s="244"/>
      <c r="CC82" s="244"/>
      <c r="CD82" s="244"/>
      <c r="CE82" s="244"/>
      <c r="CF82" s="244"/>
      <c r="CG82" s="244"/>
      <c r="CH82" s="244"/>
      <c r="CI82" s="244"/>
      <c r="CJ82" s="244"/>
      <c r="CK82" s="244"/>
      <c r="CL82" s="244"/>
      <c r="CM82" s="244"/>
      <c r="CN82" s="244"/>
      <c r="CO82" s="244"/>
      <c r="CP82" s="246" t="str">
        <f t="shared" si="14"/>
        <v/>
      </c>
      <c r="CR82" s="13">
        <f t="shared" si="15"/>
        <v>0</v>
      </c>
      <c r="CS82" s="230">
        <f>IF(CR82=0,0,IF(ISERROR(MATCH(D82,D$9:D81,0)),0,1))</f>
        <v>0</v>
      </c>
      <c r="CT82" s="247"/>
    </row>
    <row r="83" spans="2:98" ht="12.75" x14ac:dyDescent="0.35">
      <c r="B83" s="13">
        <f t="shared" si="11"/>
        <v>74</v>
      </c>
      <c r="C83" s="183"/>
      <c r="D83" s="181"/>
      <c r="F83" s="215" t="s">
        <v>254</v>
      </c>
      <c r="G83" s="215" t="s">
        <v>254</v>
      </c>
      <c r="I83" s="168"/>
      <c r="J83" s="168"/>
      <c r="K83" s="168"/>
      <c r="L83" s="168"/>
      <c r="M83" s="168"/>
      <c r="N83" s="168"/>
      <c r="O83" s="168"/>
      <c r="Q83" s="168"/>
      <c r="R83" s="168"/>
      <c r="S83" s="168"/>
      <c r="T83" s="168"/>
      <c r="U83" s="168"/>
      <c r="V83" s="168"/>
      <c r="W83" s="168"/>
      <c r="Y83" s="244"/>
      <c r="Z83" s="244"/>
      <c r="AA83" s="244"/>
      <c r="AB83" s="230" t="str">
        <f t="shared" si="12"/>
        <v/>
      </c>
      <c r="AC83" s="215" t="s">
        <v>206</v>
      </c>
      <c r="AD83" s="215" t="s">
        <v>206</v>
      </c>
      <c r="AF83" s="245"/>
      <c r="AG83" s="245"/>
      <c r="AI83" s="244"/>
      <c r="AJ83" s="244"/>
      <c r="AK83" s="244"/>
      <c r="AL83" s="244"/>
      <c r="AM83" s="244"/>
      <c r="AN83" s="244"/>
      <c r="AO83" s="244"/>
      <c r="AP83" s="244"/>
      <c r="AQ83" s="246" t="str">
        <f t="shared" si="13"/>
        <v/>
      </c>
      <c r="AR83" s="244"/>
      <c r="AS83" s="244"/>
      <c r="AT83" s="244"/>
      <c r="AU83" s="244"/>
      <c r="AV83" s="244"/>
      <c r="AW83" s="244"/>
      <c r="AX83" s="244"/>
      <c r="AY83" s="244"/>
      <c r="AZ83" s="244"/>
      <c r="BA83" s="244"/>
      <c r="BB83" s="244"/>
      <c r="BC83" s="244"/>
      <c r="BD83" s="244"/>
      <c r="BE83" s="244"/>
      <c r="BF83" s="244"/>
      <c r="BG83" s="244"/>
      <c r="BH83" s="244"/>
      <c r="BI83" s="244"/>
      <c r="BJ83" s="244"/>
      <c r="BK83" s="244"/>
      <c r="BL83" s="244"/>
      <c r="BM83" s="244"/>
      <c r="BN83" s="244"/>
      <c r="BO83" s="244"/>
      <c r="BP83" s="244"/>
      <c r="BQ83" s="244"/>
      <c r="BR83" s="244"/>
      <c r="BS83" s="244"/>
      <c r="BT83" s="244"/>
      <c r="BU83" s="244"/>
      <c r="BV83" s="244"/>
      <c r="BW83" s="244"/>
      <c r="BX83" s="244"/>
      <c r="BY83" s="244"/>
      <c r="BZ83" s="244"/>
      <c r="CA83" s="244"/>
      <c r="CB83" s="244"/>
      <c r="CC83" s="244"/>
      <c r="CD83" s="244"/>
      <c r="CE83" s="244"/>
      <c r="CF83" s="244"/>
      <c r="CG83" s="244"/>
      <c r="CH83" s="244"/>
      <c r="CI83" s="244"/>
      <c r="CJ83" s="244"/>
      <c r="CK83" s="244"/>
      <c r="CL83" s="244"/>
      <c r="CM83" s="244"/>
      <c r="CN83" s="244"/>
      <c r="CO83" s="244"/>
      <c r="CP83" s="246" t="str">
        <f t="shared" si="14"/>
        <v/>
      </c>
      <c r="CR83" s="13">
        <f t="shared" si="15"/>
        <v>0</v>
      </c>
      <c r="CS83" s="230">
        <f>IF(CR83=0,0,IF(ISERROR(MATCH(D83,D$9:D82,0)),0,1))</f>
        <v>0</v>
      </c>
      <c r="CT83" s="247"/>
    </row>
    <row r="84" spans="2:98" ht="12.75" x14ac:dyDescent="0.35">
      <c r="B84" s="13">
        <f t="shared" si="11"/>
        <v>75</v>
      </c>
      <c r="C84" s="183"/>
      <c r="D84" s="181"/>
      <c r="F84" s="215" t="s">
        <v>254</v>
      </c>
      <c r="G84" s="215" t="s">
        <v>254</v>
      </c>
      <c r="I84" s="168"/>
      <c r="J84" s="168"/>
      <c r="K84" s="168"/>
      <c r="L84" s="168"/>
      <c r="M84" s="168"/>
      <c r="N84" s="168"/>
      <c r="O84" s="168"/>
      <c r="Q84" s="168"/>
      <c r="R84" s="168"/>
      <c r="S84" s="168"/>
      <c r="T84" s="168"/>
      <c r="U84" s="168"/>
      <c r="V84" s="168"/>
      <c r="W84" s="168"/>
      <c r="Y84" s="244"/>
      <c r="Z84" s="244"/>
      <c r="AA84" s="244"/>
      <c r="AB84" s="230" t="str">
        <f t="shared" si="12"/>
        <v/>
      </c>
      <c r="AC84" s="215" t="s">
        <v>206</v>
      </c>
      <c r="AD84" s="215" t="s">
        <v>206</v>
      </c>
      <c r="AF84" s="245"/>
      <c r="AG84" s="245"/>
      <c r="AI84" s="244"/>
      <c r="AJ84" s="244"/>
      <c r="AK84" s="244"/>
      <c r="AL84" s="244"/>
      <c r="AM84" s="244"/>
      <c r="AN84" s="244"/>
      <c r="AO84" s="244"/>
      <c r="AP84" s="244"/>
      <c r="AQ84" s="246" t="str">
        <f t="shared" si="13"/>
        <v/>
      </c>
      <c r="AR84" s="244"/>
      <c r="AS84" s="244"/>
      <c r="AT84" s="244"/>
      <c r="AU84" s="244"/>
      <c r="AV84" s="244"/>
      <c r="AW84" s="244"/>
      <c r="AX84" s="244"/>
      <c r="AY84" s="244"/>
      <c r="AZ84" s="244"/>
      <c r="BA84" s="244"/>
      <c r="BB84" s="244"/>
      <c r="BC84" s="244"/>
      <c r="BD84" s="244"/>
      <c r="BE84" s="244"/>
      <c r="BF84" s="244"/>
      <c r="BG84" s="244"/>
      <c r="BH84" s="244"/>
      <c r="BI84" s="244"/>
      <c r="BJ84" s="244"/>
      <c r="BK84" s="244"/>
      <c r="BL84" s="244"/>
      <c r="BM84" s="244"/>
      <c r="BN84" s="244"/>
      <c r="BO84" s="244"/>
      <c r="BP84" s="244"/>
      <c r="BQ84" s="244"/>
      <c r="BR84" s="244"/>
      <c r="BS84" s="244"/>
      <c r="BT84" s="244"/>
      <c r="BU84" s="244"/>
      <c r="BV84" s="244"/>
      <c r="BW84" s="244"/>
      <c r="BX84" s="244"/>
      <c r="BY84" s="244"/>
      <c r="BZ84" s="244"/>
      <c r="CA84" s="244"/>
      <c r="CB84" s="244"/>
      <c r="CC84" s="244"/>
      <c r="CD84" s="244"/>
      <c r="CE84" s="244"/>
      <c r="CF84" s="244"/>
      <c r="CG84" s="244"/>
      <c r="CH84" s="244"/>
      <c r="CI84" s="244"/>
      <c r="CJ84" s="244"/>
      <c r="CK84" s="244"/>
      <c r="CL84" s="244"/>
      <c r="CM84" s="244"/>
      <c r="CN84" s="244"/>
      <c r="CO84" s="244"/>
      <c r="CP84" s="246" t="str">
        <f t="shared" si="14"/>
        <v/>
      </c>
      <c r="CR84" s="13">
        <f t="shared" si="15"/>
        <v>0</v>
      </c>
      <c r="CS84" s="230">
        <f>IF(CR84=0,0,IF(ISERROR(MATCH(D84,D$9:D83,0)),0,1))</f>
        <v>0</v>
      </c>
      <c r="CT84" s="247"/>
    </row>
    <row r="85" spans="2:98" ht="12.75" x14ac:dyDescent="0.35">
      <c r="B85" s="13">
        <f t="shared" si="11"/>
        <v>76</v>
      </c>
      <c r="C85" s="183"/>
      <c r="D85" s="181"/>
      <c r="F85" s="215" t="s">
        <v>254</v>
      </c>
      <c r="G85" s="215" t="s">
        <v>254</v>
      </c>
      <c r="I85" s="168"/>
      <c r="J85" s="168"/>
      <c r="K85" s="168"/>
      <c r="L85" s="168"/>
      <c r="M85" s="168"/>
      <c r="N85" s="168"/>
      <c r="O85" s="168"/>
      <c r="Q85" s="168"/>
      <c r="R85" s="168"/>
      <c r="S85" s="168"/>
      <c r="T85" s="168"/>
      <c r="U85" s="168"/>
      <c r="V85" s="168"/>
      <c r="W85" s="168"/>
      <c r="Y85" s="244"/>
      <c r="Z85" s="244"/>
      <c r="AA85" s="244"/>
      <c r="AB85" s="230" t="str">
        <f t="shared" si="12"/>
        <v/>
      </c>
      <c r="AC85" s="215" t="s">
        <v>206</v>
      </c>
      <c r="AD85" s="215" t="s">
        <v>206</v>
      </c>
      <c r="AF85" s="245"/>
      <c r="AG85" s="245"/>
      <c r="AI85" s="244"/>
      <c r="AJ85" s="244"/>
      <c r="AK85" s="244"/>
      <c r="AL85" s="244"/>
      <c r="AM85" s="244"/>
      <c r="AN85" s="244"/>
      <c r="AO85" s="244"/>
      <c r="AP85" s="244"/>
      <c r="AQ85" s="246" t="str">
        <f t="shared" si="13"/>
        <v/>
      </c>
      <c r="AR85" s="244"/>
      <c r="AS85" s="244"/>
      <c r="AT85" s="244"/>
      <c r="AU85" s="244"/>
      <c r="AV85" s="244"/>
      <c r="AW85" s="244"/>
      <c r="AX85" s="244"/>
      <c r="AY85" s="244"/>
      <c r="AZ85" s="244"/>
      <c r="BA85" s="244"/>
      <c r="BB85" s="244"/>
      <c r="BC85" s="244"/>
      <c r="BD85" s="244"/>
      <c r="BE85" s="244"/>
      <c r="BF85" s="244"/>
      <c r="BG85" s="244"/>
      <c r="BH85" s="244"/>
      <c r="BI85" s="244"/>
      <c r="BJ85" s="244"/>
      <c r="BK85" s="244"/>
      <c r="BL85" s="244"/>
      <c r="BM85" s="244"/>
      <c r="BN85" s="244"/>
      <c r="BO85" s="244"/>
      <c r="BP85" s="244"/>
      <c r="BQ85" s="244"/>
      <c r="BR85" s="244"/>
      <c r="BS85" s="244"/>
      <c r="BT85" s="244"/>
      <c r="BU85" s="244"/>
      <c r="BV85" s="244"/>
      <c r="BW85" s="244"/>
      <c r="BX85" s="244"/>
      <c r="BY85" s="244"/>
      <c r="BZ85" s="244"/>
      <c r="CA85" s="244"/>
      <c r="CB85" s="244"/>
      <c r="CC85" s="244"/>
      <c r="CD85" s="244"/>
      <c r="CE85" s="244"/>
      <c r="CF85" s="244"/>
      <c r="CG85" s="244"/>
      <c r="CH85" s="244"/>
      <c r="CI85" s="244"/>
      <c r="CJ85" s="244"/>
      <c r="CK85" s="244"/>
      <c r="CL85" s="244"/>
      <c r="CM85" s="244"/>
      <c r="CN85" s="244"/>
      <c r="CO85" s="244"/>
      <c r="CP85" s="246" t="str">
        <f t="shared" si="14"/>
        <v/>
      </c>
      <c r="CR85" s="13">
        <f t="shared" si="15"/>
        <v>0</v>
      </c>
      <c r="CS85" s="230">
        <f>IF(CR85=0,0,IF(ISERROR(MATCH(D85,D$9:D84,0)),0,1))</f>
        <v>0</v>
      </c>
      <c r="CT85" s="247"/>
    </row>
    <row r="86" spans="2:98" ht="12.75" x14ac:dyDescent="0.35">
      <c r="B86" s="13">
        <f t="shared" si="11"/>
        <v>77</v>
      </c>
      <c r="C86" s="183"/>
      <c r="D86" s="181"/>
      <c r="F86" s="215" t="s">
        <v>254</v>
      </c>
      <c r="G86" s="215" t="s">
        <v>254</v>
      </c>
      <c r="I86" s="168"/>
      <c r="J86" s="168"/>
      <c r="K86" s="168"/>
      <c r="L86" s="168"/>
      <c r="M86" s="168"/>
      <c r="N86" s="168"/>
      <c r="O86" s="168"/>
      <c r="Q86" s="168"/>
      <c r="R86" s="168"/>
      <c r="S86" s="168"/>
      <c r="T86" s="168"/>
      <c r="U86" s="168"/>
      <c r="V86" s="168"/>
      <c r="W86" s="168"/>
      <c r="Y86" s="244"/>
      <c r="Z86" s="244"/>
      <c r="AA86" s="244"/>
      <c r="AB86" s="230" t="str">
        <f t="shared" si="12"/>
        <v/>
      </c>
      <c r="AC86" s="215" t="s">
        <v>206</v>
      </c>
      <c r="AD86" s="215" t="s">
        <v>206</v>
      </c>
      <c r="AF86" s="245"/>
      <c r="AG86" s="245"/>
      <c r="AI86" s="244"/>
      <c r="AJ86" s="244"/>
      <c r="AK86" s="244"/>
      <c r="AL86" s="244"/>
      <c r="AM86" s="244"/>
      <c r="AN86" s="244"/>
      <c r="AO86" s="244"/>
      <c r="AP86" s="244"/>
      <c r="AQ86" s="246" t="str">
        <f t="shared" si="13"/>
        <v/>
      </c>
      <c r="AR86" s="244"/>
      <c r="AS86" s="244"/>
      <c r="AT86" s="244"/>
      <c r="AU86" s="244"/>
      <c r="AV86" s="244"/>
      <c r="AW86" s="244"/>
      <c r="AX86" s="244"/>
      <c r="AY86" s="244"/>
      <c r="AZ86" s="244"/>
      <c r="BA86" s="244"/>
      <c r="BB86" s="244"/>
      <c r="BC86" s="244"/>
      <c r="BD86" s="244"/>
      <c r="BE86" s="244"/>
      <c r="BF86" s="244"/>
      <c r="BG86" s="244"/>
      <c r="BH86" s="244"/>
      <c r="BI86" s="244"/>
      <c r="BJ86" s="244"/>
      <c r="BK86" s="244"/>
      <c r="BL86" s="244"/>
      <c r="BM86" s="244"/>
      <c r="BN86" s="244"/>
      <c r="BO86" s="244"/>
      <c r="BP86" s="244"/>
      <c r="BQ86" s="244"/>
      <c r="BR86" s="244"/>
      <c r="BS86" s="244"/>
      <c r="BT86" s="244"/>
      <c r="BU86" s="244"/>
      <c r="BV86" s="244"/>
      <c r="BW86" s="244"/>
      <c r="BX86" s="244"/>
      <c r="BY86" s="244"/>
      <c r="BZ86" s="244"/>
      <c r="CA86" s="244"/>
      <c r="CB86" s="244"/>
      <c r="CC86" s="244"/>
      <c r="CD86" s="244"/>
      <c r="CE86" s="244"/>
      <c r="CF86" s="244"/>
      <c r="CG86" s="244"/>
      <c r="CH86" s="244"/>
      <c r="CI86" s="244"/>
      <c r="CJ86" s="244"/>
      <c r="CK86" s="244"/>
      <c r="CL86" s="244"/>
      <c r="CM86" s="244"/>
      <c r="CN86" s="244"/>
      <c r="CO86" s="244"/>
      <c r="CP86" s="246" t="str">
        <f t="shared" si="14"/>
        <v/>
      </c>
      <c r="CR86" s="13">
        <f t="shared" si="15"/>
        <v>0</v>
      </c>
      <c r="CS86" s="230">
        <f>IF(CR86=0,0,IF(ISERROR(MATCH(D86,D$9:D85,0)),0,1))</f>
        <v>0</v>
      </c>
      <c r="CT86" s="247"/>
    </row>
    <row r="87" spans="2:98" ht="12.75" x14ac:dyDescent="0.35">
      <c r="B87" s="13">
        <f t="shared" si="11"/>
        <v>78</v>
      </c>
      <c r="C87" s="183"/>
      <c r="D87" s="181"/>
      <c r="F87" s="215" t="s">
        <v>254</v>
      </c>
      <c r="G87" s="215" t="s">
        <v>254</v>
      </c>
      <c r="I87" s="168"/>
      <c r="J87" s="168"/>
      <c r="K87" s="168"/>
      <c r="L87" s="168"/>
      <c r="M87" s="168"/>
      <c r="N87" s="168"/>
      <c r="O87" s="168"/>
      <c r="Q87" s="168"/>
      <c r="R87" s="168"/>
      <c r="S87" s="168"/>
      <c r="T87" s="168"/>
      <c r="U87" s="168"/>
      <c r="V87" s="168"/>
      <c r="W87" s="168"/>
      <c r="Y87" s="244"/>
      <c r="Z87" s="244"/>
      <c r="AA87" s="244"/>
      <c r="AB87" s="230" t="str">
        <f t="shared" si="12"/>
        <v/>
      </c>
      <c r="AC87" s="215" t="s">
        <v>206</v>
      </c>
      <c r="AD87" s="215" t="s">
        <v>206</v>
      </c>
      <c r="AF87" s="245"/>
      <c r="AG87" s="245"/>
      <c r="AI87" s="244"/>
      <c r="AJ87" s="244"/>
      <c r="AK87" s="244"/>
      <c r="AL87" s="244"/>
      <c r="AM87" s="244"/>
      <c r="AN87" s="244"/>
      <c r="AO87" s="244"/>
      <c r="AP87" s="244"/>
      <c r="AQ87" s="246" t="str">
        <f t="shared" si="13"/>
        <v/>
      </c>
      <c r="AR87" s="244"/>
      <c r="AS87" s="244"/>
      <c r="AT87" s="244"/>
      <c r="AU87" s="244"/>
      <c r="AV87" s="244"/>
      <c r="AW87" s="244"/>
      <c r="AX87" s="244"/>
      <c r="AY87" s="244"/>
      <c r="AZ87" s="244"/>
      <c r="BA87" s="244"/>
      <c r="BB87" s="244"/>
      <c r="BC87" s="244"/>
      <c r="BD87" s="244"/>
      <c r="BE87" s="244"/>
      <c r="BF87" s="244"/>
      <c r="BG87" s="244"/>
      <c r="BH87" s="244"/>
      <c r="BI87" s="244"/>
      <c r="BJ87" s="244"/>
      <c r="BK87" s="244"/>
      <c r="BL87" s="244"/>
      <c r="BM87" s="244"/>
      <c r="BN87" s="244"/>
      <c r="BO87" s="244"/>
      <c r="BP87" s="244"/>
      <c r="BQ87" s="244"/>
      <c r="BR87" s="244"/>
      <c r="BS87" s="244"/>
      <c r="BT87" s="244"/>
      <c r="BU87" s="244"/>
      <c r="BV87" s="244"/>
      <c r="BW87" s="244"/>
      <c r="BX87" s="244"/>
      <c r="BY87" s="244"/>
      <c r="BZ87" s="244"/>
      <c r="CA87" s="244"/>
      <c r="CB87" s="244"/>
      <c r="CC87" s="244"/>
      <c r="CD87" s="244"/>
      <c r="CE87" s="244"/>
      <c r="CF87" s="244"/>
      <c r="CG87" s="244"/>
      <c r="CH87" s="244"/>
      <c r="CI87" s="244"/>
      <c r="CJ87" s="244"/>
      <c r="CK87" s="244"/>
      <c r="CL87" s="244"/>
      <c r="CM87" s="244"/>
      <c r="CN87" s="244"/>
      <c r="CO87" s="244"/>
      <c r="CP87" s="246" t="str">
        <f t="shared" si="14"/>
        <v/>
      </c>
      <c r="CR87" s="13">
        <f t="shared" si="15"/>
        <v>0</v>
      </c>
      <c r="CS87" s="230">
        <f>IF(CR87=0,0,IF(ISERROR(MATCH(D87,D$9:D86,0)),0,1))</f>
        <v>0</v>
      </c>
      <c r="CT87" s="247"/>
    </row>
    <row r="88" spans="2:98" ht="12.75" x14ac:dyDescent="0.35">
      <c r="B88" s="13">
        <f t="shared" si="11"/>
        <v>79</v>
      </c>
      <c r="C88" s="183"/>
      <c r="D88" s="181"/>
      <c r="F88" s="215" t="s">
        <v>254</v>
      </c>
      <c r="G88" s="215" t="s">
        <v>254</v>
      </c>
      <c r="I88" s="168"/>
      <c r="J88" s="168"/>
      <c r="K88" s="168"/>
      <c r="L88" s="168"/>
      <c r="M88" s="168"/>
      <c r="N88" s="168"/>
      <c r="O88" s="168"/>
      <c r="Q88" s="168"/>
      <c r="R88" s="168"/>
      <c r="S88" s="168"/>
      <c r="T88" s="168"/>
      <c r="U88" s="168"/>
      <c r="V88" s="168"/>
      <c r="W88" s="168"/>
      <c r="Y88" s="244"/>
      <c r="Z88" s="244"/>
      <c r="AA88" s="244"/>
      <c r="AB88" s="230" t="str">
        <f t="shared" si="12"/>
        <v/>
      </c>
      <c r="AC88" s="215" t="s">
        <v>206</v>
      </c>
      <c r="AD88" s="215" t="s">
        <v>206</v>
      </c>
      <c r="AF88" s="245"/>
      <c r="AG88" s="245"/>
      <c r="AI88" s="244"/>
      <c r="AJ88" s="244"/>
      <c r="AK88" s="244"/>
      <c r="AL88" s="244"/>
      <c r="AM88" s="244"/>
      <c r="AN88" s="244"/>
      <c r="AO88" s="244"/>
      <c r="AP88" s="244"/>
      <c r="AQ88" s="246" t="str">
        <f t="shared" si="13"/>
        <v/>
      </c>
      <c r="AR88" s="244"/>
      <c r="AS88" s="244"/>
      <c r="AT88" s="244"/>
      <c r="AU88" s="244"/>
      <c r="AV88" s="244"/>
      <c r="AW88" s="244"/>
      <c r="AX88" s="244"/>
      <c r="AY88" s="244"/>
      <c r="AZ88" s="244"/>
      <c r="BA88" s="244"/>
      <c r="BB88" s="244"/>
      <c r="BC88" s="244"/>
      <c r="BD88" s="244"/>
      <c r="BE88" s="244"/>
      <c r="BF88" s="244"/>
      <c r="BG88" s="244"/>
      <c r="BH88" s="244"/>
      <c r="BI88" s="244"/>
      <c r="BJ88" s="244"/>
      <c r="BK88" s="244"/>
      <c r="BL88" s="244"/>
      <c r="BM88" s="244"/>
      <c r="BN88" s="244"/>
      <c r="BO88" s="244"/>
      <c r="BP88" s="244"/>
      <c r="BQ88" s="244"/>
      <c r="BR88" s="244"/>
      <c r="BS88" s="244"/>
      <c r="BT88" s="244"/>
      <c r="BU88" s="244"/>
      <c r="BV88" s="244"/>
      <c r="BW88" s="244"/>
      <c r="BX88" s="244"/>
      <c r="BY88" s="244"/>
      <c r="BZ88" s="244"/>
      <c r="CA88" s="244"/>
      <c r="CB88" s="244"/>
      <c r="CC88" s="244"/>
      <c r="CD88" s="244"/>
      <c r="CE88" s="244"/>
      <c r="CF88" s="244"/>
      <c r="CG88" s="244"/>
      <c r="CH88" s="244"/>
      <c r="CI88" s="244"/>
      <c r="CJ88" s="244"/>
      <c r="CK88" s="244"/>
      <c r="CL88" s="244"/>
      <c r="CM88" s="244"/>
      <c r="CN88" s="244"/>
      <c r="CO88" s="244"/>
      <c r="CP88" s="246" t="str">
        <f t="shared" si="14"/>
        <v/>
      </c>
      <c r="CR88" s="13">
        <f t="shared" si="15"/>
        <v>0</v>
      </c>
      <c r="CS88" s="230">
        <f>IF(CR88=0,0,IF(ISERROR(MATCH(D88,D$9:D87,0)),0,1))</f>
        <v>0</v>
      </c>
      <c r="CT88" s="247"/>
    </row>
    <row r="89" spans="2:98" ht="12.75" x14ac:dyDescent="0.35">
      <c r="B89" s="13">
        <f t="shared" si="11"/>
        <v>80</v>
      </c>
      <c r="C89" s="183"/>
      <c r="D89" s="181"/>
      <c r="F89" s="215" t="s">
        <v>254</v>
      </c>
      <c r="G89" s="215" t="s">
        <v>254</v>
      </c>
      <c r="I89" s="168"/>
      <c r="J89" s="168"/>
      <c r="K89" s="168"/>
      <c r="L89" s="168"/>
      <c r="M89" s="168"/>
      <c r="N89" s="168"/>
      <c r="O89" s="168"/>
      <c r="Q89" s="168"/>
      <c r="R89" s="168"/>
      <c r="S89" s="168"/>
      <c r="T89" s="168"/>
      <c r="U89" s="168"/>
      <c r="V89" s="168"/>
      <c r="W89" s="168"/>
      <c r="Y89" s="244"/>
      <c r="Z89" s="244"/>
      <c r="AA89" s="244"/>
      <c r="AB89" s="230" t="str">
        <f t="shared" si="12"/>
        <v/>
      </c>
      <c r="AC89" s="215" t="s">
        <v>206</v>
      </c>
      <c r="AD89" s="215" t="s">
        <v>206</v>
      </c>
      <c r="AF89" s="245"/>
      <c r="AG89" s="245"/>
      <c r="AI89" s="244"/>
      <c r="AJ89" s="244"/>
      <c r="AK89" s="244"/>
      <c r="AL89" s="244"/>
      <c r="AM89" s="244"/>
      <c r="AN89" s="244"/>
      <c r="AO89" s="244"/>
      <c r="AP89" s="244"/>
      <c r="AQ89" s="246" t="str">
        <f t="shared" si="13"/>
        <v/>
      </c>
      <c r="AR89" s="244"/>
      <c r="AS89" s="244"/>
      <c r="AT89" s="244"/>
      <c r="AU89" s="244"/>
      <c r="AV89" s="244"/>
      <c r="AW89" s="244"/>
      <c r="AX89" s="244"/>
      <c r="AY89" s="244"/>
      <c r="AZ89" s="244"/>
      <c r="BA89" s="244"/>
      <c r="BB89" s="244"/>
      <c r="BC89" s="244"/>
      <c r="BD89" s="244"/>
      <c r="BE89" s="244"/>
      <c r="BF89" s="244"/>
      <c r="BG89" s="244"/>
      <c r="BH89" s="244"/>
      <c r="BI89" s="244"/>
      <c r="BJ89" s="244"/>
      <c r="BK89" s="244"/>
      <c r="BL89" s="244"/>
      <c r="BM89" s="244"/>
      <c r="BN89" s="244"/>
      <c r="BO89" s="244"/>
      <c r="BP89" s="244"/>
      <c r="BQ89" s="244"/>
      <c r="BR89" s="244"/>
      <c r="BS89" s="244"/>
      <c r="BT89" s="244"/>
      <c r="BU89" s="244"/>
      <c r="BV89" s="244"/>
      <c r="BW89" s="244"/>
      <c r="BX89" s="244"/>
      <c r="BY89" s="244"/>
      <c r="BZ89" s="244"/>
      <c r="CA89" s="244"/>
      <c r="CB89" s="244"/>
      <c r="CC89" s="244"/>
      <c r="CD89" s="244"/>
      <c r="CE89" s="244"/>
      <c r="CF89" s="244"/>
      <c r="CG89" s="244"/>
      <c r="CH89" s="244"/>
      <c r="CI89" s="244"/>
      <c r="CJ89" s="244"/>
      <c r="CK89" s="244"/>
      <c r="CL89" s="244"/>
      <c r="CM89" s="244"/>
      <c r="CN89" s="244"/>
      <c r="CO89" s="244"/>
      <c r="CP89" s="246" t="str">
        <f t="shared" si="14"/>
        <v/>
      </c>
      <c r="CR89" s="13">
        <f t="shared" si="15"/>
        <v>0</v>
      </c>
      <c r="CS89" s="230">
        <f>IF(CR89=0,0,IF(ISERROR(MATCH(D89,D$9:D88,0)),0,1))</f>
        <v>0</v>
      </c>
      <c r="CT89" s="247"/>
    </row>
    <row r="90" spans="2:98" ht="12.75" x14ac:dyDescent="0.35">
      <c r="B90" s="13">
        <f t="shared" si="11"/>
        <v>81</v>
      </c>
      <c r="C90" s="183"/>
      <c r="D90" s="181"/>
      <c r="F90" s="215" t="s">
        <v>254</v>
      </c>
      <c r="G90" s="215" t="s">
        <v>254</v>
      </c>
      <c r="I90" s="168"/>
      <c r="J90" s="168"/>
      <c r="K90" s="168"/>
      <c r="L90" s="168"/>
      <c r="M90" s="168"/>
      <c r="N90" s="168"/>
      <c r="O90" s="168"/>
      <c r="Q90" s="168"/>
      <c r="R90" s="168"/>
      <c r="S90" s="168"/>
      <c r="T90" s="168"/>
      <c r="U90" s="168"/>
      <c r="V90" s="168"/>
      <c r="W90" s="168"/>
      <c r="Y90" s="244"/>
      <c r="Z90" s="244"/>
      <c r="AA90" s="244"/>
      <c r="AB90" s="230" t="str">
        <f t="shared" si="12"/>
        <v/>
      </c>
      <c r="AC90" s="215" t="s">
        <v>206</v>
      </c>
      <c r="AD90" s="215" t="s">
        <v>206</v>
      </c>
      <c r="AF90" s="245"/>
      <c r="AG90" s="245"/>
      <c r="AI90" s="244"/>
      <c r="AJ90" s="244"/>
      <c r="AK90" s="244"/>
      <c r="AL90" s="244"/>
      <c r="AM90" s="244"/>
      <c r="AN90" s="244"/>
      <c r="AO90" s="244"/>
      <c r="AP90" s="244"/>
      <c r="AQ90" s="246" t="str">
        <f t="shared" si="13"/>
        <v/>
      </c>
      <c r="AR90" s="244"/>
      <c r="AS90" s="244"/>
      <c r="AT90" s="244"/>
      <c r="AU90" s="244"/>
      <c r="AV90" s="244"/>
      <c r="AW90" s="244"/>
      <c r="AX90" s="244"/>
      <c r="AY90" s="244"/>
      <c r="AZ90" s="244"/>
      <c r="BA90" s="244"/>
      <c r="BB90" s="244"/>
      <c r="BC90" s="244"/>
      <c r="BD90" s="244"/>
      <c r="BE90" s="244"/>
      <c r="BF90" s="244"/>
      <c r="BG90" s="244"/>
      <c r="BH90" s="244"/>
      <c r="BI90" s="244"/>
      <c r="BJ90" s="244"/>
      <c r="BK90" s="244"/>
      <c r="BL90" s="244"/>
      <c r="BM90" s="244"/>
      <c r="BN90" s="244"/>
      <c r="BO90" s="244"/>
      <c r="BP90" s="244"/>
      <c r="BQ90" s="244"/>
      <c r="BR90" s="244"/>
      <c r="BS90" s="244"/>
      <c r="BT90" s="244"/>
      <c r="BU90" s="244"/>
      <c r="BV90" s="244"/>
      <c r="BW90" s="244"/>
      <c r="BX90" s="244"/>
      <c r="BY90" s="244"/>
      <c r="BZ90" s="244"/>
      <c r="CA90" s="244"/>
      <c r="CB90" s="244"/>
      <c r="CC90" s="244"/>
      <c r="CD90" s="244"/>
      <c r="CE90" s="244"/>
      <c r="CF90" s="244"/>
      <c r="CG90" s="244"/>
      <c r="CH90" s="244"/>
      <c r="CI90" s="244"/>
      <c r="CJ90" s="244"/>
      <c r="CK90" s="244"/>
      <c r="CL90" s="244"/>
      <c r="CM90" s="244"/>
      <c r="CN90" s="244"/>
      <c r="CO90" s="244"/>
      <c r="CP90" s="246" t="str">
        <f t="shared" si="14"/>
        <v/>
      </c>
      <c r="CR90" s="13">
        <f t="shared" si="15"/>
        <v>0</v>
      </c>
      <c r="CS90" s="230">
        <f>IF(CR90=0,0,IF(ISERROR(MATCH(D90,D$9:D89,0)),0,1))</f>
        <v>0</v>
      </c>
      <c r="CT90" s="247"/>
    </row>
    <row r="91" spans="2:98" ht="12.75" x14ac:dyDescent="0.35">
      <c r="B91" s="13">
        <f t="shared" si="11"/>
        <v>82</v>
      </c>
      <c r="C91" s="183"/>
      <c r="D91" s="181"/>
      <c r="F91" s="215" t="s">
        <v>254</v>
      </c>
      <c r="G91" s="215" t="s">
        <v>254</v>
      </c>
      <c r="I91" s="168"/>
      <c r="J91" s="168"/>
      <c r="K91" s="168"/>
      <c r="L91" s="168"/>
      <c r="M91" s="168"/>
      <c r="N91" s="168"/>
      <c r="O91" s="168"/>
      <c r="Q91" s="168"/>
      <c r="R91" s="168"/>
      <c r="S91" s="168"/>
      <c r="T91" s="168"/>
      <c r="U91" s="168"/>
      <c r="V91" s="168"/>
      <c r="W91" s="168"/>
      <c r="Y91" s="244"/>
      <c r="Z91" s="244"/>
      <c r="AA91" s="244"/>
      <c r="AB91" s="230" t="str">
        <f t="shared" si="12"/>
        <v/>
      </c>
      <c r="AC91" s="215" t="s">
        <v>206</v>
      </c>
      <c r="AD91" s="215" t="s">
        <v>206</v>
      </c>
      <c r="AF91" s="245"/>
      <c r="AG91" s="245"/>
      <c r="AI91" s="244"/>
      <c r="AJ91" s="244"/>
      <c r="AK91" s="244"/>
      <c r="AL91" s="244"/>
      <c r="AM91" s="244"/>
      <c r="AN91" s="244"/>
      <c r="AO91" s="244"/>
      <c r="AP91" s="244"/>
      <c r="AQ91" s="246" t="str">
        <f t="shared" si="13"/>
        <v/>
      </c>
      <c r="AR91" s="244"/>
      <c r="AS91" s="244"/>
      <c r="AT91" s="244"/>
      <c r="AU91" s="244"/>
      <c r="AV91" s="244"/>
      <c r="AW91" s="244"/>
      <c r="AX91" s="244"/>
      <c r="AY91" s="244"/>
      <c r="AZ91" s="244"/>
      <c r="BA91" s="244"/>
      <c r="BB91" s="244"/>
      <c r="BC91" s="244"/>
      <c r="BD91" s="244"/>
      <c r="BE91" s="244"/>
      <c r="BF91" s="244"/>
      <c r="BG91" s="244"/>
      <c r="BH91" s="244"/>
      <c r="BI91" s="244"/>
      <c r="BJ91" s="244"/>
      <c r="BK91" s="244"/>
      <c r="BL91" s="244"/>
      <c r="BM91" s="244"/>
      <c r="BN91" s="244"/>
      <c r="BO91" s="244"/>
      <c r="BP91" s="244"/>
      <c r="BQ91" s="244"/>
      <c r="BR91" s="244"/>
      <c r="BS91" s="244"/>
      <c r="BT91" s="244"/>
      <c r="BU91" s="244"/>
      <c r="BV91" s="244"/>
      <c r="BW91" s="244"/>
      <c r="BX91" s="244"/>
      <c r="BY91" s="244"/>
      <c r="BZ91" s="244"/>
      <c r="CA91" s="244"/>
      <c r="CB91" s="244"/>
      <c r="CC91" s="244"/>
      <c r="CD91" s="244"/>
      <c r="CE91" s="244"/>
      <c r="CF91" s="244"/>
      <c r="CG91" s="244"/>
      <c r="CH91" s="244"/>
      <c r="CI91" s="244"/>
      <c r="CJ91" s="244"/>
      <c r="CK91" s="244"/>
      <c r="CL91" s="244"/>
      <c r="CM91" s="244"/>
      <c r="CN91" s="244"/>
      <c r="CO91" s="244"/>
      <c r="CP91" s="246" t="str">
        <f t="shared" si="14"/>
        <v/>
      </c>
      <c r="CR91" s="13">
        <f t="shared" si="15"/>
        <v>0</v>
      </c>
      <c r="CS91" s="230">
        <f>IF(CR91=0,0,IF(ISERROR(MATCH(D91,D$9:D90,0)),0,1))</f>
        <v>0</v>
      </c>
      <c r="CT91" s="247"/>
    </row>
    <row r="92" spans="2:98" ht="12.75" x14ac:dyDescent="0.35">
      <c r="B92" s="13">
        <f t="shared" si="11"/>
        <v>83</v>
      </c>
      <c r="C92" s="183"/>
      <c r="D92" s="181"/>
      <c r="F92" s="215" t="s">
        <v>254</v>
      </c>
      <c r="G92" s="215" t="s">
        <v>254</v>
      </c>
      <c r="I92" s="168"/>
      <c r="J92" s="168"/>
      <c r="K92" s="168"/>
      <c r="L92" s="168"/>
      <c r="M92" s="168"/>
      <c r="N92" s="168"/>
      <c r="O92" s="168"/>
      <c r="Q92" s="168"/>
      <c r="R92" s="168"/>
      <c r="S92" s="168"/>
      <c r="T92" s="168"/>
      <c r="U92" s="168"/>
      <c r="V92" s="168"/>
      <c r="W92" s="168"/>
      <c r="Y92" s="244"/>
      <c r="Z92" s="244"/>
      <c r="AA92" s="244"/>
      <c r="AB92" s="230" t="str">
        <f t="shared" si="12"/>
        <v/>
      </c>
      <c r="AC92" s="215" t="s">
        <v>206</v>
      </c>
      <c r="AD92" s="215" t="s">
        <v>206</v>
      </c>
      <c r="AF92" s="245"/>
      <c r="AG92" s="245"/>
      <c r="AI92" s="244"/>
      <c r="AJ92" s="244"/>
      <c r="AK92" s="244"/>
      <c r="AL92" s="244"/>
      <c r="AM92" s="244"/>
      <c r="AN92" s="244"/>
      <c r="AO92" s="244"/>
      <c r="AP92" s="244"/>
      <c r="AQ92" s="246" t="str">
        <f t="shared" si="13"/>
        <v/>
      </c>
      <c r="AR92" s="244"/>
      <c r="AS92" s="244"/>
      <c r="AT92" s="244"/>
      <c r="AU92" s="244"/>
      <c r="AV92" s="244"/>
      <c r="AW92" s="244"/>
      <c r="AX92" s="244"/>
      <c r="AY92" s="244"/>
      <c r="AZ92" s="244"/>
      <c r="BA92" s="244"/>
      <c r="BB92" s="244"/>
      <c r="BC92" s="244"/>
      <c r="BD92" s="244"/>
      <c r="BE92" s="244"/>
      <c r="BF92" s="244"/>
      <c r="BG92" s="244"/>
      <c r="BH92" s="244"/>
      <c r="BI92" s="244"/>
      <c r="BJ92" s="244"/>
      <c r="BK92" s="244"/>
      <c r="BL92" s="244"/>
      <c r="BM92" s="244"/>
      <c r="BN92" s="244"/>
      <c r="BO92" s="244"/>
      <c r="BP92" s="244"/>
      <c r="BQ92" s="244"/>
      <c r="BR92" s="244"/>
      <c r="BS92" s="244"/>
      <c r="BT92" s="244"/>
      <c r="BU92" s="244"/>
      <c r="BV92" s="244"/>
      <c r="BW92" s="244"/>
      <c r="BX92" s="244"/>
      <c r="BY92" s="244"/>
      <c r="BZ92" s="244"/>
      <c r="CA92" s="244"/>
      <c r="CB92" s="244"/>
      <c r="CC92" s="244"/>
      <c r="CD92" s="244"/>
      <c r="CE92" s="244"/>
      <c r="CF92" s="244"/>
      <c r="CG92" s="244"/>
      <c r="CH92" s="244"/>
      <c r="CI92" s="244"/>
      <c r="CJ92" s="244"/>
      <c r="CK92" s="244"/>
      <c r="CL92" s="244"/>
      <c r="CM92" s="244"/>
      <c r="CN92" s="244"/>
      <c r="CO92" s="244"/>
      <c r="CP92" s="246" t="str">
        <f t="shared" si="14"/>
        <v/>
      </c>
      <c r="CR92" s="13">
        <f t="shared" si="15"/>
        <v>0</v>
      </c>
      <c r="CS92" s="230">
        <f>IF(CR92=0,0,IF(ISERROR(MATCH(D92,D$9:D91,0)),0,1))</f>
        <v>0</v>
      </c>
      <c r="CT92" s="247"/>
    </row>
    <row r="93" spans="2:98" ht="12.75" x14ac:dyDescent="0.35">
      <c r="B93" s="13">
        <f t="shared" si="11"/>
        <v>84</v>
      </c>
      <c r="C93" s="183"/>
      <c r="D93" s="181"/>
      <c r="F93" s="215" t="s">
        <v>254</v>
      </c>
      <c r="G93" s="215" t="s">
        <v>254</v>
      </c>
      <c r="I93" s="168"/>
      <c r="J93" s="168"/>
      <c r="K93" s="168"/>
      <c r="L93" s="168"/>
      <c r="M93" s="168"/>
      <c r="N93" s="168"/>
      <c r="O93" s="168"/>
      <c r="Q93" s="168"/>
      <c r="R93" s="168"/>
      <c r="S93" s="168"/>
      <c r="T93" s="168"/>
      <c r="U93" s="168"/>
      <c r="V93" s="168"/>
      <c r="W93" s="168"/>
      <c r="Y93" s="244"/>
      <c r="Z93" s="244"/>
      <c r="AA93" s="244"/>
      <c r="AB93" s="230" t="str">
        <f t="shared" si="12"/>
        <v/>
      </c>
      <c r="AC93" s="215" t="s">
        <v>206</v>
      </c>
      <c r="AD93" s="215" t="s">
        <v>206</v>
      </c>
      <c r="AF93" s="245"/>
      <c r="AG93" s="245"/>
      <c r="AI93" s="244"/>
      <c r="AJ93" s="244"/>
      <c r="AK93" s="244"/>
      <c r="AL93" s="244"/>
      <c r="AM93" s="244"/>
      <c r="AN93" s="244"/>
      <c r="AO93" s="244"/>
      <c r="AP93" s="244"/>
      <c r="AQ93" s="246" t="str">
        <f t="shared" si="13"/>
        <v/>
      </c>
      <c r="AR93" s="244"/>
      <c r="AS93" s="244"/>
      <c r="AT93" s="244"/>
      <c r="AU93" s="244"/>
      <c r="AV93" s="244"/>
      <c r="AW93" s="244"/>
      <c r="AX93" s="244"/>
      <c r="AY93" s="244"/>
      <c r="AZ93" s="244"/>
      <c r="BA93" s="244"/>
      <c r="BB93" s="244"/>
      <c r="BC93" s="244"/>
      <c r="BD93" s="244"/>
      <c r="BE93" s="244"/>
      <c r="BF93" s="244"/>
      <c r="BG93" s="244"/>
      <c r="BH93" s="244"/>
      <c r="BI93" s="244"/>
      <c r="BJ93" s="244"/>
      <c r="BK93" s="244"/>
      <c r="BL93" s="244"/>
      <c r="BM93" s="244"/>
      <c r="BN93" s="244"/>
      <c r="BO93" s="244"/>
      <c r="BP93" s="244"/>
      <c r="BQ93" s="244"/>
      <c r="BR93" s="244"/>
      <c r="BS93" s="244"/>
      <c r="BT93" s="244"/>
      <c r="BU93" s="244"/>
      <c r="BV93" s="244"/>
      <c r="BW93" s="244"/>
      <c r="BX93" s="244"/>
      <c r="BY93" s="244"/>
      <c r="BZ93" s="244"/>
      <c r="CA93" s="244"/>
      <c r="CB93" s="244"/>
      <c r="CC93" s="244"/>
      <c r="CD93" s="244"/>
      <c r="CE93" s="244"/>
      <c r="CF93" s="244"/>
      <c r="CG93" s="244"/>
      <c r="CH93" s="244"/>
      <c r="CI93" s="244"/>
      <c r="CJ93" s="244"/>
      <c r="CK93" s="244"/>
      <c r="CL93" s="244"/>
      <c r="CM93" s="244"/>
      <c r="CN93" s="244"/>
      <c r="CO93" s="244"/>
      <c r="CP93" s="246" t="str">
        <f t="shared" si="14"/>
        <v/>
      </c>
      <c r="CR93" s="13">
        <f t="shared" si="15"/>
        <v>0</v>
      </c>
      <c r="CS93" s="230">
        <f>IF(CR93=0,0,IF(ISERROR(MATCH(D93,D$9:D92,0)),0,1))</f>
        <v>0</v>
      </c>
      <c r="CT93" s="247"/>
    </row>
    <row r="94" spans="2:98" ht="12.75" x14ac:dyDescent="0.35">
      <c r="B94" s="13">
        <f t="shared" si="11"/>
        <v>85</v>
      </c>
      <c r="C94" s="183"/>
      <c r="D94" s="181"/>
      <c r="F94" s="215" t="s">
        <v>254</v>
      </c>
      <c r="G94" s="215" t="s">
        <v>254</v>
      </c>
      <c r="I94" s="168"/>
      <c r="J94" s="168"/>
      <c r="K94" s="168"/>
      <c r="L94" s="168"/>
      <c r="M94" s="168"/>
      <c r="N94" s="168"/>
      <c r="O94" s="168"/>
      <c r="Q94" s="168"/>
      <c r="R94" s="168"/>
      <c r="S94" s="168"/>
      <c r="T94" s="168"/>
      <c r="U94" s="168"/>
      <c r="V94" s="168"/>
      <c r="W94" s="168"/>
      <c r="Y94" s="244"/>
      <c r="Z94" s="244"/>
      <c r="AA94" s="244"/>
      <c r="AB94" s="230" t="str">
        <f t="shared" si="12"/>
        <v/>
      </c>
      <c r="AC94" s="215" t="s">
        <v>206</v>
      </c>
      <c r="AD94" s="215" t="s">
        <v>206</v>
      </c>
      <c r="AF94" s="245"/>
      <c r="AG94" s="245"/>
      <c r="AI94" s="244"/>
      <c r="AJ94" s="244"/>
      <c r="AK94" s="244"/>
      <c r="AL94" s="244"/>
      <c r="AM94" s="244"/>
      <c r="AN94" s="244"/>
      <c r="AO94" s="244"/>
      <c r="AP94" s="244"/>
      <c r="AQ94" s="246" t="str">
        <f t="shared" si="13"/>
        <v/>
      </c>
      <c r="AR94" s="244"/>
      <c r="AS94" s="244"/>
      <c r="AT94" s="244"/>
      <c r="AU94" s="244"/>
      <c r="AV94" s="244"/>
      <c r="AW94" s="244"/>
      <c r="AX94" s="244"/>
      <c r="AY94" s="244"/>
      <c r="AZ94" s="244"/>
      <c r="BA94" s="244"/>
      <c r="BB94" s="244"/>
      <c r="BC94" s="244"/>
      <c r="BD94" s="244"/>
      <c r="BE94" s="244"/>
      <c r="BF94" s="244"/>
      <c r="BG94" s="244"/>
      <c r="BH94" s="244"/>
      <c r="BI94" s="244"/>
      <c r="BJ94" s="244"/>
      <c r="BK94" s="244"/>
      <c r="BL94" s="244"/>
      <c r="BM94" s="244"/>
      <c r="BN94" s="244"/>
      <c r="BO94" s="244"/>
      <c r="BP94" s="244"/>
      <c r="BQ94" s="244"/>
      <c r="BR94" s="244"/>
      <c r="BS94" s="244"/>
      <c r="BT94" s="244"/>
      <c r="BU94" s="244"/>
      <c r="BV94" s="244"/>
      <c r="BW94" s="244"/>
      <c r="BX94" s="244"/>
      <c r="BY94" s="244"/>
      <c r="BZ94" s="244"/>
      <c r="CA94" s="244"/>
      <c r="CB94" s="244"/>
      <c r="CC94" s="244"/>
      <c r="CD94" s="244"/>
      <c r="CE94" s="244"/>
      <c r="CF94" s="244"/>
      <c r="CG94" s="244"/>
      <c r="CH94" s="244"/>
      <c r="CI94" s="244"/>
      <c r="CJ94" s="244"/>
      <c r="CK94" s="244"/>
      <c r="CL94" s="244"/>
      <c r="CM94" s="244"/>
      <c r="CN94" s="244"/>
      <c r="CO94" s="244"/>
      <c r="CP94" s="246" t="str">
        <f t="shared" si="14"/>
        <v/>
      </c>
      <c r="CR94" s="13">
        <f t="shared" si="15"/>
        <v>0</v>
      </c>
      <c r="CS94" s="230">
        <f>IF(CR94=0,0,IF(ISERROR(MATCH(D94,D$9:D93,0)),0,1))</f>
        <v>0</v>
      </c>
      <c r="CT94" s="247"/>
    </row>
    <row r="95" spans="2:98" ht="12.75" x14ac:dyDescent="0.35">
      <c r="B95" s="13">
        <f t="shared" si="11"/>
        <v>86</v>
      </c>
      <c r="C95" s="183"/>
      <c r="D95" s="181"/>
      <c r="F95" s="215" t="s">
        <v>254</v>
      </c>
      <c r="G95" s="215" t="s">
        <v>254</v>
      </c>
      <c r="I95" s="168"/>
      <c r="J95" s="168"/>
      <c r="K95" s="168"/>
      <c r="L95" s="168"/>
      <c r="M95" s="168"/>
      <c r="N95" s="168"/>
      <c r="O95" s="168"/>
      <c r="Q95" s="168"/>
      <c r="R95" s="168"/>
      <c r="S95" s="168"/>
      <c r="T95" s="168"/>
      <c r="U95" s="168"/>
      <c r="V95" s="168"/>
      <c r="W95" s="168"/>
      <c r="Y95" s="244"/>
      <c r="Z95" s="244"/>
      <c r="AA95" s="244"/>
      <c r="AB95" s="230" t="str">
        <f t="shared" si="12"/>
        <v/>
      </c>
      <c r="AC95" s="215" t="s">
        <v>206</v>
      </c>
      <c r="AD95" s="215" t="s">
        <v>206</v>
      </c>
      <c r="AF95" s="245"/>
      <c r="AG95" s="245"/>
      <c r="AI95" s="244"/>
      <c r="AJ95" s="244"/>
      <c r="AK95" s="244"/>
      <c r="AL95" s="244"/>
      <c r="AM95" s="244"/>
      <c r="AN95" s="244"/>
      <c r="AO95" s="244"/>
      <c r="AP95" s="244"/>
      <c r="AQ95" s="246" t="str">
        <f t="shared" si="13"/>
        <v/>
      </c>
      <c r="AR95" s="244"/>
      <c r="AS95" s="244"/>
      <c r="AT95" s="244"/>
      <c r="AU95" s="244"/>
      <c r="AV95" s="244"/>
      <c r="AW95" s="244"/>
      <c r="AX95" s="244"/>
      <c r="AY95" s="244"/>
      <c r="AZ95" s="244"/>
      <c r="BA95" s="244"/>
      <c r="BB95" s="244"/>
      <c r="BC95" s="244"/>
      <c r="BD95" s="244"/>
      <c r="BE95" s="244"/>
      <c r="BF95" s="244"/>
      <c r="BG95" s="244"/>
      <c r="BH95" s="244"/>
      <c r="BI95" s="244"/>
      <c r="BJ95" s="244"/>
      <c r="BK95" s="244"/>
      <c r="BL95" s="244"/>
      <c r="BM95" s="244"/>
      <c r="BN95" s="244"/>
      <c r="BO95" s="244"/>
      <c r="BP95" s="244"/>
      <c r="BQ95" s="244"/>
      <c r="BR95" s="244"/>
      <c r="BS95" s="244"/>
      <c r="BT95" s="244"/>
      <c r="BU95" s="244"/>
      <c r="BV95" s="244"/>
      <c r="BW95" s="244"/>
      <c r="BX95" s="244"/>
      <c r="BY95" s="244"/>
      <c r="BZ95" s="244"/>
      <c r="CA95" s="244"/>
      <c r="CB95" s="244"/>
      <c r="CC95" s="244"/>
      <c r="CD95" s="244"/>
      <c r="CE95" s="244"/>
      <c r="CF95" s="244"/>
      <c r="CG95" s="244"/>
      <c r="CH95" s="244"/>
      <c r="CI95" s="244"/>
      <c r="CJ95" s="244"/>
      <c r="CK95" s="244"/>
      <c r="CL95" s="244"/>
      <c r="CM95" s="244"/>
      <c r="CN95" s="244"/>
      <c r="CO95" s="244"/>
      <c r="CP95" s="246" t="str">
        <f t="shared" si="14"/>
        <v/>
      </c>
      <c r="CR95" s="13">
        <f t="shared" si="15"/>
        <v>0</v>
      </c>
      <c r="CS95" s="230">
        <f>IF(CR95=0,0,IF(ISERROR(MATCH(D95,D$9:D94,0)),0,1))</f>
        <v>0</v>
      </c>
      <c r="CT95" s="247"/>
    </row>
    <row r="96" spans="2:98" ht="12.75" x14ac:dyDescent="0.35">
      <c r="B96" s="13">
        <f t="shared" si="11"/>
        <v>87</v>
      </c>
      <c r="C96" s="183"/>
      <c r="D96" s="181"/>
      <c r="F96" s="215" t="s">
        <v>254</v>
      </c>
      <c r="G96" s="215" t="s">
        <v>254</v>
      </c>
      <c r="I96" s="168"/>
      <c r="J96" s="168"/>
      <c r="K96" s="168"/>
      <c r="L96" s="168"/>
      <c r="M96" s="168"/>
      <c r="N96" s="168"/>
      <c r="O96" s="168"/>
      <c r="Q96" s="168"/>
      <c r="R96" s="168"/>
      <c r="S96" s="168"/>
      <c r="T96" s="168"/>
      <c r="U96" s="168"/>
      <c r="V96" s="168"/>
      <c r="W96" s="168"/>
      <c r="Y96" s="244"/>
      <c r="Z96" s="244"/>
      <c r="AA96" s="244"/>
      <c r="AB96" s="230" t="str">
        <f t="shared" si="12"/>
        <v/>
      </c>
      <c r="AC96" s="215" t="s">
        <v>206</v>
      </c>
      <c r="AD96" s="215" t="s">
        <v>206</v>
      </c>
      <c r="AF96" s="245"/>
      <c r="AG96" s="245"/>
      <c r="AI96" s="244"/>
      <c r="AJ96" s="244"/>
      <c r="AK96" s="244"/>
      <c r="AL96" s="244"/>
      <c r="AM96" s="244"/>
      <c r="AN96" s="244"/>
      <c r="AO96" s="244"/>
      <c r="AP96" s="244"/>
      <c r="AQ96" s="246" t="str">
        <f t="shared" si="13"/>
        <v/>
      </c>
      <c r="AR96" s="244"/>
      <c r="AS96" s="244"/>
      <c r="AT96" s="244"/>
      <c r="AU96" s="244"/>
      <c r="AV96" s="244"/>
      <c r="AW96" s="244"/>
      <c r="AX96" s="244"/>
      <c r="AY96" s="244"/>
      <c r="AZ96" s="244"/>
      <c r="BA96" s="244"/>
      <c r="BB96" s="244"/>
      <c r="BC96" s="244"/>
      <c r="BD96" s="244"/>
      <c r="BE96" s="244"/>
      <c r="BF96" s="244"/>
      <c r="BG96" s="244"/>
      <c r="BH96" s="244"/>
      <c r="BI96" s="244"/>
      <c r="BJ96" s="244"/>
      <c r="BK96" s="244"/>
      <c r="BL96" s="244"/>
      <c r="BM96" s="244"/>
      <c r="BN96" s="244"/>
      <c r="BO96" s="244"/>
      <c r="BP96" s="244"/>
      <c r="BQ96" s="244"/>
      <c r="BR96" s="244"/>
      <c r="BS96" s="244"/>
      <c r="BT96" s="244"/>
      <c r="BU96" s="244"/>
      <c r="BV96" s="244"/>
      <c r="BW96" s="244"/>
      <c r="BX96" s="244"/>
      <c r="BY96" s="244"/>
      <c r="BZ96" s="244"/>
      <c r="CA96" s="244"/>
      <c r="CB96" s="244"/>
      <c r="CC96" s="244"/>
      <c r="CD96" s="244"/>
      <c r="CE96" s="244"/>
      <c r="CF96" s="244"/>
      <c r="CG96" s="244"/>
      <c r="CH96" s="244"/>
      <c r="CI96" s="244"/>
      <c r="CJ96" s="244"/>
      <c r="CK96" s="244"/>
      <c r="CL96" s="244"/>
      <c r="CM96" s="244"/>
      <c r="CN96" s="244"/>
      <c r="CO96" s="244"/>
      <c r="CP96" s="246" t="str">
        <f t="shared" si="14"/>
        <v/>
      </c>
      <c r="CR96" s="13">
        <f t="shared" si="15"/>
        <v>0</v>
      </c>
      <c r="CS96" s="230">
        <f>IF(CR96=0,0,IF(ISERROR(MATCH(D96,D$9:D95,0)),0,1))</f>
        <v>0</v>
      </c>
      <c r="CT96" s="247"/>
    </row>
    <row r="97" spans="2:98" ht="12.75" x14ac:dyDescent="0.35">
      <c r="B97" s="13">
        <f t="shared" si="11"/>
        <v>88</v>
      </c>
      <c r="C97" s="183"/>
      <c r="D97" s="181"/>
      <c r="F97" s="215" t="s">
        <v>254</v>
      </c>
      <c r="G97" s="215" t="s">
        <v>254</v>
      </c>
      <c r="I97" s="168"/>
      <c r="J97" s="168"/>
      <c r="K97" s="168"/>
      <c r="L97" s="168"/>
      <c r="M97" s="168"/>
      <c r="N97" s="168"/>
      <c r="O97" s="168"/>
      <c r="Q97" s="168"/>
      <c r="R97" s="168"/>
      <c r="S97" s="168"/>
      <c r="T97" s="168"/>
      <c r="U97" s="168"/>
      <c r="V97" s="168"/>
      <c r="W97" s="168"/>
      <c r="Y97" s="244"/>
      <c r="Z97" s="244"/>
      <c r="AA97" s="244"/>
      <c r="AB97" s="230" t="str">
        <f t="shared" si="12"/>
        <v/>
      </c>
      <c r="AC97" s="215" t="s">
        <v>206</v>
      </c>
      <c r="AD97" s="215" t="s">
        <v>206</v>
      </c>
      <c r="AF97" s="245"/>
      <c r="AG97" s="245"/>
      <c r="AI97" s="244"/>
      <c r="AJ97" s="244"/>
      <c r="AK97" s="244"/>
      <c r="AL97" s="244"/>
      <c r="AM97" s="244"/>
      <c r="AN97" s="244"/>
      <c r="AO97" s="244"/>
      <c r="AP97" s="244"/>
      <c r="AQ97" s="246" t="str">
        <f t="shared" si="13"/>
        <v/>
      </c>
      <c r="AR97" s="244"/>
      <c r="AS97" s="244"/>
      <c r="AT97" s="244"/>
      <c r="AU97" s="244"/>
      <c r="AV97" s="244"/>
      <c r="AW97" s="244"/>
      <c r="AX97" s="244"/>
      <c r="AY97" s="244"/>
      <c r="AZ97" s="244"/>
      <c r="BA97" s="244"/>
      <c r="BB97" s="244"/>
      <c r="BC97" s="244"/>
      <c r="BD97" s="244"/>
      <c r="BE97" s="244"/>
      <c r="BF97" s="244"/>
      <c r="BG97" s="244"/>
      <c r="BH97" s="244"/>
      <c r="BI97" s="244"/>
      <c r="BJ97" s="244"/>
      <c r="BK97" s="244"/>
      <c r="BL97" s="244"/>
      <c r="BM97" s="244"/>
      <c r="BN97" s="244"/>
      <c r="BO97" s="244"/>
      <c r="BP97" s="244"/>
      <c r="BQ97" s="244"/>
      <c r="BR97" s="244"/>
      <c r="BS97" s="244"/>
      <c r="BT97" s="244"/>
      <c r="BU97" s="244"/>
      <c r="BV97" s="244"/>
      <c r="BW97" s="244"/>
      <c r="BX97" s="244"/>
      <c r="BY97" s="244"/>
      <c r="BZ97" s="244"/>
      <c r="CA97" s="244"/>
      <c r="CB97" s="244"/>
      <c r="CC97" s="244"/>
      <c r="CD97" s="244"/>
      <c r="CE97" s="244"/>
      <c r="CF97" s="244"/>
      <c r="CG97" s="244"/>
      <c r="CH97" s="244"/>
      <c r="CI97" s="244"/>
      <c r="CJ97" s="244"/>
      <c r="CK97" s="244"/>
      <c r="CL97" s="244"/>
      <c r="CM97" s="244"/>
      <c r="CN97" s="244"/>
      <c r="CO97" s="244"/>
      <c r="CP97" s="246" t="str">
        <f t="shared" si="14"/>
        <v/>
      </c>
      <c r="CR97" s="13">
        <f t="shared" si="15"/>
        <v>0</v>
      </c>
      <c r="CS97" s="230">
        <f>IF(CR97=0,0,IF(ISERROR(MATCH(D97,D$9:D96,0)),0,1))</f>
        <v>0</v>
      </c>
      <c r="CT97" s="247"/>
    </row>
    <row r="98" spans="2:98" ht="12.75" x14ac:dyDescent="0.35">
      <c r="B98" s="13">
        <f t="shared" si="11"/>
        <v>89</v>
      </c>
      <c r="C98" s="183"/>
      <c r="D98" s="181"/>
      <c r="F98" s="215" t="s">
        <v>254</v>
      </c>
      <c r="G98" s="215" t="s">
        <v>254</v>
      </c>
      <c r="I98" s="168"/>
      <c r="J98" s="168"/>
      <c r="K98" s="168"/>
      <c r="L98" s="168"/>
      <c r="M98" s="168"/>
      <c r="N98" s="168"/>
      <c r="O98" s="168"/>
      <c r="Q98" s="168"/>
      <c r="R98" s="168"/>
      <c r="S98" s="168"/>
      <c r="T98" s="168"/>
      <c r="U98" s="168"/>
      <c r="V98" s="168"/>
      <c r="W98" s="168"/>
      <c r="Y98" s="244"/>
      <c r="Z98" s="244"/>
      <c r="AA98" s="244"/>
      <c r="AB98" s="230" t="str">
        <f t="shared" si="12"/>
        <v/>
      </c>
      <c r="AC98" s="215" t="s">
        <v>206</v>
      </c>
      <c r="AD98" s="215" t="s">
        <v>206</v>
      </c>
      <c r="AF98" s="245"/>
      <c r="AG98" s="245"/>
      <c r="AI98" s="244"/>
      <c r="AJ98" s="244"/>
      <c r="AK98" s="244"/>
      <c r="AL98" s="244"/>
      <c r="AM98" s="244"/>
      <c r="AN98" s="244"/>
      <c r="AO98" s="244"/>
      <c r="AP98" s="244"/>
      <c r="AQ98" s="246" t="str">
        <f t="shared" si="13"/>
        <v/>
      </c>
      <c r="AR98" s="244"/>
      <c r="AS98" s="244"/>
      <c r="AT98" s="244"/>
      <c r="AU98" s="244"/>
      <c r="AV98" s="244"/>
      <c r="AW98" s="244"/>
      <c r="AX98" s="244"/>
      <c r="AY98" s="244"/>
      <c r="AZ98" s="244"/>
      <c r="BA98" s="244"/>
      <c r="BB98" s="244"/>
      <c r="BC98" s="244"/>
      <c r="BD98" s="244"/>
      <c r="BE98" s="244"/>
      <c r="BF98" s="244"/>
      <c r="BG98" s="244"/>
      <c r="BH98" s="244"/>
      <c r="BI98" s="244"/>
      <c r="BJ98" s="244"/>
      <c r="BK98" s="244"/>
      <c r="BL98" s="244"/>
      <c r="BM98" s="244"/>
      <c r="BN98" s="244"/>
      <c r="BO98" s="244"/>
      <c r="BP98" s="244"/>
      <c r="BQ98" s="244"/>
      <c r="BR98" s="244"/>
      <c r="BS98" s="244"/>
      <c r="BT98" s="244"/>
      <c r="BU98" s="244"/>
      <c r="BV98" s="244"/>
      <c r="BW98" s="244"/>
      <c r="BX98" s="244"/>
      <c r="BY98" s="244"/>
      <c r="BZ98" s="244"/>
      <c r="CA98" s="244"/>
      <c r="CB98" s="244"/>
      <c r="CC98" s="244"/>
      <c r="CD98" s="244"/>
      <c r="CE98" s="244"/>
      <c r="CF98" s="244"/>
      <c r="CG98" s="244"/>
      <c r="CH98" s="244"/>
      <c r="CI98" s="244"/>
      <c r="CJ98" s="244"/>
      <c r="CK98" s="244"/>
      <c r="CL98" s="244"/>
      <c r="CM98" s="244"/>
      <c r="CN98" s="244"/>
      <c r="CO98" s="244"/>
      <c r="CP98" s="246" t="str">
        <f t="shared" si="14"/>
        <v/>
      </c>
      <c r="CR98" s="13">
        <f t="shared" si="15"/>
        <v>0</v>
      </c>
      <c r="CS98" s="230">
        <f>IF(CR98=0,0,IF(ISERROR(MATCH(D98,D$9:D97,0)),0,1))</f>
        <v>0</v>
      </c>
      <c r="CT98" s="247"/>
    </row>
    <row r="99" spans="2:98" ht="12.75" x14ac:dyDescent="0.35">
      <c r="B99" s="13">
        <f t="shared" si="11"/>
        <v>90</v>
      </c>
      <c r="C99" s="183"/>
      <c r="D99" s="181"/>
      <c r="F99" s="215" t="s">
        <v>254</v>
      </c>
      <c r="G99" s="215" t="s">
        <v>254</v>
      </c>
      <c r="I99" s="168"/>
      <c r="J99" s="168"/>
      <c r="K99" s="168"/>
      <c r="L99" s="168"/>
      <c r="M99" s="168"/>
      <c r="N99" s="168"/>
      <c r="O99" s="168"/>
      <c r="Q99" s="168"/>
      <c r="R99" s="168"/>
      <c r="S99" s="168"/>
      <c r="T99" s="168"/>
      <c r="U99" s="168"/>
      <c r="V99" s="168"/>
      <c r="W99" s="168"/>
      <c r="Y99" s="244"/>
      <c r="Z99" s="244"/>
      <c r="AA99" s="244"/>
      <c r="AB99" s="230" t="str">
        <f t="shared" si="12"/>
        <v/>
      </c>
      <c r="AC99" s="215" t="s">
        <v>206</v>
      </c>
      <c r="AD99" s="215" t="s">
        <v>206</v>
      </c>
      <c r="AF99" s="245"/>
      <c r="AG99" s="245"/>
      <c r="AI99" s="244"/>
      <c r="AJ99" s="244"/>
      <c r="AK99" s="244"/>
      <c r="AL99" s="244"/>
      <c r="AM99" s="244"/>
      <c r="AN99" s="244"/>
      <c r="AO99" s="244"/>
      <c r="AP99" s="244"/>
      <c r="AQ99" s="246" t="str">
        <f t="shared" si="13"/>
        <v/>
      </c>
      <c r="AR99" s="244"/>
      <c r="AS99" s="244"/>
      <c r="AT99" s="244"/>
      <c r="AU99" s="244"/>
      <c r="AV99" s="244"/>
      <c r="AW99" s="244"/>
      <c r="AX99" s="244"/>
      <c r="AY99" s="244"/>
      <c r="AZ99" s="244"/>
      <c r="BA99" s="244"/>
      <c r="BB99" s="244"/>
      <c r="BC99" s="244"/>
      <c r="BD99" s="244"/>
      <c r="BE99" s="244"/>
      <c r="BF99" s="244"/>
      <c r="BG99" s="244"/>
      <c r="BH99" s="244"/>
      <c r="BI99" s="244"/>
      <c r="BJ99" s="244"/>
      <c r="BK99" s="244"/>
      <c r="BL99" s="244"/>
      <c r="BM99" s="244"/>
      <c r="BN99" s="244"/>
      <c r="BO99" s="244"/>
      <c r="BP99" s="244"/>
      <c r="BQ99" s="244"/>
      <c r="BR99" s="244"/>
      <c r="BS99" s="244"/>
      <c r="BT99" s="244"/>
      <c r="BU99" s="244"/>
      <c r="BV99" s="244"/>
      <c r="BW99" s="244"/>
      <c r="BX99" s="244"/>
      <c r="BY99" s="244"/>
      <c r="BZ99" s="244"/>
      <c r="CA99" s="244"/>
      <c r="CB99" s="244"/>
      <c r="CC99" s="244"/>
      <c r="CD99" s="244"/>
      <c r="CE99" s="244"/>
      <c r="CF99" s="244"/>
      <c r="CG99" s="244"/>
      <c r="CH99" s="244"/>
      <c r="CI99" s="244"/>
      <c r="CJ99" s="244"/>
      <c r="CK99" s="244"/>
      <c r="CL99" s="244"/>
      <c r="CM99" s="244"/>
      <c r="CN99" s="244"/>
      <c r="CO99" s="244"/>
      <c r="CP99" s="246" t="str">
        <f t="shared" si="14"/>
        <v/>
      </c>
      <c r="CR99" s="13">
        <f t="shared" si="15"/>
        <v>0</v>
      </c>
      <c r="CS99" s="230">
        <f>IF(CR99=0,0,IF(ISERROR(MATCH(D99,D$9:D98,0)),0,1))</f>
        <v>0</v>
      </c>
      <c r="CT99" s="247"/>
    </row>
    <row r="100" spans="2:98" ht="12.75" x14ac:dyDescent="0.35">
      <c r="B100" s="13">
        <f t="shared" si="11"/>
        <v>91</v>
      </c>
      <c r="C100" s="183"/>
      <c r="D100" s="181"/>
      <c r="F100" s="215" t="s">
        <v>254</v>
      </c>
      <c r="G100" s="215" t="s">
        <v>254</v>
      </c>
      <c r="I100" s="168"/>
      <c r="J100" s="168"/>
      <c r="K100" s="168"/>
      <c r="L100" s="168"/>
      <c r="M100" s="168"/>
      <c r="N100" s="168"/>
      <c r="O100" s="168"/>
      <c r="Q100" s="168"/>
      <c r="R100" s="168"/>
      <c r="S100" s="168"/>
      <c r="T100" s="168"/>
      <c r="U100" s="168"/>
      <c r="V100" s="168"/>
      <c r="W100" s="168"/>
      <c r="Y100" s="244"/>
      <c r="Z100" s="244"/>
      <c r="AA100" s="244"/>
      <c r="AB100" s="230" t="str">
        <f t="shared" si="12"/>
        <v/>
      </c>
      <c r="AC100" s="215" t="s">
        <v>206</v>
      </c>
      <c r="AD100" s="215" t="s">
        <v>206</v>
      </c>
      <c r="AF100" s="245"/>
      <c r="AG100" s="245"/>
      <c r="AI100" s="244"/>
      <c r="AJ100" s="244"/>
      <c r="AK100" s="244"/>
      <c r="AL100" s="244"/>
      <c r="AM100" s="244"/>
      <c r="AN100" s="244"/>
      <c r="AO100" s="244"/>
      <c r="AP100" s="244"/>
      <c r="AQ100" s="246" t="str">
        <f t="shared" si="13"/>
        <v/>
      </c>
      <c r="AR100" s="244"/>
      <c r="AS100" s="244"/>
      <c r="AT100" s="244"/>
      <c r="AU100" s="244"/>
      <c r="AV100" s="244"/>
      <c r="AW100" s="244"/>
      <c r="AX100" s="244"/>
      <c r="AY100" s="244"/>
      <c r="AZ100" s="244"/>
      <c r="BA100" s="244"/>
      <c r="BB100" s="244"/>
      <c r="BC100" s="244"/>
      <c r="BD100" s="244"/>
      <c r="BE100" s="244"/>
      <c r="BF100" s="244"/>
      <c r="BG100" s="244"/>
      <c r="BH100" s="244"/>
      <c r="BI100" s="244"/>
      <c r="BJ100" s="244"/>
      <c r="BK100" s="244"/>
      <c r="BL100" s="244"/>
      <c r="BM100" s="244"/>
      <c r="BN100" s="244"/>
      <c r="BO100" s="244"/>
      <c r="BP100" s="244"/>
      <c r="BQ100" s="244"/>
      <c r="BR100" s="244"/>
      <c r="BS100" s="244"/>
      <c r="BT100" s="244"/>
      <c r="BU100" s="244"/>
      <c r="BV100" s="244"/>
      <c r="BW100" s="244"/>
      <c r="BX100" s="244"/>
      <c r="BY100" s="244"/>
      <c r="BZ100" s="244"/>
      <c r="CA100" s="244"/>
      <c r="CB100" s="244"/>
      <c r="CC100" s="244"/>
      <c r="CD100" s="244"/>
      <c r="CE100" s="244"/>
      <c r="CF100" s="244"/>
      <c r="CG100" s="244"/>
      <c r="CH100" s="244"/>
      <c r="CI100" s="244"/>
      <c r="CJ100" s="244"/>
      <c r="CK100" s="244"/>
      <c r="CL100" s="244"/>
      <c r="CM100" s="244"/>
      <c r="CN100" s="244"/>
      <c r="CO100" s="244"/>
      <c r="CP100" s="246" t="str">
        <f t="shared" si="14"/>
        <v/>
      </c>
      <c r="CR100" s="13">
        <f t="shared" si="15"/>
        <v>0</v>
      </c>
      <c r="CS100" s="230">
        <f>IF(CR100=0,0,IF(ISERROR(MATCH(D100,D$9:D99,0)),0,1))</f>
        <v>0</v>
      </c>
      <c r="CT100" s="247"/>
    </row>
    <row r="101" spans="2:98" ht="12.75" x14ac:dyDescent="0.35">
      <c r="B101" s="13">
        <f t="shared" si="11"/>
        <v>92</v>
      </c>
      <c r="C101" s="183"/>
      <c r="D101" s="181"/>
      <c r="F101" s="215" t="s">
        <v>254</v>
      </c>
      <c r="G101" s="215" t="s">
        <v>254</v>
      </c>
      <c r="I101" s="168"/>
      <c r="J101" s="168"/>
      <c r="K101" s="168"/>
      <c r="L101" s="168"/>
      <c r="M101" s="168"/>
      <c r="N101" s="168"/>
      <c r="O101" s="168"/>
      <c r="Q101" s="168"/>
      <c r="R101" s="168"/>
      <c r="S101" s="168"/>
      <c r="T101" s="168"/>
      <c r="U101" s="168"/>
      <c r="V101" s="168"/>
      <c r="W101" s="168"/>
      <c r="Y101" s="244"/>
      <c r="Z101" s="244"/>
      <c r="AA101" s="244"/>
      <c r="AB101" s="230" t="str">
        <f t="shared" si="12"/>
        <v/>
      </c>
      <c r="AC101" s="215" t="s">
        <v>206</v>
      </c>
      <c r="AD101" s="215" t="s">
        <v>206</v>
      </c>
      <c r="AF101" s="245"/>
      <c r="AG101" s="245"/>
      <c r="AI101" s="244"/>
      <c r="AJ101" s="244"/>
      <c r="AK101" s="244"/>
      <c r="AL101" s="244"/>
      <c r="AM101" s="244"/>
      <c r="AN101" s="244"/>
      <c r="AO101" s="244"/>
      <c r="AP101" s="244"/>
      <c r="AQ101" s="246" t="str">
        <f t="shared" si="13"/>
        <v/>
      </c>
      <c r="AR101" s="244"/>
      <c r="AS101" s="244"/>
      <c r="AT101" s="244"/>
      <c r="AU101" s="244"/>
      <c r="AV101" s="244"/>
      <c r="AW101" s="244"/>
      <c r="AX101" s="244"/>
      <c r="AY101" s="244"/>
      <c r="AZ101" s="244"/>
      <c r="BA101" s="244"/>
      <c r="BB101" s="244"/>
      <c r="BC101" s="244"/>
      <c r="BD101" s="244"/>
      <c r="BE101" s="244"/>
      <c r="BF101" s="244"/>
      <c r="BG101" s="244"/>
      <c r="BH101" s="244"/>
      <c r="BI101" s="244"/>
      <c r="BJ101" s="244"/>
      <c r="BK101" s="244"/>
      <c r="BL101" s="244"/>
      <c r="BM101" s="244"/>
      <c r="BN101" s="244"/>
      <c r="BO101" s="244"/>
      <c r="BP101" s="244"/>
      <c r="BQ101" s="244"/>
      <c r="BR101" s="244"/>
      <c r="BS101" s="244"/>
      <c r="BT101" s="244"/>
      <c r="BU101" s="244"/>
      <c r="BV101" s="244"/>
      <c r="BW101" s="244"/>
      <c r="BX101" s="244"/>
      <c r="BY101" s="244"/>
      <c r="BZ101" s="244"/>
      <c r="CA101" s="244"/>
      <c r="CB101" s="244"/>
      <c r="CC101" s="244"/>
      <c r="CD101" s="244"/>
      <c r="CE101" s="244"/>
      <c r="CF101" s="244"/>
      <c r="CG101" s="244"/>
      <c r="CH101" s="244"/>
      <c r="CI101" s="244"/>
      <c r="CJ101" s="244"/>
      <c r="CK101" s="244"/>
      <c r="CL101" s="244"/>
      <c r="CM101" s="244"/>
      <c r="CN101" s="244"/>
      <c r="CO101" s="244"/>
      <c r="CP101" s="246" t="str">
        <f t="shared" si="14"/>
        <v/>
      </c>
      <c r="CR101" s="13">
        <f t="shared" si="15"/>
        <v>0</v>
      </c>
      <c r="CS101" s="230">
        <f>IF(CR101=0,0,IF(ISERROR(MATCH(D101,D$9:D100,0)),0,1))</f>
        <v>0</v>
      </c>
      <c r="CT101" s="247"/>
    </row>
    <row r="102" spans="2:98" ht="12.75" x14ac:dyDescent="0.35">
      <c r="B102" s="13">
        <f t="shared" si="11"/>
        <v>93</v>
      </c>
      <c r="C102" s="183"/>
      <c r="D102" s="181"/>
      <c r="F102" s="215" t="s">
        <v>254</v>
      </c>
      <c r="G102" s="215" t="s">
        <v>254</v>
      </c>
      <c r="I102" s="168"/>
      <c r="J102" s="168"/>
      <c r="K102" s="168"/>
      <c r="L102" s="168"/>
      <c r="M102" s="168"/>
      <c r="N102" s="168"/>
      <c r="O102" s="168"/>
      <c r="Q102" s="168"/>
      <c r="R102" s="168"/>
      <c r="S102" s="168"/>
      <c r="T102" s="168"/>
      <c r="U102" s="168"/>
      <c r="V102" s="168"/>
      <c r="W102" s="168"/>
      <c r="Y102" s="244"/>
      <c r="Z102" s="244"/>
      <c r="AA102" s="244"/>
      <c r="AB102" s="230" t="str">
        <f t="shared" si="12"/>
        <v/>
      </c>
      <c r="AC102" s="215" t="s">
        <v>206</v>
      </c>
      <c r="AD102" s="215" t="s">
        <v>206</v>
      </c>
      <c r="AF102" s="245"/>
      <c r="AG102" s="245"/>
      <c r="AI102" s="244"/>
      <c r="AJ102" s="244"/>
      <c r="AK102" s="244"/>
      <c r="AL102" s="244"/>
      <c r="AM102" s="244"/>
      <c r="AN102" s="244"/>
      <c r="AO102" s="244"/>
      <c r="AP102" s="244"/>
      <c r="AQ102" s="246" t="str">
        <f t="shared" si="13"/>
        <v/>
      </c>
      <c r="AR102" s="244"/>
      <c r="AS102" s="244"/>
      <c r="AT102" s="244"/>
      <c r="AU102" s="244"/>
      <c r="AV102" s="244"/>
      <c r="AW102" s="244"/>
      <c r="AX102" s="244"/>
      <c r="AY102" s="244"/>
      <c r="AZ102" s="244"/>
      <c r="BA102" s="244"/>
      <c r="BB102" s="244"/>
      <c r="BC102" s="244"/>
      <c r="BD102" s="244"/>
      <c r="BE102" s="244"/>
      <c r="BF102" s="244"/>
      <c r="BG102" s="244"/>
      <c r="BH102" s="244"/>
      <c r="BI102" s="244"/>
      <c r="BJ102" s="244"/>
      <c r="BK102" s="244"/>
      <c r="BL102" s="244"/>
      <c r="BM102" s="244"/>
      <c r="BN102" s="244"/>
      <c r="BO102" s="244"/>
      <c r="BP102" s="244"/>
      <c r="BQ102" s="244"/>
      <c r="BR102" s="244"/>
      <c r="BS102" s="244"/>
      <c r="BT102" s="244"/>
      <c r="BU102" s="244"/>
      <c r="BV102" s="244"/>
      <c r="BW102" s="244"/>
      <c r="BX102" s="244"/>
      <c r="BY102" s="244"/>
      <c r="BZ102" s="244"/>
      <c r="CA102" s="244"/>
      <c r="CB102" s="244"/>
      <c r="CC102" s="244"/>
      <c r="CD102" s="244"/>
      <c r="CE102" s="244"/>
      <c r="CF102" s="244"/>
      <c r="CG102" s="244"/>
      <c r="CH102" s="244"/>
      <c r="CI102" s="244"/>
      <c r="CJ102" s="244"/>
      <c r="CK102" s="244"/>
      <c r="CL102" s="244"/>
      <c r="CM102" s="244"/>
      <c r="CN102" s="244"/>
      <c r="CO102" s="244"/>
      <c r="CP102" s="246" t="str">
        <f t="shared" si="14"/>
        <v/>
      </c>
      <c r="CR102" s="13">
        <f t="shared" si="15"/>
        <v>0</v>
      </c>
      <c r="CS102" s="230">
        <f>IF(CR102=0,0,IF(ISERROR(MATCH(D102,D$9:D101,0)),0,1))</f>
        <v>0</v>
      </c>
      <c r="CT102" s="247"/>
    </row>
    <row r="103" spans="2:98" ht="12.75" x14ac:dyDescent="0.35">
      <c r="B103" s="13">
        <f t="shared" si="11"/>
        <v>94</v>
      </c>
      <c r="C103" s="183"/>
      <c r="D103" s="181"/>
      <c r="F103" s="215" t="s">
        <v>254</v>
      </c>
      <c r="G103" s="215" t="s">
        <v>254</v>
      </c>
      <c r="I103" s="168"/>
      <c r="J103" s="168"/>
      <c r="K103" s="168"/>
      <c r="L103" s="168"/>
      <c r="M103" s="168"/>
      <c r="N103" s="168"/>
      <c r="O103" s="168"/>
      <c r="Q103" s="168"/>
      <c r="R103" s="168"/>
      <c r="S103" s="168"/>
      <c r="T103" s="168"/>
      <c r="U103" s="168"/>
      <c r="V103" s="168"/>
      <c r="W103" s="168"/>
      <c r="Y103" s="244"/>
      <c r="Z103" s="244"/>
      <c r="AA103" s="244"/>
      <c r="AB103" s="230" t="str">
        <f t="shared" si="12"/>
        <v/>
      </c>
      <c r="AC103" s="215" t="s">
        <v>206</v>
      </c>
      <c r="AD103" s="215" t="s">
        <v>206</v>
      </c>
      <c r="AF103" s="245"/>
      <c r="AG103" s="245"/>
      <c r="AI103" s="244"/>
      <c r="AJ103" s="244"/>
      <c r="AK103" s="244"/>
      <c r="AL103" s="244"/>
      <c r="AM103" s="244"/>
      <c r="AN103" s="244"/>
      <c r="AO103" s="244"/>
      <c r="AP103" s="244"/>
      <c r="AQ103" s="246" t="str">
        <f t="shared" si="13"/>
        <v/>
      </c>
      <c r="AR103" s="244"/>
      <c r="AS103" s="244"/>
      <c r="AT103" s="244"/>
      <c r="AU103" s="244"/>
      <c r="AV103" s="244"/>
      <c r="AW103" s="244"/>
      <c r="AX103" s="244"/>
      <c r="AY103" s="244"/>
      <c r="AZ103" s="244"/>
      <c r="BA103" s="244"/>
      <c r="BB103" s="244"/>
      <c r="BC103" s="244"/>
      <c r="BD103" s="244"/>
      <c r="BE103" s="244"/>
      <c r="BF103" s="244"/>
      <c r="BG103" s="244"/>
      <c r="BH103" s="244"/>
      <c r="BI103" s="244"/>
      <c r="BJ103" s="244"/>
      <c r="BK103" s="244"/>
      <c r="BL103" s="244"/>
      <c r="BM103" s="244"/>
      <c r="BN103" s="244"/>
      <c r="BO103" s="244"/>
      <c r="BP103" s="244"/>
      <c r="BQ103" s="244"/>
      <c r="BR103" s="244"/>
      <c r="BS103" s="244"/>
      <c r="BT103" s="244"/>
      <c r="BU103" s="244"/>
      <c r="BV103" s="244"/>
      <c r="BW103" s="244"/>
      <c r="BX103" s="244"/>
      <c r="BY103" s="244"/>
      <c r="BZ103" s="244"/>
      <c r="CA103" s="244"/>
      <c r="CB103" s="244"/>
      <c r="CC103" s="244"/>
      <c r="CD103" s="244"/>
      <c r="CE103" s="244"/>
      <c r="CF103" s="244"/>
      <c r="CG103" s="244"/>
      <c r="CH103" s="244"/>
      <c r="CI103" s="244"/>
      <c r="CJ103" s="244"/>
      <c r="CK103" s="244"/>
      <c r="CL103" s="244"/>
      <c r="CM103" s="244"/>
      <c r="CN103" s="244"/>
      <c r="CO103" s="244"/>
      <c r="CP103" s="246" t="str">
        <f t="shared" si="14"/>
        <v/>
      </c>
      <c r="CR103" s="13">
        <f t="shared" si="15"/>
        <v>0</v>
      </c>
      <c r="CS103" s="230">
        <f>IF(CR103=0,0,IF(ISERROR(MATCH(D103,D$9:D102,0)),0,1))</f>
        <v>0</v>
      </c>
      <c r="CT103" s="247"/>
    </row>
    <row r="104" spans="2:98" ht="12.75" x14ac:dyDescent="0.35">
      <c r="B104" s="13">
        <f t="shared" si="11"/>
        <v>95</v>
      </c>
      <c r="C104" s="183"/>
      <c r="D104" s="181"/>
      <c r="F104" s="215" t="s">
        <v>254</v>
      </c>
      <c r="G104" s="215" t="s">
        <v>254</v>
      </c>
      <c r="I104" s="168"/>
      <c r="J104" s="168"/>
      <c r="K104" s="168"/>
      <c r="L104" s="168"/>
      <c r="M104" s="168"/>
      <c r="N104" s="168"/>
      <c r="O104" s="168"/>
      <c r="Q104" s="168"/>
      <c r="R104" s="168"/>
      <c r="S104" s="168"/>
      <c r="T104" s="168"/>
      <c r="U104" s="168"/>
      <c r="V104" s="168"/>
      <c r="W104" s="168"/>
      <c r="Y104" s="244"/>
      <c r="Z104" s="244"/>
      <c r="AA104" s="244"/>
      <c r="AB104" s="230" t="str">
        <f t="shared" si="12"/>
        <v/>
      </c>
      <c r="AC104" s="215" t="s">
        <v>206</v>
      </c>
      <c r="AD104" s="215" t="s">
        <v>206</v>
      </c>
      <c r="AF104" s="245"/>
      <c r="AG104" s="245"/>
      <c r="AI104" s="244"/>
      <c r="AJ104" s="244"/>
      <c r="AK104" s="244"/>
      <c r="AL104" s="244"/>
      <c r="AM104" s="244"/>
      <c r="AN104" s="244"/>
      <c r="AO104" s="244"/>
      <c r="AP104" s="244"/>
      <c r="AQ104" s="246" t="str">
        <f t="shared" si="13"/>
        <v/>
      </c>
      <c r="AR104" s="244"/>
      <c r="AS104" s="244"/>
      <c r="AT104" s="244"/>
      <c r="AU104" s="244"/>
      <c r="AV104" s="244"/>
      <c r="AW104" s="244"/>
      <c r="AX104" s="244"/>
      <c r="AY104" s="244"/>
      <c r="AZ104" s="244"/>
      <c r="BA104" s="244"/>
      <c r="BB104" s="244"/>
      <c r="BC104" s="244"/>
      <c r="BD104" s="244"/>
      <c r="BE104" s="244"/>
      <c r="BF104" s="244"/>
      <c r="BG104" s="244"/>
      <c r="BH104" s="244"/>
      <c r="BI104" s="244"/>
      <c r="BJ104" s="244"/>
      <c r="BK104" s="244"/>
      <c r="BL104" s="244"/>
      <c r="BM104" s="244"/>
      <c r="BN104" s="244"/>
      <c r="BO104" s="244"/>
      <c r="BP104" s="244"/>
      <c r="BQ104" s="244"/>
      <c r="BR104" s="244"/>
      <c r="BS104" s="244"/>
      <c r="BT104" s="244"/>
      <c r="BU104" s="244"/>
      <c r="BV104" s="244"/>
      <c r="BW104" s="244"/>
      <c r="BX104" s="244"/>
      <c r="BY104" s="244"/>
      <c r="BZ104" s="244"/>
      <c r="CA104" s="244"/>
      <c r="CB104" s="244"/>
      <c r="CC104" s="244"/>
      <c r="CD104" s="244"/>
      <c r="CE104" s="244"/>
      <c r="CF104" s="244"/>
      <c r="CG104" s="244"/>
      <c r="CH104" s="244"/>
      <c r="CI104" s="244"/>
      <c r="CJ104" s="244"/>
      <c r="CK104" s="244"/>
      <c r="CL104" s="244"/>
      <c r="CM104" s="244"/>
      <c r="CN104" s="244"/>
      <c r="CO104" s="244"/>
      <c r="CP104" s="246" t="str">
        <f t="shared" si="14"/>
        <v/>
      </c>
      <c r="CR104" s="13">
        <f t="shared" si="15"/>
        <v>0</v>
      </c>
      <c r="CS104" s="230">
        <f>IF(CR104=0,0,IF(ISERROR(MATCH(D104,D$9:D103,0)),0,1))</f>
        <v>0</v>
      </c>
      <c r="CT104" s="247"/>
    </row>
    <row r="105" spans="2:98" ht="12.75" x14ac:dyDescent="0.35">
      <c r="B105" s="13">
        <f t="shared" si="11"/>
        <v>96</v>
      </c>
      <c r="C105" s="183"/>
      <c r="D105" s="181"/>
      <c r="F105" s="215" t="s">
        <v>254</v>
      </c>
      <c r="G105" s="215" t="s">
        <v>254</v>
      </c>
      <c r="I105" s="168"/>
      <c r="J105" s="168"/>
      <c r="K105" s="168"/>
      <c r="L105" s="168"/>
      <c r="M105" s="168"/>
      <c r="N105" s="168"/>
      <c r="O105" s="168"/>
      <c r="Q105" s="168"/>
      <c r="R105" s="168"/>
      <c r="S105" s="168"/>
      <c r="T105" s="168"/>
      <c r="U105" s="168"/>
      <c r="V105" s="168"/>
      <c r="W105" s="168"/>
      <c r="Y105" s="244"/>
      <c r="Z105" s="244"/>
      <c r="AA105" s="244"/>
      <c r="AB105" s="230" t="str">
        <f t="shared" si="12"/>
        <v/>
      </c>
      <c r="AC105" s="215" t="s">
        <v>206</v>
      </c>
      <c r="AD105" s="215" t="s">
        <v>206</v>
      </c>
      <c r="AF105" s="245"/>
      <c r="AG105" s="245"/>
      <c r="AI105" s="244"/>
      <c r="AJ105" s="244"/>
      <c r="AK105" s="244"/>
      <c r="AL105" s="244"/>
      <c r="AM105" s="244"/>
      <c r="AN105" s="244"/>
      <c r="AO105" s="244"/>
      <c r="AP105" s="244"/>
      <c r="AQ105" s="246" t="str">
        <f t="shared" si="13"/>
        <v/>
      </c>
      <c r="AR105" s="244"/>
      <c r="AS105" s="244"/>
      <c r="AT105" s="244"/>
      <c r="AU105" s="244"/>
      <c r="AV105" s="244"/>
      <c r="AW105" s="244"/>
      <c r="AX105" s="244"/>
      <c r="AY105" s="244"/>
      <c r="AZ105" s="244"/>
      <c r="BA105" s="244"/>
      <c r="BB105" s="244"/>
      <c r="BC105" s="244"/>
      <c r="BD105" s="244"/>
      <c r="BE105" s="244"/>
      <c r="BF105" s="244"/>
      <c r="BG105" s="244"/>
      <c r="BH105" s="244"/>
      <c r="BI105" s="244"/>
      <c r="BJ105" s="244"/>
      <c r="BK105" s="244"/>
      <c r="BL105" s="244"/>
      <c r="BM105" s="244"/>
      <c r="BN105" s="244"/>
      <c r="BO105" s="244"/>
      <c r="BP105" s="244"/>
      <c r="BQ105" s="244"/>
      <c r="BR105" s="244"/>
      <c r="BS105" s="244"/>
      <c r="BT105" s="244"/>
      <c r="BU105" s="244"/>
      <c r="BV105" s="244"/>
      <c r="BW105" s="244"/>
      <c r="BX105" s="244"/>
      <c r="BY105" s="244"/>
      <c r="BZ105" s="244"/>
      <c r="CA105" s="244"/>
      <c r="CB105" s="244"/>
      <c r="CC105" s="244"/>
      <c r="CD105" s="244"/>
      <c r="CE105" s="244"/>
      <c r="CF105" s="244"/>
      <c r="CG105" s="244"/>
      <c r="CH105" s="244"/>
      <c r="CI105" s="244"/>
      <c r="CJ105" s="244"/>
      <c r="CK105" s="244"/>
      <c r="CL105" s="244"/>
      <c r="CM105" s="244"/>
      <c r="CN105" s="244"/>
      <c r="CO105" s="244"/>
      <c r="CP105" s="246" t="str">
        <f t="shared" si="14"/>
        <v/>
      </c>
      <c r="CR105" s="13">
        <f t="shared" si="15"/>
        <v>0</v>
      </c>
      <c r="CS105" s="230">
        <f>IF(CR105=0,0,IF(ISERROR(MATCH(D105,D$9:D104,0)),0,1))</f>
        <v>0</v>
      </c>
      <c r="CT105" s="247"/>
    </row>
    <row r="106" spans="2:98" ht="12.75" x14ac:dyDescent="0.35">
      <c r="B106" s="13">
        <f t="shared" si="11"/>
        <v>97</v>
      </c>
      <c r="C106" s="183"/>
      <c r="D106" s="181"/>
      <c r="F106" s="215" t="s">
        <v>254</v>
      </c>
      <c r="G106" s="215" t="s">
        <v>254</v>
      </c>
      <c r="I106" s="168"/>
      <c r="J106" s="168"/>
      <c r="K106" s="168"/>
      <c r="L106" s="168"/>
      <c r="M106" s="168"/>
      <c r="N106" s="168"/>
      <c r="O106" s="168"/>
      <c r="Q106" s="168"/>
      <c r="R106" s="168"/>
      <c r="S106" s="168"/>
      <c r="T106" s="168"/>
      <c r="U106" s="168"/>
      <c r="V106" s="168"/>
      <c r="W106" s="168"/>
      <c r="Y106" s="244"/>
      <c r="Z106" s="244"/>
      <c r="AA106" s="244"/>
      <c r="AB106" s="230" t="str">
        <f t="shared" si="12"/>
        <v/>
      </c>
      <c r="AC106" s="215" t="s">
        <v>206</v>
      </c>
      <c r="AD106" s="215" t="s">
        <v>206</v>
      </c>
      <c r="AF106" s="245"/>
      <c r="AG106" s="245"/>
      <c r="AI106" s="244"/>
      <c r="AJ106" s="244"/>
      <c r="AK106" s="244"/>
      <c r="AL106" s="244"/>
      <c r="AM106" s="244"/>
      <c r="AN106" s="244"/>
      <c r="AO106" s="244"/>
      <c r="AP106" s="244"/>
      <c r="AQ106" s="246" t="str">
        <f t="shared" si="13"/>
        <v/>
      </c>
      <c r="AR106" s="244"/>
      <c r="AS106" s="244"/>
      <c r="AT106" s="244"/>
      <c r="AU106" s="244"/>
      <c r="AV106" s="244"/>
      <c r="AW106" s="244"/>
      <c r="AX106" s="244"/>
      <c r="AY106" s="244"/>
      <c r="AZ106" s="244"/>
      <c r="BA106" s="244"/>
      <c r="BB106" s="244"/>
      <c r="BC106" s="244"/>
      <c r="BD106" s="244"/>
      <c r="BE106" s="244"/>
      <c r="BF106" s="244"/>
      <c r="BG106" s="244"/>
      <c r="BH106" s="244"/>
      <c r="BI106" s="244"/>
      <c r="BJ106" s="244"/>
      <c r="BK106" s="244"/>
      <c r="BL106" s="244"/>
      <c r="BM106" s="244"/>
      <c r="BN106" s="244"/>
      <c r="BO106" s="244"/>
      <c r="BP106" s="244"/>
      <c r="BQ106" s="244"/>
      <c r="BR106" s="244"/>
      <c r="BS106" s="244"/>
      <c r="BT106" s="244"/>
      <c r="BU106" s="244"/>
      <c r="BV106" s="244"/>
      <c r="BW106" s="244"/>
      <c r="BX106" s="244"/>
      <c r="BY106" s="244"/>
      <c r="BZ106" s="244"/>
      <c r="CA106" s="244"/>
      <c r="CB106" s="244"/>
      <c r="CC106" s="244"/>
      <c r="CD106" s="244"/>
      <c r="CE106" s="244"/>
      <c r="CF106" s="244"/>
      <c r="CG106" s="244"/>
      <c r="CH106" s="244"/>
      <c r="CI106" s="244"/>
      <c r="CJ106" s="244"/>
      <c r="CK106" s="244"/>
      <c r="CL106" s="244"/>
      <c r="CM106" s="244"/>
      <c r="CN106" s="244"/>
      <c r="CO106" s="244"/>
      <c r="CP106" s="246" t="str">
        <f t="shared" si="14"/>
        <v/>
      </c>
      <c r="CR106" s="13">
        <f t="shared" si="15"/>
        <v>0</v>
      </c>
      <c r="CS106" s="230">
        <f>IF(CR106=0,0,IF(ISERROR(MATCH(D106,D$9:D105,0)),0,1))</f>
        <v>0</v>
      </c>
      <c r="CT106" s="247"/>
    </row>
    <row r="107" spans="2:98" ht="12.75" x14ac:dyDescent="0.35">
      <c r="B107" s="13">
        <f t="shared" si="11"/>
        <v>98</v>
      </c>
      <c r="C107" s="183"/>
      <c r="D107" s="181"/>
      <c r="F107" s="215" t="s">
        <v>254</v>
      </c>
      <c r="G107" s="215" t="s">
        <v>254</v>
      </c>
      <c r="I107" s="168"/>
      <c r="J107" s="168"/>
      <c r="K107" s="168"/>
      <c r="L107" s="168"/>
      <c r="M107" s="168"/>
      <c r="N107" s="168"/>
      <c r="O107" s="168"/>
      <c r="Q107" s="168"/>
      <c r="R107" s="168"/>
      <c r="S107" s="168"/>
      <c r="T107" s="168"/>
      <c r="U107" s="168"/>
      <c r="V107" s="168"/>
      <c r="W107" s="168"/>
      <c r="Y107" s="244"/>
      <c r="Z107" s="244"/>
      <c r="AA107" s="244"/>
      <c r="AB107" s="230" t="str">
        <f t="shared" si="12"/>
        <v/>
      </c>
      <c r="AC107" s="215" t="s">
        <v>206</v>
      </c>
      <c r="AD107" s="215" t="s">
        <v>206</v>
      </c>
      <c r="AF107" s="245"/>
      <c r="AG107" s="245"/>
      <c r="AI107" s="244"/>
      <c r="AJ107" s="244"/>
      <c r="AK107" s="244"/>
      <c r="AL107" s="244"/>
      <c r="AM107" s="244"/>
      <c r="AN107" s="244"/>
      <c r="AO107" s="244"/>
      <c r="AP107" s="244"/>
      <c r="AQ107" s="246" t="str">
        <f t="shared" si="13"/>
        <v/>
      </c>
      <c r="AR107" s="244"/>
      <c r="AS107" s="244"/>
      <c r="AT107" s="244"/>
      <c r="AU107" s="244"/>
      <c r="AV107" s="244"/>
      <c r="AW107" s="244"/>
      <c r="AX107" s="244"/>
      <c r="AY107" s="244"/>
      <c r="AZ107" s="244"/>
      <c r="BA107" s="244"/>
      <c r="BB107" s="244"/>
      <c r="BC107" s="244"/>
      <c r="BD107" s="244"/>
      <c r="BE107" s="244"/>
      <c r="BF107" s="244"/>
      <c r="BG107" s="244"/>
      <c r="BH107" s="244"/>
      <c r="BI107" s="244"/>
      <c r="BJ107" s="244"/>
      <c r="BK107" s="244"/>
      <c r="BL107" s="244"/>
      <c r="BM107" s="244"/>
      <c r="BN107" s="244"/>
      <c r="BO107" s="244"/>
      <c r="BP107" s="244"/>
      <c r="BQ107" s="244"/>
      <c r="BR107" s="244"/>
      <c r="BS107" s="244"/>
      <c r="BT107" s="244"/>
      <c r="BU107" s="244"/>
      <c r="BV107" s="244"/>
      <c r="BW107" s="244"/>
      <c r="BX107" s="244"/>
      <c r="BY107" s="244"/>
      <c r="BZ107" s="244"/>
      <c r="CA107" s="244"/>
      <c r="CB107" s="244"/>
      <c r="CC107" s="244"/>
      <c r="CD107" s="244"/>
      <c r="CE107" s="244"/>
      <c r="CF107" s="244"/>
      <c r="CG107" s="244"/>
      <c r="CH107" s="244"/>
      <c r="CI107" s="244"/>
      <c r="CJ107" s="244"/>
      <c r="CK107" s="244"/>
      <c r="CL107" s="244"/>
      <c r="CM107" s="244"/>
      <c r="CN107" s="244"/>
      <c r="CO107" s="244"/>
      <c r="CP107" s="246" t="str">
        <f t="shared" si="14"/>
        <v/>
      </c>
      <c r="CR107" s="13">
        <f t="shared" si="15"/>
        <v>0</v>
      </c>
      <c r="CS107" s="230">
        <f>IF(CR107=0,0,IF(ISERROR(MATCH(D107,D$9:D106,0)),0,1))</f>
        <v>0</v>
      </c>
      <c r="CT107" s="247"/>
    </row>
    <row r="108" spans="2:98" ht="12.75" x14ac:dyDescent="0.35">
      <c r="B108" s="13">
        <f t="shared" si="11"/>
        <v>99</v>
      </c>
      <c r="C108" s="183"/>
      <c r="D108" s="181"/>
      <c r="F108" s="215" t="s">
        <v>254</v>
      </c>
      <c r="G108" s="215" t="s">
        <v>254</v>
      </c>
      <c r="I108" s="168"/>
      <c r="J108" s="168"/>
      <c r="K108" s="168"/>
      <c r="L108" s="168"/>
      <c r="M108" s="168"/>
      <c r="N108" s="168"/>
      <c r="O108" s="168"/>
      <c r="Q108" s="168"/>
      <c r="R108" s="168"/>
      <c r="S108" s="168"/>
      <c r="T108" s="168"/>
      <c r="U108" s="168"/>
      <c r="V108" s="168"/>
      <c r="W108" s="168"/>
      <c r="Y108" s="244"/>
      <c r="Z108" s="244"/>
      <c r="AA108" s="244"/>
      <c r="AB108" s="230" t="str">
        <f t="shared" si="12"/>
        <v/>
      </c>
      <c r="AC108" s="215" t="s">
        <v>206</v>
      </c>
      <c r="AD108" s="215" t="s">
        <v>206</v>
      </c>
      <c r="AF108" s="245"/>
      <c r="AG108" s="245"/>
      <c r="AI108" s="244"/>
      <c r="AJ108" s="244"/>
      <c r="AK108" s="244"/>
      <c r="AL108" s="244"/>
      <c r="AM108" s="244"/>
      <c r="AN108" s="244"/>
      <c r="AO108" s="244"/>
      <c r="AP108" s="244"/>
      <c r="AQ108" s="246" t="str">
        <f t="shared" si="13"/>
        <v/>
      </c>
      <c r="AR108" s="244"/>
      <c r="AS108" s="244"/>
      <c r="AT108" s="244"/>
      <c r="AU108" s="244"/>
      <c r="AV108" s="244"/>
      <c r="AW108" s="244"/>
      <c r="AX108" s="244"/>
      <c r="AY108" s="244"/>
      <c r="AZ108" s="244"/>
      <c r="BA108" s="244"/>
      <c r="BB108" s="244"/>
      <c r="BC108" s="244"/>
      <c r="BD108" s="244"/>
      <c r="BE108" s="244"/>
      <c r="BF108" s="244"/>
      <c r="BG108" s="244"/>
      <c r="BH108" s="244"/>
      <c r="BI108" s="244"/>
      <c r="BJ108" s="244"/>
      <c r="BK108" s="244"/>
      <c r="BL108" s="244"/>
      <c r="BM108" s="244"/>
      <c r="BN108" s="244"/>
      <c r="BO108" s="244"/>
      <c r="BP108" s="244"/>
      <c r="BQ108" s="244"/>
      <c r="BR108" s="244"/>
      <c r="BS108" s="244"/>
      <c r="BT108" s="244"/>
      <c r="BU108" s="244"/>
      <c r="BV108" s="244"/>
      <c r="BW108" s="244"/>
      <c r="BX108" s="244"/>
      <c r="BY108" s="244"/>
      <c r="BZ108" s="244"/>
      <c r="CA108" s="244"/>
      <c r="CB108" s="244"/>
      <c r="CC108" s="244"/>
      <c r="CD108" s="244"/>
      <c r="CE108" s="244"/>
      <c r="CF108" s="244"/>
      <c r="CG108" s="244"/>
      <c r="CH108" s="244"/>
      <c r="CI108" s="244"/>
      <c r="CJ108" s="244"/>
      <c r="CK108" s="244"/>
      <c r="CL108" s="244"/>
      <c r="CM108" s="244"/>
      <c r="CN108" s="244"/>
      <c r="CO108" s="244"/>
      <c r="CP108" s="246" t="str">
        <f t="shared" si="14"/>
        <v/>
      </c>
      <c r="CR108" s="13">
        <f t="shared" si="15"/>
        <v>0</v>
      </c>
      <c r="CS108" s="230">
        <f>IF(CR108=0,0,IF(ISERROR(MATCH(D108,D$9:D107,0)),0,1))</f>
        <v>0</v>
      </c>
      <c r="CT108" s="247"/>
    </row>
    <row r="109" spans="2:98" ht="12.75" x14ac:dyDescent="0.35">
      <c r="B109" s="13">
        <f t="shared" si="11"/>
        <v>100</v>
      </c>
      <c r="C109" s="183"/>
      <c r="D109" s="181"/>
      <c r="F109" s="215" t="s">
        <v>254</v>
      </c>
      <c r="G109" s="215" t="s">
        <v>254</v>
      </c>
      <c r="I109" s="168"/>
      <c r="J109" s="168"/>
      <c r="K109" s="168"/>
      <c r="L109" s="168"/>
      <c r="M109" s="168"/>
      <c r="N109" s="168"/>
      <c r="O109" s="168"/>
      <c r="Q109" s="168"/>
      <c r="R109" s="168"/>
      <c r="S109" s="168"/>
      <c r="T109" s="168"/>
      <c r="U109" s="168"/>
      <c r="V109" s="168"/>
      <c r="W109" s="168"/>
      <c r="Y109" s="244"/>
      <c r="Z109" s="244"/>
      <c r="AA109" s="244"/>
      <c r="AB109" s="230" t="str">
        <f t="shared" si="12"/>
        <v/>
      </c>
      <c r="AC109" s="215" t="s">
        <v>206</v>
      </c>
      <c r="AD109" s="215" t="s">
        <v>206</v>
      </c>
      <c r="AF109" s="245"/>
      <c r="AG109" s="245"/>
      <c r="AI109" s="244"/>
      <c r="AJ109" s="244"/>
      <c r="AK109" s="244"/>
      <c r="AL109" s="244"/>
      <c r="AM109" s="244"/>
      <c r="AN109" s="244"/>
      <c r="AO109" s="244"/>
      <c r="AP109" s="244"/>
      <c r="AQ109" s="246" t="str">
        <f t="shared" si="13"/>
        <v/>
      </c>
      <c r="AR109" s="244"/>
      <c r="AS109" s="244"/>
      <c r="AT109" s="244"/>
      <c r="AU109" s="244"/>
      <c r="AV109" s="244"/>
      <c r="AW109" s="244"/>
      <c r="AX109" s="244"/>
      <c r="AY109" s="244"/>
      <c r="AZ109" s="244"/>
      <c r="BA109" s="244"/>
      <c r="BB109" s="244"/>
      <c r="BC109" s="244"/>
      <c r="BD109" s="244"/>
      <c r="BE109" s="244"/>
      <c r="BF109" s="244"/>
      <c r="BG109" s="244"/>
      <c r="BH109" s="244"/>
      <c r="BI109" s="244"/>
      <c r="BJ109" s="244"/>
      <c r="BK109" s="244"/>
      <c r="BL109" s="244"/>
      <c r="BM109" s="244"/>
      <c r="BN109" s="244"/>
      <c r="BO109" s="244"/>
      <c r="BP109" s="244"/>
      <c r="BQ109" s="244"/>
      <c r="BR109" s="244"/>
      <c r="BS109" s="244"/>
      <c r="BT109" s="244"/>
      <c r="BU109" s="244"/>
      <c r="BV109" s="244"/>
      <c r="BW109" s="244"/>
      <c r="BX109" s="244"/>
      <c r="BY109" s="244"/>
      <c r="BZ109" s="244"/>
      <c r="CA109" s="244"/>
      <c r="CB109" s="244"/>
      <c r="CC109" s="244"/>
      <c r="CD109" s="244"/>
      <c r="CE109" s="244"/>
      <c r="CF109" s="244"/>
      <c r="CG109" s="244"/>
      <c r="CH109" s="244"/>
      <c r="CI109" s="244"/>
      <c r="CJ109" s="244"/>
      <c r="CK109" s="244"/>
      <c r="CL109" s="244"/>
      <c r="CM109" s="244"/>
      <c r="CN109" s="244"/>
      <c r="CO109" s="244"/>
      <c r="CP109" s="246" t="str">
        <f t="shared" si="14"/>
        <v/>
      </c>
      <c r="CR109" s="13">
        <f t="shared" si="15"/>
        <v>0</v>
      </c>
      <c r="CS109" s="230">
        <f>IF(CR109=0,0,IF(ISERROR(MATCH(D109,D$9:D108,0)),0,1))</f>
        <v>0</v>
      </c>
      <c r="CT109" s="247"/>
    </row>
    <row r="111" spans="2:98" s="6" customFormat="1" ht="15" x14ac:dyDescent="0.45">
      <c r="B111" s="6" t="s">
        <v>287</v>
      </c>
    </row>
    <row r="113" spans="2:15" x14ac:dyDescent="0.3">
      <c r="C113" s="241" t="s">
        <v>288</v>
      </c>
      <c r="I113" s="240" t="str">
        <f>I$9</f>
        <v>2022-23</v>
      </c>
      <c r="J113" s="240" t="str">
        <f t="shared" ref="J113:O113" si="16">J$9</f>
        <v>2023-24</v>
      </c>
      <c r="K113" s="240" t="str">
        <f t="shared" si="16"/>
        <v>2024-25</v>
      </c>
      <c r="L113" s="240" t="str">
        <f t="shared" si="16"/>
        <v>2025-26</v>
      </c>
      <c r="M113" s="240" t="str">
        <f t="shared" si="16"/>
        <v>2026-27</v>
      </c>
      <c r="N113" s="240" t="str">
        <f t="shared" si="16"/>
        <v>2027-28</v>
      </c>
      <c r="O113" s="240" t="str">
        <f t="shared" si="16"/>
        <v>2028-29</v>
      </c>
    </row>
    <row r="114" spans="2:15" ht="12.75" x14ac:dyDescent="0.3">
      <c r="C114" s="183" t="s">
        <v>242</v>
      </c>
      <c r="I114" s="168">
        <v>0</v>
      </c>
      <c r="J114" s="168">
        <v>0</v>
      </c>
      <c r="K114" s="168">
        <v>0</v>
      </c>
      <c r="L114" s="168">
        <v>0</v>
      </c>
      <c r="M114" s="168">
        <v>0</v>
      </c>
      <c r="N114" s="168">
        <v>0</v>
      </c>
      <c r="O114" s="168">
        <v>0</v>
      </c>
    </row>
    <row r="115" spans="2:15" ht="12.75" x14ac:dyDescent="0.3">
      <c r="C115" s="183" t="s">
        <v>244</v>
      </c>
      <c r="I115" s="168">
        <v>0</v>
      </c>
      <c r="J115" s="168">
        <v>0</v>
      </c>
      <c r="K115" s="168">
        <v>0</v>
      </c>
      <c r="L115" s="168">
        <v>0</v>
      </c>
      <c r="M115" s="168">
        <v>0</v>
      </c>
      <c r="N115" s="168">
        <v>0</v>
      </c>
      <c r="O115" s="168">
        <v>0</v>
      </c>
    </row>
    <row r="116" spans="2:15" ht="12.75" x14ac:dyDescent="0.3">
      <c r="C116" s="183" t="s">
        <v>132</v>
      </c>
      <c r="I116" s="168">
        <f>'Gifted assets'!J27*10^3*(Gifted_Include_2224="Yes")</f>
        <v>2461.5987874572106</v>
      </c>
      <c r="J116" s="168">
        <f>'Gifted assets'!K27*10^3*(Gifted_Include_2224="Yes")</f>
        <v>2461.5987874572106</v>
      </c>
      <c r="K116" s="168">
        <f>'Gifted assets'!L27*10^3*(Gifted_Include_2429="Yes")</f>
        <v>0</v>
      </c>
      <c r="L116" s="168">
        <f>'Gifted assets'!M27*10^3*(Gifted_Include_2429="Yes")</f>
        <v>0</v>
      </c>
      <c r="M116" s="168">
        <f>'Gifted assets'!N27*10^3*(Gifted_Include_2429="Yes")</f>
        <v>0</v>
      </c>
      <c r="N116" s="168">
        <f>'Gifted assets'!O27*10^3*(Gifted_Include_2429="Yes")</f>
        <v>0</v>
      </c>
      <c r="O116" s="168">
        <f>'Gifted assets'!P27*10^3*(Gifted_Include_2429="Yes")</f>
        <v>0</v>
      </c>
    </row>
    <row r="117" spans="2:15" ht="12.75" x14ac:dyDescent="0.3">
      <c r="C117" s="183" t="s">
        <v>255</v>
      </c>
      <c r="I117" s="168">
        <v>0</v>
      </c>
      <c r="J117" s="168">
        <v>0</v>
      </c>
      <c r="K117" s="168">
        <v>0</v>
      </c>
      <c r="L117" s="168">
        <v>0</v>
      </c>
      <c r="M117" s="168">
        <v>0</v>
      </c>
      <c r="N117" s="168">
        <v>0</v>
      </c>
      <c r="O117" s="168">
        <v>0</v>
      </c>
    </row>
    <row r="118" spans="2:15" ht="13.15" x14ac:dyDescent="0.3">
      <c r="C118" s="183" t="s">
        <v>289</v>
      </c>
      <c r="I118" s="18">
        <f t="shared" ref="I118:O118" si="17">SUM(I114:I117)</f>
        <v>2461.5987874572106</v>
      </c>
      <c r="J118" s="18">
        <f t="shared" si="17"/>
        <v>2461.5987874572106</v>
      </c>
      <c r="K118" s="18">
        <f t="shared" si="17"/>
        <v>0</v>
      </c>
      <c r="L118" s="18">
        <f t="shared" si="17"/>
        <v>0</v>
      </c>
      <c r="M118" s="18">
        <f t="shared" si="17"/>
        <v>0</v>
      </c>
      <c r="N118" s="18">
        <f t="shared" si="17"/>
        <v>0</v>
      </c>
      <c r="O118" s="18">
        <f t="shared" si="17"/>
        <v>0</v>
      </c>
    </row>
    <row r="120" spans="2:15" s="6" customFormat="1" ht="15" x14ac:dyDescent="0.45">
      <c r="B120" s="6" t="s">
        <v>93</v>
      </c>
    </row>
  </sheetData>
  <autoFilter ref="B9:CS9" xr:uid="{CB01E725-68D3-41C4-8413-624DAF9D4877}"/>
  <mergeCells count="13">
    <mergeCell ref="AI7:AP7"/>
    <mergeCell ref="AR7:BA7"/>
    <mergeCell ref="AF8:AG8"/>
    <mergeCell ref="I5:O5"/>
    <mergeCell ref="Q5:W5"/>
    <mergeCell ref="AF6:AG6"/>
    <mergeCell ref="AC7:AD7"/>
    <mergeCell ref="AF7:AG7"/>
    <mergeCell ref="C7:D7"/>
    <mergeCell ref="F7:G7"/>
    <mergeCell ref="I7:O7"/>
    <mergeCell ref="Q7:W7"/>
    <mergeCell ref="Y7:AA7"/>
  </mergeCells>
  <phoneticPr fontId="49" type="noConversion"/>
  <dataValidations count="3">
    <dataValidation type="list" allowBlank="1" showInputMessage="1" showErrorMessage="1" sqref="F10:F109" xr:uid="{1FB54DBD-DC6D-4D9D-B14F-597CDCAF6BED}">
      <formula1>LU_RIN_Cat</formula1>
    </dataValidation>
    <dataValidation type="list" allowBlank="1" showInputMessage="1" showErrorMessage="1" sqref="G10:G109" xr:uid="{23947DFF-15E5-4DD0-8151-396C72C37D61}">
      <formula1>LU_DNSP_Mapping</formula1>
    </dataValidation>
    <dataValidation type="list" allowBlank="1" showInputMessage="1" showErrorMessage="1" sqref="AC10:AD109" xr:uid="{DC603AB9-5FB9-47B0-9C25-DA8CD512E265}">
      <formula1>"Yes, No"</formula1>
    </dataValidation>
  </dataValidations>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388CC-D90F-4A4F-A0EE-EBC45FA97A50}">
  <sheetPr codeName="Sheet3"/>
  <dimension ref="A1:Q56"/>
  <sheetViews>
    <sheetView showGridLines="0" zoomScaleNormal="100" workbookViewId="0">
      <pane xSplit="4" ySplit="1" topLeftCell="E2" activePane="bottomRight" state="frozen"/>
      <selection activeCell="I5" sqref="I5"/>
      <selection pane="topRight" activeCell="I5" sqref="I5"/>
      <selection pane="bottomLeft" activeCell="I5" sqref="I5"/>
      <selection pane="bottomRight" activeCell="E2" sqref="E2"/>
    </sheetView>
  </sheetViews>
  <sheetFormatPr defaultColWidth="7.3984375" defaultRowHeight="10.15" x14ac:dyDescent="0.3"/>
  <cols>
    <col min="1" max="1" width="2.6640625" style="5" customWidth="1"/>
    <col min="2" max="2" width="2.265625" style="5" customWidth="1"/>
    <col min="3" max="3" width="5.265625" style="5" customWidth="1"/>
    <col min="4" max="4" width="25.1328125" style="5" customWidth="1"/>
    <col min="5" max="5" width="33.86328125" style="5" customWidth="1"/>
    <col min="6" max="8" width="11.59765625" style="5" customWidth="1"/>
    <col min="9" max="17" width="10.1328125" style="5" customWidth="1"/>
    <col min="18" max="18" width="7.3984375" style="5"/>
    <col min="19" max="19" width="10.1328125" style="5" customWidth="1"/>
    <col min="20" max="16384" width="7.3984375" style="5"/>
  </cols>
  <sheetData>
    <row r="1" spans="1:17" ht="18.75" x14ac:dyDescent="0.3">
      <c r="A1" s="3">
        <f ca="1">IF(SUM($A3:$A56)&gt;0,1,0)</f>
        <v>0</v>
      </c>
      <c r="B1" s="4" t="s">
        <v>312</v>
      </c>
    </row>
    <row r="3" spans="1:17" s="6" customFormat="1" ht="15" x14ac:dyDescent="0.45">
      <c r="B3" s="6" t="s">
        <v>207</v>
      </c>
    </row>
    <row r="5" spans="1:17" s="7" customFormat="1" ht="13.9" x14ac:dyDescent="0.45">
      <c r="C5" s="7" t="s">
        <v>155</v>
      </c>
    </row>
    <row r="6" spans="1:17" ht="11.25" customHeight="1" x14ac:dyDescent="0.3"/>
    <row r="7" spans="1:17" ht="26.25" x14ac:dyDescent="0.3">
      <c r="C7" s="8" t="s">
        <v>81</v>
      </c>
      <c r="D7" s="9" t="s">
        <v>100</v>
      </c>
      <c r="E7" s="10" t="s">
        <v>99</v>
      </c>
      <c r="F7" s="10" t="s">
        <v>17</v>
      </c>
      <c r="G7" s="10" t="s">
        <v>83</v>
      </c>
      <c r="H7" s="10" t="s">
        <v>84</v>
      </c>
      <c r="J7" s="10" t="str">
        <f>Lookups!I$11</f>
        <v>FY23</v>
      </c>
      <c r="K7" s="10" t="str">
        <f>Lookups!J$11</f>
        <v>FY24</v>
      </c>
      <c r="L7" s="11" t="str">
        <f>Lookups!K$11</f>
        <v>FY25</v>
      </c>
      <c r="M7" s="10" t="str">
        <f>Lookups!L$11</f>
        <v>FY26</v>
      </c>
      <c r="N7" s="10" t="str">
        <f>Lookups!M$11</f>
        <v>FY27</v>
      </c>
      <c r="O7" s="10" t="str">
        <f>Lookups!N$11</f>
        <v>FY28</v>
      </c>
      <c r="P7" s="12" t="str">
        <f>Lookups!O$11</f>
        <v>FY29</v>
      </c>
      <c r="Q7" s="10" t="str">
        <f>Lookups!Q$11</f>
        <v>Total FY25 to FY29</v>
      </c>
    </row>
    <row r="8" spans="1:17" ht="12.75" x14ac:dyDescent="0.3">
      <c r="C8" s="13">
        <f>N(C7)+1</f>
        <v>1</v>
      </c>
      <c r="D8" s="137" t="str">
        <f>Lookups!$D$41</f>
        <v>Substations</v>
      </c>
      <c r="E8" s="14" t="s">
        <v>156</v>
      </c>
      <c r="F8" s="14" t="str">
        <f t="shared" ref="F8:F25" si="0">Input_Unit</f>
        <v>$Millions</v>
      </c>
      <c r="G8" s="14" t="str">
        <f t="shared" ref="G8:G25" si="1">Input_Dollar_Basis</f>
        <v>Real $2021</v>
      </c>
      <c r="H8" s="14" t="str">
        <f t="shared" ref="H8:H25" si="2">End_Period</f>
        <v>End of Period</v>
      </c>
      <c r="J8" s="171">
        <f ca="1">'Cash contributions (SCS)'!J13+IF(Gifted_Include_2224="Yes",'Gifted assets'!J8,0)</f>
        <v>0</v>
      </c>
      <c r="K8" s="169">
        <f ca="1">'Cash contributions (SCS)'!K13+IF(Gifted_Include_2224="Yes",'Gifted assets'!K8,0)</f>
        <v>0</v>
      </c>
      <c r="L8" s="170">
        <f ca="1">'Cash contributions (SCS)'!L13+IF(Gifted_Include_2429="Yes",'Gifted assets'!L8,0)</f>
        <v>0</v>
      </c>
      <c r="M8" s="171">
        <f ca="1">'Cash contributions (SCS)'!M13+IF(Gifted_Include_2429="Yes",'Gifted assets'!M8,0)</f>
        <v>0</v>
      </c>
      <c r="N8" s="171">
        <f ca="1">'Cash contributions (SCS)'!N13+IF(Gifted_Include_2429="Yes",'Gifted assets'!N8,0)</f>
        <v>0</v>
      </c>
      <c r="O8" s="171">
        <f ca="1">'Cash contributions (SCS)'!O13+IF(Gifted_Include_2429="Yes",'Gifted assets'!O8,0)</f>
        <v>0</v>
      </c>
      <c r="P8" s="172">
        <f ca="1">'Cash contributions (SCS)'!P13+IF(Gifted_Include_2429="Yes",'Gifted assets'!P8,0)</f>
        <v>0</v>
      </c>
      <c r="Q8" s="21">
        <f t="shared" ref="Q8:Q25" ca="1" si="3">SUM(L8:P8)</f>
        <v>0</v>
      </c>
    </row>
    <row r="9" spans="1:17" ht="12.75" x14ac:dyDescent="0.3">
      <c r="C9" s="13">
        <f t="shared" ref="C9:C25" si="4">N(C8)+1</f>
        <v>2</v>
      </c>
      <c r="D9" s="137" t="str">
        <f>Lookups!$D$42</f>
        <v>Distribution Lines</v>
      </c>
      <c r="E9" s="14" t="str">
        <f>E8</f>
        <v>Various</v>
      </c>
      <c r="F9" s="14" t="str">
        <f t="shared" si="0"/>
        <v>$Millions</v>
      </c>
      <c r="G9" s="14" t="str">
        <f t="shared" si="1"/>
        <v>Real $2021</v>
      </c>
      <c r="H9" s="14" t="str">
        <f t="shared" si="2"/>
        <v>End of Period</v>
      </c>
      <c r="J9" s="171">
        <f ca="1">'Cash contributions (SCS)'!J14+IF(Gifted_Include_2224="Yes",'Gifted assets'!J9,0)</f>
        <v>1.9744793058133874</v>
      </c>
      <c r="K9" s="169">
        <f ca="1">'Cash contributions (SCS)'!K14+IF(Gifted_Include_2224="Yes",'Gifted assets'!K9,0)</f>
        <v>1.982950259888518</v>
      </c>
      <c r="L9" s="170">
        <f ca="1">'Cash contributions (SCS)'!L14+IF(Gifted_Include_2429="Yes",'Gifted assets'!L9,0)</f>
        <v>5.1096131161547681E-2</v>
      </c>
      <c r="M9" s="171">
        <f ca="1">'Cash contributions (SCS)'!M14+IF(Gifted_Include_2429="Yes",'Gifted assets'!M9,0)</f>
        <v>5.1096131161547681E-2</v>
      </c>
      <c r="N9" s="171">
        <f ca="1">'Cash contributions (SCS)'!N14+IF(Gifted_Include_2429="Yes",'Gifted assets'!N9,0)</f>
        <v>5.1096131161547681E-2</v>
      </c>
      <c r="O9" s="171">
        <f ca="1">'Cash contributions (SCS)'!O14+IF(Gifted_Include_2429="Yes",'Gifted assets'!O9,0)</f>
        <v>5.1096131161547681E-2</v>
      </c>
      <c r="P9" s="172">
        <f ca="1">'Cash contributions (SCS)'!P14+IF(Gifted_Include_2429="Yes",'Gifted assets'!P9,0)</f>
        <v>5.1096131161547681E-2</v>
      </c>
      <c r="Q9" s="21">
        <f t="shared" ca="1" si="3"/>
        <v>0.25548065580773838</v>
      </c>
    </row>
    <row r="10" spans="1:17" ht="12.75" x14ac:dyDescent="0.3">
      <c r="C10" s="13">
        <f t="shared" si="4"/>
        <v>3</v>
      </c>
      <c r="D10" s="137" t="str">
        <f>Lookups!$D$43</f>
        <v>Transmission Lines</v>
      </c>
      <c r="E10" s="14" t="str">
        <f t="shared" ref="E10:E25" si="5">E9</f>
        <v>Various</v>
      </c>
      <c r="F10" s="14" t="str">
        <f t="shared" si="0"/>
        <v>$Millions</v>
      </c>
      <c r="G10" s="14" t="str">
        <f t="shared" si="1"/>
        <v>Real $2021</v>
      </c>
      <c r="H10" s="14" t="str">
        <f t="shared" si="2"/>
        <v>End of Period</v>
      </c>
      <c r="J10" s="171">
        <f ca="1">'Cash contributions (SCS)'!J15+IF(Gifted_Include_2224="Yes",'Gifted assets'!J10,0)</f>
        <v>0</v>
      </c>
      <c r="K10" s="169">
        <f ca="1">'Cash contributions (SCS)'!K15+IF(Gifted_Include_2224="Yes",'Gifted assets'!K10,0)</f>
        <v>0</v>
      </c>
      <c r="L10" s="170">
        <f ca="1">'Cash contributions (SCS)'!L15+IF(Gifted_Include_2429="Yes",'Gifted assets'!L10,0)</f>
        <v>0</v>
      </c>
      <c r="M10" s="171">
        <f ca="1">'Cash contributions (SCS)'!M15+IF(Gifted_Include_2429="Yes",'Gifted assets'!M10,0)</f>
        <v>0</v>
      </c>
      <c r="N10" s="171">
        <f ca="1">'Cash contributions (SCS)'!N15+IF(Gifted_Include_2429="Yes",'Gifted assets'!N10,0)</f>
        <v>0</v>
      </c>
      <c r="O10" s="171">
        <f ca="1">'Cash contributions (SCS)'!O15+IF(Gifted_Include_2429="Yes",'Gifted assets'!O10,0)</f>
        <v>0</v>
      </c>
      <c r="P10" s="172">
        <f ca="1">'Cash contributions (SCS)'!P15+IF(Gifted_Include_2429="Yes",'Gifted assets'!P10,0)</f>
        <v>0</v>
      </c>
      <c r="Q10" s="21">
        <f t="shared" ca="1" si="3"/>
        <v>0</v>
      </c>
    </row>
    <row r="11" spans="1:17" ht="12.75" x14ac:dyDescent="0.3">
      <c r="C11" s="13">
        <f t="shared" si="4"/>
        <v>4</v>
      </c>
      <c r="D11" s="137" t="str">
        <f>Lookups!$D$44</f>
        <v>LV Services</v>
      </c>
      <c r="E11" s="14" t="str">
        <f t="shared" si="5"/>
        <v>Various</v>
      </c>
      <c r="F11" s="14" t="str">
        <f t="shared" si="0"/>
        <v>$Millions</v>
      </c>
      <c r="G11" s="14" t="str">
        <f t="shared" si="1"/>
        <v>Real $2021</v>
      </c>
      <c r="H11" s="14" t="str">
        <f t="shared" si="2"/>
        <v>End of Period</v>
      </c>
      <c r="J11" s="171">
        <f ca="1">'Cash contributions (SCS)'!J16+IF(Gifted_Include_2224="Yes",'Gifted assets'!J11,0)</f>
        <v>0.14548835792610851</v>
      </c>
      <c r="K11" s="169">
        <f ca="1">'Cash contributions (SCS)'!K16+IF(Gifted_Include_2224="Yes",'Gifted assets'!K11,0)</f>
        <v>0.14650690802946562</v>
      </c>
      <c r="L11" s="170">
        <f ca="1">'Cash contributions (SCS)'!L16+IF(Gifted_Include_2429="Yes",'Gifted assets'!L11,0)</f>
        <v>0.10612964596105277</v>
      </c>
      <c r="M11" s="171">
        <f ca="1">'Cash contributions (SCS)'!M16+IF(Gifted_Include_2429="Yes",'Gifted assets'!M11,0)</f>
        <v>0.10678336997578304</v>
      </c>
      <c r="N11" s="171">
        <f ca="1">'Cash contributions (SCS)'!N16+IF(Gifted_Include_2429="Yes",'Gifted assets'!N11,0)</f>
        <v>0.10745312207587296</v>
      </c>
      <c r="O11" s="171">
        <f ca="1">'Cash contributions (SCS)'!O16+IF(Gifted_Include_2429="Yes",'Gifted assets'!O11,0)</f>
        <v>0.1081393299001613</v>
      </c>
      <c r="P11" s="172">
        <f ca="1">'Cash contributions (SCS)'!P16+IF(Gifted_Include_2429="Yes",'Gifted assets'!P11,0)</f>
        <v>0.1088424326719053</v>
      </c>
      <c r="Q11" s="21">
        <f t="shared" ca="1" si="3"/>
        <v>0.53734790058477533</v>
      </c>
    </row>
    <row r="12" spans="1:17" ht="12.75" x14ac:dyDescent="0.3">
      <c r="C12" s="13">
        <f t="shared" si="4"/>
        <v>5</v>
      </c>
      <c r="D12" s="137" t="str">
        <f>Lookups!$D$45</f>
        <v>Distribution Substations</v>
      </c>
      <c r="E12" s="14" t="str">
        <f t="shared" si="5"/>
        <v>Various</v>
      </c>
      <c r="F12" s="14" t="str">
        <f t="shared" si="0"/>
        <v>$Millions</v>
      </c>
      <c r="G12" s="14" t="str">
        <f t="shared" si="1"/>
        <v>Real $2021</v>
      </c>
      <c r="H12" s="14" t="str">
        <f t="shared" si="2"/>
        <v>End of Period</v>
      </c>
      <c r="J12" s="171">
        <f ca="1">'Cash contributions (SCS)'!J17+IF(Gifted_Include_2224="Yes",'Gifted assets'!J12,0)</f>
        <v>0.83406674136670789</v>
      </c>
      <c r="K12" s="169">
        <f ca="1">'Cash contributions (SCS)'!K17+IF(Gifted_Include_2224="Yes",'Gifted assets'!K12,0)</f>
        <v>0.83406674136670789</v>
      </c>
      <c r="L12" s="170">
        <f ca="1">'Cash contributions (SCS)'!L17+IF(Gifted_Include_2429="Yes",'Gifted assets'!L12,0)</f>
        <v>0</v>
      </c>
      <c r="M12" s="171">
        <f ca="1">'Cash contributions (SCS)'!M17+IF(Gifted_Include_2429="Yes",'Gifted assets'!M12,0)</f>
        <v>0</v>
      </c>
      <c r="N12" s="171">
        <f ca="1">'Cash contributions (SCS)'!N17+IF(Gifted_Include_2429="Yes",'Gifted assets'!N12,0)</f>
        <v>0</v>
      </c>
      <c r="O12" s="171">
        <f ca="1">'Cash contributions (SCS)'!O17+IF(Gifted_Include_2429="Yes",'Gifted assets'!O12,0)</f>
        <v>0</v>
      </c>
      <c r="P12" s="172">
        <f ca="1">'Cash contributions (SCS)'!P17+IF(Gifted_Include_2429="Yes",'Gifted assets'!P12,0)</f>
        <v>0</v>
      </c>
      <c r="Q12" s="21">
        <f t="shared" ca="1" si="3"/>
        <v>0</v>
      </c>
    </row>
    <row r="13" spans="1:17" ht="12.75" x14ac:dyDescent="0.3">
      <c r="C13" s="13">
        <f t="shared" si="4"/>
        <v>6</v>
      </c>
      <c r="D13" s="137" t="str">
        <f>Lookups!$D$46</f>
        <v>Distribution Switchgear</v>
      </c>
      <c r="E13" s="14" t="str">
        <f t="shared" si="5"/>
        <v>Various</v>
      </c>
      <c r="F13" s="14" t="str">
        <f t="shared" si="0"/>
        <v>$Millions</v>
      </c>
      <c r="G13" s="14" t="str">
        <f t="shared" si="1"/>
        <v>Real $2021</v>
      </c>
      <c r="H13" s="14" t="str">
        <f t="shared" si="2"/>
        <v>End of Period</v>
      </c>
      <c r="J13" s="171">
        <f ca="1">'Cash contributions (SCS)'!J18+IF(Gifted_Include_2224="Yes",'Gifted assets'!J13,0)</f>
        <v>0.15973490714673694</v>
      </c>
      <c r="K13" s="169">
        <f ca="1">'Cash contributions (SCS)'!K18+IF(Gifted_Include_2224="Yes",'Gifted assets'!K13,0)</f>
        <v>0.15973490714673694</v>
      </c>
      <c r="L13" s="170">
        <f ca="1">'Cash contributions (SCS)'!L18+IF(Gifted_Include_2429="Yes",'Gifted assets'!L13,0)</f>
        <v>0</v>
      </c>
      <c r="M13" s="171">
        <f ca="1">'Cash contributions (SCS)'!M18+IF(Gifted_Include_2429="Yes",'Gifted assets'!M13,0)</f>
        <v>0</v>
      </c>
      <c r="N13" s="171">
        <f ca="1">'Cash contributions (SCS)'!N18+IF(Gifted_Include_2429="Yes",'Gifted assets'!N13,0)</f>
        <v>0</v>
      </c>
      <c r="O13" s="171">
        <f ca="1">'Cash contributions (SCS)'!O18+IF(Gifted_Include_2429="Yes",'Gifted assets'!O13,0)</f>
        <v>0</v>
      </c>
      <c r="P13" s="172">
        <f ca="1">'Cash contributions (SCS)'!P18+IF(Gifted_Include_2429="Yes",'Gifted assets'!P13,0)</f>
        <v>0</v>
      </c>
      <c r="Q13" s="21">
        <f t="shared" ca="1" si="3"/>
        <v>0</v>
      </c>
    </row>
    <row r="14" spans="1:17" ht="12.75" x14ac:dyDescent="0.3">
      <c r="C14" s="13">
        <f t="shared" si="4"/>
        <v>7</v>
      </c>
      <c r="D14" s="137" t="str">
        <f>Lookups!$D$47</f>
        <v>Protection</v>
      </c>
      <c r="E14" s="14" t="str">
        <f t="shared" si="5"/>
        <v>Various</v>
      </c>
      <c r="F14" s="14" t="str">
        <f t="shared" si="0"/>
        <v>$Millions</v>
      </c>
      <c r="G14" s="14" t="str">
        <f t="shared" si="1"/>
        <v>Real $2021</v>
      </c>
      <c r="H14" s="14" t="str">
        <f t="shared" si="2"/>
        <v>End of Period</v>
      </c>
      <c r="J14" s="171">
        <f ca="1">'Cash contributions (SCS)'!J19+IF(Gifted_Include_2224="Yes",'Gifted assets'!J14,0)</f>
        <v>0</v>
      </c>
      <c r="K14" s="169">
        <f ca="1">'Cash contributions (SCS)'!K19+IF(Gifted_Include_2224="Yes",'Gifted assets'!K14,0)</f>
        <v>0</v>
      </c>
      <c r="L14" s="170">
        <f ca="1">'Cash contributions (SCS)'!L19+IF(Gifted_Include_2429="Yes",'Gifted assets'!L14,0)</f>
        <v>0</v>
      </c>
      <c r="M14" s="171">
        <f ca="1">'Cash contributions (SCS)'!M19+IF(Gifted_Include_2429="Yes",'Gifted assets'!M14,0)</f>
        <v>0</v>
      </c>
      <c r="N14" s="171">
        <f ca="1">'Cash contributions (SCS)'!N19+IF(Gifted_Include_2429="Yes",'Gifted assets'!N14,0)</f>
        <v>0</v>
      </c>
      <c r="O14" s="171">
        <f ca="1">'Cash contributions (SCS)'!O19+IF(Gifted_Include_2429="Yes",'Gifted assets'!O14,0)</f>
        <v>0</v>
      </c>
      <c r="P14" s="172">
        <f ca="1">'Cash contributions (SCS)'!P19+IF(Gifted_Include_2429="Yes",'Gifted assets'!P14,0)</f>
        <v>0</v>
      </c>
      <c r="Q14" s="21">
        <f t="shared" ca="1" si="3"/>
        <v>0</v>
      </c>
    </row>
    <row r="15" spans="1:17" ht="12.75" x14ac:dyDescent="0.3">
      <c r="C15" s="13">
        <f t="shared" si="4"/>
        <v>8</v>
      </c>
      <c r="D15" s="137" t="str">
        <f>Lookups!$D$48</f>
        <v>SCADA</v>
      </c>
      <c r="E15" s="14" t="str">
        <f t="shared" si="5"/>
        <v>Various</v>
      </c>
      <c r="F15" s="14" t="str">
        <f t="shared" si="0"/>
        <v>$Millions</v>
      </c>
      <c r="G15" s="14" t="str">
        <f t="shared" si="1"/>
        <v>Real $2021</v>
      </c>
      <c r="H15" s="14" t="str">
        <f t="shared" si="2"/>
        <v>End of Period</v>
      </c>
      <c r="J15" s="171">
        <f ca="1">'Cash contributions (SCS)'!J20+IF(Gifted_Include_2224="Yes",'Gifted assets'!J15,0)</f>
        <v>0</v>
      </c>
      <c r="K15" s="169">
        <f ca="1">'Cash contributions (SCS)'!K20+IF(Gifted_Include_2224="Yes",'Gifted assets'!K15,0)</f>
        <v>0</v>
      </c>
      <c r="L15" s="170">
        <f ca="1">'Cash contributions (SCS)'!L20+IF(Gifted_Include_2429="Yes",'Gifted assets'!L15,0)</f>
        <v>0</v>
      </c>
      <c r="M15" s="171">
        <f ca="1">'Cash contributions (SCS)'!M20+IF(Gifted_Include_2429="Yes",'Gifted assets'!M15,0)</f>
        <v>0</v>
      </c>
      <c r="N15" s="171">
        <f ca="1">'Cash contributions (SCS)'!N20+IF(Gifted_Include_2429="Yes",'Gifted assets'!N15,0)</f>
        <v>0</v>
      </c>
      <c r="O15" s="171">
        <f ca="1">'Cash contributions (SCS)'!O20+IF(Gifted_Include_2429="Yes",'Gifted assets'!O15,0)</f>
        <v>0</v>
      </c>
      <c r="P15" s="172">
        <f ca="1">'Cash contributions (SCS)'!P20+IF(Gifted_Include_2429="Yes",'Gifted assets'!P15,0)</f>
        <v>0</v>
      </c>
      <c r="Q15" s="21">
        <f t="shared" ca="1" si="3"/>
        <v>0</v>
      </c>
    </row>
    <row r="16" spans="1:17" ht="12.75" x14ac:dyDescent="0.3">
      <c r="C16" s="13">
        <f t="shared" si="4"/>
        <v>9</v>
      </c>
      <c r="D16" s="137" t="str">
        <f>Lookups!$D$49</f>
        <v>Communications</v>
      </c>
      <c r="E16" s="14" t="str">
        <f t="shared" si="5"/>
        <v>Various</v>
      </c>
      <c r="F16" s="14" t="str">
        <f t="shared" si="0"/>
        <v>$Millions</v>
      </c>
      <c r="G16" s="14" t="str">
        <f t="shared" si="1"/>
        <v>Real $2021</v>
      </c>
      <c r="H16" s="14" t="str">
        <f t="shared" si="2"/>
        <v>End of Period</v>
      </c>
      <c r="J16" s="171">
        <f ca="1">'Cash contributions (SCS)'!J21+IF(Gifted_Include_2224="Yes",'Gifted assets'!J16,0)</f>
        <v>0</v>
      </c>
      <c r="K16" s="169">
        <f ca="1">'Cash contributions (SCS)'!K21+IF(Gifted_Include_2224="Yes",'Gifted assets'!K16,0)</f>
        <v>0</v>
      </c>
      <c r="L16" s="170">
        <f ca="1">'Cash contributions (SCS)'!L21+IF(Gifted_Include_2429="Yes",'Gifted assets'!L16,0)</f>
        <v>0</v>
      </c>
      <c r="M16" s="171">
        <f ca="1">'Cash contributions (SCS)'!M21+IF(Gifted_Include_2429="Yes",'Gifted assets'!M16,0)</f>
        <v>0</v>
      </c>
      <c r="N16" s="171">
        <f ca="1">'Cash contributions (SCS)'!N21+IF(Gifted_Include_2429="Yes",'Gifted assets'!N16,0)</f>
        <v>0</v>
      </c>
      <c r="O16" s="171">
        <f ca="1">'Cash contributions (SCS)'!O21+IF(Gifted_Include_2429="Yes",'Gifted assets'!O16,0)</f>
        <v>0</v>
      </c>
      <c r="P16" s="172">
        <f ca="1">'Cash contributions (SCS)'!P21+IF(Gifted_Include_2429="Yes",'Gifted assets'!P16,0)</f>
        <v>0</v>
      </c>
      <c r="Q16" s="21">
        <f t="shared" ca="1" si="3"/>
        <v>0</v>
      </c>
    </row>
    <row r="17" spans="1:17" ht="12.75" x14ac:dyDescent="0.3">
      <c r="C17" s="13">
        <f t="shared" si="4"/>
        <v>10</v>
      </c>
      <c r="D17" s="137" t="str">
        <f>Lookups!$D$50</f>
        <v>Land and Easements</v>
      </c>
      <c r="E17" s="14" t="str">
        <f t="shared" si="5"/>
        <v>Various</v>
      </c>
      <c r="F17" s="14" t="str">
        <f t="shared" si="0"/>
        <v>$Millions</v>
      </c>
      <c r="G17" s="14" t="str">
        <f t="shared" si="1"/>
        <v>Real $2021</v>
      </c>
      <c r="H17" s="14" t="str">
        <f t="shared" si="2"/>
        <v>End of Period</v>
      </c>
      <c r="J17" s="171">
        <f ca="1">'Cash contributions (SCS)'!J22+IF(Gifted_Include_2224="Yes",'Gifted assets'!J17,0)</f>
        <v>0</v>
      </c>
      <c r="K17" s="169">
        <f ca="1">'Cash contributions (SCS)'!K22+IF(Gifted_Include_2224="Yes",'Gifted assets'!K17,0)</f>
        <v>0</v>
      </c>
      <c r="L17" s="170">
        <f ca="1">'Cash contributions (SCS)'!L22+IF(Gifted_Include_2429="Yes",'Gifted assets'!L17,0)</f>
        <v>0</v>
      </c>
      <c r="M17" s="171">
        <f ca="1">'Cash contributions (SCS)'!M22+IF(Gifted_Include_2429="Yes",'Gifted assets'!M17,0)</f>
        <v>0</v>
      </c>
      <c r="N17" s="171">
        <f ca="1">'Cash contributions (SCS)'!N22+IF(Gifted_Include_2429="Yes",'Gifted assets'!N17,0)</f>
        <v>0</v>
      </c>
      <c r="O17" s="171">
        <f ca="1">'Cash contributions (SCS)'!O22+IF(Gifted_Include_2429="Yes",'Gifted assets'!O17,0)</f>
        <v>0</v>
      </c>
      <c r="P17" s="172">
        <f ca="1">'Cash contributions (SCS)'!P22+IF(Gifted_Include_2429="Yes",'Gifted assets'!P17,0)</f>
        <v>0</v>
      </c>
      <c r="Q17" s="21">
        <f t="shared" ca="1" si="3"/>
        <v>0</v>
      </c>
    </row>
    <row r="18" spans="1:17" ht="12.75" x14ac:dyDescent="0.3">
      <c r="C18" s="13">
        <f t="shared" si="4"/>
        <v>11</v>
      </c>
      <c r="D18" s="137" t="str">
        <f>Lookups!$D$51</f>
        <v>Property</v>
      </c>
      <c r="E18" s="14" t="str">
        <f t="shared" si="5"/>
        <v>Various</v>
      </c>
      <c r="F18" s="14" t="str">
        <f t="shared" si="0"/>
        <v>$Millions</v>
      </c>
      <c r="G18" s="14" t="str">
        <f t="shared" si="1"/>
        <v>Real $2021</v>
      </c>
      <c r="H18" s="14" t="str">
        <f t="shared" si="2"/>
        <v>End of Period</v>
      </c>
      <c r="J18" s="171">
        <f ca="1">'Cash contributions (SCS)'!J23+IF(Gifted_Include_2224="Yes",'Gifted assets'!J18,0)</f>
        <v>0</v>
      </c>
      <c r="K18" s="169">
        <f ca="1">'Cash contributions (SCS)'!K23+IF(Gifted_Include_2224="Yes",'Gifted assets'!K18,0)</f>
        <v>0</v>
      </c>
      <c r="L18" s="170">
        <f ca="1">'Cash contributions (SCS)'!L23+IF(Gifted_Include_2429="Yes",'Gifted assets'!L18,0)</f>
        <v>0</v>
      </c>
      <c r="M18" s="171">
        <f ca="1">'Cash contributions (SCS)'!M23+IF(Gifted_Include_2429="Yes",'Gifted assets'!M18,0)</f>
        <v>0</v>
      </c>
      <c r="N18" s="171">
        <f ca="1">'Cash contributions (SCS)'!N23+IF(Gifted_Include_2429="Yes",'Gifted assets'!N18,0)</f>
        <v>0</v>
      </c>
      <c r="O18" s="171">
        <f ca="1">'Cash contributions (SCS)'!O23+IF(Gifted_Include_2429="Yes",'Gifted assets'!O18,0)</f>
        <v>0</v>
      </c>
      <c r="P18" s="172">
        <f ca="1">'Cash contributions (SCS)'!P23+IF(Gifted_Include_2429="Yes",'Gifted assets'!P18,0)</f>
        <v>0</v>
      </c>
      <c r="Q18" s="21">
        <f t="shared" ca="1" si="3"/>
        <v>0</v>
      </c>
    </row>
    <row r="19" spans="1:17" ht="12.75" x14ac:dyDescent="0.3">
      <c r="C19" s="13">
        <f t="shared" si="4"/>
        <v>12</v>
      </c>
      <c r="D19" s="137" t="str">
        <f>Lookups!$D$52</f>
        <v>IT and Communications</v>
      </c>
      <c r="E19" s="14" t="str">
        <f t="shared" si="5"/>
        <v>Various</v>
      </c>
      <c r="F19" s="14" t="str">
        <f t="shared" si="0"/>
        <v>$Millions</v>
      </c>
      <c r="G19" s="14" t="str">
        <f t="shared" si="1"/>
        <v>Real $2021</v>
      </c>
      <c r="H19" s="14" t="str">
        <f t="shared" si="2"/>
        <v>End of Period</v>
      </c>
      <c r="J19" s="171">
        <f ca="1">'Cash contributions (SCS)'!J24+IF(Gifted_Include_2224="Yes",'Gifted assets'!J19,0)</f>
        <v>0</v>
      </c>
      <c r="K19" s="169">
        <f ca="1">'Cash contributions (SCS)'!K24+IF(Gifted_Include_2224="Yes",'Gifted assets'!K19,0)</f>
        <v>0</v>
      </c>
      <c r="L19" s="170">
        <f ca="1">'Cash contributions (SCS)'!L24+IF(Gifted_Include_2429="Yes",'Gifted assets'!L19,0)</f>
        <v>0</v>
      </c>
      <c r="M19" s="171">
        <f ca="1">'Cash contributions (SCS)'!M24+IF(Gifted_Include_2429="Yes",'Gifted assets'!M19,0)</f>
        <v>0</v>
      </c>
      <c r="N19" s="171">
        <f ca="1">'Cash contributions (SCS)'!N24+IF(Gifted_Include_2429="Yes",'Gifted assets'!N19,0)</f>
        <v>0</v>
      </c>
      <c r="O19" s="171">
        <f ca="1">'Cash contributions (SCS)'!O24+IF(Gifted_Include_2429="Yes",'Gifted assets'!O19,0)</f>
        <v>0</v>
      </c>
      <c r="P19" s="172">
        <f ca="1">'Cash contributions (SCS)'!P24+IF(Gifted_Include_2429="Yes",'Gifted assets'!P19,0)</f>
        <v>0</v>
      </c>
      <c r="Q19" s="21">
        <f t="shared" ca="1" si="3"/>
        <v>0</v>
      </c>
    </row>
    <row r="20" spans="1:17" ht="12.75" x14ac:dyDescent="0.3">
      <c r="C20" s="13">
        <f t="shared" si="4"/>
        <v>13</v>
      </c>
      <c r="D20" s="137" t="str">
        <f>Lookups!$D$53</f>
        <v>Motor Vehicles</v>
      </c>
      <c r="E20" s="14" t="str">
        <f t="shared" si="5"/>
        <v>Various</v>
      </c>
      <c r="F20" s="14" t="str">
        <f t="shared" si="0"/>
        <v>$Millions</v>
      </c>
      <c r="G20" s="14" t="str">
        <f t="shared" si="1"/>
        <v>Real $2021</v>
      </c>
      <c r="H20" s="14" t="str">
        <f t="shared" si="2"/>
        <v>End of Period</v>
      </c>
      <c r="J20" s="171">
        <f ca="1">'Cash contributions (SCS)'!J25+IF(Gifted_Include_2224="Yes",'Gifted assets'!J20,0)</f>
        <v>0</v>
      </c>
      <c r="K20" s="169">
        <f ca="1">'Cash contributions (SCS)'!K25+IF(Gifted_Include_2224="Yes",'Gifted assets'!K20,0)</f>
        <v>0</v>
      </c>
      <c r="L20" s="170">
        <f ca="1">'Cash contributions (SCS)'!L25+IF(Gifted_Include_2429="Yes",'Gifted assets'!L20,0)</f>
        <v>0</v>
      </c>
      <c r="M20" s="171">
        <f ca="1">'Cash contributions (SCS)'!M25+IF(Gifted_Include_2429="Yes",'Gifted assets'!M20,0)</f>
        <v>0</v>
      </c>
      <c r="N20" s="171">
        <f ca="1">'Cash contributions (SCS)'!N25+IF(Gifted_Include_2429="Yes",'Gifted assets'!N20,0)</f>
        <v>0</v>
      </c>
      <c r="O20" s="171">
        <f ca="1">'Cash contributions (SCS)'!O25+IF(Gifted_Include_2429="Yes",'Gifted assets'!O20,0)</f>
        <v>0</v>
      </c>
      <c r="P20" s="172">
        <f ca="1">'Cash contributions (SCS)'!P25+IF(Gifted_Include_2429="Yes",'Gifted assets'!P20,0)</f>
        <v>0</v>
      </c>
      <c r="Q20" s="21">
        <f t="shared" ca="1" si="3"/>
        <v>0</v>
      </c>
    </row>
    <row r="21" spans="1:17" ht="12.75" x14ac:dyDescent="0.3">
      <c r="C21" s="13">
        <f t="shared" si="4"/>
        <v>14</v>
      </c>
      <c r="D21" s="137" t="str">
        <f>Lookups!$D$54</f>
        <v>Plant and Equipment</v>
      </c>
      <c r="E21" s="14" t="str">
        <f t="shared" si="5"/>
        <v>Various</v>
      </c>
      <c r="F21" s="14" t="str">
        <f t="shared" si="0"/>
        <v>$Millions</v>
      </c>
      <c r="G21" s="14" t="str">
        <f t="shared" si="1"/>
        <v>Real $2021</v>
      </c>
      <c r="H21" s="14" t="str">
        <f t="shared" si="2"/>
        <v>End of Period</v>
      </c>
      <c r="J21" s="171">
        <f ca="1">'Cash contributions (SCS)'!J26+IF(Gifted_Include_2224="Yes",'Gifted assets'!J21,0)</f>
        <v>0</v>
      </c>
      <c r="K21" s="169">
        <f ca="1">'Cash contributions (SCS)'!K26+IF(Gifted_Include_2224="Yes",'Gifted assets'!K21,0)</f>
        <v>0</v>
      </c>
      <c r="L21" s="170">
        <f ca="1">'Cash contributions (SCS)'!L26+IF(Gifted_Include_2429="Yes",'Gifted assets'!L21,0)</f>
        <v>0</v>
      </c>
      <c r="M21" s="171">
        <f ca="1">'Cash contributions (SCS)'!M26+IF(Gifted_Include_2429="Yes",'Gifted assets'!M21,0)</f>
        <v>0</v>
      </c>
      <c r="N21" s="171">
        <f ca="1">'Cash contributions (SCS)'!N26+IF(Gifted_Include_2429="Yes",'Gifted assets'!N21,0)</f>
        <v>0</v>
      </c>
      <c r="O21" s="171">
        <f ca="1">'Cash contributions (SCS)'!O26+IF(Gifted_Include_2429="Yes",'Gifted assets'!O21,0)</f>
        <v>0</v>
      </c>
      <c r="P21" s="172">
        <f ca="1">'Cash contributions (SCS)'!P26+IF(Gifted_Include_2429="Yes",'Gifted assets'!P21,0)</f>
        <v>0</v>
      </c>
      <c r="Q21" s="21">
        <f t="shared" ca="1" si="3"/>
        <v>0</v>
      </c>
    </row>
    <row r="22" spans="1:17" ht="12.75" x14ac:dyDescent="0.3">
      <c r="C22" s="13">
        <f t="shared" si="4"/>
        <v>15</v>
      </c>
      <c r="D22" s="137" t="str">
        <f>Lookups!$D$55</f>
        <v>Property Leases</v>
      </c>
      <c r="E22" s="14" t="str">
        <f t="shared" si="5"/>
        <v>Various</v>
      </c>
      <c r="F22" s="14" t="str">
        <f t="shared" si="0"/>
        <v>$Millions</v>
      </c>
      <c r="G22" s="14" t="str">
        <f t="shared" si="1"/>
        <v>Real $2021</v>
      </c>
      <c r="H22" s="14" t="str">
        <f t="shared" si="2"/>
        <v>End of Period</v>
      </c>
      <c r="J22" s="171">
        <f ca="1">'Cash contributions (SCS)'!J27+IF(Gifted_Include_2224="Yes",'Gifted assets'!J22,0)</f>
        <v>0</v>
      </c>
      <c r="K22" s="169">
        <f ca="1">'Cash contributions (SCS)'!K27+IF(Gifted_Include_2224="Yes",'Gifted assets'!K22,0)</f>
        <v>0</v>
      </c>
      <c r="L22" s="170">
        <f ca="1">'Cash contributions (SCS)'!L27+IF(Gifted_Include_2429="Yes",'Gifted assets'!L22,0)</f>
        <v>0</v>
      </c>
      <c r="M22" s="171">
        <f ca="1">'Cash contributions (SCS)'!M27+IF(Gifted_Include_2429="Yes",'Gifted assets'!M22,0)</f>
        <v>0</v>
      </c>
      <c r="N22" s="171">
        <f ca="1">'Cash contributions (SCS)'!N27+IF(Gifted_Include_2429="Yes",'Gifted assets'!N22,0)</f>
        <v>0</v>
      </c>
      <c r="O22" s="171">
        <f ca="1">'Cash contributions (SCS)'!O27+IF(Gifted_Include_2429="Yes",'Gifted assets'!O22,0)</f>
        <v>0</v>
      </c>
      <c r="P22" s="172">
        <f ca="1">'Cash contributions (SCS)'!P27+IF(Gifted_Include_2429="Yes",'Gifted assets'!P22,0)</f>
        <v>0</v>
      </c>
      <c r="Q22" s="21">
        <f t="shared" ca="1" si="3"/>
        <v>0</v>
      </c>
    </row>
    <row r="23" spans="1:17" ht="12.75" x14ac:dyDescent="0.3">
      <c r="C23" s="13">
        <f t="shared" si="4"/>
        <v>16</v>
      </c>
      <c r="D23" s="137" t="str">
        <f>Lookups!$D$56</f>
        <v>Fleet Leases</v>
      </c>
      <c r="E23" s="14" t="str">
        <f t="shared" si="5"/>
        <v>Various</v>
      </c>
      <c r="F23" s="14" t="str">
        <f t="shared" si="0"/>
        <v>$Millions</v>
      </c>
      <c r="G23" s="14" t="str">
        <f t="shared" si="1"/>
        <v>Real $2021</v>
      </c>
      <c r="H23" s="14" t="str">
        <f t="shared" si="2"/>
        <v>End of Period</v>
      </c>
      <c r="J23" s="171">
        <f ca="1">'Cash contributions (SCS)'!J28+IF(Gifted_Include_2224="Yes",'Gifted assets'!J23,0)</f>
        <v>0</v>
      </c>
      <c r="K23" s="169">
        <f ca="1">'Cash contributions (SCS)'!K28+IF(Gifted_Include_2224="Yes",'Gifted assets'!K23,0)</f>
        <v>0</v>
      </c>
      <c r="L23" s="170">
        <f ca="1">'Cash contributions (SCS)'!L28+IF(Gifted_Include_2429="Yes",'Gifted assets'!L23,0)</f>
        <v>0</v>
      </c>
      <c r="M23" s="171">
        <f ca="1">'Cash contributions (SCS)'!M28+IF(Gifted_Include_2429="Yes",'Gifted assets'!M23,0)</f>
        <v>0</v>
      </c>
      <c r="N23" s="171">
        <f ca="1">'Cash contributions (SCS)'!N28+IF(Gifted_Include_2429="Yes",'Gifted assets'!N23,0)</f>
        <v>0</v>
      </c>
      <c r="O23" s="171">
        <f ca="1">'Cash contributions (SCS)'!O28+IF(Gifted_Include_2429="Yes",'Gifted assets'!O23,0)</f>
        <v>0</v>
      </c>
      <c r="P23" s="172">
        <f ca="1">'Cash contributions (SCS)'!P28+IF(Gifted_Include_2429="Yes",'Gifted assets'!P23,0)</f>
        <v>0</v>
      </c>
      <c r="Q23" s="21">
        <f t="shared" ca="1" si="3"/>
        <v>0</v>
      </c>
    </row>
    <row r="24" spans="1:17" ht="12.75" x14ac:dyDescent="0.3">
      <c r="C24" s="13">
        <f t="shared" si="4"/>
        <v>17</v>
      </c>
      <c r="D24" s="137" t="str">
        <f>Lookups!$D$57</f>
        <v>Buildings</v>
      </c>
      <c r="E24" s="14" t="str">
        <f t="shared" si="5"/>
        <v>Various</v>
      </c>
      <c r="F24" s="14" t="str">
        <f t="shared" si="0"/>
        <v>$Millions</v>
      </c>
      <c r="G24" s="14" t="str">
        <f t="shared" si="1"/>
        <v>Real $2021</v>
      </c>
      <c r="H24" s="14" t="str">
        <f t="shared" si="2"/>
        <v>End of Period</v>
      </c>
      <c r="J24" s="171">
        <f ca="1">'Cash contributions (SCS)'!J29+IF(Gifted_Include_2224="Yes",'Gifted assets'!J24,0)</f>
        <v>0</v>
      </c>
      <c r="K24" s="169">
        <f ca="1">'Cash contributions (SCS)'!K29+IF(Gifted_Include_2224="Yes",'Gifted assets'!K24,0)</f>
        <v>0</v>
      </c>
      <c r="L24" s="170">
        <f ca="1">'Cash contributions (SCS)'!L29+IF(Gifted_Include_2429="Yes",'Gifted assets'!L24,0)</f>
        <v>0</v>
      </c>
      <c r="M24" s="171">
        <f ca="1">'Cash contributions (SCS)'!M29+IF(Gifted_Include_2429="Yes",'Gifted assets'!M24,0)</f>
        <v>0</v>
      </c>
      <c r="N24" s="171">
        <f ca="1">'Cash contributions (SCS)'!N29+IF(Gifted_Include_2429="Yes",'Gifted assets'!N24,0)</f>
        <v>0</v>
      </c>
      <c r="O24" s="171">
        <f ca="1">'Cash contributions (SCS)'!O29+IF(Gifted_Include_2429="Yes",'Gifted assets'!O24,0)</f>
        <v>0</v>
      </c>
      <c r="P24" s="172">
        <f ca="1">'Cash contributions (SCS)'!P29+IF(Gifted_Include_2429="Yes",'Gifted assets'!P24,0)</f>
        <v>0</v>
      </c>
      <c r="Q24" s="21">
        <f t="shared" ca="1" si="3"/>
        <v>0</v>
      </c>
    </row>
    <row r="25" spans="1:17" ht="12.75" x14ac:dyDescent="0.3">
      <c r="C25" s="13">
        <f t="shared" si="4"/>
        <v>18</v>
      </c>
      <c r="D25" s="137" t="str">
        <f>Lookups!$D$58</f>
        <v>In-house Software</v>
      </c>
      <c r="E25" s="14" t="str">
        <f t="shared" si="5"/>
        <v>Various</v>
      </c>
      <c r="F25" s="14" t="str">
        <f t="shared" si="0"/>
        <v>$Millions</v>
      </c>
      <c r="G25" s="14" t="str">
        <f t="shared" si="1"/>
        <v>Real $2021</v>
      </c>
      <c r="H25" s="14" t="str">
        <f t="shared" si="2"/>
        <v>End of Period</v>
      </c>
      <c r="J25" s="171">
        <f ca="1">'Cash contributions (SCS)'!J30+IF(Gifted_Include_2224="Yes",'Gifted assets'!J25,0)</f>
        <v>0</v>
      </c>
      <c r="K25" s="169">
        <f ca="1">'Cash contributions (SCS)'!K30+IF(Gifted_Include_2224="Yes",'Gifted assets'!K25,0)</f>
        <v>0</v>
      </c>
      <c r="L25" s="170">
        <f ca="1">'Cash contributions (SCS)'!L30+IF(Gifted_Include_2429="Yes",'Gifted assets'!L25,0)</f>
        <v>0</v>
      </c>
      <c r="M25" s="171">
        <f ca="1">'Cash contributions (SCS)'!M30+IF(Gifted_Include_2429="Yes",'Gifted assets'!M25,0)</f>
        <v>0</v>
      </c>
      <c r="N25" s="171">
        <f ca="1">'Cash contributions (SCS)'!N30+IF(Gifted_Include_2429="Yes",'Gifted assets'!N25,0)</f>
        <v>0</v>
      </c>
      <c r="O25" s="171">
        <f ca="1">'Cash contributions (SCS)'!O30+IF(Gifted_Include_2429="Yes",'Gifted assets'!O25,0)</f>
        <v>0</v>
      </c>
      <c r="P25" s="172">
        <f ca="1">'Cash contributions (SCS)'!P30+IF(Gifted_Include_2429="Yes",'Gifted assets'!P25,0)</f>
        <v>0</v>
      </c>
      <c r="Q25" s="21">
        <f t="shared" ca="1" si="3"/>
        <v>0</v>
      </c>
    </row>
    <row r="26" spans="1:17" x14ac:dyDescent="0.3">
      <c r="L26" s="15"/>
      <c r="P26" s="16"/>
    </row>
    <row r="27" spans="1:17" ht="13.15" x14ac:dyDescent="0.3">
      <c r="D27" s="136" t="s">
        <v>151</v>
      </c>
      <c r="E27" s="17" t="s">
        <v>157</v>
      </c>
      <c r="F27" s="17" t="str">
        <f>Input_Unit</f>
        <v>$Millions</v>
      </c>
      <c r="G27" s="17" t="str">
        <f>Input_Dollar_Basis</f>
        <v>Real $2021</v>
      </c>
      <c r="H27" s="17" t="str">
        <f>End_Period</f>
        <v>End of Period</v>
      </c>
      <c r="J27" s="18">
        <f t="shared" ref="J27" ca="1" si="6">SUM(J8:J25)</f>
        <v>3.1137693122529408</v>
      </c>
      <c r="K27" s="18">
        <f t="shared" ref="K27:P27" ca="1" si="7">SUM(K8:K25)</f>
        <v>3.1232588164314286</v>
      </c>
      <c r="L27" s="19">
        <f t="shared" ca="1" si="7"/>
        <v>0.15722577712260044</v>
      </c>
      <c r="M27" s="18">
        <f t="shared" ca="1" si="7"/>
        <v>0.15787950113733074</v>
      </c>
      <c r="N27" s="18">
        <f t="shared" ca="1" si="7"/>
        <v>0.15854925323742064</v>
      </c>
      <c r="O27" s="18">
        <f t="shared" ca="1" si="7"/>
        <v>0.15923546106170899</v>
      </c>
      <c r="P27" s="20">
        <f t="shared" ca="1" si="7"/>
        <v>0.15993856383345298</v>
      </c>
      <c r="Q27" s="18">
        <f ca="1">SUM(Q8:Q25)</f>
        <v>0.79282855639251371</v>
      </c>
    </row>
    <row r="28" spans="1:17" ht="11.25" customHeight="1" x14ac:dyDescent="0.3"/>
    <row r="29" spans="1:17" ht="11.25" customHeight="1" x14ac:dyDescent="0.3">
      <c r="D29" s="137" t="s">
        <v>101</v>
      </c>
      <c r="E29" s="14" t="s">
        <v>295</v>
      </c>
      <c r="F29" s="14" t="str">
        <f>'Net connection capex (SCS)'!F$27</f>
        <v>$Millions</v>
      </c>
      <c r="G29" s="14" t="str">
        <f>'Net connection capex (SCS)'!G$27</f>
        <v>Real $2021</v>
      </c>
      <c r="H29" s="14" t="str">
        <f>'Net connection capex (SCS)'!H$27</f>
        <v>End of Period</v>
      </c>
      <c r="J29" s="21">
        <f ca="1">'Cash contributions (SCS)'!J$32</f>
        <v>0.65217052479573023</v>
      </c>
      <c r="K29" s="169">
        <f ca="1">'Cash contributions (SCS)'!K$32</f>
        <v>0.66166002897421794</v>
      </c>
      <c r="L29" s="170">
        <f ca="1">'Cash contributions (SCS)'!L$32</f>
        <v>0.15722577712260044</v>
      </c>
      <c r="M29" s="21">
        <f ca="1">'Cash contributions (SCS)'!M$32</f>
        <v>0.15787950113733074</v>
      </c>
      <c r="N29" s="21">
        <f ca="1">'Cash contributions (SCS)'!N$32</f>
        <v>0.15854925323742064</v>
      </c>
      <c r="O29" s="21">
        <f ca="1">'Cash contributions (SCS)'!O$32</f>
        <v>0.15923546106170899</v>
      </c>
      <c r="P29" s="21">
        <f ca="1">'Cash contributions (SCS)'!P$32</f>
        <v>0.15993856383345298</v>
      </c>
    </row>
    <row r="30" spans="1:17" ht="11.25" customHeight="1" x14ac:dyDescent="0.3">
      <c r="D30" s="137" t="s">
        <v>97</v>
      </c>
      <c r="E30" s="14" t="s">
        <v>296</v>
      </c>
      <c r="F30" s="14" t="str">
        <f>'Gifted assets'!F$27</f>
        <v>$Millions</v>
      </c>
      <c r="G30" s="14" t="str">
        <f>'Gifted assets'!G$27</f>
        <v>Real $2021</v>
      </c>
      <c r="H30" s="14" t="str">
        <f>'Gifted assets'!H$27</f>
        <v>End of Period</v>
      </c>
      <c r="J30" s="21">
        <f>IF(Gifted_Include_2224="Yes",'Gifted assets'!J$27,0)</f>
        <v>2.4615987874572105</v>
      </c>
      <c r="K30" s="169">
        <f>IF(Gifted_Include_2224="Yes",'Gifted assets'!K$27,0)</f>
        <v>2.4615987874572105</v>
      </c>
      <c r="L30" s="170">
        <f>IF(Gifted_Include_2429="Yes",'Gifted assets'!L$27,0)</f>
        <v>0</v>
      </c>
      <c r="M30" s="21">
        <f>IF(Gifted_Include_2429="Yes",'Gifted assets'!M$27,0)</f>
        <v>0</v>
      </c>
      <c r="N30" s="21">
        <f>IF(Gifted_Include_2429="Yes",'Gifted assets'!N$27,0)</f>
        <v>0</v>
      </c>
      <c r="O30" s="21">
        <f>IF(Gifted_Include_2429="Yes",'Gifted assets'!O$27,0)</f>
        <v>0</v>
      </c>
      <c r="P30" s="21">
        <f>IF(Gifted_Include_2429="Yes",'Gifted assets'!P$27,0)</f>
        <v>0</v>
      </c>
    </row>
    <row r="31" spans="1:17" ht="11.25" customHeight="1" x14ac:dyDescent="0.3"/>
    <row r="32" spans="1:17" ht="11.25" customHeight="1" x14ac:dyDescent="0.3">
      <c r="A32" s="3">
        <f ca="1">IF(SUM($J32:$P32)&gt;0,1,0)</f>
        <v>0</v>
      </c>
      <c r="D32" s="137" t="s">
        <v>98</v>
      </c>
      <c r="E32" s="137"/>
      <c r="J32" s="3">
        <f t="shared" ref="J32" ca="1" si="8">IF(ROUND(J27-SUM(J29:J30),4)&lt;&gt;0,1,0)</f>
        <v>0</v>
      </c>
      <c r="K32" s="3">
        <f t="shared" ref="K32:P32" ca="1" si="9">IF(ROUND(K27-SUM(K29:K30),4)&lt;&gt;0,1,0)</f>
        <v>0</v>
      </c>
      <c r="L32" s="3">
        <f t="shared" ca="1" si="9"/>
        <v>0</v>
      </c>
      <c r="M32" s="3">
        <f t="shared" ca="1" si="9"/>
        <v>0</v>
      </c>
      <c r="N32" s="3">
        <f t="shared" ca="1" si="9"/>
        <v>0</v>
      </c>
      <c r="O32" s="3">
        <f t="shared" ca="1" si="9"/>
        <v>0</v>
      </c>
      <c r="P32" s="3">
        <f t="shared" ca="1" si="9"/>
        <v>0</v>
      </c>
    </row>
    <row r="34" spans="3:17" s="7" customFormat="1" ht="13.9" x14ac:dyDescent="0.45">
      <c r="C34" s="7" t="s">
        <v>300</v>
      </c>
    </row>
    <row r="36" spans="3:17" ht="26.25" x14ac:dyDescent="0.3">
      <c r="C36" s="143" t="s">
        <v>81</v>
      </c>
      <c r="D36" s="144" t="s">
        <v>89</v>
      </c>
      <c r="E36" s="144" t="s">
        <v>90</v>
      </c>
      <c r="F36" s="145" t="s">
        <v>17</v>
      </c>
      <c r="G36" s="145" t="s">
        <v>83</v>
      </c>
      <c r="H36" s="145" t="s">
        <v>84</v>
      </c>
      <c r="J36" s="10" t="str">
        <f>Lookups!I$11</f>
        <v>FY23</v>
      </c>
      <c r="K36" s="10" t="str">
        <f>Lookups!J$11</f>
        <v>FY24</v>
      </c>
      <c r="L36" s="11" t="str">
        <f>Lookups!K$11</f>
        <v>FY25</v>
      </c>
      <c r="M36" s="10" t="str">
        <f>Lookups!L$11</f>
        <v>FY26</v>
      </c>
      <c r="N36" s="10" t="str">
        <f>Lookups!M$11</f>
        <v>FY27</v>
      </c>
      <c r="O36" s="10" t="str">
        <f>Lookups!N$11</f>
        <v>FY28</v>
      </c>
      <c r="P36" s="12" t="str">
        <f>Lookups!O$11</f>
        <v>FY29</v>
      </c>
      <c r="Q36" s="10" t="str">
        <f>Lookups!Q$11</f>
        <v>Total FY25 to FY29</v>
      </c>
    </row>
    <row r="37" spans="3:17" ht="12.75" x14ac:dyDescent="0.3">
      <c r="C37" s="146">
        <f>N(C36)+1</f>
        <v>1</v>
      </c>
      <c r="D37" s="184" t="str">
        <f>'Net connection capex (SCS)'!D34</f>
        <v>RESIDENTIAL</v>
      </c>
      <c r="E37" s="184" t="str">
        <f>'Net connection capex (SCS)'!E34</f>
        <v>Simple connection LV</v>
      </c>
      <c r="F37" s="148" t="str">
        <f t="shared" ref="F37:F50" si="10">Input_Unit</f>
        <v>$Millions</v>
      </c>
      <c r="G37" s="148" t="str">
        <f t="shared" ref="G37:G50" si="11">Input_Dollar_Basis</f>
        <v>Real $2021</v>
      </c>
      <c r="H37" s="148" t="str">
        <f t="shared" ref="H37:H50" si="12">End_Period</f>
        <v>End of Period</v>
      </c>
      <c r="J37" s="171">
        <f>('Cash contributions (SCS)'!J39)/10^6
+IF('Cash contributions (SCS)'!J$54=0,0,J$30*('Cash contributions (SCS)'!J39/'Cash contributions (SCS)'!J$54))</f>
        <v>0.19393772735418535</v>
      </c>
      <c r="K37" s="169">
        <f>('Cash contributions (SCS)'!K39)/10^6
+IF('Cash contributions (SCS)'!K$54=0,0,K$30*('Cash contributions (SCS)'!K39/'Cash contributions (SCS)'!K$54))</f>
        <v>0.19360642017629071</v>
      </c>
      <c r="L37" s="170">
        <f>('Cash contributions (SCS)'!L39)/10^6
+IF('Cash contributions (SCS)'!L$54=0,0,L$30*('Cash contributions (SCS)'!L39/'Cash contributions (SCS)'!L$54))</f>
        <v>0</v>
      </c>
      <c r="M37" s="171">
        <f>('Cash contributions (SCS)'!M39)/10^6
+IF('Cash contributions (SCS)'!M$54=0,0,M$30*('Cash contributions (SCS)'!M39/'Cash contributions (SCS)'!M$54))</f>
        <v>0</v>
      </c>
      <c r="N37" s="171">
        <f>('Cash contributions (SCS)'!N39)/10^6
+IF('Cash contributions (SCS)'!N$54=0,0,N$30*('Cash contributions (SCS)'!N39/'Cash contributions (SCS)'!N$54))</f>
        <v>0</v>
      </c>
      <c r="O37" s="171">
        <f>('Cash contributions (SCS)'!O39)/10^6
+IF('Cash contributions (SCS)'!O$54=0,0,O$30*('Cash contributions (SCS)'!O39/'Cash contributions (SCS)'!O$54))</f>
        <v>0</v>
      </c>
      <c r="P37" s="172">
        <f>('Cash contributions (SCS)'!P39)/10^6
+IF('Cash contributions (SCS)'!P$54=0,0,P$30*('Cash contributions (SCS)'!P39/'Cash contributions (SCS)'!P$54))</f>
        <v>0</v>
      </c>
      <c r="Q37" s="21">
        <f t="shared" ref="Q37:Q50" si="13">SUM(L37:P37)</f>
        <v>0</v>
      </c>
    </row>
    <row r="38" spans="3:17" ht="12.75" x14ac:dyDescent="0.3">
      <c r="C38" s="146">
        <f t="shared" ref="C38:C50" si="14">N(C37)+1</f>
        <v>2</v>
      </c>
      <c r="D38" s="184"/>
      <c r="E38" s="184" t="str">
        <f>'Net connection capex (SCS)'!E35</f>
        <v>Complex connection LV</v>
      </c>
      <c r="F38" s="148" t="str">
        <f t="shared" si="10"/>
        <v>$Millions</v>
      </c>
      <c r="G38" s="148" t="str">
        <f t="shared" si="11"/>
        <v>Real $2021</v>
      </c>
      <c r="H38" s="148" t="str">
        <f t="shared" si="12"/>
        <v>End of Period</v>
      </c>
      <c r="J38" s="171">
        <f>('Cash contributions (SCS)'!J40)/10^6
+IF('Cash contributions (SCS)'!J$54=0,0,J$30*('Cash contributions (SCS)'!J40/'Cash contributions (SCS)'!J$54))</f>
        <v>7.5119877583665395E-2</v>
      </c>
      <c r="K38" s="169">
        <f>('Cash contributions (SCS)'!K40)/10^6
+IF('Cash contributions (SCS)'!K$54=0,0,K$30*('Cash contributions (SCS)'!K40/'Cash contributions (SCS)'!K$54))</f>
        <v>7.4466788046730487E-2</v>
      </c>
      <c r="L38" s="170">
        <f>('Cash contributions (SCS)'!L40)/10^6
+IF('Cash contributions (SCS)'!L$54=0,0,L$30*('Cash contributions (SCS)'!L40/'Cash contributions (SCS)'!L$54))</f>
        <v>1.5817811655120067E-2</v>
      </c>
      <c r="M38" s="171">
        <f>('Cash contributions (SCS)'!M40)/10^6
+IF('Cash contributions (SCS)'!M$54=0,0,M$30*('Cash contributions (SCS)'!M40/'Cash contributions (SCS)'!M$54))</f>
        <v>1.5859890323464017E-2</v>
      </c>
      <c r="N38" s="171">
        <f>('Cash contributions (SCS)'!N40)/10^6
+IF('Cash contributions (SCS)'!N$54=0,0,N$30*('Cash contributions (SCS)'!N40/'Cash contributions (SCS)'!N$54))</f>
        <v>1.5901968991807961E-2</v>
      </c>
      <c r="O38" s="171">
        <f>('Cash contributions (SCS)'!O40)/10^6
+IF('Cash contributions (SCS)'!O$54=0,0,O$30*('Cash contributions (SCS)'!O40/'Cash contributions (SCS)'!O$54))</f>
        <v>1.5944047660151912E-2</v>
      </c>
      <c r="P38" s="172">
        <f>('Cash contributions (SCS)'!P40)/10^6
+IF('Cash contributions (SCS)'!P$54=0,0,P$30*('Cash contributions (SCS)'!P40/'Cash contributions (SCS)'!P$54))</f>
        <v>1.5986126328495855E-2</v>
      </c>
      <c r="Q38" s="21">
        <f t="shared" si="13"/>
        <v>7.9509844959039816E-2</v>
      </c>
    </row>
    <row r="39" spans="3:17" ht="12.75" x14ac:dyDescent="0.3">
      <c r="C39" s="146">
        <f t="shared" si="14"/>
        <v>3</v>
      </c>
      <c r="D39" s="184"/>
      <c r="E39" s="184" t="str">
        <f>'Net connection capex (SCS)'!E36</f>
        <v>Complex connection HV</v>
      </c>
      <c r="F39" s="148" t="str">
        <f t="shared" si="10"/>
        <v>$Millions</v>
      </c>
      <c r="G39" s="148" t="str">
        <f t="shared" si="11"/>
        <v>Real $2021</v>
      </c>
      <c r="H39" s="148" t="str">
        <f t="shared" si="12"/>
        <v>End of Period</v>
      </c>
      <c r="J39" s="171">
        <f>('Cash contributions (SCS)'!J41)/10^6
+IF('Cash contributions (SCS)'!J$54=0,0,J$30*('Cash contributions (SCS)'!J41/'Cash contributions (SCS)'!J$54))</f>
        <v>0.24395700071773618</v>
      </c>
      <c r="K39" s="169">
        <f>('Cash contributions (SCS)'!K41)/10^6
+IF('Cash contributions (SCS)'!K$54=0,0,K$30*('Cash contributions (SCS)'!K41/'Cash contributions (SCS)'!K$54))</f>
        <v>0.24119099710957279</v>
      </c>
      <c r="L39" s="170">
        <f>('Cash contributions (SCS)'!L41)/10^6
+IF('Cash contributions (SCS)'!L$54=0,0,L$30*('Cash contributions (SCS)'!L41/'Cash contributions (SCS)'!L$54))</f>
        <v>5.1096131161547681E-2</v>
      </c>
      <c r="M39" s="171">
        <f>('Cash contributions (SCS)'!M41)/10^6
+IF('Cash contributions (SCS)'!M$54=0,0,M$30*('Cash contributions (SCS)'!M41/'Cash contributions (SCS)'!M$54))</f>
        <v>5.1096131161547681E-2</v>
      </c>
      <c r="N39" s="171">
        <f>('Cash contributions (SCS)'!N41)/10^6
+IF('Cash contributions (SCS)'!N$54=0,0,N$30*('Cash contributions (SCS)'!N41/'Cash contributions (SCS)'!N$54))</f>
        <v>5.1096131161547681E-2</v>
      </c>
      <c r="O39" s="171">
        <f>('Cash contributions (SCS)'!O41)/10^6
+IF('Cash contributions (SCS)'!O$54=0,0,O$30*('Cash contributions (SCS)'!O41/'Cash contributions (SCS)'!O$54))</f>
        <v>5.1096131161547681E-2</v>
      </c>
      <c r="P39" s="172">
        <f>('Cash contributions (SCS)'!P41)/10^6
+IF('Cash contributions (SCS)'!P$54=0,0,P$30*('Cash contributions (SCS)'!P41/'Cash contributions (SCS)'!P$54))</f>
        <v>5.1096131161547681E-2</v>
      </c>
      <c r="Q39" s="21">
        <f t="shared" si="13"/>
        <v>0.25548065580773838</v>
      </c>
    </row>
    <row r="40" spans="3:17" ht="12.75" x14ac:dyDescent="0.3">
      <c r="C40" s="146">
        <f t="shared" si="14"/>
        <v>4</v>
      </c>
      <c r="D40" s="184" t="str">
        <f>'Net connection capex (SCS)'!D37</f>
        <v>COMMERCIAL/INDUSTRIAL</v>
      </c>
      <c r="E40" s="184" t="str">
        <f>'Net connection capex (SCS)'!E37</f>
        <v>Simple connection LV</v>
      </c>
      <c r="F40" s="148" t="str">
        <f t="shared" si="10"/>
        <v>$Millions</v>
      </c>
      <c r="G40" s="148" t="str">
        <f t="shared" si="11"/>
        <v>Real $2021</v>
      </c>
      <c r="H40" s="148" t="str">
        <f t="shared" si="12"/>
        <v>End of Period</v>
      </c>
      <c r="J40" s="171">
        <f>('Cash contributions (SCS)'!J42)/10^6
+IF('Cash contributions (SCS)'!J$54=0,0,J$30*('Cash contributions (SCS)'!J42/'Cash contributions (SCS)'!J$54))</f>
        <v>9.4346820144851601E-2</v>
      </c>
      <c r="K40" s="169">
        <f>('Cash contributions (SCS)'!K42)/10^6
+IF('Cash contributions (SCS)'!K$54=0,0,K$30*('Cash contributions (SCS)'!K42/'Cash contributions (SCS)'!K$54))</f>
        <v>9.6018809494870155E-2</v>
      </c>
      <c r="L40" s="170">
        <f>('Cash contributions (SCS)'!L42)/10^6
+IF('Cash contributions (SCS)'!L$54=0,0,L$30*('Cash contributions (SCS)'!L42/'Cash contributions (SCS)'!L$54))</f>
        <v>2.0937546130160401E-2</v>
      </c>
      <c r="M40" s="171">
        <f>('Cash contributions (SCS)'!M42)/10^6
+IF('Cash contributions (SCS)'!M$54=0,0,M$30*('Cash contributions (SCS)'!M42/'Cash contributions (SCS)'!M$54))</f>
        <v>2.1549191476546721E-2</v>
      </c>
      <c r="N40" s="171">
        <f>('Cash contributions (SCS)'!N42)/10^6
+IF('Cash contributions (SCS)'!N$54=0,0,N$30*('Cash contributions (SCS)'!N42/'Cash contributions (SCS)'!N$54))</f>
        <v>2.2176864908292685E-2</v>
      </c>
      <c r="O40" s="171">
        <f>('Cash contributions (SCS)'!O42)/10^6
+IF('Cash contributions (SCS)'!O$54=0,0,O$30*('Cash contributions (SCS)'!O42/'Cash contributions (SCS)'!O$54))</f>
        <v>2.2820994064237085E-2</v>
      </c>
      <c r="P40" s="172">
        <f>('Cash contributions (SCS)'!P42)/10^6
+IF('Cash contributions (SCS)'!P$54=0,0,P$30*('Cash contributions (SCS)'!P42/'Cash contributions (SCS)'!P$54))</f>
        <v>2.348201816763713E-2</v>
      </c>
      <c r="Q40" s="21">
        <f t="shared" si="13"/>
        <v>0.11096661474687403</v>
      </c>
    </row>
    <row r="41" spans="3:17" ht="12.75" x14ac:dyDescent="0.3">
      <c r="C41" s="146">
        <f t="shared" si="14"/>
        <v>5</v>
      </c>
      <c r="D41" s="184"/>
      <c r="E41" s="184" t="str">
        <f>'Net connection capex (SCS)'!E38</f>
        <v>Complex connection HV (customer connected at LV, minor HV works)</v>
      </c>
      <c r="F41" s="148" t="str">
        <f t="shared" si="10"/>
        <v>$Millions</v>
      </c>
      <c r="G41" s="148" t="str">
        <f t="shared" si="11"/>
        <v>Real $2021</v>
      </c>
      <c r="H41" s="148" t="str">
        <f t="shared" si="12"/>
        <v>End of Period</v>
      </c>
      <c r="J41" s="171">
        <f>('Cash contributions (SCS)'!J43)/10^6
+IF('Cash contributions (SCS)'!J$54=0,0,J$30*('Cash contributions (SCS)'!J43/'Cash contributions (SCS)'!J$54))</f>
        <v>1.1677031196739784</v>
      </c>
      <c r="K41" s="169">
        <f>('Cash contributions (SCS)'!K43)/10^6
+IF('Cash contributions (SCS)'!K$54=0,0,K$30*('Cash contributions (SCS)'!K43/'Cash contributions (SCS)'!K$54))</f>
        <v>1.1174900239707242</v>
      </c>
      <c r="L41" s="170">
        <f>('Cash contributions (SCS)'!L43)/10^6
+IF('Cash contributions (SCS)'!L$54=0,0,L$30*('Cash contributions (SCS)'!L43/'Cash contributions (SCS)'!L$54))</f>
        <v>0</v>
      </c>
      <c r="M41" s="171">
        <f>('Cash contributions (SCS)'!M43)/10^6
+IF('Cash contributions (SCS)'!M$54=0,0,M$30*('Cash contributions (SCS)'!M43/'Cash contributions (SCS)'!M$54))</f>
        <v>0</v>
      </c>
      <c r="N41" s="171">
        <f>('Cash contributions (SCS)'!N43)/10^6
+IF('Cash contributions (SCS)'!N$54=0,0,N$30*('Cash contributions (SCS)'!N43/'Cash contributions (SCS)'!N$54))</f>
        <v>0</v>
      </c>
      <c r="O41" s="171">
        <f>('Cash contributions (SCS)'!O43)/10^6
+IF('Cash contributions (SCS)'!O$54=0,0,O$30*('Cash contributions (SCS)'!O43/'Cash contributions (SCS)'!O$54))</f>
        <v>0</v>
      </c>
      <c r="P41" s="172">
        <f>('Cash contributions (SCS)'!P43)/10^6
+IF('Cash contributions (SCS)'!P$54=0,0,P$30*('Cash contributions (SCS)'!P43/'Cash contributions (SCS)'!P$54))</f>
        <v>0</v>
      </c>
      <c r="Q41" s="21">
        <f t="shared" si="13"/>
        <v>0</v>
      </c>
    </row>
    <row r="42" spans="3:17" ht="12.75" x14ac:dyDescent="0.3">
      <c r="C42" s="146">
        <f t="shared" si="14"/>
        <v>6</v>
      </c>
      <c r="D42" s="184"/>
      <c r="E42" s="184" t="str">
        <f>'Net connection capex (SCS)'!E39</f>
        <v>Complex connection HV (customer connected at LV, upstream asset works)</v>
      </c>
      <c r="F42" s="148" t="str">
        <f t="shared" si="10"/>
        <v>$Millions</v>
      </c>
      <c r="G42" s="148" t="str">
        <f t="shared" si="11"/>
        <v>Real $2021</v>
      </c>
      <c r="H42" s="148" t="str">
        <f t="shared" si="12"/>
        <v>End of Period</v>
      </c>
      <c r="J42" s="171">
        <f>('Cash contributions (SCS)'!J44)/10^6
+IF('Cash contributions (SCS)'!J$54=0,0,J$30*('Cash contributions (SCS)'!J44/'Cash contributions (SCS)'!J$54))</f>
        <v>0.24417046756911781</v>
      </c>
      <c r="K42" s="169">
        <f>('Cash contributions (SCS)'!K44)/10^6
+IF('Cash contributions (SCS)'!K$54=0,0,K$30*('Cash contributions (SCS)'!K44/'Cash contributions (SCS)'!K$54))</f>
        <v>0.24074568363475859</v>
      </c>
      <c r="L42" s="170">
        <f>('Cash contributions (SCS)'!L44)/10^6
+IF('Cash contributions (SCS)'!L$54=0,0,L$30*('Cash contributions (SCS)'!L44/'Cash contributions (SCS)'!L$54))</f>
        <v>0</v>
      </c>
      <c r="M42" s="171">
        <f>('Cash contributions (SCS)'!M44)/10^6
+IF('Cash contributions (SCS)'!M$54=0,0,M$30*('Cash contributions (SCS)'!M44/'Cash contributions (SCS)'!M$54))</f>
        <v>0</v>
      </c>
      <c r="N42" s="171">
        <f>('Cash contributions (SCS)'!N44)/10^6
+IF('Cash contributions (SCS)'!N$54=0,0,N$30*('Cash contributions (SCS)'!N44/'Cash contributions (SCS)'!N$54))</f>
        <v>0</v>
      </c>
      <c r="O42" s="171">
        <f>('Cash contributions (SCS)'!O44)/10^6
+IF('Cash contributions (SCS)'!O$54=0,0,O$30*('Cash contributions (SCS)'!O44/'Cash contributions (SCS)'!O$54))</f>
        <v>0</v>
      </c>
      <c r="P42" s="172">
        <f>('Cash contributions (SCS)'!P44)/10^6
+IF('Cash contributions (SCS)'!P$54=0,0,P$30*('Cash contributions (SCS)'!P44/'Cash contributions (SCS)'!P$54))</f>
        <v>0</v>
      </c>
      <c r="Q42" s="21">
        <f t="shared" si="13"/>
        <v>0</v>
      </c>
    </row>
    <row r="43" spans="3:17" ht="12.75" x14ac:dyDescent="0.3">
      <c r="C43" s="146">
        <f t="shared" si="14"/>
        <v>7</v>
      </c>
      <c r="D43" s="184"/>
      <c r="E43" s="184" t="str">
        <f>'Net connection capex (SCS)'!E40</f>
        <v>Complex connection HV (customer connected at HV)</v>
      </c>
      <c r="F43" s="148" t="str">
        <f t="shared" si="10"/>
        <v>$Millions</v>
      </c>
      <c r="G43" s="148" t="str">
        <f t="shared" si="11"/>
        <v>Real $2021</v>
      </c>
      <c r="H43" s="148" t="str">
        <f t="shared" si="12"/>
        <v>End of Period</v>
      </c>
      <c r="J43" s="171">
        <f>('Cash contributions (SCS)'!J45)/10^6
+IF('Cash contributions (SCS)'!J$54=0,0,J$30*('Cash contributions (SCS)'!J45/'Cash contributions (SCS)'!J$54))</f>
        <v>0.52581676112140951</v>
      </c>
      <c r="K43" s="169">
        <f>('Cash contributions (SCS)'!K45)/10^6
+IF('Cash contributions (SCS)'!K$54=0,0,K$30*('Cash contributions (SCS)'!K45/'Cash contributions (SCS)'!K$54))</f>
        <v>0.59747071996295809</v>
      </c>
      <c r="L43" s="170">
        <f>('Cash contributions (SCS)'!L45)/10^6
+IF('Cash contributions (SCS)'!L$54=0,0,L$30*('Cash contributions (SCS)'!L45/'Cash contributions (SCS)'!L$54))</f>
        <v>0</v>
      </c>
      <c r="M43" s="171">
        <f>('Cash contributions (SCS)'!M45)/10^6
+IF('Cash contributions (SCS)'!M$54=0,0,M$30*('Cash contributions (SCS)'!M45/'Cash contributions (SCS)'!M$54))</f>
        <v>0</v>
      </c>
      <c r="N43" s="171">
        <f>('Cash contributions (SCS)'!N45)/10^6
+IF('Cash contributions (SCS)'!N$54=0,0,N$30*('Cash contributions (SCS)'!N45/'Cash contributions (SCS)'!N$54))</f>
        <v>0</v>
      </c>
      <c r="O43" s="171">
        <f>('Cash contributions (SCS)'!O45)/10^6
+IF('Cash contributions (SCS)'!O$54=0,0,O$30*('Cash contributions (SCS)'!O45/'Cash contributions (SCS)'!O$54))</f>
        <v>0</v>
      </c>
      <c r="P43" s="172">
        <f>('Cash contributions (SCS)'!P45)/10^6
+IF('Cash contributions (SCS)'!P$54=0,0,P$30*('Cash contributions (SCS)'!P45/'Cash contributions (SCS)'!P$54))</f>
        <v>0</v>
      </c>
      <c r="Q43" s="21">
        <f t="shared" si="13"/>
        <v>0</v>
      </c>
    </row>
    <row r="44" spans="3:17" ht="12.75" x14ac:dyDescent="0.3">
      <c r="C44" s="146">
        <f t="shared" si="14"/>
        <v>8</v>
      </c>
      <c r="D44" s="184"/>
      <c r="E44" s="184" t="str">
        <f>'Net connection capex (SCS)'!E41</f>
        <v>Complex connection sub-transmission</v>
      </c>
      <c r="F44" s="148" t="str">
        <f t="shared" si="10"/>
        <v>$Millions</v>
      </c>
      <c r="G44" s="148" t="str">
        <f t="shared" si="11"/>
        <v>Real $2021</v>
      </c>
      <c r="H44" s="148" t="str">
        <f t="shared" si="12"/>
        <v>End of Period</v>
      </c>
      <c r="J44" s="171">
        <f>('Cash contributions (SCS)'!J46)/10^6
+IF('Cash contributions (SCS)'!J$54=0,0,J$30*('Cash contributions (SCS)'!J46/'Cash contributions (SCS)'!J$54))</f>
        <v>0</v>
      </c>
      <c r="K44" s="169">
        <f>('Cash contributions (SCS)'!K46)/10^6
+IF('Cash contributions (SCS)'!K$54=0,0,K$30*('Cash contributions (SCS)'!K46/'Cash contributions (SCS)'!K$54))</f>
        <v>0</v>
      </c>
      <c r="L44" s="170">
        <f>('Cash contributions (SCS)'!L46)/10^6
+IF('Cash contributions (SCS)'!L$54=0,0,L$30*('Cash contributions (SCS)'!L46/'Cash contributions (SCS)'!L$54))</f>
        <v>0</v>
      </c>
      <c r="M44" s="171">
        <f>('Cash contributions (SCS)'!M46)/10^6
+IF('Cash contributions (SCS)'!M$54=0,0,M$30*('Cash contributions (SCS)'!M46/'Cash contributions (SCS)'!M$54))</f>
        <v>0</v>
      </c>
      <c r="N44" s="171">
        <f>('Cash contributions (SCS)'!N46)/10^6
+IF('Cash contributions (SCS)'!N$54=0,0,N$30*('Cash contributions (SCS)'!N46/'Cash contributions (SCS)'!N$54))</f>
        <v>0</v>
      </c>
      <c r="O44" s="171">
        <f>('Cash contributions (SCS)'!O46)/10^6
+IF('Cash contributions (SCS)'!O$54=0,0,O$30*('Cash contributions (SCS)'!O46/'Cash contributions (SCS)'!O$54))</f>
        <v>0</v>
      </c>
      <c r="P44" s="172">
        <f>('Cash contributions (SCS)'!P46)/10^6
+IF('Cash contributions (SCS)'!P$54=0,0,P$30*('Cash contributions (SCS)'!P46/'Cash contributions (SCS)'!P$54))</f>
        <v>0</v>
      </c>
      <c r="Q44" s="21">
        <f t="shared" si="13"/>
        <v>0</v>
      </c>
    </row>
    <row r="45" spans="3:17" ht="12.75" x14ac:dyDescent="0.3">
      <c r="C45" s="146">
        <f t="shared" si="14"/>
        <v>9</v>
      </c>
      <c r="D45" s="184" t="str">
        <f>'Net connection capex (SCS)'!D42</f>
        <v>SUBDIVISION</v>
      </c>
      <c r="E45" s="184" t="str">
        <f>'Net connection capex (SCS)'!E42</f>
        <v>Complex connection LV</v>
      </c>
      <c r="F45" s="148" t="str">
        <f t="shared" si="10"/>
        <v>$Millions</v>
      </c>
      <c r="G45" s="148" t="str">
        <f t="shared" si="11"/>
        <v>Real $2021</v>
      </c>
      <c r="H45" s="148" t="str">
        <f t="shared" si="12"/>
        <v>End of Period</v>
      </c>
      <c r="J45" s="171">
        <f>('Cash contributions (SCS)'!J47)/10^6
+IF('Cash contributions (SCS)'!J$54=0,0,J$30*('Cash contributions (SCS)'!J47/'Cash contributions (SCS)'!J$54))</f>
        <v>0.33122553284475892</v>
      </c>
      <c r="K45" s="169">
        <f>('Cash contributions (SCS)'!K47)/10^6
+IF('Cash contributions (SCS)'!K$54=0,0,K$30*('Cash contributions (SCS)'!K47/'Cash contributions (SCS)'!K$54))</f>
        <v>0.32747007177469728</v>
      </c>
      <c r="L45" s="170">
        <f>('Cash contributions (SCS)'!L47)/10^6
+IF('Cash contributions (SCS)'!L$54=0,0,L$30*('Cash contributions (SCS)'!L47/'Cash contributions (SCS)'!L$54))</f>
        <v>6.9374288175772306E-2</v>
      </c>
      <c r="M45" s="171">
        <f>('Cash contributions (SCS)'!M47)/10^6
+IF('Cash contributions (SCS)'!M$54=0,0,M$30*('Cash contributions (SCS)'!M47/'Cash contributions (SCS)'!M$54))</f>
        <v>6.9374288175772306E-2</v>
      </c>
      <c r="N45" s="171">
        <f>('Cash contributions (SCS)'!N47)/10^6
+IF('Cash contributions (SCS)'!N$54=0,0,N$30*('Cash contributions (SCS)'!N47/'Cash contributions (SCS)'!N$54))</f>
        <v>6.9374288175772306E-2</v>
      </c>
      <c r="O45" s="171">
        <f>('Cash contributions (SCS)'!O47)/10^6
+IF('Cash contributions (SCS)'!O$54=0,0,O$30*('Cash contributions (SCS)'!O47/'Cash contributions (SCS)'!O$54))</f>
        <v>6.9374288175772306E-2</v>
      </c>
      <c r="P45" s="172">
        <f>('Cash contributions (SCS)'!P47)/10^6
+IF('Cash contributions (SCS)'!P$54=0,0,P$30*('Cash contributions (SCS)'!P47/'Cash contributions (SCS)'!P$54))</f>
        <v>6.9374288175772306E-2</v>
      </c>
      <c r="Q45" s="21">
        <f t="shared" si="13"/>
        <v>0.34687144087886151</v>
      </c>
    </row>
    <row r="46" spans="3:17" ht="12.75" x14ac:dyDescent="0.3">
      <c r="C46" s="146">
        <f t="shared" si="14"/>
        <v>10</v>
      </c>
      <c r="D46" s="184"/>
      <c r="E46" s="184" t="str">
        <f>'Net connection capex (SCS)'!E43</f>
        <v>Complex connection HV (no upstream asset works)</v>
      </c>
      <c r="F46" s="148" t="str">
        <f t="shared" si="10"/>
        <v>$Millions</v>
      </c>
      <c r="G46" s="148" t="str">
        <f t="shared" si="11"/>
        <v>Real $2021</v>
      </c>
      <c r="H46" s="148" t="str">
        <f t="shared" si="12"/>
        <v>End of Period</v>
      </c>
      <c r="J46" s="171">
        <f>('Cash contributions (SCS)'!J48)/10^6
+IF('Cash contributions (SCS)'!J$54=0,0,J$30*('Cash contributions (SCS)'!J48/'Cash contributions (SCS)'!J$54))</f>
        <v>0.12238932365175373</v>
      </c>
      <c r="K46" s="169">
        <f>('Cash contributions (SCS)'!K48)/10^6
+IF('Cash contributions (SCS)'!K$54=0,0,K$30*('Cash contributions (SCS)'!K48/'Cash contributions (SCS)'!K$54))</f>
        <v>0.12100166390095561</v>
      </c>
      <c r="L46" s="170">
        <f>('Cash contributions (SCS)'!L48)/10^6
+IF('Cash contributions (SCS)'!L$54=0,0,L$30*('Cash contributions (SCS)'!L48/'Cash contributions (SCS)'!L$54))</f>
        <v>0</v>
      </c>
      <c r="M46" s="171">
        <f>('Cash contributions (SCS)'!M48)/10^6
+IF('Cash contributions (SCS)'!M$54=0,0,M$30*('Cash contributions (SCS)'!M48/'Cash contributions (SCS)'!M$54))</f>
        <v>0</v>
      </c>
      <c r="N46" s="171">
        <f>('Cash contributions (SCS)'!N48)/10^6
+IF('Cash contributions (SCS)'!N$54=0,0,N$30*('Cash contributions (SCS)'!N48/'Cash contributions (SCS)'!N$54))</f>
        <v>0</v>
      </c>
      <c r="O46" s="171">
        <f>('Cash contributions (SCS)'!O48)/10^6
+IF('Cash contributions (SCS)'!O$54=0,0,O$30*('Cash contributions (SCS)'!O48/'Cash contributions (SCS)'!O$54))</f>
        <v>0</v>
      </c>
      <c r="P46" s="172">
        <f>('Cash contributions (SCS)'!P48)/10^6
+IF('Cash contributions (SCS)'!P$54=0,0,P$30*('Cash contributions (SCS)'!P48/'Cash contributions (SCS)'!P$54))</f>
        <v>0</v>
      </c>
      <c r="Q46" s="21">
        <f t="shared" si="13"/>
        <v>0</v>
      </c>
    </row>
    <row r="47" spans="3:17" ht="12.75" x14ac:dyDescent="0.3">
      <c r="C47" s="146">
        <f t="shared" si="14"/>
        <v>11</v>
      </c>
      <c r="D47" s="184"/>
      <c r="E47" s="184" t="str">
        <f>'Net connection capex (SCS)'!E44</f>
        <v>Complex connection HV (with upstream asset works)</v>
      </c>
      <c r="F47" s="148" t="str">
        <f t="shared" si="10"/>
        <v>$Millions</v>
      </c>
      <c r="G47" s="148" t="str">
        <f t="shared" si="11"/>
        <v>Real $2021</v>
      </c>
      <c r="H47" s="148" t="str">
        <f t="shared" si="12"/>
        <v>End of Period</v>
      </c>
      <c r="J47" s="171">
        <f>('Cash contributions (SCS)'!J49)/10^6
+IF('Cash contributions (SCS)'!J$54=0,0,J$30*('Cash contributions (SCS)'!J49/'Cash contributions (SCS)'!J$54))</f>
        <v>0.1151026815914838</v>
      </c>
      <c r="K47" s="169">
        <f>('Cash contributions (SCS)'!K49)/10^6
+IF('Cash contributions (SCS)'!K$54=0,0,K$30*('Cash contributions (SCS)'!K49/'Cash contributions (SCS)'!K$54))</f>
        <v>0.11379763835987065</v>
      </c>
      <c r="L47" s="170">
        <f>('Cash contributions (SCS)'!L49)/10^6
+IF('Cash contributions (SCS)'!L$54=0,0,L$30*('Cash contributions (SCS)'!L49/'Cash contributions (SCS)'!L$54))</f>
        <v>0</v>
      </c>
      <c r="M47" s="171">
        <f>('Cash contributions (SCS)'!M49)/10^6
+IF('Cash contributions (SCS)'!M$54=0,0,M$30*('Cash contributions (SCS)'!M49/'Cash contributions (SCS)'!M$54))</f>
        <v>0</v>
      </c>
      <c r="N47" s="171">
        <f>('Cash contributions (SCS)'!N49)/10^6
+IF('Cash contributions (SCS)'!N$54=0,0,N$30*('Cash contributions (SCS)'!N49/'Cash contributions (SCS)'!N$54))</f>
        <v>0</v>
      </c>
      <c r="O47" s="171">
        <f>('Cash contributions (SCS)'!O49)/10^6
+IF('Cash contributions (SCS)'!O$54=0,0,O$30*('Cash contributions (SCS)'!O49/'Cash contributions (SCS)'!O$54))</f>
        <v>0</v>
      </c>
      <c r="P47" s="172">
        <f>('Cash contributions (SCS)'!P49)/10^6
+IF('Cash contributions (SCS)'!P$54=0,0,P$30*('Cash contributions (SCS)'!P49/'Cash contributions (SCS)'!P$54))</f>
        <v>0</v>
      </c>
      <c r="Q47" s="21">
        <f t="shared" si="13"/>
        <v>0</v>
      </c>
    </row>
    <row r="48" spans="3:17" ht="12.75" x14ac:dyDescent="0.3">
      <c r="C48" s="146">
        <f t="shared" si="14"/>
        <v>12</v>
      </c>
      <c r="D48" s="184" t="str">
        <f>'Net connection capex (SCS)'!D45</f>
        <v>EMBEDDED GENERATION</v>
      </c>
      <c r="E48" s="184" t="str">
        <f>'Net connection capex (SCS)'!E45</f>
        <v>Simple connection LV</v>
      </c>
      <c r="F48" s="148" t="str">
        <f t="shared" si="10"/>
        <v>$Millions</v>
      </c>
      <c r="G48" s="148" t="str">
        <f t="shared" si="11"/>
        <v>Real $2021</v>
      </c>
      <c r="H48" s="148" t="str">
        <f t="shared" si="12"/>
        <v>End of Period</v>
      </c>
      <c r="J48" s="171">
        <f>('Cash contributions (SCS)'!J50)/10^6
+IF('Cash contributions (SCS)'!J$54=0,0,J$30*('Cash contributions (SCS)'!J50/'Cash contributions (SCS)'!J$54))</f>
        <v>0</v>
      </c>
      <c r="K48" s="169">
        <f>('Cash contributions (SCS)'!K50)/10^6
+IF('Cash contributions (SCS)'!K$54=0,0,K$30*('Cash contributions (SCS)'!K50/'Cash contributions (SCS)'!K$54))</f>
        <v>0</v>
      </c>
      <c r="L48" s="170">
        <f>('Cash contributions (SCS)'!L50)/10^6
+IF('Cash contributions (SCS)'!L$54=0,0,L$30*('Cash contributions (SCS)'!L50/'Cash contributions (SCS)'!L$54))</f>
        <v>0</v>
      </c>
      <c r="M48" s="171">
        <f>('Cash contributions (SCS)'!M50)/10^6
+IF('Cash contributions (SCS)'!M$54=0,0,M$30*('Cash contributions (SCS)'!M50/'Cash contributions (SCS)'!M$54))</f>
        <v>0</v>
      </c>
      <c r="N48" s="171">
        <f>('Cash contributions (SCS)'!N50)/10^6
+IF('Cash contributions (SCS)'!N$54=0,0,N$30*('Cash contributions (SCS)'!N50/'Cash contributions (SCS)'!N$54))</f>
        <v>0</v>
      </c>
      <c r="O48" s="171">
        <f>('Cash contributions (SCS)'!O50)/10^6
+IF('Cash contributions (SCS)'!O$54=0,0,O$30*('Cash contributions (SCS)'!O50/'Cash contributions (SCS)'!O$54))</f>
        <v>0</v>
      </c>
      <c r="P48" s="172">
        <f>('Cash contributions (SCS)'!P50)/10^6
+IF('Cash contributions (SCS)'!P$54=0,0,P$30*('Cash contributions (SCS)'!P50/'Cash contributions (SCS)'!P$54))</f>
        <v>0</v>
      </c>
      <c r="Q48" s="21">
        <f t="shared" si="13"/>
        <v>0</v>
      </c>
    </row>
    <row r="49" spans="1:17" ht="12.75" x14ac:dyDescent="0.3">
      <c r="C49" s="146">
        <f t="shared" si="14"/>
        <v>13</v>
      </c>
      <c r="D49" s="184"/>
      <c r="E49" s="184" t="str">
        <f>'Net connection capex (SCS)'!E46</f>
        <v>Complex connection HV (small capacity)</v>
      </c>
      <c r="F49" s="148" t="str">
        <f t="shared" si="10"/>
        <v>$Millions</v>
      </c>
      <c r="G49" s="148" t="str">
        <f t="shared" si="11"/>
        <v>Real $2021</v>
      </c>
      <c r="H49" s="148" t="str">
        <f t="shared" si="12"/>
        <v>End of Period</v>
      </c>
      <c r="J49" s="171">
        <f>('Cash contributions (SCS)'!J51)/10^6
+IF('Cash contributions (SCS)'!J$54=0,0,J$30*('Cash contributions (SCS)'!J51/'Cash contributions (SCS)'!J$54))</f>
        <v>0</v>
      </c>
      <c r="K49" s="169">
        <f>('Cash contributions (SCS)'!K51)/10^6
+IF('Cash contributions (SCS)'!K$54=0,0,K$30*('Cash contributions (SCS)'!K51/'Cash contributions (SCS)'!K$54))</f>
        <v>0</v>
      </c>
      <c r="L49" s="170">
        <f>('Cash contributions (SCS)'!L51)/10^6
+IF('Cash contributions (SCS)'!L$54=0,0,L$30*('Cash contributions (SCS)'!L51/'Cash contributions (SCS)'!L$54))</f>
        <v>0</v>
      </c>
      <c r="M49" s="171">
        <f>('Cash contributions (SCS)'!M51)/10^6
+IF('Cash contributions (SCS)'!M$54=0,0,M$30*('Cash contributions (SCS)'!M51/'Cash contributions (SCS)'!M$54))</f>
        <v>0</v>
      </c>
      <c r="N49" s="171">
        <f>('Cash contributions (SCS)'!N51)/10^6
+IF('Cash contributions (SCS)'!N$54=0,0,N$30*('Cash contributions (SCS)'!N51/'Cash contributions (SCS)'!N$54))</f>
        <v>0</v>
      </c>
      <c r="O49" s="171">
        <f>('Cash contributions (SCS)'!O51)/10^6
+IF('Cash contributions (SCS)'!O$54=0,0,O$30*('Cash contributions (SCS)'!O51/'Cash contributions (SCS)'!O$54))</f>
        <v>0</v>
      </c>
      <c r="P49" s="172">
        <f>('Cash contributions (SCS)'!P51)/10^6
+IF('Cash contributions (SCS)'!P$54=0,0,P$30*('Cash contributions (SCS)'!P51/'Cash contributions (SCS)'!P$54))</f>
        <v>0</v>
      </c>
      <c r="Q49" s="21">
        <f t="shared" si="13"/>
        <v>0</v>
      </c>
    </row>
    <row r="50" spans="1:17" ht="12.75" x14ac:dyDescent="0.3">
      <c r="C50" s="146">
        <f t="shared" si="14"/>
        <v>14</v>
      </c>
      <c r="D50" s="184"/>
      <c r="E50" s="184" t="str">
        <f>'Net connection capex (SCS)'!E47</f>
        <v>Complex connection HV (large capacity)</v>
      </c>
      <c r="F50" s="148" t="str">
        <f t="shared" si="10"/>
        <v>$Millions</v>
      </c>
      <c r="G50" s="148" t="str">
        <f t="shared" si="11"/>
        <v>Real $2021</v>
      </c>
      <c r="H50" s="148" t="str">
        <f t="shared" si="12"/>
        <v>End of Period</v>
      </c>
      <c r="J50" s="171">
        <f>('Cash contributions (SCS)'!J52)/10^6
+IF('Cash contributions (SCS)'!J$54=0,0,J$30*('Cash contributions (SCS)'!J52/'Cash contributions (SCS)'!J$54))</f>
        <v>0</v>
      </c>
      <c r="K50" s="169">
        <f>('Cash contributions (SCS)'!K52)/10^6
+IF('Cash contributions (SCS)'!K$54=0,0,K$30*('Cash contributions (SCS)'!K52/'Cash contributions (SCS)'!K$54))</f>
        <v>0</v>
      </c>
      <c r="L50" s="170">
        <f>('Cash contributions (SCS)'!L52)/10^6
+IF('Cash contributions (SCS)'!L$54=0,0,L$30*('Cash contributions (SCS)'!L52/'Cash contributions (SCS)'!L$54))</f>
        <v>0</v>
      </c>
      <c r="M50" s="171">
        <f>('Cash contributions (SCS)'!M52)/10^6
+IF('Cash contributions (SCS)'!M$54=0,0,M$30*('Cash contributions (SCS)'!M52/'Cash contributions (SCS)'!M$54))</f>
        <v>0</v>
      </c>
      <c r="N50" s="171">
        <f>('Cash contributions (SCS)'!N52)/10^6
+IF('Cash contributions (SCS)'!N$54=0,0,N$30*('Cash contributions (SCS)'!N52/'Cash contributions (SCS)'!N$54))</f>
        <v>0</v>
      </c>
      <c r="O50" s="171">
        <f>('Cash contributions (SCS)'!O52)/10^6
+IF('Cash contributions (SCS)'!O$54=0,0,O$30*('Cash contributions (SCS)'!O52/'Cash contributions (SCS)'!O$54))</f>
        <v>0</v>
      </c>
      <c r="P50" s="172">
        <f>('Cash contributions (SCS)'!P52)/10^6
+IF('Cash contributions (SCS)'!P$54=0,0,P$30*('Cash contributions (SCS)'!P52/'Cash contributions (SCS)'!P$54))</f>
        <v>0</v>
      </c>
      <c r="Q50" s="21">
        <f t="shared" si="13"/>
        <v>0</v>
      </c>
    </row>
    <row r="52" spans="1:17" ht="13.15" x14ac:dyDescent="0.3">
      <c r="D52" s="136" t="s">
        <v>150</v>
      </c>
      <c r="E52" s="17" t="s">
        <v>157</v>
      </c>
      <c r="F52" s="17" t="str">
        <f>Input_Unit</f>
        <v>$Millions</v>
      </c>
      <c r="G52" s="17" t="str">
        <f>Input_Dollar_Basis</f>
        <v>Real $2021</v>
      </c>
      <c r="H52" s="17" t="str">
        <f>End_Period</f>
        <v>End of Period</v>
      </c>
      <c r="J52" s="18">
        <f t="shared" ref="J52:Q52" si="15">SUM(J37:J50)</f>
        <v>3.1137693122529413</v>
      </c>
      <c r="K52" s="18">
        <f t="shared" si="15"/>
        <v>3.1232588164314286</v>
      </c>
      <c r="L52" s="19">
        <f t="shared" si="15"/>
        <v>0.15722577712260044</v>
      </c>
      <c r="M52" s="18">
        <f t="shared" si="15"/>
        <v>0.15787950113733074</v>
      </c>
      <c r="N52" s="18">
        <f t="shared" si="15"/>
        <v>0.15854925323742064</v>
      </c>
      <c r="O52" s="18">
        <f t="shared" si="15"/>
        <v>0.15923546106170899</v>
      </c>
      <c r="P52" s="20">
        <f t="shared" si="15"/>
        <v>0.15993856383345298</v>
      </c>
      <c r="Q52" s="18">
        <f t="shared" si="15"/>
        <v>0.79282855639251371</v>
      </c>
    </row>
    <row r="54" spans="1:17" ht="11.25" customHeight="1" x14ac:dyDescent="0.3">
      <c r="A54" s="3">
        <f ca="1">IF(SUM($I54:$P54)&gt;0,1,0)</f>
        <v>0</v>
      </c>
      <c r="D54" s="137" t="s">
        <v>98</v>
      </c>
      <c r="E54" s="137"/>
      <c r="J54" s="3">
        <f t="shared" ref="J54:P54" ca="1" si="16">IF(ROUND(J52-J27,4)&lt;&gt;0,1,0)</f>
        <v>0</v>
      </c>
      <c r="K54" s="3">
        <f t="shared" ca="1" si="16"/>
        <v>0</v>
      </c>
      <c r="L54" s="3">
        <f t="shared" ca="1" si="16"/>
        <v>0</v>
      </c>
      <c r="M54" s="3">
        <f t="shared" ca="1" si="16"/>
        <v>0</v>
      </c>
      <c r="N54" s="3">
        <f t="shared" ca="1" si="16"/>
        <v>0</v>
      </c>
      <c r="O54" s="3">
        <f t="shared" ca="1" si="16"/>
        <v>0</v>
      </c>
      <c r="P54" s="3">
        <f t="shared" ca="1" si="16"/>
        <v>0</v>
      </c>
    </row>
    <row r="56" spans="1:17" s="6" customFormat="1" ht="15" x14ac:dyDescent="0.45">
      <c r="B56" s="6" t="s">
        <v>93</v>
      </c>
    </row>
  </sheetData>
  <autoFilter ref="C7:P25" xr:uid="{00000000-0009-0000-0000-000001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A6D0-B3E6-42AA-A57E-5176699B93BC}">
  <sheetPr codeName="Sheet4"/>
  <dimension ref="A1:W57"/>
  <sheetViews>
    <sheetView showGridLines="0" zoomScaleNormal="100" workbookViewId="0">
      <pane xSplit="4" ySplit="2" topLeftCell="E3" activePane="bottomRight" state="frozen"/>
      <selection activeCell="I5" sqref="I5"/>
      <selection pane="topRight" activeCell="I5" sqref="I5"/>
      <selection pane="bottomLeft" activeCell="I5" sqref="I5"/>
      <selection pane="bottomRight" activeCell="E3" sqref="E3"/>
    </sheetView>
  </sheetViews>
  <sheetFormatPr defaultColWidth="7.3984375" defaultRowHeight="10.15" x14ac:dyDescent="0.3"/>
  <cols>
    <col min="1" max="1" width="2.6640625" style="5" customWidth="1"/>
    <col min="2" max="2" width="2.265625" style="5" customWidth="1"/>
    <col min="3" max="3" width="5.265625" style="5" customWidth="1"/>
    <col min="4" max="4" width="28.265625" style="5" customWidth="1"/>
    <col min="5" max="5" width="36.33203125" style="5" customWidth="1"/>
    <col min="6" max="8" width="11.59765625" style="5" customWidth="1"/>
    <col min="9" max="17" width="10.1328125" style="5" customWidth="1"/>
    <col min="18" max="18" width="7.3984375" style="5"/>
    <col min="19" max="19" width="10.1328125" style="5" customWidth="1"/>
    <col min="20" max="16384" width="7.3984375" style="5"/>
  </cols>
  <sheetData>
    <row r="1" spans="1:23" ht="18.75" x14ac:dyDescent="0.3">
      <c r="A1" s="3">
        <f ca="1">IF(SUM($A3:$A57)&gt;0,1,0)</f>
        <v>0</v>
      </c>
      <c r="B1" s="4" t="s">
        <v>154</v>
      </c>
    </row>
    <row r="3" spans="1:23" s="6" customFormat="1" ht="15" x14ac:dyDescent="0.45">
      <c r="B3" s="6" t="s">
        <v>205</v>
      </c>
    </row>
    <row r="5" spans="1:23" s="7" customFormat="1" ht="13.9" x14ac:dyDescent="0.45">
      <c r="C5" s="7" t="s">
        <v>155</v>
      </c>
    </row>
    <row r="6" spans="1:23" ht="11.25" customHeight="1" x14ac:dyDescent="0.3"/>
    <row r="7" spans="1:23" ht="26.25" x14ac:dyDescent="0.3">
      <c r="C7" s="8" t="s">
        <v>81</v>
      </c>
      <c r="D7" s="9" t="s">
        <v>100</v>
      </c>
      <c r="E7" s="10" t="s">
        <v>99</v>
      </c>
      <c r="F7" s="10" t="s">
        <v>17</v>
      </c>
      <c r="G7" s="10" t="s">
        <v>83</v>
      </c>
      <c r="H7" s="10" t="s">
        <v>84</v>
      </c>
      <c r="J7" s="10" t="str">
        <f>Lookups!I$11</f>
        <v>FY23</v>
      </c>
      <c r="K7" s="10" t="str">
        <f>Lookups!J$11</f>
        <v>FY24</v>
      </c>
      <c r="L7" s="11" t="str">
        <f>Lookups!K$11</f>
        <v>FY25</v>
      </c>
      <c r="M7" s="10" t="str">
        <f>Lookups!L$11</f>
        <v>FY26</v>
      </c>
      <c r="N7" s="10" t="str">
        <f>Lookups!M$11</f>
        <v>FY27</v>
      </c>
      <c r="O7" s="10" t="str">
        <f>Lookups!N$11</f>
        <v>FY28</v>
      </c>
      <c r="P7" s="12" t="str">
        <f>Lookups!O$11</f>
        <v>FY29</v>
      </c>
      <c r="Q7" s="10" t="str">
        <f>Lookups!Q$11</f>
        <v>Total FY25 to FY29</v>
      </c>
    </row>
    <row r="8" spans="1:23" ht="12.75" x14ac:dyDescent="0.3">
      <c r="C8" s="13">
        <f>N(C7)+1</f>
        <v>1</v>
      </c>
      <c r="D8" s="137" t="str">
        <f>Lookups!$D$41</f>
        <v>Substations</v>
      </c>
      <c r="E8" s="14" t="s">
        <v>156</v>
      </c>
      <c r="F8" s="14" t="str">
        <f t="shared" ref="F8:F25" si="0">Input_Unit</f>
        <v>$Millions</v>
      </c>
      <c r="G8" s="14" t="str">
        <f t="shared" ref="G8:G25" si="1">Input_Dollar_Basis</f>
        <v>Real $2021</v>
      </c>
      <c r="H8" s="14" t="str">
        <f t="shared" ref="H8:H25" si="2">End_Period</f>
        <v>End of Period</v>
      </c>
      <c r="J8" s="171">
        <f ca="1">'Net connection capex (SCS)'!J8+'Cash contributions (SCS)'!J13+IF(Gifted_Include_2224="Yes",'Gifted assets'!J8,0)</f>
        <v>0</v>
      </c>
      <c r="K8" s="169">
        <f ca="1">'Net connection capex (SCS)'!K8+'Cash contributions (SCS)'!K13+IF(Gifted_Include_2224="Yes",'Gifted assets'!K8,0)</f>
        <v>0</v>
      </c>
      <c r="L8" s="170">
        <f ca="1">'Net connection capex (SCS)'!L8+'Cash contributions (SCS)'!L13+IF(Gifted_Include_2429="Yes",'Gifted assets'!L8,0)</f>
        <v>0</v>
      </c>
      <c r="M8" s="171">
        <f ca="1">'Net connection capex (SCS)'!M8+'Cash contributions (SCS)'!M13+IF(Gifted_Include_2429="Yes",'Gifted assets'!M8,0)</f>
        <v>0</v>
      </c>
      <c r="N8" s="171">
        <f ca="1">'Net connection capex (SCS)'!N8+'Cash contributions (SCS)'!N13+IF(Gifted_Include_2429="Yes",'Gifted assets'!N8,0)</f>
        <v>0</v>
      </c>
      <c r="O8" s="171">
        <f ca="1">'Net connection capex (SCS)'!O8+'Cash contributions (SCS)'!O13+IF(Gifted_Include_2429="Yes",'Gifted assets'!O8,0)</f>
        <v>0</v>
      </c>
      <c r="P8" s="172">
        <f ca="1">'Net connection capex (SCS)'!P8+'Cash contributions (SCS)'!P13+IF(Gifted_Include_2429="Yes",'Gifted assets'!P8,0)</f>
        <v>0</v>
      </c>
      <c r="Q8" s="21">
        <f t="shared" ref="Q8:Q9" ca="1" si="3">SUM(L8:P8)</f>
        <v>0</v>
      </c>
    </row>
    <row r="9" spans="1:23" ht="12.75" x14ac:dyDescent="0.3">
      <c r="C9" s="13">
        <f t="shared" ref="C9:C25" si="4">N(C8)+1</f>
        <v>2</v>
      </c>
      <c r="D9" s="137" t="str">
        <f>Lookups!$D$42</f>
        <v>Distribution Lines</v>
      </c>
      <c r="E9" s="14" t="str">
        <f>E8</f>
        <v>Various</v>
      </c>
      <c r="F9" s="14" t="str">
        <f t="shared" si="0"/>
        <v>$Millions</v>
      </c>
      <c r="G9" s="14" t="str">
        <f t="shared" si="1"/>
        <v>Real $2021</v>
      </c>
      <c r="H9" s="14" t="str">
        <f t="shared" si="2"/>
        <v>End of Period</v>
      </c>
      <c r="J9" s="171">
        <f ca="1">'Net connection capex (SCS)'!J9+'Cash contributions (SCS)'!J14+IF(Gifted_Include_2224="Yes",'Gifted assets'!J9,0)</f>
        <v>4.5078901401614972</v>
      </c>
      <c r="K9" s="169">
        <f ca="1">'Net connection capex (SCS)'!K9+'Cash contributions (SCS)'!K14+IF(Gifted_Include_2224="Yes",'Gifted assets'!K9,0)</f>
        <v>4.5587158646122798</v>
      </c>
      <c r="L9" s="170">
        <f ca="1">'Net connection capex (SCS)'!L9+'Cash contributions (SCS)'!L14+IF(Gifted_Include_2429="Yes",'Gifted assets'!L9,0)</f>
        <v>0.30657678696928603</v>
      </c>
      <c r="M9" s="171">
        <f ca="1">'Net connection capex (SCS)'!M9+'Cash contributions (SCS)'!M14+IF(Gifted_Include_2429="Yes",'Gifted assets'!M9,0)</f>
        <v>0.30657678696928603</v>
      </c>
      <c r="N9" s="171">
        <f ca="1">'Net connection capex (SCS)'!N9+'Cash contributions (SCS)'!N14+IF(Gifted_Include_2429="Yes",'Gifted assets'!N9,0)</f>
        <v>0.30657678696928603</v>
      </c>
      <c r="O9" s="171">
        <f ca="1">'Net connection capex (SCS)'!O9+'Cash contributions (SCS)'!O14+IF(Gifted_Include_2429="Yes",'Gifted assets'!O9,0)</f>
        <v>0.30657678696928603</v>
      </c>
      <c r="P9" s="172">
        <f ca="1">'Net connection capex (SCS)'!P9+'Cash contributions (SCS)'!P14+IF(Gifted_Include_2429="Yes",'Gifted assets'!P9,0)</f>
        <v>0.30657678696928603</v>
      </c>
      <c r="Q9" s="21">
        <f t="shared" ca="1" si="3"/>
        <v>1.53288393484643</v>
      </c>
      <c r="U9" s="229" t="s">
        <v>208</v>
      </c>
      <c r="V9" s="147" t="s">
        <v>204</v>
      </c>
      <c r="W9" s="137" t="s">
        <v>203</v>
      </c>
    </row>
    <row r="10" spans="1:23" ht="12.75" x14ac:dyDescent="0.3">
      <c r="C10" s="13">
        <f t="shared" si="4"/>
        <v>3</v>
      </c>
      <c r="D10" s="137" t="str">
        <f>Lookups!$D$43</f>
        <v>Transmission Lines</v>
      </c>
      <c r="E10" s="14" t="str">
        <f t="shared" ref="E10:E25" si="5">E9</f>
        <v>Various</v>
      </c>
      <c r="F10" s="14" t="str">
        <f t="shared" si="0"/>
        <v>$Millions</v>
      </c>
      <c r="G10" s="14" t="str">
        <f t="shared" si="1"/>
        <v>Real $2021</v>
      </c>
      <c r="H10" s="14" t="str">
        <f t="shared" si="2"/>
        <v>End of Period</v>
      </c>
      <c r="J10" s="171">
        <f ca="1">'Net connection capex (SCS)'!J10+'Cash contributions (SCS)'!J15+IF(Gifted_Include_2224="Yes",'Gifted assets'!J10,0)</f>
        <v>0</v>
      </c>
      <c r="K10" s="169">
        <f ca="1">'Net connection capex (SCS)'!K10+'Cash contributions (SCS)'!K15+IF(Gifted_Include_2224="Yes",'Gifted assets'!K10,0)</f>
        <v>0</v>
      </c>
      <c r="L10" s="170">
        <f ca="1">'Net connection capex (SCS)'!L10+'Cash contributions (SCS)'!L15+IF(Gifted_Include_2429="Yes",'Gifted assets'!L10,0)</f>
        <v>0</v>
      </c>
      <c r="M10" s="171">
        <f ca="1">'Net connection capex (SCS)'!M10+'Cash contributions (SCS)'!M15+IF(Gifted_Include_2429="Yes",'Gifted assets'!M10,0)</f>
        <v>0</v>
      </c>
      <c r="N10" s="171">
        <f ca="1">'Net connection capex (SCS)'!N10+'Cash contributions (SCS)'!N15+IF(Gifted_Include_2429="Yes",'Gifted assets'!N10,0)</f>
        <v>0</v>
      </c>
      <c r="O10" s="171">
        <f ca="1">'Net connection capex (SCS)'!O10+'Cash contributions (SCS)'!O15+IF(Gifted_Include_2429="Yes",'Gifted assets'!O10,0)</f>
        <v>0</v>
      </c>
      <c r="P10" s="172">
        <f ca="1">'Net connection capex (SCS)'!P10+'Cash contributions (SCS)'!P15+IF(Gifted_Include_2429="Yes",'Gifted assets'!P10,0)</f>
        <v>0</v>
      </c>
      <c r="Q10" s="21">
        <f t="shared" ref="Q10:Q25" ca="1" si="6">SUM(L10:P10)</f>
        <v>0</v>
      </c>
      <c r="U10" s="229" t="s">
        <v>209</v>
      </c>
      <c r="V10" s="147" t="s">
        <v>206</v>
      </c>
      <c r="W10" s="137" t="s">
        <v>292</v>
      </c>
    </row>
    <row r="11" spans="1:23" ht="12.75" x14ac:dyDescent="0.3">
      <c r="C11" s="13">
        <f t="shared" si="4"/>
        <v>4</v>
      </c>
      <c r="D11" s="137" t="str">
        <f>Lookups!$D$44</f>
        <v>LV Services</v>
      </c>
      <c r="E11" s="14" t="str">
        <f t="shared" si="5"/>
        <v>Various</v>
      </c>
      <c r="F11" s="14" t="str">
        <f t="shared" si="0"/>
        <v>$Millions</v>
      </c>
      <c r="G11" s="14" t="str">
        <f t="shared" si="1"/>
        <v>Real $2021</v>
      </c>
      <c r="H11" s="14" t="str">
        <f t="shared" si="2"/>
        <v>End of Period</v>
      </c>
      <c r="J11" s="171">
        <f ca="1">'Net connection capex (SCS)'!J11+'Cash contributions (SCS)'!J16+IF(Gifted_Include_2224="Yes",'Gifted assets'!J11,0)</f>
        <v>0.87293014755665088</v>
      </c>
      <c r="K11" s="169">
        <f ca="1">'Net connection capex (SCS)'!K11+'Cash contributions (SCS)'!K16+IF(Gifted_Include_2224="Yes",'Gifted assets'!K11,0)</f>
        <v>0.87904144817679375</v>
      </c>
      <c r="L11" s="170">
        <f ca="1">'Net connection capex (SCS)'!L11+'Cash contributions (SCS)'!L16+IF(Gifted_Include_2429="Yes",'Gifted assets'!L11,0)</f>
        <v>0.84383296828783383</v>
      </c>
      <c r="M11" s="171">
        <f ca="1">'Net connection capex (SCS)'!M11+'Cash contributions (SCS)'!M16+IF(Gifted_Include_2429="Yes",'Gifted assets'!M11,0)</f>
        <v>0.84973353309079536</v>
      </c>
      <c r="N11" s="171">
        <f ca="1">'Net connection capex (SCS)'!N11+'Cash contributions (SCS)'!N16+IF(Gifted_Include_2429="Yes",'Gifted assets'!N11,0)</f>
        <v>0.85573026640591421</v>
      </c>
      <c r="O11" s="171">
        <f ca="1">'Net connection capex (SCS)'!O11+'Cash contributions (SCS)'!O16+IF(Gifted_Include_2429="Yes",'Gifted assets'!O11,0)</f>
        <v>0.86182573406622387</v>
      </c>
      <c r="P11" s="172">
        <f ca="1">'Net connection capex (SCS)'!P11+'Cash contributions (SCS)'!P16+IF(Gifted_Include_2429="Yes",'Gifted assets'!P11,0)</f>
        <v>0.86802257141126737</v>
      </c>
      <c r="Q11" s="21">
        <f t="shared" ca="1" si="6"/>
        <v>4.2791450732620344</v>
      </c>
    </row>
    <row r="12" spans="1:23" ht="12.75" x14ac:dyDescent="0.3">
      <c r="C12" s="13">
        <f t="shared" si="4"/>
        <v>5</v>
      </c>
      <c r="D12" s="137" t="str">
        <f>Lookups!$D$45</f>
        <v>Distribution Substations</v>
      </c>
      <c r="E12" s="14" t="str">
        <f t="shared" si="5"/>
        <v>Various</v>
      </c>
      <c r="F12" s="14" t="str">
        <f t="shared" si="0"/>
        <v>$Millions</v>
      </c>
      <c r="G12" s="14" t="str">
        <f t="shared" si="1"/>
        <v>Real $2021</v>
      </c>
      <c r="H12" s="14" t="str">
        <f t="shared" si="2"/>
        <v>End of Period</v>
      </c>
      <c r="J12" s="171">
        <f ca="1">'Net connection capex (SCS)'!J12+'Cash contributions (SCS)'!J17+IF(Gifted_Include_2224="Yes",'Gifted assets'!J12,0)</f>
        <v>0.83406674136670789</v>
      </c>
      <c r="K12" s="169">
        <f ca="1">'Net connection capex (SCS)'!K12+'Cash contributions (SCS)'!K17+IF(Gifted_Include_2224="Yes",'Gifted assets'!K12,0)</f>
        <v>0.83406674136670789</v>
      </c>
      <c r="L12" s="170">
        <f ca="1">'Net connection capex (SCS)'!L12+'Cash contributions (SCS)'!L17+IF(Gifted_Include_2429="Yes",'Gifted assets'!L12,0)</f>
        <v>0</v>
      </c>
      <c r="M12" s="171">
        <f ca="1">'Net connection capex (SCS)'!M12+'Cash contributions (SCS)'!M17+IF(Gifted_Include_2429="Yes",'Gifted assets'!M12,0)</f>
        <v>0</v>
      </c>
      <c r="N12" s="171">
        <f ca="1">'Net connection capex (SCS)'!N12+'Cash contributions (SCS)'!N17+IF(Gifted_Include_2429="Yes",'Gifted assets'!N12,0)</f>
        <v>0</v>
      </c>
      <c r="O12" s="171">
        <f ca="1">'Net connection capex (SCS)'!O12+'Cash contributions (SCS)'!O17+IF(Gifted_Include_2429="Yes",'Gifted assets'!O12,0)</f>
        <v>0</v>
      </c>
      <c r="P12" s="172">
        <f ca="1">'Net connection capex (SCS)'!P12+'Cash contributions (SCS)'!P17+IF(Gifted_Include_2429="Yes",'Gifted assets'!P12,0)</f>
        <v>0</v>
      </c>
      <c r="Q12" s="21">
        <f t="shared" ca="1" si="6"/>
        <v>0</v>
      </c>
    </row>
    <row r="13" spans="1:23" ht="12.75" x14ac:dyDescent="0.3">
      <c r="C13" s="13">
        <f t="shared" si="4"/>
        <v>6</v>
      </c>
      <c r="D13" s="137" t="str">
        <f>Lookups!$D$46</f>
        <v>Distribution Switchgear</v>
      </c>
      <c r="E13" s="14" t="str">
        <f t="shared" si="5"/>
        <v>Various</v>
      </c>
      <c r="F13" s="14" t="str">
        <f t="shared" si="0"/>
        <v>$Millions</v>
      </c>
      <c r="G13" s="14" t="str">
        <f t="shared" si="1"/>
        <v>Real $2021</v>
      </c>
      <c r="H13" s="14" t="str">
        <f t="shared" si="2"/>
        <v>End of Period</v>
      </c>
      <c r="J13" s="171">
        <f ca="1">'Net connection capex (SCS)'!J13+'Cash contributions (SCS)'!J18+IF(Gifted_Include_2224="Yes",'Gifted assets'!J13,0)</f>
        <v>0.15973490714673694</v>
      </c>
      <c r="K13" s="169">
        <f ca="1">'Net connection capex (SCS)'!K13+'Cash contributions (SCS)'!K18+IF(Gifted_Include_2224="Yes",'Gifted assets'!K13,0)</f>
        <v>0.15973490714673694</v>
      </c>
      <c r="L13" s="170">
        <f ca="1">'Net connection capex (SCS)'!L13+'Cash contributions (SCS)'!L18+IF(Gifted_Include_2429="Yes",'Gifted assets'!L13,0)</f>
        <v>0</v>
      </c>
      <c r="M13" s="171">
        <f ca="1">'Net connection capex (SCS)'!M13+'Cash contributions (SCS)'!M18+IF(Gifted_Include_2429="Yes",'Gifted assets'!M13,0)</f>
        <v>0</v>
      </c>
      <c r="N13" s="171">
        <f ca="1">'Net connection capex (SCS)'!N13+'Cash contributions (SCS)'!N18+IF(Gifted_Include_2429="Yes",'Gifted assets'!N13,0)</f>
        <v>0</v>
      </c>
      <c r="O13" s="171">
        <f ca="1">'Net connection capex (SCS)'!O13+'Cash contributions (SCS)'!O18+IF(Gifted_Include_2429="Yes",'Gifted assets'!O13,0)</f>
        <v>0</v>
      </c>
      <c r="P13" s="172">
        <f ca="1">'Net connection capex (SCS)'!P13+'Cash contributions (SCS)'!P18+IF(Gifted_Include_2429="Yes",'Gifted assets'!P13,0)</f>
        <v>0</v>
      </c>
      <c r="Q13" s="21">
        <f t="shared" ca="1" si="6"/>
        <v>0</v>
      </c>
    </row>
    <row r="14" spans="1:23" ht="12.75" x14ac:dyDescent="0.3">
      <c r="C14" s="13">
        <f t="shared" si="4"/>
        <v>7</v>
      </c>
      <c r="D14" s="137" t="str">
        <f>Lookups!$D$47</f>
        <v>Protection</v>
      </c>
      <c r="E14" s="14" t="str">
        <f t="shared" si="5"/>
        <v>Various</v>
      </c>
      <c r="F14" s="14" t="str">
        <f t="shared" si="0"/>
        <v>$Millions</v>
      </c>
      <c r="G14" s="14" t="str">
        <f t="shared" si="1"/>
        <v>Real $2021</v>
      </c>
      <c r="H14" s="14" t="str">
        <f t="shared" si="2"/>
        <v>End of Period</v>
      </c>
      <c r="J14" s="171">
        <f ca="1">'Net connection capex (SCS)'!J14+'Cash contributions (SCS)'!J19+IF(Gifted_Include_2224="Yes",'Gifted assets'!J14,0)</f>
        <v>0</v>
      </c>
      <c r="K14" s="169">
        <f ca="1">'Net connection capex (SCS)'!K14+'Cash contributions (SCS)'!K19+IF(Gifted_Include_2224="Yes",'Gifted assets'!K14,0)</f>
        <v>0</v>
      </c>
      <c r="L14" s="170">
        <f ca="1">'Net connection capex (SCS)'!L14+'Cash contributions (SCS)'!L19+IF(Gifted_Include_2429="Yes",'Gifted assets'!L14,0)</f>
        <v>0</v>
      </c>
      <c r="M14" s="171">
        <f ca="1">'Net connection capex (SCS)'!M14+'Cash contributions (SCS)'!M19+IF(Gifted_Include_2429="Yes",'Gifted assets'!M14,0)</f>
        <v>0</v>
      </c>
      <c r="N14" s="171">
        <f ca="1">'Net connection capex (SCS)'!N14+'Cash contributions (SCS)'!N19+IF(Gifted_Include_2429="Yes",'Gifted assets'!N14,0)</f>
        <v>0</v>
      </c>
      <c r="O14" s="171">
        <f ca="1">'Net connection capex (SCS)'!O14+'Cash contributions (SCS)'!O19+IF(Gifted_Include_2429="Yes",'Gifted assets'!O14,0)</f>
        <v>0</v>
      </c>
      <c r="P14" s="172">
        <f ca="1">'Net connection capex (SCS)'!P14+'Cash contributions (SCS)'!P19+IF(Gifted_Include_2429="Yes",'Gifted assets'!P14,0)</f>
        <v>0</v>
      </c>
      <c r="Q14" s="21">
        <f t="shared" ca="1" si="6"/>
        <v>0</v>
      </c>
    </row>
    <row r="15" spans="1:23" ht="12.75" x14ac:dyDescent="0.3">
      <c r="C15" s="13">
        <f t="shared" si="4"/>
        <v>8</v>
      </c>
      <c r="D15" s="137" t="str">
        <f>Lookups!$D$48</f>
        <v>SCADA</v>
      </c>
      <c r="E15" s="14" t="str">
        <f t="shared" si="5"/>
        <v>Various</v>
      </c>
      <c r="F15" s="14" t="str">
        <f t="shared" si="0"/>
        <v>$Millions</v>
      </c>
      <c r="G15" s="14" t="str">
        <f t="shared" si="1"/>
        <v>Real $2021</v>
      </c>
      <c r="H15" s="14" t="str">
        <f t="shared" si="2"/>
        <v>End of Period</v>
      </c>
      <c r="J15" s="171">
        <f ca="1">'Net connection capex (SCS)'!J15+'Cash contributions (SCS)'!J20+IF(Gifted_Include_2224="Yes",'Gifted assets'!J15,0)</f>
        <v>0</v>
      </c>
      <c r="K15" s="169">
        <f ca="1">'Net connection capex (SCS)'!K15+'Cash contributions (SCS)'!K20+IF(Gifted_Include_2224="Yes",'Gifted assets'!K15,0)</f>
        <v>0</v>
      </c>
      <c r="L15" s="170">
        <f ca="1">'Net connection capex (SCS)'!L15+'Cash contributions (SCS)'!L20+IF(Gifted_Include_2429="Yes",'Gifted assets'!L15,0)</f>
        <v>0</v>
      </c>
      <c r="M15" s="171">
        <f ca="1">'Net connection capex (SCS)'!M15+'Cash contributions (SCS)'!M20+IF(Gifted_Include_2429="Yes",'Gifted assets'!M15,0)</f>
        <v>0</v>
      </c>
      <c r="N15" s="171">
        <f ca="1">'Net connection capex (SCS)'!N15+'Cash contributions (SCS)'!N20+IF(Gifted_Include_2429="Yes",'Gifted assets'!N15,0)</f>
        <v>0</v>
      </c>
      <c r="O15" s="171">
        <f ca="1">'Net connection capex (SCS)'!O15+'Cash contributions (SCS)'!O20+IF(Gifted_Include_2429="Yes",'Gifted assets'!O15,0)</f>
        <v>0</v>
      </c>
      <c r="P15" s="172">
        <f ca="1">'Net connection capex (SCS)'!P15+'Cash contributions (SCS)'!P20+IF(Gifted_Include_2429="Yes",'Gifted assets'!P15,0)</f>
        <v>0</v>
      </c>
      <c r="Q15" s="21">
        <f t="shared" ca="1" si="6"/>
        <v>0</v>
      </c>
    </row>
    <row r="16" spans="1:23" ht="12.75" x14ac:dyDescent="0.3">
      <c r="C16" s="13">
        <f t="shared" si="4"/>
        <v>9</v>
      </c>
      <c r="D16" s="137" t="str">
        <f>Lookups!$D$49</f>
        <v>Communications</v>
      </c>
      <c r="E16" s="14" t="str">
        <f t="shared" si="5"/>
        <v>Various</v>
      </c>
      <c r="F16" s="14" t="str">
        <f t="shared" si="0"/>
        <v>$Millions</v>
      </c>
      <c r="G16" s="14" t="str">
        <f t="shared" si="1"/>
        <v>Real $2021</v>
      </c>
      <c r="H16" s="14" t="str">
        <f t="shared" si="2"/>
        <v>End of Period</v>
      </c>
      <c r="J16" s="171">
        <f ca="1">'Net connection capex (SCS)'!J16+'Cash contributions (SCS)'!J21+IF(Gifted_Include_2224="Yes",'Gifted assets'!J16,0)</f>
        <v>0</v>
      </c>
      <c r="K16" s="169">
        <f ca="1">'Net connection capex (SCS)'!K16+'Cash contributions (SCS)'!K21+IF(Gifted_Include_2224="Yes",'Gifted assets'!K16,0)</f>
        <v>0</v>
      </c>
      <c r="L16" s="170">
        <f ca="1">'Net connection capex (SCS)'!L16+'Cash contributions (SCS)'!L21+IF(Gifted_Include_2429="Yes",'Gifted assets'!L16,0)</f>
        <v>0</v>
      </c>
      <c r="M16" s="171">
        <f ca="1">'Net connection capex (SCS)'!M16+'Cash contributions (SCS)'!M21+IF(Gifted_Include_2429="Yes",'Gifted assets'!M16,0)</f>
        <v>0</v>
      </c>
      <c r="N16" s="171">
        <f ca="1">'Net connection capex (SCS)'!N16+'Cash contributions (SCS)'!N21+IF(Gifted_Include_2429="Yes",'Gifted assets'!N16,0)</f>
        <v>0</v>
      </c>
      <c r="O16" s="171">
        <f ca="1">'Net connection capex (SCS)'!O16+'Cash contributions (SCS)'!O21+IF(Gifted_Include_2429="Yes",'Gifted assets'!O16,0)</f>
        <v>0</v>
      </c>
      <c r="P16" s="172">
        <f ca="1">'Net connection capex (SCS)'!P16+'Cash contributions (SCS)'!P21+IF(Gifted_Include_2429="Yes",'Gifted assets'!P16,0)</f>
        <v>0</v>
      </c>
      <c r="Q16" s="21">
        <f t="shared" ca="1" si="6"/>
        <v>0</v>
      </c>
    </row>
    <row r="17" spans="3:17" ht="12.75" x14ac:dyDescent="0.3">
      <c r="C17" s="13">
        <f t="shared" si="4"/>
        <v>10</v>
      </c>
      <c r="D17" s="137" t="str">
        <f>Lookups!$D$50</f>
        <v>Land and Easements</v>
      </c>
      <c r="E17" s="14" t="str">
        <f t="shared" si="5"/>
        <v>Various</v>
      </c>
      <c r="F17" s="14" t="str">
        <f t="shared" si="0"/>
        <v>$Millions</v>
      </c>
      <c r="G17" s="14" t="str">
        <f t="shared" si="1"/>
        <v>Real $2021</v>
      </c>
      <c r="H17" s="14" t="str">
        <f t="shared" si="2"/>
        <v>End of Period</v>
      </c>
      <c r="J17" s="171">
        <f ca="1">'Net connection capex (SCS)'!J17+'Cash contributions (SCS)'!J22+IF(Gifted_Include_2224="Yes",'Gifted assets'!J17,0)</f>
        <v>0</v>
      </c>
      <c r="K17" s="169">
        <f ca="1">'Net connection capex (SCS)'!K17+'Cash contributions (SCS)'!K22+IF(Gifted_Include_2224="Yes",'Gifted assets'!K17,0)</f>
        <v>0</v>
      </c>
      <c r="L17" s="170">
        <f ca="1">'Net connection capex (SCS)'!L17+'Cash contributions (SCS)'!L22+IF(Gifted_Include_2429="Yes",'Gifted assets'!L17,0)</f>
        <v>0</v>
      </c>
      <c r="M17" s="171">
        <f ca="1">'Net connection capex (SCS)'!M17+'Cash contributions (SCS)'!M22+IF(Gifted_Include_2429="Yes",'Gifted assets'!M17,0)</f>
        <v>0</v>
      </c>
      <c r="N17" s="171">
        <f ca="1">'Net connection capex (SCS)'!N17+'Cash contributions (SCS)'!N22+IF(Gifted_Include_2429="Yes",'Gifted assets'!N17,0)</f>
        <v>0</v>
      </c>
      <c r="O17" s="171">
        <f ca="1">'Net connection capex (SCS)'!O17+'Cash contributions (SCS)'!O22+IF(Gifted_Include_2429="Yes",'Gifted assets'!O17,0)</f>
        <v>0</v>
      </c>
      <c r="P17" s="172">
        <f ca="1">'Net connection capex (SCS)'!P17+'Cash contributions (SCS)'!P22+IF(Gifted_Include_2429="Yes",'Gifted assets'!P17,0)</f>
        <v>0</v>
      </c>
      <c r="Q17" s="21">
        <f t="shared" ca="1" si="6"/>
        <v>0</v>
      </c>
    </row>
    <row r="18" spans="3:17" ht="12.75" x14ac:dyDescent="0.3">
      <c r="C18" s="13">
        <f t="shared" si="4"/>
        <v>11</v>
      </c>
      <c r="D18" s="137" t="str">
        <f>Lookups!$D$51</f>
        <v>Property</v>
      </c>
      <c r="E18" s="14" t="str">
        <f t="shared" si="5"/>
        <v>Various</v>
      </c>
      <c r="F18" s="14" t="str">
        <f t="shared" si="0"/>
        <v>$Millions</v>
      </c>
      <c r="G18" s="14" t="str">
        <f t="shared" si="1"/>
        <v>Real $2021</v>
      </c>
      <c r="H18" s="14" t="str">
        <f t="shared" si="2"/>
        <v>End of Period</v>
      </c>
      <c r="J18" s="171">
        <f ca="1">'Net connection capex (SCS)'!J18+'Cash contributions (SCS)'!J23+IF(Gifted_Include_2224="Yes",'Gifted assets'!J18,0)</f>
        <v>0</v>
      </c>
      <c r="K18" s="169">
        <f ca="1">'Net connection capex (SCS)'!K18+'Cash contributions (SCS)'!K23+IF(Gifted_Include_2224="Yes",'Gifted assets'!K18,0)</f>
        <v>0</v>
      </c>
      <c r="L18" s="170">
        <f ca="1">'Net connection capex (SCS)'!L18+'Cash contributions (SCS)'!L23+IF(Gifted_Include_2429="Yes",'Gifted assets'!L18,0)</f>
        <v>0</v>
      </c>
      <c r="M18" s="171">
        <f ca="1">'Net connection capex (SCS)'!M18+'Cash contributions (SCS)'!M23+IF(Gifted_Include_2429="Yes",'Gifted assets'!M18,0)</f>
        <v>0</v>
      </c>
      <c r="N18" s="171">
        <f ca="1">'Net connection capex (SCS)'!N18+'Cash contributions (SCS)'!N23+IF(Gifted_Include_2429="Yes",'Gifted assets'!N18,0)</f>
        <v>0</v>
      </c>
      <c r="O18" s="171">
        <f ca="1">'Net connection capex (SCS)'!O18+'Cash contributions (SCS)'!O23+IF(Gifted_Include_2429="Yes",'Gifted assets'!O18,0)</f>
        <v>0</v>
      </c>
      <c r="P18" s="172">
        <f ca="1">'Net connection capex (SCS)'!P18+'Cash contributions (SCS)'!P23+IF(Gifted_Include_2429="Yes",'Gifted assets'!P18,0)</f>
        <v>0</v>
      </c>
      <c r="Q18" s="21">
        <f t="shared" ca="1" si="6"/>
        <v>0</v>
      </c>
    </row>
    <row r="19" spans="3:17" ht="12.75" x14ac:dyDescent="0.3">
      <c r="C19" s="13">
        <f t="shared" si="4"/>
        <v>12</v>
      </c>
      <c r="D19" s="137" t="str">
        <f>Lookups!$D$52</f>
        <v>IT and Communications</v>
      </c>
      <c r="E19" s="14" t="str">
        <f t="shared" si="5"/>
        <v>Various</v>
      </c>
      <c r="F19" s="14" t="str">
        <f t="shared" si="0"/>
        <v>$Millions</v>
      </c>
      <c r="G19" s="14" t="str">
        <f t="shared" si="1"/>
        <v>Real $2021</v>
      </c>
      <c r="H19" s="14" t="str">
        <f t="shared" si="2"/>
        <v>End of Period</v>
      </c>
      <c r="J19" s="171">
        <f ca="1">'Net connection capex (SCS)'!J19+'Cash contributions (SCS)'!J24+IF(Gifted_Include_2224="Yes",'Gifted assets'!J19,0)</f>
        <v>0</v>
      </c>
      <c r="K19" s="169">
        <f ca="1">'Net connection capex (SCS)'!K19+'Cash contributions (SCS)'!K24+IF(Gifted_Include_2224="Yes",'Gifted assets'!K19,0)</f>
        <v>0</v>
      </c>
      <c r="L19" s="170">
        <f ca="1">'Net connection capex (SCS)'!L19+'Cash contributions (SCS)'!L24+IF(Gifted_Include_2429="Yes",'Gifted assets'!L19,0)</f>
        <v>0</v>
      </c>
      <c r="M19" s="171">
        <f ca="1">'Net connection capex (SCS)'!M19+'Cash contributions (SCS)'!M24+IF(Gifted_Include_2429="Yes",'Gifted assets'!M19,0)</f>
        <v>0</v>
      </c>
      <c r="N19" s="171">
        <f ca="1">'Net connection capex (SCS)'!N19+'Cash contributions (SCS)'!N24+IF(Gifted_Include_2429="Yes",'Gifted assets'!N19,0)</f>
        <v>0</v>
      </c>
      <c r="O19" s="171">
        <f ca="1">'Net connection capex (SCS)'!O19+'Cash contributions (SCS)'!O24+IF(Gifted_Include_2429="Yes",'Gifted assets'!O19,0)</f>
        <v>0</v>
      </c>
      <c r="P19" s="172">
        <f ca="1">'Net connection capex (SCS)'!P19+'Cash contributions (SCS)'!P24+IF(Gifted_Include_2429="Yes",'Gifted assets'!P19,0)</f>
        <v>0</v>
      </c>
      <c r="Q19" s="21">
        <f t="shared" ca="1" si="6"/>
        <v>0</v>
      </c>
    </row>
    <row r="20" spans="3:17" ht="12.75" x14ac:dyDescent="0.3">
      <c r="C20" s="13">
        <f t="shared" si="4"/>
        <v>13</v>
      </c>
      <c r="D20" s="137" t="str">
        <f>Lookups!$D$53</f>
        <v>Motor Vehicles</v>
      </c>
      <c r="E20" s="14" t="str">
        <f t="shared" si="5"/>
        <v>Various</v>
      </c>
      <c r="F20" s="14" t="str">
        <f t="shared" si="0"/>
        <v>$Millions</v>
      </c>
      <c r="G20" s="14" t="str">
        <f t="shared" si="1"/>
        <v>Real $2021</v>
      </c>
      <c r="H20" s="14" t="str">
        <f t="shared" si="2"/>
        <v>End of Period</v>
      </c>
      <c r="J20" s="171">
        <f ca="1">'Net connection capex (SCS)'!J20+'Cash contributions (SCS)'!J25+IF(Gifted_Include_2224="Yes",'Gifted assets'!J20,0)</f>
        <v>0</v>
      </c>
      <c r="K20" s="169">
        <f ca="1">'Net connection capex (SCS)'!K20+'Cash contributions (SCS)'!K25+IF(Gifted_Include_2224="Yes",'Gifted assets'!K20,0)</f>
        <v>0</v>
      </c>
      <c r="L20" s="170">
        <f ca="1">'Net connection capex (SCS)'!L20+'Cash contributions (SCS)'!L25+IF(Gifted_Include_2429="Yes",'Gifted assets'!L20,0)</f>
        <v>0</v>
      </c>
      <c r="M20" s="171">
        <f ca="1">'Net connection capex (SCS)'!M20+'Cash contributions (SCS)'!M25+IF(Gifted_Include_2429="Yes",'Gifted assets'!M20,0)</f>
        <v>0</v>
      </c>
      <c r="N20" s="171">
        <f ca="1">'Net connection capex (SCS)'!N20+'Cash contributions (SCS)'!N25+IF(Gifted_Include_2429="Yes",'Gifted assets'!N20,0)</f>
        <v>0</v>
      </c>
      <c r="O20" s="171">
        <f ca="1">'Net connection capex (SCS)'!O20+'Cash contributions (SCS)'!O25+IF(Gifted_Include_2429="Yes",'Gifted assets'!O20,0)</f>
        <v>0</v>
      </c>
      <c r="P20" s="172">
        <f ca="1">'Net connection capex (SCS)'!P20+'Cash contributions (SCS)'!P25+IF(Gifted_Include_2429="Yes",'Gifted assets'!P20,0)</f>
        <v>0</v>
      </c>
      <c r="Q20" s="21">
        <f t="shared" ca="1" si="6"/>
        <v>0</v>
      </c>
    </row>
    <row r="21" spans="3:17" ht="12.75" x14ac:dyDescent="0.3">
      <c r="C21" s="13">
        <f t="shared" si="4"/>
        <v>14</v>
      </c>
      <c r="D21" s="137" t="str">
        <f>Lookups!$D$54</f>
        <v>Plant and Equipment</v>
      </c>
      <c r="E21" s="14" t="str">
        <f t="shared" si="5"/>
        <v>Various</v>
      </c>
      <c r="F21" s="14" t="str">
        <f t="shared" si="0"/>
        <v>$Millions</v>
      </c>
      <c r="G21" s="14" t="str">
        <f t="shared" si="1"/>
        <v>Real $2021</v>
      </c>
      <c r="H21" s="14" t="str">
        <f t="shared" si="2"/>
        <v>End of Period</v>
      </c>
      <c r="J21" s="171">
        <f ca="1">'Net connection capex (SCS)'!J21+'Cash contributions (SCS)'!J26+IF(Gifted_Include_2224="Yes",'Gifted assets'!J21,0)</f>
        <v>0</v>
      </c>
      <c r="K21" s="169">
        <f ca="1">'Net connection capex (SCS)'!K21+'Cash contributions (SCS)'!K26+IF(Gifted_Include_2224="Yes",'Gifted assets'!K21,0)</f>
        <v>0</v>
      </c>
      <c r="L21" s="170">
        <f ca="1">'Net connection capex (SCS)'!L21+'Cash contributions (SCS)'!L26+IF(Gifted_Include_2429="Yes",'Gifted assets'!L21,0)</f>
        <v>0</v>
      </c>
      <c r="M21" s="171">
        <f ca="1">'Net connection capex (SCS)'!M21+'Cash contributions (SCS)'!M26+IF(Gifted_Include_2429="Yes",'Gifted assets'!M21,0)</f>
        <v>0</v>
      </c>
      <c r="N21" s="171">
        <f ca="1">'Net connection capex (SCS)'!N21+'Cash contributions (SCS)'!N26+IF(Gifted_Include_2429="Yes",'Gifted assets'!N21,0)</f>
        <v>0</v>
      </c>
      <c r="O21" s="171">
        <f ca="1">'Net connection capex (SCS)'!O21+'Cash contributions (SCS)'!O26+IF(Gifted_Include_2429="Yes",'Gifted assets'!O21,0)</f>
        <v>0</v>
      </c>
      <c r="P21" s="172">
        <f ca="1">'Net connection capex (SCS)'!P21+'Cash contributions (SCS)'!P26+IF(Gifted_Include_2429="Yes",'Gifted assets'!P21,0)</f>
        <v>0</v>
      </c>
      <c r="Q21" s="21">
        <f t="shared" ca="1" si="6"/>
        <v>0</v>
      </c>
    </row>
    <row r="22" spans="3:17" ht="12.75" x14ac:dyDescent="0.3">
      <c r="C22" s="13">
        <f t="shared" si="4"/>
        <v>15</v>
      </c>
      <c r="D22" s="137" t="str">
        <f>Lookups!$D$55</f>
        <v>Property Leases</v>
      </c>
      <c r="E22" s="14" t="str">
        <f t="shared" si="5"/>
        <v>Various</v>
      </c>
      <c r="F22" s="14" t="str">
        <f t="shared" si="0"/>
        <v>$Millions</v>
      </c>
      <c r="G22" s="14" t="str">
        <f t="shared" si="1"/>
        <v>Real $2021</v>
      </c>
      <c r="H22" s="14" t="str">
        <f t="shared" si="2"/>
        <v>End of Period</v>
      </c>
      <c r="J22" s="171">
        <f ca="1">'Net connection capex (SCS)'!J22+'Cash contributions (SCS)'!J27+IF(Gifted_Include_2224="Yes",'Gifted assets'!J22,0)</f>
        <v>0</v>
      </c>
      <c r="K22" s="169">
        <f ca="1">'Net connection capex (SCS)'!K22+'Cash contributions (SCS)'!K27+IF(Gifted_Include_2224="Yes",'Gifted assets'!K22,0)</f>
        <v>0</v>
      </c>
      <c r="L22" s="170">
        <f ca="1">'Net connection capex (SCS)'!L22+'Cash contributions (SCS)'!L27+IF(Gifted_Include_2429="Yes",'Gifted assets'!L22,0)</f>
        <v>0</v>
      </c>
      <c r="M22" s="171">
        <f ca="1">'Net connection capex (SCS)'!M22+'Cash contributions (SCS)'!M27+IF(Gifted_Include_2429="Yes",'Gifted assets'!M22,0)</f>
        <v>0</v>
      </c>
      <c r="N22" s="171">
        <f ca="1">'Net connection capex (SCS)'!N22+'Cash contributions (SCS)'!N27+IF(Gifted_Include_2429="Yes",'Gifted assets'!N22,0)</f>
        <v>0</v>
      </c>
      <c r="O22" s="171">
        <f ca="1">'Net connection capex (SCS)'!O22+'Cash contributions (SCS)'!O27+IF(Gifted_Include_2429="Yes",'Gifted assets'!O22,0)</f>
        <v>0</v>
      </c>
      <c r="P22" s="172">
        <f ca="1">'Net connection capex (SCS)'!P22+'Cash contributions (SCS)'!P27+IF(Gifted_Include_2429="Yes",'Gifted assets'!P22,0)</f>
        <v>0</v>
      </c>
      <c r="Q22" s="21">
        <f t="shared" ca="1" si="6"/>
        <v>0</v>
      </c>
    </row>
    <row r="23" spans="3:17" ht="12.75" x14ac:dyDescent="0.3">
      <c r="C23" s="13">
        <f t="shared" si="4"/>
        <v>16</v>
      </c>
      <c r="D23" s="137" t="str">
        <f>Lookups!$D$56</f>
        <v>Fleet Leases</v>
      </c>
      <c r="E23" s="14" t="str">
        <f t="shared" si="5"/>
        <v>Various</v>
      </c>
      <c r="F23" s="14" t="str">
        <f t="shared" si="0"/>
        <v>$Millions</v>
      </c>
      <c r="G23" s="14" t="str">
        <f t="shared" si="1"/>
        <v>Real $2021</v>
      </c>
      <c r="H23" s="14" t="str">
        <f t="shared" si="2"/>
        <v>End of Period</v>
      </c>
      <c r="J23" s="171">
        <f ca="1">'Net connection capex (SCS)'!J23+'Cash contributions (SCS)'!J28+IF(Gifted_Include_2224="Yes",'Gifted assets'!J23,0)</f>
        <v>0</v>
      </c>
      <c r="K23" s="169">
        <f ca="1">'Net connection capex (SCS)'!K23+'Cash contributions (SCS)'!K28+IF(Gifted_Include_2224="Yes",'Gifted assets'!K23,0)</f>
        <v>0</v>
      </c>
      <c r="L23" s="170">
        <f ca="1">'Net connection capex (SCS)'!L23+'Cash contributions (SCS)'!L28+IF(Gifted_Include_2429="Yes",'Gifted assets'!L23,0)</f>
        <v>0</v>
      </c>
      <c r="M23" s="171">
        <f ca="1">'Net connection capex (SCS)'!M23+'Cash contributions (SCS)'!M28+IF(Gifted_Include_2429="Yes",'Gifted assets'!M23,0)</f>
        <v>0</v>
      </c>
      <c r="N23" s="171">
        <f ca="1">'Net connection capex (SCS)'!N23+'Cash contributions (SCS)'!N28+IF(Gifted_Include_2429="Yes",'Gifted assets'!N23,0)</f>
        <v>0</v>
      </c>
      <c r="O23" s="171">
        <f ca="1">'Net connection capex (SCS)'!O23+'Cash contributions (SCS)'!O28+IF(Gifted_Include_2429="Yes",'Gifted assets'!O23,0)</f>
        <v>0</v>
      </c>
      <c r="P23" s="172">
        <f ca="1">'Net connection capex (SCS)'!P23+'Cash contributions (SCS)'!P28+IF(Gifted_Include_2429="Yes",'Gifted assets'!P23,0)</f>
        <v>0</v>
      </c>
      <c r="Q23" s="21">
        <f t="shared" ca="1" si="6"/>
        <v>0</v>
      </c>
    </row>
    <row r="24" spans="3:17" ht="12.75" x14ac:dyDescent="0.3">
      <c r="C24" s="13">
        <f t="shared" si="4"/>
        <v>17</v>
      </c>
      <c r="D24" s="137" t="str">
        <f>Lookups!$D$57</f>
        <v>Buildings</v>
      </c>
      <c r="E24" s="14" t="str">
        <f t="shared" si="5"/>
        <v>Various</v>
      </c>
      <c r="F24" s="14" t="str">
        <f t="shared" si="0"/>
        <v>$Millions</v>
      </c>
      <c r="G24" s="14" t="str">
        <f t="shared" si="1"/>
        <v>Real $2021</v>
      </c>
      <c r="H24" s="14" t="str">
        <f t="shared" si="2"/>
        <v>End of Period</v>
      </c>
      <c r="J24" s="171">
        <f ca="1">'Net connection capex (SCS)'!J24+'Cash contributions (SCS)'!J29+IF(Gifted_Include_2224="Yes",'Gifted assets'!J24,0)</f>
        <v>0</v>
      </c>
      <c r="K24" s="169">
        <f ca="1">'Net connection capex (SCS)'!K24+'Cash contributions (SCS)'!K29+IF(Gifted_Include_2224="Yes",'Gifted assets'!K24,0)</f>
        <v>0</v>
      </c>
      <c r="L24" s="170">
        <f ca="1">'Net connection capex (SCS)'!L24+'Cash contributions (SCS)'!L29+IF(Gifted_Include_2429="Yes",'Gifted assets'!L24,0)</f>
        <v>0</v>
      </c>
      <c r="M24" s="171">
        <f ca="1">'Net connection capex (SCS)'!M24+'Cash contributions (SCS)'!M29+IF(Gifted_Include_2429="Yes",'Gifted assets'!M24,0)</f>
        <v>0</v>
      </c>
      <c r="N24" s="171">
        <f ca="1">'Net connection capex (SCS)'!N24+'Cash contributions (SCS)'!N29+IF(Gifted_Include_2429="Yes",'Gifted assets'!N24,0)</f>
        <v>0</v>
      </c>
      <c r="O24" s="171">
        <f ca="1">'Net connection capex (SCS)'!O24+'Cash contributions (SCS)'!O29+IF(Gifted_Include_2429="Yes",'Gifted assets'!O24,0)</f>
        <v>0</v>
      </c>
      <c r="P24" s="172">
        <f ca="1">'Net connection capex (SCS)'!P24+'Cash contributions (SCS)'!P29+IF(Gifted_Include_2429="Yes",'Gifted assets'!P24,0)</f>
        <v>0</v>
      </c>
      <c r="Q24" s="21">
        <f t="shared" ca="1" si="6"/>
        <v>0</v>
      </c>
    </row>
    <row r="25" spans="3:17" ht="12.75" x14ac:dyDescent="0.3">
      <c r="C25" s="13">
        <f t="shared" si="4"/>
        <v>18</v>
      </c>
      <c r="D25" s="137" t="str">
        <f>Lookups!$D$58</f>
        <v>In-house Software</v>
      </c>
      <c r="E25" s="14" t="str">
        <f t="shared" si="5"/>
        <v>Various</v>
      </c>
      <c r="F25" s="14" t="str">
        <f t="shared" si="0"/>
        <v>$Millions</v>
      </c>
      <c r="G25" s="14" t="str">
        <f t="shared" si="1"/>
        <v>Real $2021</v>
      </c>
      <c r="H25" s="14" t="str">
        <f t="shared" si="2"/>
        <v>End of Period</v>
      </c>
      <c r="J25" s="171">
        <f ca="1">'Net connection capex (SCS)'!J25+'Cash contributions (SCS)'!J30+IF(Gifted_Include_2224="Yes",'Gifted assets'!J25,0)</f>
        <v>0</v>
      </c>
      <c r="K25" s="169">
        <f ca="1">'Net connection capex (SCS)'!K25+'Cash contributions (SCS)'!K30+IF(Gifted_Include_2224="Yes",'Gifted assets'!K25,0)</f>
        <v>0</v>
      </c>
      <c r="L25" s="170">
        <f ca="1">'Net connection capex (SCS)'!L25+'Cash contributions (SCS)'!L30+IF(Gifted_Include_2429="Yes",'Gifted assets'!L25,0)</f>
        <v>0</v>
      </c>
      <c r="M25" s="171">
        <f ca="1">'Net connection capex (SCS)'!M25+'Cash contributions (SCS)'!M30+IF(Gifted_Include_2429="Yes",'Gifted assets'!M25,0)</f>
        <v>0</v>
      </c>
      <c r="N25" s="171">
        <f ca="1">'Net connection capex (SCS)'!N25+'Cash contributions (SCS)'!N30+IF(Gifted_Include_2429="Yes",'Gifted assets'!N25,0)</f>
        <v>0</v>
      </c>
      <c r="O25" s="171">
        <f ca="1">'Net connection capex (SCS)'!O25+'Cash contributions (SCS)'!O30+IF(Gifted_Include_2429="Yes",'Gifted assets'!O25,0)</f>
        <v>0</v>
      </c>
      <c r="P25" s="172">
        <f ca="1">'Net connection capex (SCS)'!P25+'Cash contributions (SCS)'!P30+IF(Gifted_Include_2429="Yes",'Gifted assets'!P25,0)</f>
        <v>0</v>
      </c>
      <c r="Q25" s="21">
        <f t="shared" ca="1" si="6"/>
        <v>0</v>
      </c>
    </row>
    <row r="26" spans="3:17" x14ac:dyDescent="0.3">
      <c r="L26" s="15"/>
      <c r="P26" s="16"/>
    </row>
    <row r="27" spans="3:17" ht="13.15" x14ac:dyDescent="0.3">
      <c r="D27" s="136" t="s">
        <v>150</v>
      </c>
      <c r="E27" s="17" t="s">
        <v>157</v>
      </c>
      <c r="F27" s="17" t="str">
        <f>Input_Unit</f>
        <v>$Millions</v>
      </c>
      <c r="G27" s="17" t="str">
        <f>Input_Dollar_Basis</f>
        <v>Real $2021</v>
      </c>
      <c r="H27" s="17" t="str">
        <f>End_Period</f>
        <v>End of Period</v>
      </c>
      <c r="J27" s="18">
        <f t="shared" ref="J27" ca="1" si="7">SUM(J8:J25)</f>
        <v>6.3746219362315921</v>
      </c>
      <c r="K27" s="18">
        <f t="shared" ref="K27:P27" ca="1" si="8">SUM(K8:K25)</f>
        <v>6.4315589613025175</v>
      </c>
      <c r="L27" s="19">
        <f t="shared" ca="1" si="8"/>
        <v>1.1504097552571197</v>
      </c>
      <c r="M27" s="18">
        <f t="shared" ca="1" si="8"/>
        <v>1.1563103200600815</v>
      </c>
      <c r="N27" s="18">
        <f t="shared" ca="1" si="8"/>
        <v>1.1623070533752002</v>
      </c>
      <c r="O27" s="18">
        <f t="shared" ca="1" si="8"/>
        <v>1.1684025210355098</v>
      </c>
      <c r="P27" s="20">
        <f t="shared" ca="1" si="8"/>
        <v>1.1745993583805534</v>
      </c>
      <c r="Q27" s="18">
        <f ca="1">SUM(Q8:Q25)</f>
        <v>5.812029008108464</v>
      </c>
    </row>
    <row r="28" spans="3:17" ht="11.25" customHeight="1" x14ac:dyDescent="0.3"/>
    <row r="29" spans="3:17" ht="11.25" customHeight="1" x14ac:dyDescent="0.3">
      <c r="D29" s="137" t="s">
        <v>306</v>
      </c>
      <c r="E29" s="14" t="s">
        <v>307</v>
      </c>
      <c r="F29" s="14" t="str">
        <f>Input_Unit</f>
        <v>$Millions</v>
      </c>
      <c r="G29" s="14" t="str">
        <f>Input_Dollar_Basis</f>
        <v>Real $2021</v>
      </c>
      <c r="H29" s="14" t="str">
        <f>End_Period</f>
        <v>End of Period</v>
      </c>
      <c r="J29" s="21">
        <f ca="1">'Net connection capex (SCS)'!J$27</f>
        <v>3.2608526239786522</v>
      </c>
      <c r="K29" s="169">
        <f ca="1">'Net connection capex (SCS)'!K$27</f>
        <v>3.3083001448710898</v>
      </c>
      <c r="L29" s="170">
        <f ca="1">'Net connection capex (SCS)'!L$27</f>
        <v>0.99318397813451942</v>
      </c>
      <c r="M29" s="21">
        <f ca="1">'Net connection capex (SCS)'!M$27</f>
        <v>0.99843081892275065</v>
      </c>
      <c r="N29" s="21">
        <f ca="1">'Net connection capex (SCS)'!N$27</f>
        <v>1.0037578001377796</v>
      </c>
      <c r="O29" s="21">
        <f ca="1">'Net connection capex (SCS)'!O$27</f>
        <v>1.009167059973801</v>
      </c>
      <c r="P29" s="21">
        <f ca="1">'Net connection capex (SCS)'!P$27</f>
        <v>1.0146607945471005</v>
      </c>
    </row>
    <row r="30" spans="3:17" ht="11.25" customHeight="1" x14ac:dyDescent="0.3">
      <c r="D30" s="137" t="s">
        <v>305</v>
      </c>
      <c r="E30" s="14" t="s">
        <v>308</v>
      </c>
      <c r="F30" s="14" t="str">
        <f>Input_Unit</f>
        <v>$Millions</v>
      </c>
      <c r="G30" s="14" t="str">
        <f>Input_Dollar_Basis</f>
        <v>Real $2021</v>
      </c>
      <c r="H30" s="14" t="str">
        <f>End_Period</f>
        <v>End of Period</v>
      </c>
      <c r="J30" s="21">
        <f ca="1">'Cash contributions (SCS)'!J$32</f>
        <v>0.65217052479573023</v>
      </c>
      <c r="K30" s="169">
        <f ca="1">'Cash contributions (SCS)'!K$32</f>
        <v>0.66166002897421794</v>
      </c>
      <c r="L30" s="170">
        <f ca="1">'Cash contributions (SCS)'!L$32</f>
        <v>0.15722577712260044</v>
      </c>
      <c r="M30" s="21">
        <f ca="1">'Cash contributions (SCS)'!M$32</f>
        <v>0.15787950113733074</v>
      </c>
      <c r="N30" s="21">
        <f ca="1">'Cash contributions (SCS)'!N$32</f>
        <v>0.15854925323742064</v>
      </c>
      <c r="O30" s="21">
        <f ca="1">'Cash contributions (SCS)'!O$32</f>
        <v>0.15923546106170899</v>
      </c>
      <c r="P30" s="21">
        <f ca="1">'Cash contributions (SCS)'!P$32</f>
        <v>0.15993856383345298</v>
      </c>
    </row>
    <row r="31" spans="3:17" ht="11.25" customHeight="1" x14ac:dyDescent="0.3">
      <c r="D31" s="137" t="s">
        <v>97</v>
      </c>
      <c r="E31" s="14" t="s">
        <v>296</v>
      </c>
      <c r="F31" s="14" t="str">
        <f>Input_Unit</f>
        <v>$Millions</v>
      </c>
      <c r="G31" s="14" t="str">
        <f>Input_Dollar_Basis</f>
        <v>Real $2021</v>
      </c>
      <c r="H31" s="14" t="str">
        <f>End_Period</f>
        <v>End of Period</v>
      </c>
      <c r="J31" s="21">
        <f>IF(Gifted_Include_2224="Yes",'Gifted assets'!J$27,0)</f>
        <v>2.4615987874572105</v>
      </c>
      <c r="K31" s="169">
        <f>IF(Gifted_Include_2224="Yes",'Gifted assets'!K$27,0)</f>
        <v>2.4615987874572105</v>
      </c>
      <c r="L31" s="170">
        <f>IF(Gifted_Include_2429="Yes",'Gifted assets'!L$27,0)</f>
        <v>0</v>
      </c>
      <c r="M31" s="21">
        <f>IF(Gifted_Include_2429="Yes",'Gifted assets'!M$27,0)</f>
        <v>0</v>
      </c>
      <c r="N31" s="21">
        <f>IF(Gifted_Include_2429="Yes",'Gifted assets'!N$27,0)</f>
        <v>0</v>
      </c>
      <c r="O31" s="21">
        <f>IF(Gifted_Include_2429="Yes",'Gifted assets'!O$27,0)</f>
        <v>0</v>
      </c>
      <c r="P31" s="21">
        <f>IF(Gifted_Include_2429="Yes",'Gifted assets'!P$27,0)</f>
        <v>0</v>
      </c>
    </row>
    <row r="32" spans="3:17" ht="11.25" customHeight="1" x14ac:dyDescent="0.3"/>
    <row r="33" spans="1:17" ht="11.25" customHeight="1" x14ac:dyDescent="0.3">
      <c r="A33" s="3">
        <f ca="1">IF(SUM($I33:$P33)&gt;0,1,0)</f>
        <v>0</v>
      </c>
      <c r="D33" s="137" t="s">
        <v>98</v>
      </c>
      <c r="E33" s="137"/>
      <c r="J33" s="3">
        <f t="shared" ref="J33" ca="1" si="9">IF(ROUND(J27-SUM(J29:J31),4)&lt;&gt;0,1,0)</f>
        <v>0</v>
      </c>
      <c r="K33" s="3">
        <f t="shared" ref="K33:P33" ca="1" si="10">IF(ROUND(K27-SUM(K29:K31),4)&lt;&gt;0,1,0)</f>
        <v>0</v>
      </c>
      <c r="L33" s="3">
        <f t="shared" ca="1" si="10"/>
        <v>0</v>
      </c>
      <c r="M33" s="3">
        <f t="shared" ca="1" si="10"/>
        <v>0</v>
      </c>
      <c r="N33" s="3">
        <f t="shared" ca="1" si="10"/>
        <v>0</v>
      </c>
      <c r="O33" s="3">
        <f t="shared" ca="1" si="10"/>
        <v>0</v>
      </c>
      <c r="P33" s="3">
        <f t="shared" ca="1" si="10"/>
        <v>0</v>
      </c>
    </row>
    <row r="35" spans="1:17" s="7" customFormat="1" ht="13.9" x14ac:dyDescent="0.45">
      <c r="C35" s="7" t="s">
        <v>300</v>
      </c>
    </row>
    <row r="37" spans="1:17" ht="26.25" x14ac:dyDescent="0.3">
      <c r="C37" s="143" t="s">
        <v>81</v>
      </c>
      <c r="D37" s="144" t="s">
        <v>89</v>
      </c>
      <c r="E37" s="144" t="s">
        <v>90</v>
      </c>
      <c r="F37" s="145" t="s">
        <v>17</v>
      </c>
      <c r="G37" s="145" t="s">
        <v>83</v>
      </c>
      <c r="H37" s="145" t="s">
        <v>84</v>
      </c>
      <c r="J37" s="10" t="str">
        <f>Lookups!I$11</f>
        <v>FY23</v>
      </c>
      <c r="K37" s="10" t="str">
        <f>Lookups!J$11</f>
        <v>FY24</v>
      </c>
      <c r="L37" s="11" t="str">
        <f>Lookups!K$11</f>
        <v>FY25</v>
      </c>
      <c r="M37" s="10" t="str">
        <f>Lookups!L$11</f>
        <v>FY26</v>
      </c>
      <c r="N37" s="10" t="str">
        <f>Lookups!M$11</f>
        <v>FY27</v>
      </c>
      <c r="O37" s="10" t="str">
        <f>Lookups!N$11</f>
        <v>FY28</v>
      </c>
      <c r="P37" s="12" t="str">
        <f>Lookups!O$11</f>
        <v>FY29</v>
      </c>
      <c r="Q37" s="10" t="str">
        <f>Lookups!Q$11</f>
        <v>Total FY25 to FY29</v>
      </c>
    </row>
    <row r="38" spans="1:17" ht="12.75" x14ac:dyDescent="0.3">
      <c r="C38" s="146">
        <f>N(C37)+1</f>
        <v>1</v>
      </c>
      <c r="D38" s="184" t="str">
        <f>'Net connection capex (SCS)'!D34</f>
        <v>RESIDENTIAL</v>
      </c>
      <c r="E38" s="184" t="str">
        <f>'Net connection capex (SCS)'!E34</f>
        <v>Simple connection LV</v>
      </c>
      <c r="F38" s="148" t="str">
        <f t="shared" ref="F38:F51" si="11">Input_Unit</f>
        <v>$Millions</v>
      </c>
      <c r="G38" s="148" t="str">
        <f t="shared" ref="G38:G51" si="12">Input_Dollar_Basis</f>
        <v>Real $2021</v>
      </c>
      <c r="H38" s="148" t="str">
        <f t="shared" ref="H38:H51" si="13">End_Period</f>
        <v>End of Period</v>
      </c>
      <c r="J38" s="171">
        <f>('Net connection capex (SCS)'!J34+'Cash contributions (SCS)'!J39)/10^6
+IF('Cash contributions (SCS)'!J$54=0,0,J$31*('Cash contributions (SCS)'!J39/'Cash contributions (SCS)'!J$54))</f>
        <v>0.39703637844654338</v>
      </c>
      <c r="K38" s="169">
        <f>('Net connection capex (SCS)'!K34+'Cash contributions (SCS)'!K39)/10^6
+IF('Cash contributions (SCS)'!K$54=0,0,K$31*('Cash contributions (SCS)'!K39/'Cash contributions (SCS)'!K$54))</f>
        <v>0.39868329198322822</v>
      </c>
      <c r="L38" s="170">
        <f>('Net connection capex (SCS)'!L34+'Cash contributions (SCS)'!L39)/10^6
+IF('Cash contributions (SCS)'!L$54=0,0,L$31*('Cash contributions (SCS)'!L39/'Cash contributions (SCS)'!L$54))</f>
        <v>0.20705509252151705</v>
      </c>
      <c r="M38" s="171">
        <f>('Net connection capex (SCS)'!M34+'Cash contributions (SCS)'!M39)/10^6
+IF('Cash contributions (SCS)'!M$54=0,0,M$31*('Cash contributions (SCS)'!M39/'Cash contributions (SCS)'!M$54))</f>
        <v>0.20903331323609706</v>
      </c>
      <c r="N38" s="171">
        <f>('Net connection capex (SCS)'!N34+'Cash contributions (SCS)'!N39)/10^6
+IF('Cash contributions (SCS)'!N$54=0,0,N$31*('Cash contributions (SCS)'!N39/'Cash contributions (SCS)'!N$54))</f>
        <v>0.21101153395067657</v>
      </c>
      <c r="O38" s="171">
        <f>('Net connection capex (SCS)'!O34+'Cash contributions (SCS)'!O39)/10^6
+IF('Cash contributions (SCS)'!O$54=0,0,O$31*('Cash contributions (SCS)'!O39/'Cash contributions (SCS)'!O$54))</f>
        <v>0.21298975466525608</v>
      </c>
      <c r="P38" s="172">
        <f>('Net connection capex (SCS)'!P34+'Cash contributions (SCS)'!P39)/10^6
+IF('Cash contributions (SCS)'!P$54=0,0,P$31*('Cash contributions (SCS)'!P39/'Cash contributions (SCS)'!P$54))</f>
        <v>0.21496797537983561</v>
      </c>
      <c r="Q38" s="21">
        <f t="shared" ref="Q38:Q51" si="14">SUM(L38:P38)</f>
        <v>1.0550576697533822</v>
      </c>
    </row>
    <row r="39" spans="1:17" ht="12.75" x14ac:dyDescent="0.3">
      <c r="C39" s="146">
        <f t="shared" ref="C39:C51" si="15">N(C38)+1</f>
        <v>2</v>
      </c>
      <c r="D39" s="184"/>
      <c r="E39" s="184" t="str">
        <f>'Net connection capex (SCS)'!E35</f>
        <v>Complex connection LV</v>
      </c>
      <c r="F39" s="148" t="str">
        <f t="shared" si="11"/>
        <v>$Millions</v>
      </c>
      <c r="G39" s="148" t="str">
        <f t="shared" si="12"/>
        <v>Real $2021</v>
      </c>
      <c r="H39" s="148" t="str">
        <f t="shared" si="13"/>
        <v>End of Period</v>
      </c>
      <c r="J39" s="171">
        <f>('Net connection capex (SCS)'!J35+'Cash contributions (SCS)'!J40)/10^6
+IF('Cash contributions (SCS)'!J$54=0,0,J$31*('Cash contributions (SCS)'!J40/'Cash contributions (SCS)'!J$54))</f>
        <v>0.15378814917582631</v>
      </c>
      <c r="K39" s="169">
        <f>('Net connection capex (SCS)'!K35+'Cash contributions (SCS)'!K40)/10^6
+IF('Cash contributions (SCS)'!K$54=0,0,K$31*('Cash contributions (SCS)'!K40/'Cash contributions (SCS)'!K$54))</f>
        <v>0.15334545298061111</v>
      </c>
      <c r="L39" s="170">
        <f>('Net connection capex (SCS)'!L35+'Cash contributions (SCS)'!L40)/10^6
+IF('Cash contributions (SCS)'!L$54=0,0,L$31*('Cash contributions (SCS)'!L40/'Cash contributions (SCS)'!L$54))</f>
        <v>9.4906869930720394E-2</v>
      </c>
      <c r="M39" s="171">
        <f>('Net connection capex (SCS)'!M35+'Cash contributions (SCS)'!M40)/10^6
+IF('Cash contributions (SCS)'!M$54=0,0,M$31*('Cash contributions (SCS)'!M40/'Cash contributions (SCS)'!M$54))</f>
        <v>9.5159341940784098E-2</v>
      </c>
      <c r="N39" s="171">
        <f>('Net connection capex (SCS)'!N35+'Cash contributions (SCS)'!N40)/10^6
+IF('Cash contributions (SCS)'!N$54=0,0,N$31*('Cash contributions (SCS)'!N40/'Cash contributions (SCS)'!N$54))</f>
        <v>9.5411813950847746E-2</v>
      </c>
      <c r="O39" s="171">
        <f>('Net connection capex (SCS)'!O35+'Cash contributions (SCS)'!O40)/10^6
+IF('Cash contributions (SCS)'!O$54=0,0,O$31*('Cash contributions (SCS)'!O40/'Cash contributions (SCS)'!O$54))</f>
        <v>9.5664285960911477E-2</v>
      </c>
      <c r="P39" s="172">
        <f>('Net connection capex (SCS)'!P35+'Cash contributions (SCS)'!P40)/10^6
+IF('Cash contributions (SCS)'!P$54=0,0,P$31*('Cash contributions (SCS)'!P40/'Cash contributions (SCS)'!P$54))</f>
        <v>9.5916757970975125E-2</v>
      </c>
      <c r="Q39" s="21">
        <f t="shared" si="14"/>
        <v>0.47705906975423884</v>
      </c>
    </row>
    <row r="40" spans="1:17" ht="12.75" x14ac:dyDescent="0.3">
      <c r="C40" s="146">
        <f t="shared" si="15"/>
        <v>3</v>
      </c>
      <c r="D40" s="184"/>
      <c r="E40" s="184" t="str">
        <f>'Net connection capex (SCS)'!E36</f>
        <v>Complex connection HV</v>
      </c>
      <c r="F40" s="148" t="str">
        <f t="shared" si="11"/>
        <v>$Millions</v>
      </c>
      <c r="G40" s="148" t="str">
        <f t="shared" si="12"/>
        <v>Real $2021</v>
      </c>
      <c r="H40" s="148" t="str">
        <f t="shared" si="13"/>
        <v>End of Period</v>
      </c>
      <c r="J40" s="171">
        <f>('Net connection capex (SCS)'!J36+'Cash contributions (SCS)'!J41)/10^6
+IF('Cash contributions (SCS)'!J$54=0,0,J$31*('Cash contributions (SCS)'!J41/'Cash contributions (SCS)'!J$54))</f>
        <v>0.49943765652547456</v>
      </c>
      <c r="K40" s="169">
        <f>('Net connection capex (SCS)'!K36+'Cash contributions (SCS)'!K41)/10^6
+IF('Cash contributions (SCS)'!K$54=0,0,K$31*('Cash contributions (SCS)'!K41/'Cash contributions (SCS)'!K$54))</f>
        <v>0.49667165291731119</v>
      </c>
      <c r="L40" s="170">
        <f>('Net connection capex (SCS)'!L36+'Cash contributions (SCS)'!L41)/10^6
+IF('Cash contributions (SCS)'!L$54=0,0,L$31*('Cash contributions (SCS)'!L41/'Cash contributions (SCS)'!L$54))</f>
        <v>0.30657678696928609</v>
      </c>
      <c r="M40" s="171">
        <f>('Net connection capex (SCS)'!M36+'Cash contributions (SCS)'!M41)/10^6
+IF('Cash contributions (SCS)'!M$54=0,0,M$31*('Cash contributions (SCS)'!M41/'Cash contributions (SCS)'!M$54))</f>
        <v>0.30657678696928609</v>
      </c>
      <c r="N40" s="171">
        <f>('Net connection capex (SCS)'!N36+'Cash contributions (SCS)'!N41)/10^6
+IF('Cash contributions (SCS)'!N$54=0,0,N$31*('Cash contributions (SCS)'!N41/'Cash contributions (SCS)'!N$54))</f>
        <v>0.30657678696928609</v>
      </c>
      <c r="O40" s="171">
        <f>('Net connection capex (SCS)'!O36+'Cash contributions (SCS)'!O41)/10^6
+IF('Cash contributions (SCS)'!O$54=0,0,O$31*('Cash contributions (SCS)'!O41/'Cash contributions (SCS)'!O$54))</f>
        <v>0.30657678696928609</v>
      </c>
      <c r="P40" s="172">
        <f>('Net connection capex (SCS)'!P36+'Cash contributions (SCS)'!P41)/10^6
+IF('Cash contributions (SCS)'!P$54=0,0,P$31*('Cash contributions (SCS)'!P41/'Cash contributions (SCS)'!P$54))</f>
        <v>0.30657678696928609</v>
      </c>
      <c r="Q40" s="21">
        <f t="shared" si="14"/>
        <v>1.5328839348464305</v>
      </c>
    </row>
    <row r="41" spans="1:17" ht="12.75" x14ac:dyDescent="0.3">
      <c r="C41" s="146">
        <f t="shared" si="15"/>
        <v>4</v>
      </c>
      <c r="D41" s="184" t="str">
        <f>'Net connection capex (SCS)'!D37</f>
        <v>COMMERCIAL/INDUSTRIAL</v>
      </c>
      <c r="E41" s="184" t="str">
        <f>'Net connection capex (SCS)'!E37</f>
        <v>Simple connection LV</v>
      </c>
      <c r="F41" s="148" t="str">
        <f t="shared" si="11"/>
        <v>$Millions</v>
      </c>
      <c r="G41" s="148" t="str">
        <f t="shared" si="12"/>
        <v>Real $2021</v>
      </c>
      <c r="H41" s="148" t="str">
        <f t="shared" si="13"/>
        <v>End of Period</v>
      </c>
      <c r="J41" s="171">
        <f>('Net connection capex (SCS)'!J37+'Cash contributions (SCS)'!J42)/10^6
+IF('Cash contributions (SCS)'!J$54=0,0,J$31*('Cash contributions (SCS)'!J42/'Cash contributions (SCS)'!J$54))</f>
        <v>0.19315024621201357</v>
      </c>
      <c r="K41" s="169">
        <f>('Net connection capex (SCS)'!K37+'Cash contributions (SCS)'!K42)/10^6
+IF('Cash contributions (SCS)'!K$54=0,0,K$31*('Cash contributions (SCS)'!K42/'Cash contributions (SCS)'!K$54))</f>
        <v>0.1977263720225185</v>
      </c>
      <c r="L41" s="170">
        <f>('Net connection capex (SCS)'!L37+'Cash contributions (SCS)'!L42)/10^6
+IF('Cash contributions (SCS)'!L$54=0,0,L$31*('Cash contributions (SCS)'!L42/'Cash contributions (SCS)'!L$54))</f>
        <v>0.12562527678096239</v>
      </c>
      <c r="M41" s="171">
        <f>('Net connection capex (SCS)'!M37+'Cash contributions (SCS)'!M42)/10^6
+IF('Cash contributions (SCS)'!M$54=0,0,M$31*('Cash contributions (SCS)'!M42/'Cash contributions (SCS)'!M$54))</f>
        <v>0.12929514885928031</v>
      </c>
      <c r="N41" s="171">
        <f>('Net connection capex (SCS)'!N37+'Cash contributions (SCS)'!N42)/10^6
+IF('Cash contributions (SCS)'!N$54=0,0,N$31*('Cash contributions (SCS)'!N42/'Cash contributions (SCS)'!N$54))</f>
        <v>0.13306118944975612</v>
      </c>
      <c r="O41" s="171">
        <f>('Net connection capex (SCS)'!O37+'Cash contributions (SCS)'!O42)/10^6
+IF('Cash contributions (SCS)'!O$54=0,0,O$31*('Cash contributions (SCS)'!O42/'Cash contributions (SCS)'!O$54))</f>
        <v>0.13692596438542251</v>
      </c>
      <c r="P41" s="172">
        <f>('Net connection capex (SCS)'!P37+'Cash contributions (SCS)'!P42)/10^6
+IF('Cash contributions (SCS)'!P$54=0,0,P$31*('Cash contributions (SCS)'!P42/'Cash contributions (SCS)'!P$54))</f>
        <v>0.14089210900582277</v>
      </c>
      <c r="Q41" s="21">
        <f t="shared" si="14"/>
        <v>0.66579968848124405</v>
      </c>
    </row>
    <row r="42" spans="1:17" ht="12.75" x14ac:dyDescent="0.3">
      <c r="C42" s="146">
        <f t="shared" si="15"/>
        <v>5</v>
      </c>
      <c r="D42" s="184"/>
      <c r="E42" s="184" t="str">
        <f>'Net connection capex (SCS)'!E38</f>
        <v>Complex connection HV (customer connected at LV, minor HV works)</v>
      </c>
      <c r="F42" s="148" t="str">
        <f t="shared" si="11"/>
        <v>$Millions</v>
      </c>
      <c r="G42" s="148" t="str">
        <f t="shared" si="12"/>
        <v>Real $2021</v>
      </c>
      <c r="H42" s="148" t="str">
        <f t="shared" si="13"/>
        <v>End of Period</v>
      </c>
      <c r="J42" s="171">
        <f>('Net connection capex (SCS)'!J38+'Cash contributions (SCS)'!J43)/10^6
+IF('Cash contributions (SCS)'!J$54=0,0,J$31*('Cash contributions (SCS)'!J43/'Cash contributions (SCS)'!J$54))</f>
        <v>2.3905643531100278</v>
      </c>
      <c r="K42" s="169">
        <f>('Net connection capex (SCS)'!K38+'Cash contributions (SCS)'!K43)/10^6
+IF('Cash contributions (SCS)'!K$54=0,0,K$31*('Cash contributions (SCS)'!K43/'Cash contributions (SCS)'!K$54))</f>
        <v>2.3011871254547605</v>
      </c>
      <c r="L42" s="170">
        <f>('Net connection capex (SCS)'!L38+'Cash contributions (SCS)'!L43)/10^6
+IF('Cash contributions (SCS)'!L$54=0,0,L$31*('Cash contributions (SCS)'!L43/'Cash contributions (SCS)'!L$54))</f>
        <v>0</v>
      </c>
      <c r="M42" s="171">
        <f>('Net connection capex (SCS)'!M38+'Cash contributions (SCS)'!M43)/10^6
+IF('Cash contributions (SCS)'!M$54=0,0,M$31*('Cash contributions (SCS)'!M43/'Cash contributions (SCS)'!M$54))</f>
        <v>0</v>
      </c>
      <c r="N42" s="171">
        <f>('Net connection capex (SCS)'!N38+'Cash contributions (SCS)'!N43)/10^6
+IF('Cash contributions (SCS)'!N$54=0,0,N$31*('Cash contributions (SCS)'!N43/'Cash contributions (SCS)'!N$54))</f>
        <v>0</v>
      </c>
      <c r="O42" s="171">
        <f>('Net connection capex (SCS)'!O38+'Cash contributions (SCS)'!O43)/10^6
+IF('Cash contributions (SCS)'!O$54=0,0,O$31*('Cash contributions (SCS)'!O43/'Cash contributions (SCS)'!O$54))</f>
        <v>0</v>
      </c>
      <c r="P42" s="172">
        <f>('Net connection capex (SCS)'!P38+'Cash contributions (SCS)'!P43)/10^6
+IF('Cash contributions (SCS)'!P$54=0,0,P$31*('Cash contributions (SCS)'!P43/'Cash contributions (SCS)'!P$54))</f>
        <v>0</v>
      </c>
      <c r="Q42" s="21">
        <f t="shared" si="14"/>
        <v>0</v>
      </c>
    </row>
    <row r="43" spans="1:17" ht="12.75" x14ac:dyDescent="0.3">
      <c r="C43" s="146">
        <f t="shared" si="15"/>
        <v>6</v>
      </c>
      <c r="D43" s="184"/>
      <c r="E43" s="184" t="str">
        <f>'Net connection capex (SCS)'!E39</f>
        <v>Complex connection HV (customer connected at LV, upstream asset works)</v>
      </c>
      <c r="F43" s="148" t="str">
        <f t="shared" si="11"/>
        <v>$Millions</v>
      </c>
      <c r="G43" s="148" t="str">
        <f t="shared" si="12"/>
        <v>Real $2021</v>
      </c>
      <c r="H43" s="148" t="str">
        <f t="shared" si="13"/>
        <v>End of Period</v>
      </c>
      <c r="J43" s="171">
        <f>('Net connection capex (SCS)'!J39+'Cash contributions (SCS)'!J44)/10^6
+IF('Cash contributions (SCS)'!J$54=0,0,J$31*('Cash contributions (SCS)'!J44/'Cash contributions (SCS)'!J$54))</f>
        <v>0.49987467363786015</v>
      </c>
      <c r="K43" s="169">
        <f>('Net connection capex (SCS)'!K39+'Cash contributions (SCS)'!K44)/10^6
+IF('Cash contributions (SCS)'!K$54=0,0,K$31*('Cash contributions (SCS)'!K44/'Cash contributions (SCS)'!K$54))</f>
        <v>0.4957546428205295</v>
      </c>
      <c r="L43" s="170">
        <f>('Net connection capex (SCS)'!L39+'Cash contributions (SCS)'!L44)/10^6
+IF('Cash contributions (SCS)'!L$54=0,0,L$31*('Cash contributions (SCS)'!L44/'Cash contributions (SCS)'!L$54))</f>
        <v>0</v>
      </c>
      <c r="M43" s="171">
        <f>('Net connection capex (SCS)'!M39+'Cash contributions (SCS)'!M44)/10^6
+IF('Cash contributions (SCS)'!M$54=0,0,M$31*('Cash contributions (SCS)'!M44/'Cash contributions (SCS)'!M$54))</f>
        <v>0</v>
      </c>
      <c r="N43" s="171">
        <f>('Net connection capex (SCS)'!N39+'Cash contributions (SCS)'!N44)/10^6
+IF('Cash contributions (SCS)'!N$54=0,0,N$31*('Cash contributions (SCS)'!N44/'Cash contributions (SCS)'!N$54))</f>
        <v>0</v>
      </c>
      <c r="O43" s="171">
        <f>('Net connection capex (SCS)'!O39+'Cash contributions (SCS)'!O44)/10^6
+IF('Cash contributions (SCS)'!O$54=0,0,O$31*('Cash contributions (SCS)'!O44/'Cash contributions (SCS)'!O$54))</f>
        <v>0</v>
      </c>
      <c r="P43" s="172">
        <f>('Net connection capex (SCS)'!P39+'Cash contributions (SCS)'!P44)/10^6
+IF('Cash contributions (SCS)'!P$54=0,0,P$31*('Cash contributions (SCS)'!P44/'Cash contributions (SCS)'!P$54))</f>
        <v>0</v>
      </c>
      <c r="Q43" s="21">
        <f t="shared" si="14"/>
        <v>0</v>
      </c>
    </row>
    <row r="44" spans="1:17" ht="12.75" x14ac:dyDescent="0.3">
      <c r="C44" s="146">
        <f t="shared" si="15"/>
        <v>7</v>
      </c>
      <c r="D44" s="184"/>
      <c r="E44" s="184" t="str">
        <f>'Net connection capex (SCS)'!E40</f>
        <v>Complex connection HV (customer connected at HV)</v>
      </c>
      <c r="F44" s="148" t="str">
        <f t="shared" si="11"/>
        <v>$Millions</v>
      </c>
      <c r="G44" s="148" t="str">
        <f t="shared" si="12"/>
        <v>Real $2021</v>
      </c>
      <c r="H44" s="148" t="str">
        <f t="shared" si="13"/>
        <v>End of Period</v>
      </c>
      <c r="J44" s="171">
        <f>('Net connection capex (SCS)'!J40+'Cash contributions (SCS)'!J45)/10^6
+IF('Cash contributions (SCS)'!J$54=0,0,J$31*('Cash contributions (SCS)'!J45/'Cash contributions (SCS)'!J$54))</f>
        <v>1.0764712230584474</v>
      </c>
      <c r="K44" s="169">
        <f>('Net connection capex (SCS)'!K40+'Cash contributions (SCS)'!K45)/10^6
+IF('Cash contributions (SCS)'!K$54=0,0,K$31*('Cash contributions (SCS)'!K45/'Cash contributions (SCS)'!K$54))</f>
        <v>1.2303393311106325</v>
      </c>
      <c r="L44" s="170">
        <f>('Net connection capex (SCS)'!L40+'Cash contributions (SCS)'!L45)/10^6
+IF('Cash contributions (SCS)'!L$54=0,0,L$31*('Cash contributions (SCS)'!L45/'Cash contributions (SCS)'!L$54))</f>
        <v>0</v>
      </c>
      <c r="M44" s="171">
        <f>('Net connection capex (SCS)'!M40+'Cash contributions (SCS)'!M45)/10^6
+IF('Cash contributions (SCS)'!M$54=0,0,M$31*('Cash contributions (SCS)'!M45/'Cash contributions (SCS)'!M$54))</f>
        <v>0</v>
      </c>
      <c r="N44" s="171">
        <f>('Net connection capex (SCS)'!N40+'Cash contributions (SCS)'!N45)/10^6
+IF('Cash contributions (SCS)'!N$54=0,0,N$31*('Cash contributions (SCS)'!N45/'Cash contributions (SCS)'!N$54))</f>
        <v>0</v>
      </c>
      <c r="O44" s="171">
        <f>('Net connection capex (SCS)'!O40+'Cash contributions (SCS)'!O45)/10^6
+IF('Cash contributions (SCS)'!O$54=0,0,O$31*('Cash contributions (SCS)'!O45/'Cash contributions (SCS)'!O$54))</f>
        <v>0</v>
      </c>
      <c r="P44" s="172">
        <f>('Net connection capex (SCS)'!P40+'Cash contributions (SCS)'!P45)/10^6
+IF('Cash contributions (SCS)'!P$54=0,0,P$31*('Cash contributions (SCS)'!P45/'Cash contributions (SCS)'!P$54))</f>
        <v>0</v>
      </c>
      <c r="Q44" s="21">
        <f t="shared" si="14"/>
        <v>0</v>
      </c>
    </row>
    <row r="45" spans="1:17" ht="12.75" x14ac:dyDescent="0.3">
      <c r="C45" s="146">
        <f t="shared" si="15"/>
        <v>8</v>
      </c>
      <c r="D45" s="184"/>
      <c r="E45" s="184" t="str">
        <f>'Net connection capex (SCS)'!E41</f>
        <v>Complex connection sub-transmission</v>
      </c>
      <c r="F45" s="148" t="str">
        <f t="shared" si="11"/>
        <v>$Millions</v>
      </c>
      <c r="G45" s="148" t="str">
        <f t="shared" si="12"/>
        <v>Real $2021</v>
      </c>
      <c r="H45" s="148" t="str">
        <f t="shared" si="13"/>
        <v>End of Period</v>
      </c>
      <c r="J45" s="171">
        <f>('Net connection capex (SCS)'!J41+'Cash contributions (SCS)'!J46)/10^6
+IF('Cash contributions (SCS)'!J$54=0,0,J$31*('Cash contributions (SCS)'!J46/'Cash contributions (SCS)'!J$54))</f>
        <v>0</v>
      </c>
      <c r="K45" s="169">
        <f>('Net connection capex (SCS)'!K41+'Cash contributions (SCS)'!K46)/10^6
+IF('Cash contributions (SCS)'!K$54=0,0,K$31*('Cash contributions (SCS)'!K46/'Cash contributions (SCS)'!K$54))</f>
        <v>0</v>
      </c>
      <c r="L45" s="170">
        <f>('Net connection capex (SCS)'!L41+'Cash contributions (SCS)'!L46)/10^6
+IF('Cash contributions (SCS)'!L$54=0,0,L$31*('Cash contributions (SCS)'!L46/'Cash contributions (SCS)'!L$54))</f>
        <v>0</v>
      </c>
      <c r="M45" s="171">
        <f>('Net connection capex (SCS)'!M41+'Cash contributions (SCS)'!M46)/10^6
+IF('Cash contributions (SCS)'!M$54=0,0,M$31*('Cash contributions (SCS)'!M46/'Cash contributions (SCS)'!M$54))</f>
        <v>0</v>
      </c>
      <c r="N45" s="171">
        <f>('Net connection capex (SCS)'!N41+'Cash contributions (SCS)'!N46)/10^6
+IF('Cash contributions (SCS)'!N$54=0,0,N$31*('Cash contributions (SCS)'!N46/'Cash contributions (SCS)'!N$54))</f>
        <v>0</v>
      </c>
      <c r="O45" s="171">
        <f>('Net connection capex (SCS)'!O41+'Cash contributions (SCS)'!O46)/10^6
+IF('Cash contributions (SCS)'!O$54=0,0,O$31*('Cash contributions (SCS)'!O46/'Cash contributions (SCS)'!O$54))</f>
        <v>0</v>
      </c>
      <c r="P45" s="172">
        <f>('Net connection capex (SCS)'!P41+'Cash contributions (SCS)'!P46)/10^6
+IF('Cash contributions (SCS)'!P$54=0,0,P$31*('Cash contributions (SCS)'!P46/'Cash contributions (SCS)'!P$54))</f>
        <v>0</v>
      </c>
      <c r="Q45" s="21">
        <f t="shared" si="14"/>
        <v>0</v>
      </c>
    </row>
    <row r="46" spans="1:17" ht="12.75" x14ac:dyDescent="0.3">
      <c r="C46" s="146">
        <f t="shared" si="15"/>
        <v>9</v>
      </c>
      <c r="D46" s="184" t="str">
        <f>'Net connection capex (SCS)'!D42</f>
        <v>SUBDIVISION</v>
      </c>
      <c r="E46" s="184" t="str">
        <f>'Net connection capex (SCS)'!E42</f>
        <v>Complex connection LV</v>
      </c>
      <c r="F46" s="148" t="str">
        <f t="shared" si="11"/>
        <v>$Millions</v>
      </c>
      <c r="G46" s="148" t="str">
        <f t="shared" si="12"/>
        <v>Real $2021</v>
      </c>
      <c r="H46" s="148" t="str">
        <f t="shared" si="13"/>
        <v>End of Period</v>
      </c>
      <c r="J46" s="171">
        <f>('Net connection capex (SCS)'!J42+'Cash contributions (SCS)'!J47)/10^6
+IF('Cash contributions (SCS)'!J$54=0,0,J$31*('Cash contributions (SCS)'!J47/'Cash contributions (SCS)'!J$54))</f>
        <v>0.67809697372362043</v>
      </c>
      <c r="K46" s="169">
        <f>('Net connection capex (SCS)'!K42+'Cash contributions (SCS)'!K47)/10^6
+IF('Cash contributions (SCS)'!K$54=0,0,K$31*('Cash contributions (SCS)'!K47/'Cash contributions (SCS)'!K$54))</f>
        <v>0.67434151265355879</v>
      </c>
      <c r="L46" s="170">
        <f>('Net connection capex (SCS)'!L42+'Cash contributions (SCS)'!L47)/10^6
+IF('Cash contributions (SCS)'!L$54=0,0,L$31*('Cash contributions (SCS)'!L47/'Cash contributions (SCS)'!L$54))</f>
        <v>0.41624572905463381</v>
      </c>
      <c r="M46" s="171">
        <f>('Net connection capex (SCS)'!M42+'Cash contributions (SCS)'!M47)/10^6
+IF('Cash contributions (SCS)'!M$54=0,0,M$31*('Cash contributions (SCS)'!M47/'Cash contributions (SCS)'!M$54))</f>
        <v>0.41624572905463381</v>
      </c>
      <c r="N46" s="171">
        <f>('Net connection capex (SCS)'!N42+'Cash contributions (SCS)'!N47)/10^6
+IF('Cash contributions (SCS)'!N$54=0,0,N$31*('Cash contributions (SCS)'!N47/'Cash contributions (SCS)'!N$54))</f>
        <v>0.41624572905463381</v>
      </c>
      <c r="O46" s="171">
        <f>('Net connection capex (SCS)'!O42+'Cash contributions (SCS)'!O47)/10^6
+IF('Cash contributions (SCS)'!O$54=0,0,O$31*('Cash contributions (SCS)'!O47/'Cash contributions (SCS)'!O$54))</f>
        <v>0.41624572905463381</v>
      </c>
      <c r="P46" s="172">
        <f>('Net connection capex (SCS)'!P42+'Cash contributions (SCS)'!P47)/10^6
+IF('Cash contributions (SCS)'!P$54=0,0,P$31*('Cash contributions (SCS)'!P47/'Cash contributions (SCS)'!P$54))</f>
        <v>0.41624572905463381</v>
      </c>
      <c r="Q46" s="21">
        <f t="shared" si="14"/>
        <v>2.081228645273169</v>
      </c>
    </row>
    <row r="47" spans="1:17" ht="12.75" x14ac:dyDescent="0.3">
      <c r="C47" s="146">
        <f t="shared" si="15"/>
        <v>10</v>
      </c>
      <c r="D47" s="184"/>
      <c r="E47" s="184" t="str">
        <f>'Net connection capex (SCS)'!E43</f>
        <v>Complex connection HV (no upstream asset works)</v>
      </c>
      <c r="F47" s="148" t="str">
        <f t="shared" si="11"/>
        <v>$Millions</v>
      </c>
      <c r="G47" s="148" t="str">
        <f t="shared" si="12"/>
        <v>Real $2021</v>
      </c>
      <c r="H47" s="148" t="str">
        <f t="shared" si="13"/>
        <v>End of Period</v>
      </c>
      <c r="J47" s="171">
        <f>('Net connection capex (SCS)'!J43+'Cash contributions (SCS)'!J48)/10^6
+IF('Cash contributions (SCS)'!J$54=0,0,J$31*('Cash contributions (SCS)'!J48/'Cash contributions (SCS)'!J$54))</f>
        <v>0.25055988066968288</v>
      </c>
      <c r="K47" s="169">
        <f>('Net connection capex (SCS)'!K43+'Cash contributions (SCS)'!K48)/10^6
+IF('Cash contributions (SCS)'!K$54=0,0,K$31*('Cash contributions (SCS)'!K48/'Cash contributions (SCS)'!K$54))</f>
        <v>0.24917222091888475</v>
      </c>
      <c r="L47" s="170">
        <f>('Net connection capex (SCS)'!L43+'Cash contributions (SCS)'!L48)/10^6
+IF('Cash contributions (SCS)'!L$54=0,0,L$31*('Cash contributions (SCS)'!L48/'Cash contributions (SCS)'!L$54))</f>
        <v>0</v>
      </c>
      <c r="M47" s="171">
        <f>('Net connection capex (SCS)'!M43+'Cash contributions (SCS)'!M48)/10^6
+IF('Cash contributions (SCS)'!M$54=0,0,M$31*('Cash contributions (SCS)'!M48/'Cash contributions (SCS)'!M$54))</f>
        <v>0</v>
      </c>
      <c r="N47" s="171">
        <f>('Net connection capex (SCS)'!N43+'Cash contributions (SCS)'!N48)/10^6
+IF('Cash contributions (SCS)'!N$54=0,0,N$31*('Cash contributions (SCS)'!N48/'Cash contributions (SCS)'!N$54))</f>
        <v>0</v>
      </c>
      <c r="O47" s="171">
        <f>('Net connection capex (SCS)'!O43+'Cash contributions (SCS)'!O48)/10^6
+IF('Cash contributions (SCS)'!O$54=0,0,O$31*('Cash contributions (SCS)'!O48/'Cash contributions (SCS)'!O$54))</f>
        <v>0</v>
      </c>
      <c r="P47" s="172">
        <f>('Net connection capex (SCS)'!P43+'Cash contributions (SCS)'!P48)/10^6
+IF('Cash contributions (SCS)'!P$54=0,0,P$31*('Cash contributions (SCS)'!P48/'Cash contributions (SCS)'!P$54))</f>
        <v>0</v>
      </c>
      <c r="Q47" s="21">
        <f t="shared" si="14"/>
        <v>0</v>
      </c>
    </row>
    <row r="48" spans="1:17" ht="12.75" x14ac:dyDescent="0.3">
      <c r="C48" s="146">
        <f t="shared" si="15"/>
        <v>11</v>
      </c>
      <c r="D48" s="184"/>
      <c r="E48" s="184" t="str">
        <f>'Net connection capex (SCS)'!E44</f>
        <v>Complex connection HV (with upstream asset works)</v>
      </c>
      <c r="F48" s="148" t="str">
        <f t="shared" si="11"/>
        <v>$Millions</v>
      </c>
      <c r="G48" s="148" t="str">
        <f t="shared" si="12"/>
        <v>Real $2021</v>
      </c>
      <c r="H48" s="148" t="str">
        <f t="shared" si="13"/>
        <v>End of Period</v>
      </c>
      <c r="J48" s="171">
        <f>('Net connection capex (SCS)'!J44+'Cash contributions (SCS)'!J49)/10^6
+IF('Cash contributions (SCS)'!J$54=0,0,J$31*('Cash contributions (SCS)'!J49/'Cash contributions (SCS)'!J$54))</f>
        <v>0.23564240167209582</v>
      </c>
      <c r="K48" s="169">
        <f>('Net connection capex (SCS)'!K44+'Cash contributions (SCS)'!K49)/10^6
+IF('Cash contributions (SCS)'!K$54=0,0,K$31*('Cash contributions (SCS)'!K49/'Cash contributions (SCS)'!K$54))</f>
        <v>0.23433735844048265</v>
      </c>
      <c r="L48" s="170">
        <f>('Net connection capex (SCS)'!L44+'Cash contributions (SCS)'!L49)/10^6
+IF('Cash contributions (SCS)'!L$54=0,0,L$31*('Cash contributions (SCS)'!L49/'Cash contributions (SCS)'!L$54))</f>
        <v>0</v>
      </c>
      <c r="M48" s="171">
        <f>('Net connection capex (SCS)'!M44+'Cash contributions (SCS)'!M49)/10^6
+IF('Cash contributions (SCS)'!M$54=0,0,M$31*('Cash contributions (SCS)'!M49/'Cash contributions (SCS)'!M$54))</f>
        <v>0</v>
      </c>
      <c r="N48" s="171">
        <f>('Net connection capex (SCS)'!N44+'Cash contributions (SCS)'!N49)/10^6
+IF('Cash contributions (SCS)'!N$54=0,0,N$31*('Cash contributions (SCS)'!N49/'Cash contributions (SCS)'!N$54))</f>
        <v>0</v>
      </c>
      <c r="O48" s="171">
        <f>('Net connection capex (SCS)'!O44+'Cash contributions (SCS)'!O49)/10^6
+IF('Cash contributions (SCS)'!O$54=0,0,O$31*('Cash contributions (SCS)'!O49/'Cash contributions (SCS)'!O$54))</f>
        <v>0</v>
      </c>
      <c r="P48" s="172">
        <f>('Net connection capex (SCS)'!P44+'Cash contributions (SCS)'!P49)/10^6
+IF('Cash contributions (SCS)'!P$54=0,0,P$31*('Cash contributions (SCS)'!P49/'Cash contributions (SCS)'!P$54))</f>
        <v>0</v>
      </c>
      <c r="Q48" s="21">
        <f t="shared" si="14"/>
        <v>0</v>
      </c>
    </row>
    <row r="49" spans="1:17" ht="12.75" x14ac:dyDescent="0.3">
      <c r="C49" s="146">
        <f t="shared" si="15"/>
        <v>12</v>
      </c>
      <c r="D49" s="184" t="str">
        <f>'Net connection capex (SCS)'!D45</f>
        <v>EMBEDDED GENERATION</v>
      </c>
      <c r="E49" s="184" t="str">
        <f>'Net connection capex (SCS)'!E45</f>
        <v>Simple connection LV</v>
      </c>
      <c r="F49" s="148" t="str">
        <f t="shared" si="11"/>
        <v>$Millions</v>
      </c>
      <c r="G49" s="148" t="str">
        <f t="shared" si="12"/>
        <v>Real $2021</v>
      </c>
      <c r="H49" s="148" t="str">
        <f t="shared" si="13"/>
        <v>End of Period</v>
      </c>
      <c r="J49" s="171">
        <f>('Net connection capex (SCS)'!J45+'Cash contributions (SCS)'!J50)/10^6
+IF('Cash contributions (SCS)'!J$54=0,0,J$31*('Cash contributions (SCS)'!J50/'Cash contributions (SCS)'!J$54))</f>
        <v>0</v>
      </c>
      <c r="K49" s="169">
        <f>('Net connection capex (SCS)'!K45+'Cash contributions (SCS)'!K50)/10^6
+IF('Cash contributions (SCS)'!K$54=0,0,K$31*('Cash contributions (SCS)'!K50/'Cash contributions (SCS)'!K$54))</f>
        <v>0</v>
      </c>
      <c r="L49" s="170">
        <f>('Net connection capex (SCS)'!L45+'Cash contributions (SCS)'!L50)/10^6
+IF('Cash contributions (SCS)'!L$54=0,0,L$31*('Cash contributions (SCS)'!L50/'Cash contributions (SCS)'!L$54))</f>
        <v>0</v>
      </c>
      <c r="M49" s="171">
        <f>('Net connection capex (SCS)'!M45+'Cash contributions (SCS)'!M50)/10^6
+IF('Cash contributions (SCS)'!M$54=0,0,M$31*('Cash contributions (SCS)'!M50/'Cash contributions (SCS)'!M$54))</f>
        <v>0</v>
      </c>
      <c r="N49" s="171">
        <f>('Net connection capex (SCS)'!N45+'Cash contributions (SCS)'!N50)/10^6
+IF('Cash contributions (SCS)'!N$54=0,0,N$31*('Cash contributions (SCS)'!N50/'Cash contributions (SCS)'!N$54))</f>
        <v>0</v>
      </c>
      <c r="O49" s="171">
        <f>('Net connection capex (SCS)'!O45+'Cash contributions (SCS)'!O50)/10^6
+IF('Cash contributions (SCS)'!O$54=0,0,O$31*('Cash contributions (SCS)'!O50/'Cash contributions (SCS)'!O$54))</f>
        <v>0</v>
      </c>
      <c r="P49" s="172">
        <f>('Net connection capex (SCS)'!P45+'Cash contributions (SCS)'!P50)/10^6
+IF('Cash contributions (SCS)'!P$54=0,0,P$31*('Cash contributions (SCS)'!P50/'Cash contributions (SCS)'!P$54))</f>
        <v>0</v>
      </c>
      <c r="Q49" s="21">
        <f t="shared" si="14"/>
        <v>0</v>
      </c>
    </row>
    <row r="50" spans="1:17" ht="12.75" x14ac:dyDescent="0.3">
      <c r="C50" s="146">
        <f t="shared" si="15"/>
        <v>13</v>
      </c>
      <c r="D50" s="184"/>
      <c r="E50" s="184" t="str">
        <f>'Net connection capex (SCS)'!E46</f>
        <v>Complex connection HV (small capacity)</v>
      </c>
      <c r="F50" s="148" t="str">
        <f t="shared" si="11"/>
        <v>$Millions</v>
      </c>
      <c r="G50" s="148" t="str">
        <f t="shared" si="12"/>
        <v>Real $2021</v>
      </c>
      <c r="H50" s="148" t="str">
        <f t="shared" si="13"/>
        <v>End of Period</v>
      </c>
      <c r="J50" s="171">
        <f>('Net connection capex (SCS)'!J46+'Cash contributions (SCS)'!J51)/10^6
+IF('Cash contributions (SCS)'!J$54=0,0,J$31*('Cash contributions (SCS)'!J51/'Cash contributions (SCS)'!J$54))</f>
        <v>0</v>
      </c>
      <c r="K50" s="169">
        <f>('Net connection capex (SCS)'!K46+'Cash contributions (SCS)'!K51)/10^6
+IF('Cash contributions (SCS)'!K$54=0,0,K$31*('Cash contributions (SCS)'!K51/'Cash contributions (SCS)'!K$54))</f>
        <v>0</v>
      </c>
      <c r="L50" s="170">
        <f>('Net connection capex (SCS)'!L46+'Cash contributions (SCS)'!L51)/10^6
+IF('Cash contributions (SCS)'!L$54=0,0,L$31*('Cash contributions (SCS)'!L51/'Cash contributions (SCS)'!L$54))</f>
        <v>0</v>
      </c>
      <c r="M50" s="171">
        <f>('Net connection capex (SCS)'!M46+'Cash contributions (SCS)'!M51)/10^6
+IF('Cash contributions (SCS)'!M$54=0,0,M$31*('Cash contributions (SCS)'!M51/'Cash contributions (SCS)'!M$54))</f>
        <v>0</v>
      </c>
      <c r="N50" s="171">
        <f>('Net connection capex (SCS)'!N46+'Cash contributions (SCS)'!N51)/10^6
+IF('Cash contributions (SCS)'!N$54=0,0,N$31*('Cash contributions (SCS)'!N51/'Cash contributions (SCS)'!N$54))</f>
        <v>0</v>
      </c>
      <c r="O50" s="171">
        <f>('Net connection capex (SCS)'!O46+'Cash contributions (SCS)'!O51)/10^6
+IF('Cash contributions (SCS)'!O$54=0,0,O$31*('Cash contributions (SCS)'!O51/'Cash contributions (SCS)'!O$54))</f>
        <v>0</v>
      </c>
      <c r="P50" s="172">
        <f>('Net connection capex (SCS)'!P46+'Cash contributions (SCS)'!P51)/10^6
+IF('Cash contributions (SCS)'!P$54=0,0,P$31*('Cash contributions (SCS)'!P51/'Cash contributions (SCS)'!P$54))</f>
        <v>0</v>
      </c>
      <c r="Q50" s="21">
        <f t="shared" si="14"/>
        <v>0</v>
      </c>
    </row>
    <row r="51" spans="1:17" ht="12.75" x14ac:dyDescent="0.3">
      <c r="C51" s="146">
        <f t="shared" si="15"/>
        <v>14</v>
      </c>
      <c r="D51" s="184"/>
      <c r="E51" s="184" t="str">
        <f>'Net connection capex (SCS)'!E47</f>
        <v>Complex connection HV (large capacity)</v>
      </c>
      <c r="F51" s="148" t="str">
        <f t="shared" si="11"/>
        <v>$Millions</v>
      </c>
      <c r="G51" s="148" t="str">
        <f t="shared" si="12"/>
        <v>Real $2021</v>
      </c>
      <c r="H51" s="148" t="str">
        <f t="shared" si="13"/>
        <v>End of Period</v>
      </c>
      <c r="J51" s="171">
        <f>('Net connection capex (SCS)'!J47+'Cash contributions (SCS)'!J52)/10^6
+IF('Cash contributions (SCS)'!J$54=0,0,J$31*('Cash contributions (SCS)'!J52/'Cash contributions (SCS)'!J$54))</f>
        <v>0</v>
      </c>
      <c r="K51" s="169">
        <f>('Net connection capex (SCS)'!K47+'Cash contributions (SCS)'!K52)/10^6
+IF('Cash contributions (SCS)'!K$54=0,0,K$31*('Cash contributions (SCS)'!K52/'Cash contributions (SCS)'!K$54))</f>
        <v>0</v>
      </c>
      <c r="L51" s="170">
        <f>('Net connection capex (SCS)'!L47+'Cash contributions (SCS)'!L52)/10^6
+IF('Cash contributions (SCS)'!L$54=0,0,L$31*('Cash contributions (SCS)'!L52/'Cash contributions (SCS)'!L$54))</f>
        <v>0</v>
      </c>
      <c r="M51" s="171">
        <f>('Net connection capex (SCS)'!M47+'Cash contributions (SCS)'!M52)/10^6
+IF('Cash contributions (SCS)'!M$54=0,0,M$31*('Cash contributions (SCS)'!M52/'Cash contributions (SCS)'!M$54))</f>
        <v>0</v>
      </c>
      <c r="N51" s="171">
        <f>('Net connection capex (SCS)'!N47+'Cash contributions (SCS)'!N52)/10^6
+IF('Cash contributions (SCS)'!N$54=0,0,N$31*('Cash contributions (SCS)'!N52/'Cash contributions (SCS)'!N$54))</f>
        <v>0</v>
      </c>
      <c r="O51" s="171">
        <f>('Net connection capex (SCS)'!O47+'Cash contributions (SCS)'!O52)/10^6
+IF('Cash contributions (SCS)'!O$54=0,0,O$31*('Cash contributions (SCS)'!O52/'Cash contributions (SCS)'!O$54))</f>
        <v>0</v>
      </c>
      <c r="P51" s="172">
        <f>('Net connection capex (SCS)'!P47+'Cash contributions (SCS)'!P52)/10^6
+IF('Cash contributions (SCS)'!P$54=0,0,P$31*('Cash contributions (SCS)'!P52/'Cash contributions (SCS)'!P$54))</f>
        <v>0</v>
      </c>
      <c r="Q51" s="21">
        <f t="shared" si="14"/>
        <v>0</v>
      </c>
    </row>
    <row r="53" spans="1:17" ht="13.15" x14ac:dyDescent="0.3">
      <c r="D53" s="136" t="s">
        <v>150</v>
      </c>
      <c r="E53" s="17" t="s">
        <v>157</v>
      </c>
      <c r="F53" s="17" t="str">
        <f>Input_Unit</f>
        <v>$Millions</v>
      </c>
      <c r="G53" s="17" t="str">
        <f>Input_Dollar_Basis</f>
        <v>Real $2021</v>
      </c>
      <c r="H53" s="17" t="str">
        <f>End_Period</f>
        <v>End of Period</v>
      </c>
      <c r="J53" s="18">
        <f t="shared" ref="J53:Q53" si="16">SUM(J38:J51)</f>
        <v>6.374621936231593</v>
      </c>
      <c r="K53" s="18">
        <f t="shared" si="16"/>
        <v>6.4315589613025175</v>
      </c>
      <c r="L53" s="19">
        <f t="shared" si="16"/>
        <v>1.1504097552571197</v>
      </c>
      <c r="M53" s="18">
        <f t="shared" si="16"/>
        <v>1.1563103200600813</v>
      </c>
      <c r="N53" s="18">
        <f t="shared" si="16"/>
        <v>1.1623070533752002</v>
      </c>
      <c r="O53" s="18">
        <f t="shared" si="16"/>
        <v>1.16840252103551</v>
      </c>
      <c r="P53" s="20">
        <f t="shared" si="16"/>
        <v>1.1745993583805534</v>
      </c>
      <c r="Q53" s="18">
        <f t="shared" si="16"/>
        <v>5.812029008108464</v>
      </c>
    </row>
    <row r="55" spans="1:17" ht="11.25" customHeight="1" x14ac:dyDescent="0.3">
      <c r="A55" s="3">
        <f ca="1">IF(SUM($I55:$P55)&gt;0,1,0)</f>
        <v>0</v>
      </c>
      <c r="D55" s="137" t="s">
        <v>98</v>
      </c>
      <c r="E55" s="137"/>
      <c r="J55" s="3">
        <f t="shared" ref="J55:P55" ca="1" si="17">IF(ROUND(J53-J27,4)&lt;&gt;0,1,0)</f>
        <v>0</v>
      </c>
      <c r="K55" s="3">
        <f t="shared" ca="1" si="17"/>
        <v>0</v>
      </c>
      <c r="L55" s="3">
        <f t="shared" ca="1" si="17"/>
        <v>0</v>
      </c>
      <c r="M55" s="3">
        <f t="shared" ca="1" si="17"/>
        <v>0</v>
      </c>
      <c r="N55" s="3">
        <f t="shared" ca="1" si="17"/>
        <v>0</v>
      </c>
      <c r="O55" s="3">
        <f t="shared" ca="1" si="17"/>
        <v>0</v>
      </c>
      <c r="P55" s="3">
        <f t="shared" ca="1" si="17"/>
        <v>0</v>
      </c>
    </row>
    <row r="57" spans="1:17" s="6" customFormat="1" ht="15" x14ac:dyDescent="0.45">
      <c r="B57" s="6" t="s">
        <v>93</v>
      </c>
    </row>
  </sheetData>
  <autoFilter ref="C7:P25" xr:uid="{00000000-0009-0000-0000-000001000000}"/>
  <dataValidations count="1">
    <dataValidation type="list" allowBlank="1" showInputMessage="1" showErrorMessage="1" sqref="V9:V10" xr:uid="{0A4D9914-92F7-44F8-A87A-CD06C362B307}">
      <formula1>"Yes,No"</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47BDE-E7C7-4153-A74F-D0545FD961A2}">
  <sheetPr codeName="Sheet5"/>
  <dimension ref="A1:Q56"/>
  <sheetViews>
    <sheetView showGridLines="0" zoomScaleNormal="100" workbookViewId="0">
      <pane xSplit="4" ySplit="1" topLeftCell="E2" activePane="bottomRight" state="frozen"/>
      <selection activeCell="I5" sqref="I5"/>
      <selection pane="topRight" activeCell="I5" sqref="I5"/>
      <selection pane="bottomLeft" activeCell="I5" sqref="I5"/>
      <selection pane="bottomRight" activeCell="E2" sqref="E2"/>
    </sheetView>
  </sheetViews>
  <sheetFormatPr defaultColWidth="7.3984375" defaultRowHeight="10.15" x14ac:dyDescent="0.3"/>
  <cols>
    <col min="1" max="1" width="2.6640625" style="5" customWidth="1"/>
    <col min="2" max="2" width="2.265625" style="5" customWidth="1"/>
    <col min="3" max="3" width="5.265625" style="5" customWidth="1"/>
    <col min="4" max="4" width="25.1328125" style="5" customWidth="1"/>
    <col min="5" max="5" width="32.53125" style="5" customWidth="1"/>
    <col min="6" max="8" width="11.59765625" style="5" customWidth="1"/>
    <col min="9" max="17" width="10.1328125" style="5" customWidth="1"/>
    <col min="18" max="18" width="7.3984375" style="5"/>
    <col min="19" max="19" width="10.1328125" style="5" customWidth="1"/>
    <col min="20" max="16384" width="7.3984375" style="5"/>
  </cols>
  <sheetData>
    <row r="1" spans="1:17" ht="18.75" x14ac:dyDescent="0.3">
      <c r="A1" s="3">
        <f ca="1">IF(SUM($A3:$A56)&gt;0,1,0)</f>
        <v>0</v>
      </c>
      <c r="B1" s="4" t="s">
        <v>158</v>
      </c>
    </row>
    <row r="3" spans="1:17" s="6" customFormat="1" ht="15" x14ac:dyDescent="0.45">
      <c r="B3" s="6" t="s">
        <v>207</v>
      </c>
    </row>
    <row r="5" spans="1:17" s="7" customFormat="1" ht="13.9" x14ac:dyDescent="0.45">
      <c r="C5" s="7" t="s">
        <v>155</v>
      </c>
    </row>
    <row r="6" spans="1:17" ht="11.25" customHeight="1" x14ac:dyDescent="0.3"/>
    <row r="7" spans="1:17" ht="26.25" x14ac:dyDescent="0.3">
      <c r="C7" s="8" t="s">
        <v>81</v>
      </c>
      <c r="D7" s="9" t="s">
        <v>100</v>
      </c>
      <c r="E7" s="10" t="s">
        <v>99</v>
      </c>
      <c r="F7" s="10" t="s">
        <v>17</v>
      </c>
      <c r="G7" s="10" t="s">
        <v>83</v>
      </c>
      <c r="H7" s="10" t="s">
        <v>84</v>
      </c>
      <c r="J7" s="10" t="str">
        <f>Lookups!I$11</f>
        <v>FY23</v>
      </c>
      <c r="K7" s="10" t="str">
        <f>Lookups!J$11</f>
        <v>FY24</v>
      </c>
      <c r="L7" s="11" t="str">
        <f>Lookups!K$11</f>
        <v>FY25</v>
      </c>
      <c r="M7" s="10" t="str">
        <f>Lookups!L$11</f>
        <v>FY26</v>
      </c>
      <c r="N7" s="10" t="str">
        <f>Lookups!M$11</f>
        <v>FY27</v>
      </c>
      <c r="O7" s="10" t="str">
        <f>Lookups!N$11</f>
        <v>FY28</v>
      </c>
      <c r="P7" s="12" t="str">
        <f>Lookups!O$11</f>
        <v>FY29</v>
      </c>
      <c r="Q7" s="10" t="str">
        <f>Lookups!Q$11</f>
        <v>Total FY25 to FY29</v>
      </c>
    </row>
    <row r="8" spans="1:17" ht="12.75" x14ac:dyDescent="0.3">
      <c r="C8" s="13">
        <f>N(C7)+1</f>
        <v>1</v>
      </c>
      <c r="D8" s="137" t="str">
        <f>Lookups!$D$41</f>
        <v>Substations</v>
      </c>
      <c r="E8" s="14" t="s">
        <v>156</v>
      </c>
      <c r="F8" s="14" t="str">
        <f t="shared" ref="F8:F25" si="0">Input_Unit</f>
        <v>$Millions</v>
      </c>
      <c r="G8" s="14" t="str">
        <f t="shared" ref="G8:G25" si="1">Input_Dollar_Basis</f>
        <v>Real $2021</v>
      </c>
      <c r="H8" s="14" t="str">
        <f t="shared" ref="H8:H25" si="2">End_Period</f>
        <v>End of Period</v>
      </c>
      <c r="J8" s="171">
        <f ca="1">'Cash contributions (SCS)'!J13+IF(Gifted_Include_2224="Yes",'Gifted assets'!J8,0)</f>
        <v>0</v>
      </c>
      <c r="K8" s="169">
        <f ca="1">'Cash contributions (SCS)'!K13+IF(Gifted_Include_2224="Yes",'Gifted assets'!K8,0)</f>
        <v>0</v>
      </c>
      <c r="L8" s="170">
        <f ca="1">'Cash contributions (SCS)'!L13+IF(Gifted_Include_2429="Yes",'Gifted assets'!L8,0)</f>
        <v>0</v>
      </c>
      <c r="M8" s="171">
        <f ca="1">'Cash contributions (SCS)'!M13+IF(Gifted_Include_2429="Yes",'Gifted assets'!M8,0)</f>
        <v>0</v>
      </c>
      <c r="N8" s="171">
        <f ca="1">'Cash contributions (SCS)'!N13+IF(Gifted_Include_2429="Yes",'Gifted assets'!N8,0)</f>
        <v>0</v>
      </c>
      <c r="O8" s="171">
        <f ca="1">'Cash contributions (SCS)'!O13+IF(Gifted_Include_2429="Yes",'Gifted assets'!O8,0)</f>
        <v>0</v>
      </c>
      <c r="P8" s="172">
        <f ca="1">'Cash contributions (SCS)'!P13+IF(Gifted_Include_2429="Yes",'Gifted assets'!P8,0)</f>
        <v>0</v>
      </c>
      <c r="Q8" s="21">
        <f t="shared" ref="Q8:Q9" ca="1" si="3">SUM(L8:P8)</f>
        <v>0</v>
      </c>
    </row>
    <row r="9" spans="1:17" ht="12.75" x14ac:dyDescent="0.3">
      <c r="C9" s="13">
        <f t="shared" ref="C9:C25" si="4">N(C8)+1</f>
        <v>2</v>
      </c>
      <c r="D9" s="137" t="str">
        <f>Lookups!$D$42</f>
        <v>Distribution Lines</v>
      </c>
      <c r="E9" s="14" t="str">
        <f>E8</f>
        <v>Various</v>
      </c>
      <c r="F9" s="14" t="str">
        <f t="shared" si="0"/>
        <v>$Millions</v>
      </c>
      <c r="G9" s="14" t="str">
        <f t="shared" si="1"/>
        <v>Real $2021</v>
      </c>
      <c r="H9" s="14" t="str">
        <f t="shared" si="2"/>
        <v>End of Period</v>
      </c>
      <c r="J9" s="171">
        <f ca="1">'Cash contributions (SCS)'!J14+IF(Gifted_Include_2224="Yes",'Gifted assets'!J9,0)</f>
        <v>1.9744793058133874</v>
      </c>
      <c r="K9" s="169">
        <f ca="1">'Cash contributions (SCS)'!K14+IF(Gifted_Include_2224="Yes",'Gifted assets'!K9,0)</f>
        <v>1.982950259888518</v>
      </c>
      <c r="L9" s="170">
        <f ca="1">'Cash contributions (SCS)'!L14+IF(Gifted_Include_2429="Yes",'Gifted assets'!L9,0)</f>
        <v>5.1096131161547681E-2</v>
      </c>
      <c r="M9" s="171">
        <f ca="1">'Cash contributions (SCS)'!M14+IF(Gifted_Include_2429="Yes",'Gifted assets'!M9,0)</f>
        <v>5.1096131161547681E-2</v>
      </c>
      <c r="N9" s="171">
        <f ca="1">'Cash contributions (SCS)'!N14+IF(Gifted_Include_2429="Yes",'Gifted assets'!N9,0)</f>
        <v>5.1096131161547681E-2</v>
      </c>
      <c r="O9" s="171">
        <f ca="1">'Cash contributions (SCS)'!O14+IF(Gifted_Include_2429="Yes",'Gifted assets'!O9,0)</f>
        <v>5.1096131161547681E-2</v>
      </c>
      <c r="P9" s="172">
        <f ca="1">'Cash contributions (SCS)'!P14+IF(Gifted_Include_2429="Yes",'Gifted assets'!P9,0)</f>
        <v>5.1096131161547681E-2</v>
      </c>
      <c r="Q9" s="21">
        <f t="shared" ca="1" si="3"/>
        <v>0.25548065580773838</v>
      </c>
    </row>
    <row r="10" spans="1:17" ht="12.75" x14ac:dyDescent="0.3">
      <c r="C10" s="13">
        <f t="shared" si="4"/>
        <v>3</v>
      </c>
      <c r="D10" s="137" t="str">
        <f>Lookups!$D$43</f>
        <v>Transmission Lines</v>
      </c>
      <c r="E10" s="14" t="str">
        <f t="shared" ref="E10:E25" si="5">E9</f>
        <v>Various</v>
      </c>
      <c r="F10" s="14" t="str">
        <f t="shared" si="0"/>
        <v>$Millions</v>
      </c>
      <c r="G10" s="14" t="str">
        <f t="shared" si="1"/>
        <v>Real $2021</v>
      </c>
      <c r="H10" s="14" t="str">
        <f t="shared" si="2"/>
        <v>End of Period</v>
      </c>
      <c r="J10" s="171">
        <f ca="1">'Cash contributions (SCS)'!J15+IF(Gifted_Include_2224="Yes",'Gifted assets'!J10,0)</f>
        <v>0</v>
      </c>
      <c r="K10" s="169">
        <f ca="1">'Cash contributions (SCS)'!K15+IF(Gifted_Include_2224="Yes",'Gifted assets'!K10,0)</f>
        <v>0</v>
      </c>
      <c r="L10" s="170">
        <f ca="1">'Cash contributions (SCS)'!L15+IF(Gifted_Include_2429="Yes",'Gifted assets'!L10,0)</f>
        <v>0</v>
      </c>
      <c r="M10" s="171">
        <f ca="1">'Cash contributions (SCS)'!M15+IF(Gifted_Include_2429="Yes",'Gifted assets'!M10,0)</f>
        <v>0</v>
      </c>
      <c r="N10" s="171">
        <f ca="1">'Cash contributions (SCS)'!N15+IF(Gifted_Include_2429="Yes",'Gifted assets'!N10,0)</f>
        <v>0</v>
      </c>
      <c r="O10" s="171">
        <f ca="1">'Cash contributions (SCS)'!O15+IF(Gifted_Include_2429="Yes",'Gifted assets'!O10,0)</f>
        <v>0</v>
      </c>
      <c r="P10" s="172">
        <f ca="1">'Cash contributions (SCS)'!P15+IF(Gifted_Include_2429="Yes",'Gifted assets'!P10,0)</f>
        <v>0</v>
      </c>
      <c r="Q10" s="21">
        <f t="shared" ref="Q10:Q25" ca="1" si="6">SUM(L10:P10)</f>
        <v>0</v>
      </c>
    </row>
    <row r="11" spans="1:17" ht="12.75" x14ac:dyDescent="0.3">
      <c r="C11" s="13">
        <f t="shared" si="4"/>
        <v>4</v>
      </c>
      <c r="D11" s="137" t="str">
        <f>Lookups!$D$44</f>
        <v>LV Services</v>
      </c>
      <c r="E11" s="14" t="str">
        <f t="shared" si="5"/>
        <v>Various</v>
      </c>
      <c r="F11" s="14" t="str">
        <f t="shared" si="0"/>
        <v>$Millions</v>
      </c>
      <c r="G11" s="14" t="str">
        <f t="shared" si="1"/>
        <v>Real $2021</v>
      </c>
      <c r="H11" s="14" t="str">
        <f t="shared" si="2"/>
        <v>End of Period</v>
      </c>
      <c r="J11" s="171">
        <f ca="1">'Cash contributions (SCS)'!J16+IF(Gifted_Include_2224="Yes",'Gifted assets'!J11,0)</f>
        <v>0.14548835792610851</v>
      </c>
      <c r="K11" s="169">
        <f ca="1">'Cash contributions (SCS)'!K16+IF(Gifted_Include_2224="Yes",'Gifted assets'!K11,0)</f>
        <v>0.14650690802946562</v>
      </c>
      <c r="L11" s="170">
        <f ca="1">'Cash contributions (SCS)'!L16+IF(Gifted_Include_2429="Yes",'Gifted assets'!L11,0)</f>
        <v>0.10612964596105277</v>
      </c>
      <c r="M11" s="171">
        <f ca="1">'Cash contributions (SCS)'!M16+IF(Gifted_Include_2429="Yes",'Gifted assets'!M11,0)</f>
        <v>0.10678336997578304</v>
      </c>
      <c r="N11" s="171">
        <f ca="1">'Cash contributions (SCS)'!N16+IF(Gifted_Include_2429="Yes",'Gifted assets'!N11,0)</f>
        <v>0.10745312207587296</v>
      </c>
      <c r="O11" s="171">
        <f ca="1">'Cash contributions (SCS)'!O16+IF(Gifted_Include_2429="Yes",'Gifted assets'!O11,0)</f>
        <v>0.1081393299001613</v>
      </c>
      <c r="P11" s="172">
        <f ca="1">'Cash contributions (SCS)'!P16+IF(Gifted_Include_2429="Yes",'Gifted assets'!P11,0)</f>
        <v>0.1088424326719053</v>
      </c>
      <c r="Q11" s="21">
        <f t="shared" ca="1" si="6"/>
        <v>0.53734790058477533</v>
      </c>
    </row>
    <row r="12" spans="1:17" ht="12.75" x14ac:dyDescent="0.3">
      <c r="C12" s="13">
        <f t="shared" si="4"/>
        <v>5</v>
      </c>
      <c r="D12" s="137" t="str">
        <f>Lookups!$D$45</f>
        <v>Distribution Substations</v>
      </c>
      <c r="E12" s="14" t="str">
        <f t="shared" si="5"/>
        <v>Various</v>
      </c>
      <c r="F12" s="14" t="str">
        <f t="shared" si="0"/>
        <v>$Millions</v>
      </c>
      <c r="G12" s="14" t="str">
        <f t="shared" si="1"/>
        <v>Real $2021</v>
      </c>
      <c r="H12" s="14" t="str">
        <f t="shared" si="2"/>
        <v>End of Period</v>
      </c>
      <c r="J12" s="171">
        <f ca="1">'Cash contributions (SCS)'!J17+IF(Gifted_Include_2224="Yes",'Gifted assets'!J12,0)</f>
        <v>0.83406674136670789</v>
      </c>
      <c r="K12" s="169">
        <f ca="1">'Cash contributions (SCS)'!K17+IF(Gifted_Include_2224="Yes",'Gifted assets'!K12,0)</f>
        <v>0.83406674136670789</v>
      </c>
      <c r="L12" s="170">
        <f ca="1">'Cash contributions (SCS)'!L17+IF(Gifted_Include_2429="Yes",'Gifted assets'!L12,0)</f>
        <v>0</v>
      </c>
      <c r="M12" s="171">
        <f ca="1">'Cash contributions (SCS)'!M17+IF(Gifted_Include_2429="Yes",'Gifted assets'!M12,0)</f>
        <v>0</v>
      </c>
      <c r="N12" s="171">
        <f ca="1">'Cash contributions (SCS)'!N17+IF(Gifted_Include_2429="Yes",'Gifted assets'!N12,0)</f>
        <v>0</v>
      </c>
      <c r="O12" s="171">
        <f ca="1">'Cash contributions (SCS)'!O17+IF(Gifted_Include_2429="Yes",'Gifted assets'!O12,0)</f>
        <v>0</v>
      </c>
      <c r="P12" s="172">
        <f ca="1">'Cash contributions (SCS)'!P17+IF(Gifted_Include_2429="Yes",'Gifted assets'!P12,0)</f>
        <v>0</v>
      </c>
      <c r="Q12" s="21">
        <f t="shared" ca="1" si="6"/>
        <v>0</v>
      </c>
    </row>
    <row r="13" spans="1:17" ht="12.75" x14ac:dyDescent="0.3">
      <c r="C13" s="13">
        <f t="shared" si="4"/>
        <v>6</v>
      </c>
      <c r="D13" s="137" t="str">
        <f>Lookups!$D$46</f>
        <v>Distribution Switchgear</v>
      </c>
      <c r="E13" s="14" t="str">
        <f t="shared" si="5"/>
        <v>Various</v>
      </c>
      <c r="F13" s="14" t="str">
        <f t="shared" si="0"/>
        <v>$Millions</v>
      </c>
      <c r="G13" s="14" t="str">
        <f t="shared" si="1"/>
        <v>Real $2021</v>
      </c>
      <c r="H13" s="14" t="str">
        <f t="shared" si="2"/>
        <v>End of Period</v>
      </c>
      <c r="J13" s="171">
        <f ca="1">'Cash contributions (SCS)'!J18+IF(Gifted_Include_2224="Yes",'Gifted assets'!J13,0)</f>
        <v>0.15973490714673694</v>
      </c>
      <c r="K13" s="169">
        <f ca="1">'Cash contributions (SCS)'!K18+IF(Gifted_Include_2224="Yes",'Gifted assets'!K13,0)</f>
        <v>0.15973490714673694</v>
      </c>
      <c r="L13" s="170">
        <f ca="1">'Cash contributions (SCS)'!L18+IF(Gifted_Include_2429="Yes",'Gifted assets'!L13,0)</f>
        <v>0</v>
      </c>
      <c r="M13" s="171">
        <f ca="1">'Cash contributions (SCS)'!M18+IF(Gifted_Include_2429="Yes",'Gifted assets'!M13,0)</f>
        <v>0</v>
      </c>
      <c r="N13" s="171">
        <f ca="1">'Cash contributions (SCS)'!N18+IF(Gifted_Include_2429="Yes",'Gifted assets'!N13,0)</f>
        <v>0</v>
      </c>
      <c r="O13" s="171">
        <f ca="1">'Cash contributions (SCS)'!O18+IF(Gifted_Include_2429="Yes",'Gifted assets'!O13,0)</f>
        <v>0</v>
      </c>
      <c r="P13" s="172">
        <f ca="1">'Cash contributions (SCS)'!P18+IF(Gifted_Include_2429="Yes",'Gifted assets'!P13,0)</f>
        <v>0</v>
      </c>
      <c r="Q13" s="21">
        <f t="shared" ca="1" si="6"/>
        <v>0</v>
      </c>
    </row>
    <row r="14" spans="1:17" ht="12.75" x14ac:dyDescent="0.3">
      <c r="C14" s="13">
        <f t="shared" si="4"/>
        <v>7</v>
      </c>
      <c r="D14" s="137" t="str">
        <f>Lookups!$D$47</f>
        <v>Protection</v>
      </c>
      <c r="E14" s="14" t="str">
        <f t="shared" si="5"/>
        <v>Various</v>
      </c>
      <c r="F14" s="14" t="str">
        <f t="shared" si="0"/>
        <v>$Millions</v>
      </c>
      <c r="G14" s="14" t="str">
        <f t="shared" si="1"/>
        <v>Real $2021</v>
      </c>
      <c r="H14" s="14" t="str">
        <f t="shared" si="2"/>
        <v>End of Period</v>
      </c>
      <c r="J14" s="171">
        <f ca="1">'Cash contributions (SCS)'!J19+IF(Gifted_Include_2224="Yes",'Gifted assets'!J14,0)</f>
        <v>0</v>
      </c>
      <c r="K14" s="169">
        <f ca="1">'Cash contributions (SCS)'!K19+IF(Gifted_Include_2224="Yes",'Gifted assets'!K14,0)</f>
        <v>0</v>
      </c>
      <c r="L14" s="170">
        <f ca="1">'Cash contributions (SCS)'!L19+IF(Gifted_Include_2429="Yes",'Gifted assets'!L14,0)</f>
        <v>0</v>
      </c>
      <c r="M14" s="171">
        <f ca="1">'Cash contributions (SCS)'!M19+IF(Gifted_Include_2429="Yes",'Gifted assets'!M14,0)</f>
        <v>0</v>
      </c>
      <c r="N14" s="171">
        <f ca="1">'Cash contributions (SCS)'!N19+IF(Gifted_Include_2429="Yes",'Gifted assets'!N14,0)</f>
        <v>0</v>
      </c>
      <c r="O14" s="171">
        <f ca="1">'Cash contributions (SCS)'!O19+IF(Gifted_Include_2429="Yes",'Gifted assets'!O14,0)</f>
        <v>0</v>
      </c>
      <c r="P14" s="172">
        <f ca="1">'Cash contributions (SCS)'!P19+IF(Gifted_Include_2429="Yes",'Gifted assets'!P14,0)</f>
        <v>0</v>
      </c>
      <c r="Q14" s="21">
        <f t="shared" ca="1" si="6"/>
        <v>0</v>
      </c>
    </row>
    <row r="15" spans="1:17" ht="12.75" x14ac:dyDescent="0.3">
      <c r="C15" s="13">
        <f t="shared" si="4"/>
        <v>8</v>
      </c>
      <c r="D15" s="137" t="str">
        <f>Lookups!$D$48</f>
        <v>SCADA</v>
      </c>
      <c r="E15" s="14" t="str">
        <f t="shared" si="5"/>
        <v>Various</v>
      </c>
      <c r="F15" s="14" t="str">
        <f t="shared" si="0"/>
        <v>$Millions</v>
      </c>
      <c r="G15" s="14" t="str">
        <f t="shared" si="1"/>
        <v>Real $2021</v>
      </c>
      <c r="H15" s="14" t="str">
        <f t="shared" si="2"/>
        <v>End of Period</v>
      </c>
      <c r="J15" s="171">
        <f ca="1">'Cash contributions (SCS)'!J20+IF(Gifted_Include_2224="Yes",'Gifted assets'!J15,0)</f>
        <v>0</v>
      </c>
      <c r="K15" s="169">
        <f ca="1">'Cash contributions (SCS)'!K20+IF(Gifted_Include_2224="Yes",'Gifted assets'!K15,0)</f>
        <v>0</v>
      </c>
      <c r="L15" s="170">
        <f ca="1">'Cash contributions (SCS)'!L20+IF(Gifted_Include_2429="Yes",'Gifted assets'!L15,0)</f>
        <v>0</v>
      </c>
      <c r="M15" s="171">
        <f ca="1">'Cash contributions (SCS)'!M20+IF(Gifted_Include_2429="Yes",'Gifted assets'!M15,0)</f>
        <v>0</v>
      </c>
      <c r="N15" s="171">
        <f ca="1">'Cash contributions (SCS)'!N20+IF(Gifted_Include_2429="Yes",'Gifted assets'!N15,0)</f>
        <v>0</v>
      </c>
      <c r="O15" s="171">
        <f ca="1">'Cash contributions (SCS)'!O20+IF(Gifted_Include_2429="Yes",'Gifted assets'!O15,0)</f>
        <v>0</v>
      </c>
      <c r="P15" s="172">
        <f ca="1">'Cash contributions (SCS)'!P20+IF(Gifted_Include_2429="Yes",'Gifted assets'!P15,0)</f>
        <v>0</v>
      </c>
      <c r="Q15" s="21">
        <f t="shared" ca="1" si="6"/>
        <v>0</v>
      </c>
    </row>
    <row r="16" spans="1:17" ht="12.75" x14ac:dyDescent="0.3">
      <c r="C16" s="13">
        <f t="shared" si="4"/>
        <v>9</v>
      </c>
      <c r="D16" s="137" t="str">
        <f>Lookups!$D$49</f>
        <v>Communications</v>
      </c>
      <c r="E16" s="14" t="str">
        <f t="shared" si="5"/>
        <v>Various</v>
      </c>
      <c r="F16" s="14" t="str">
        <f t="shared" si="0"/>
        <v>$Millions</v>
      </c>
      <c r="G16" s="14" t="str">
        <f t="shared" si="1"/>
        <v>Real $2021</v>
      </c>
      <c r="H16" s="14" t="str">
        <f t="shared" si="2"/>
        <v>End of Period</v>
      </c>
      <c r="J16" s="171">
        <f ca="1">'Cash contributions (SCS)'!J21+IF(Gifted_Include_2224="Yes",'Gifted assets'!J16,0)</f>
        <v>0</v>
      </c>
      <c r="K16" s="169">
        <f ca="1">'Cash contributions (SCS)'!K21+IF(Gifted_Include_2224="Yes",'Gifted assets'!K16,0)</f>
        <v>0</v>
      </c>
      <c r="L16" s="170">
        <f ca="1">'Cash contributions (SCS)'!L21+IF(Gifted_Include_2429="Yes",'Gifted assets'!L16,0)</f>
        <v>0</v>
      </c>
      <c r="M16" s="171">
        <f ca="1">'Cash contributions (SCS)'!M21+IF(Gifted_Include_2429="Yes",'Gifted assets'!M16,0)</f>
        <v>0</v>
      </c>
      <c r="N16" s="171">
        <f ca="1">'Cash contributions (SCS)'!N21+IF(Gifted_Include_2429="Yes",'Gifted assets'!N16,0)</f>
        <v>0</v>
      </c>
      <c r="O16" s="171">
        <f ca="1">'Cash contributions (SCS)'!O21+IF(Gifted_Include_2429="Yes",'Gifted assets'!O16,0)</f>
        <v>0</v>
      </c>
      <c r="P16" s="172">
        <f ca="1">'Cash contributions (SCS)'!P21+IF(Gifted_Include_2429="Yes",'Gifted assets'!P16,0)</f>
        <v>0</v>
      </c>
      <c r="Q16" s="21">
        <f t="shared" ca="1" si="6"/>
        <v>0</v>
      </c>
    </row>
    <row r="17" spans="1:17" ht="12.75" x14ac:dyDescent="0.3">
      <c r="C17" s="13">
        <f t="shared" si="4"/>
        <v>10</v>
      </c>
      <c r="D17" s="137" t="str">
        <f>Lookups!$D$50</f>
        <v>Land and Easements</v>
      </c>
      <c r="E17" s="14" t="str">
        <f t="shared" si="5"/>
        <v>Various</v>
      </c>
      <c r="F17" s="14" t="str">
        <f t="shared" si="0"/>
        <v>$Millions</v>
      </c>
      <c r="G17" s="14" t="str">
        <f t="shared" si="1"/>
        <v>Real $2021</v>
      </c>
      <c r="H17" s="14" t="str">
        <f t="shared" si="2"/>
        <v>End of Period</v>
      </c>
      <c r="J17" s="171">
        <f ca="1">'Cash contributions (SCS)'!J22+IF(Gifted_Include_2224="Yes",'Gifted assets'!J17,0)</f>
        <v>0</v>
      </c>
      <c r="K17" s="169">
        <f ca="1">'Cash contributions (SCS)'!K22+IF(Gifted_Include_2224="Yes",'Gifted assets'!K17,0)</f>
        <v>0</v>
      </c>
      <c r="L17" s="170">
        <f ca="1">'Cash contributions (SCS)'!L22+IF(Gifted_Include_2429="Yes",'Gifted assets'!L17,0)</f>
        <v>0</v>
      </c>
      <c r="M17" s="171">
        <f ca="1">'Cash contributions (SCS)'!M22+IF(Gifted_Include_2429="Yes",'Gifted assets'!M17,0)</f>
        <v>0</v>
      </c>
      <c r="N17" s="171">
        <f ca="1">'Cash contributions (SCS)'!N22+IF(Gifted_Include_2429="Yes",'Gifted assets'!N17,0)</f>
        <v>0</v>
      </c>
      <c r="O17" s="171">
        <f ca="1">'Cash contributions (SCS)'!O22+IF(Gifted_Include_2429="Yes",'Gifted assets'!O17,0)</f>
        <v>0</v>
      </c>
      <c r="P17" s="172">
        <f ca="1">'Cash contributions (SCS)'!P22+IF(Gifted_Include_2429="Yes",'Gifted assets'!P17,0)</f>
        <v>0</v>
      </c>
      <c r="Q17" s="21">
        <f t="shared" ca="1" si="6"/>
        <v>0</v>
      </c>
    </row>
    <row r="18" spans="1:17" ht="12.75" x14ac:dyDescent="0.3">
      <c r="C18" s="13">
        <f t="shared" si="4"/>
        <v>11</v>
      </c>
      <c r="D18" s="137" t="str">
        <f>Lookups!$D$51</f>
        <v>Property</v>
      </c>
      <c r="E18" s="14" t="str">
        <f t="shared" si="5"/>
        <v>Various</v>
      </c>
      <c r="F18" s="14" t="str">
        <f t="shared" si="0"/>
        <v>$Millions</v>
      </c>
      <c r="G18" s="14" t="str">
        <f t="shared" si="1"/>
        <v>Real $2021</v>
      </c>
      <c r="H18" s="14" t="str">
        <f t="shared" si="2"/>
        <v>End of Period</v>
      </c>
      <c r="J18" s="171">
        <f ca="1">'Cash contributions (SCS)'!J23+IF(Gifted_Include_2224="Yes",'Gifted assets'!J18,0)</f>
        <v>0</v>
      </c>
      <c r="K18" s="169">
        <f ca="1">'Cash contributions (SCS)'!K23+IF(Gifted_Include_2224="Yes",'Gifted assets'!K18,0)</f>
        <v>0</v>
      </c>
      <c r="L18" s="170">
        <f ca="1">'Cash contributions (SCS)'!L23+IF(Gifted_Include_2429="Yes",'Gifted assets'!L18,0)</f>
        <v>0</v>
      </c>
      <c r="M18" s="171">
        <f ca="1">'Cash contributions (SCS)'!M23+IF(Gifted_Include_2429="Yes",'Gifted assets'!M18,0)</f>
        <v>0</v>
      </c>
      <c r="N18" s="171">
        <f ca="1">'Cash contributions (SCS)'!N23+IF(Gifted_Include_2429="Yes",'Gifted assets'!N18,0)</f>
        <v>0</v>
      </c>
      <c r="O18" s="171">
        <f ca="1">'Cash contributions (SCS)'!O23+IF(Gifted_Include_2429="Yes",'Gifted assets'!O18,0)</f>
        <v>0</v>
      </c>
      <c r="P18" s="172">
        <f ca="1">'Cash contributions (SCS)'!P23+IF(Gifted_Include_2429="Yes",'Gifted assets'!P18,0)</f>
        <v>0</v>
      </c>
      <c r="Q18" s="21">
        <f t="shared" ca="1" si="6"/>
        <v>0</v>
      </c>
    </row>
    <row r="19" spans="1:17" ht="12.75" x14ac:dyDescent="0.3">
      <c r="C19" s="13">
        <f t="shared" si="4"/>
        <v>12</v>
      </c>
      <c r="D19" s="137" t="str">
        <f>Lookups!$D$52</f>
        <v>IT and Communications</v>
      </c>
      <c r="E19" s="14" t="str">
        <f t="shared" si="5"/>
        <v>Various</v>
      </c>
      <c r="F19" s="14" t="str">
        <f t="shared" si="0"/>
        <v>$Millions</v>
      </c>
      <c r="G19" s="14" t="str">
        <f t="shared" si="1"/>
        <v>Real $2021</v>
      </c>
      <c r="H19" s="14" t="str">
        <f t="shared" si="2"/>
        <v>End of Period</v>
      </c>
      <c r="J19" s="171">
        <f ca="1">'Cash contributions (SCS)'!J24+IF(Gifted_Include_2224="Yes",'Gifted assets'!J19,0)</f>
        <v>0</v>
      </c>
      <c r="K19" s="169">
        <f ca="1">'Cash contributions (SCS)'!K24+IF(Gifted_Include_2224="Yes",'Gifted assets'!K19,0)</f>
        <v>0</v>
      </c>
      <c r="L19" s="170">
        <f ca="1">'Cash contributions (SCS)'!L24+IF(Gifted_Include_2429="Yes",'Gifted assets'!L19,0)</f>
        <v>0</v>
      </c>
      <c r="M19" s="171">
        <f ca="1">'Cash contributions (SCS)'!M24+IF(Gifted_Include_2429="Yes",'Gifted assets'!M19,0)</f>
        <v>0</v>
      </c>
      <c r="N19" s="171">
        <f ca="1">'Cash contributions (SCS)'!N24+IF(Gifted_Include_2429="Yes",'Gifted assets'!N19,0)</f>
        <v>0</v>
      </c>
      <c r="O19" s="171">
        <f ca="1">'Cash contributions (SCS)'!O24+IF(Gifted_Include_2429="Yes",'Gifted assets'!O19,0)</f>
        <v>0</v>
      </c>
      <c r="P19" s="172">
        <f ca="1">'Cash contributions (SCS)'!P24+IF(Gifted_Include_2429="Yes",'Gifted assets'!P19,0)</f>
        <v>0</v>
      </c>
      <c r="Q19" s="21">
        <f t="shared" ca="1" si="6"/>
        <v>0</v>
      </c>
    </row>
    <row r="20" spans="1:17" ht="12.75" x14ac:dyDescent="0.3">
      <c r="C20" s="13">
        <f t="shared" si="4"/>
        <v>13</v>
      </c>
      <c r="D20" s="137" t="str">
        <f>Lookups!$D$53</f>
        <v>Motor Vehicles</v>
      </c>
      <c r="E20" s="14" t="str">
        <f t="shared" si="5"/>
        <v>Various</v>
      </c>
      <c r="F20" s="14" t="str">
        <f t="shared" si="0"/>
        <v>$Millions</v>
      </c>
      <c r="G20" s="14" t="str">
        <f t="shared" si="1"/>
        <v>Real $2021</v>
      </c>
      <c r="H20" s="14" t="str">
        <f t="shared" si="2"/>
        <v>End of Period</v>
      </c>
      <c r="J20" s="171">
        <f ca="1">'Cash contributions (SCS)'!J25+IF(Gifted_Include_2224="Yes",'Gifted assets'!J20,0)</f>
        <v>0</v>
      </c>
      <c r="K20" s="169">
        <f ca="1">'Cash contributions (SCS)'!K25+IF(Gifted_Include_2224="Yes",'Gifted assets'!K20,0)</f>
        <v>0</v>
      </c>
      <c r="L20" s="170">
        <f ca="1">'Cash contributions (SCS)'!L25+IF(Gifted_Include_2429="Yes",'Gifted assets'!L20,0)</f>
        <v>0</v>
      </c>
      <c r="M20" s="171">
        <f ca="1">'Cash contributions (SCS)'!M25+IF(Gifted_Include_2429="Yes",'Gifted assets'!M20,0)</f>
        <v>0</v>
      </c>
      <c r="N20" s="171">
        <f ca="1">'Cash contributions (SCS)'!N25+IF(Gifted_Include_2429="Yes",'Gifted assets'!N20,0)</f>
        <v>0</v>
      </c>
      <c r="O20" s="171">
        <f ca="1">'Cash contributions (SCS)'!O25+IF(Gifted_Include_2429="Yes",'Gifted assets'!O20,0)</f>
        <v>0</v>
      </c>
      <c r="P20" s="172">
        <f ca="1">'Cash contributions (SCS)'!P25+IF(Gifted_Include_2429="Yes",'Gifted assets'!P20,0)</f>
        <v>0</v>
      </c>
      <c r="Q20" s="21">
        <f t="shared" ca="1" si="6"/>
        <v>0</v>
      </c>
    </row>
    <row r="21" spans="1:17" ht="12.75" x14ac:dyDescent="0.3">
      <c r="C21" s="13">
        <f t="shared" si="4"/>
        <v>14</v>
      </c>
      <c r="D21" s="137" t="str">
        <f>Lookups!$D$54</f>
        <v>Plant and Equipment</v>
      </c>
      <c r="E21" s="14" t="str">
        <f t="shared" si="5"/>
        <v>Various</v>
      </c>
      <c r="F21" s="14" t="str">
        <f t="shared" si="0"/>
        <v>$Millions</v>
      </c>
      <c r="G21" s="14" t="str">
        <f t="shared" si="1"/>
        <v>Real $2021</v>
      </c>
      <c r="H21" s="14" t="str">
        <f t="shared" si="2"/>
        <v>End of Period</v>
      </c>
      <c r="J21" s="171">
        <f ca="1">'Cash contributions (SCS)'!J26+IF(Gifted_Include_2224="Yes",'Gifted assets'!J21,0)</f>
        <v>0</v>
      </c>
      <c r="K21" s="169">
        <f ca="1">'Cash contributions (SCS)'!K26+IF(Gifted_Include_2224="Yes",'Gifted assets'!K21,0)</f>
        <v>0</v>
      </c>
      <c r="L21" s="170">
        <f ca="1">'Cash contributions (SCS)'!L26+IF(Gifted_Include_2429="Yes",'Gifted assets'!L21,0)</f>
        <v>0</v>
      </c>
      <c r="M21" s="171">
        <f ca="1">'Cash contributions (SCS)'!M26+IF(Gifted_Include_2429="Yes",'Gifted assets'!M21,0)</f>
        <v>0</v>
      </c>
      <c r="N21" s="171">
        <f ca="1">'Cash contributions (SCS)'!N26+IF(Gifted_Include_2429="Yes",'Gifted assets'!N21,0)</f>
        <v>0</v>
      </c>
      <c r="O21" s="171">
        <f ca="1">'Cash contributions (SCS)'!O26+IF(Gifted_Include_2429="Yes",'Gifted assets'!O21,0)</f>
        <v>0</v>
      </c>
      <c r="P21" s="172">
        <f ca="1">'Cash contributions (SCS)'!P26+IF(Gifted_Include_2429="Yes",'Gifted assets'!P21,0)</f>
        <v>0</v>
      </c>
      <c r="Q21" s="21">
        <f t="shared" ca="1" si="6"/>
        <v>0</v>
      </c>
    </row>
    <row r="22" spans="1:17" ht="12.75" x14ac:dyDescent="0.3">
      <c r="C22" s="13">
        <f t="shared" si="4"/>
        <v>15</v>
      </c>
      <c r="D22" s="137" t="str">
        <f>Lookups!$D$55</f>
        <v>Property Leases</v>
      </c>
      <c r="E22" s="14" t="str">
        <f t="shared" si="5"/>
        <v>Various</v>
      </c>
      <c r="F22" s="14" t="str">
        <f t="shared" si="0"/>
        <v>$Millions</v>
      </c>
      <c r="G22" s="14" t="str">
        <f t="shared" si="1"/>
        <v>Real $2021</v>
      </c>
      <c r="H22" s="14" t="str">
        <f t="shared" si="2"/>
        <v>End of Period</v>
      </c>
      <c r="J22" s="171">
        <f ca="1">'Cash contributions (SCS)'!J27+IF(Gifted_Include_2224="Yes",'Gifted assets'!J22,0)</f>
        <v>0</v>
      </c>
      <c r="K22" s="169">
        <f ca="1">'Cash contributions (SCS)'!K27+IF(Gifted_Include_2224="Yes",'Gifted assets'!K22,0)</f>
        <v>0</v>
      </c>
      <c r="L22" s="170">
        <f ca="1">'Cash contributions (SCS)'!L27+IF(Gifted_Include_2429="Yes",'Gifted assets'!L22,0)</f>
        <v>0</v>
      </c>
      <c r="M22" s="171">
        <f ca="1">'Cash contributions (SCS)'!M27+IF(Gifted_Include_2429="Yes",'Gifted assets'!M22,0)</f>
        <v>0</v>
      </c>
      <c r="N22" s="171">
        <f ca="1">'Cash contributions (SCS)'!N27+IF(Gifted_Include_2429="Yes",'Gifted assets'!N22,0)</f>
        <v>0</v>
      </c>
      <c r="O22" s="171">
        <f ca="1">'Cash contributions (SCS)'!O27+IF(Gifted_Include_2429="Yes",'Gifted assets'!O22,0)</f>
        <v>0</v>
      </c>
      <c r="P22" s="172">
        <f ca="1">'Cash contributions (SCS)'!P27+IF(Gifted_Include_2429="Yes",'Gifted assets'!P22,0)</f>
        <v>0</v>
      </c>
      <c r="Q22" s="21">
        <f t="shared" ca="1" si="6"/>
        <v>0</v>
      </c>
    </row>
    <row r="23" spans="1:17" ht="12.75" x14ac:dyDescent="0.3">
      <c r="C23" s="13">
        <f t="shared" si="4"/>
        <v>16</v>
      </c>
      <c r="D23" s="137" t="str">
        <f>Lookups!$D$56</f>
        <v>Fleet Leases</v>
      </c>
      <c r="E23" s="14" t="str">
        <f t="shared" si="5"/>
        <v>Various</v>
      </c>
      <c r="F23" s="14" t="str">
        <f t="shared" si="0"/>
        <v>$Millions</v>
      </c>
      <c r="G23" s="14" t="str">
        <f t="shared" si="1"/>
        <v>Real $2021</v>
      </c>
      <c r="H23" s="14" t="str">
        <f t="shared" si="2"/>
        <v>End of Period</v>
      </c>
      <c r="J23" s="171">
        <f ca="1">'Cash contributions (SCS)'!J28+IF(Gifted_Include_2224="Yes",'Gifted assets'!J23,0)</f>
        <v>0</v>
      </c>
      <c r="K23" s="169">
        <f ca="1">'Cash contributions (SCS)'!K28+IF(Gifted_Include_2224="Yes",'Gifted assets'!K23,0)</f>
        <v>0</v>
      </c>
      <c r="L23" s="170">
        <f ca="1">'Cash contributions (SCS)'!L28+IF(Gifted_Include_2429="Yes",'Gifted assets'!L23,0)</f>
        <v>0</v>
      </c>
      <c r="M23" s="171">
        <f ca="1">'Cash contributions (SCS)'!M28+IF(Gifted_Include_2429="Yes",'Gifted assets'!M23,0)</f>
        <v>0</v>
      </c>
      <c r="N23" s="171">
        <f ca="1">'Cash contributions (SCS)'!N28+IF(Gifted_Include_2429="Yes",'Gifted assets'!N23,0)</f>
        <v>0</v>
      </c>
      <c r="O23" s="171">
        <f ca="1">'Cash contributions (SCS)'!O28+IF(Gifted_Include_2429="Yes",'Gifted assets'!O23,0)</f>
        <v>0</v>
      </c>
      <c r="P23" s="172">
        <f ca="1">'Cash contributions (SCS)'!P28+IF(Gifted_Include_2429="Yes",'Gifted assets'!P23,0)</f>
        <v>0</v>
      </c>
      <c r="Q23" s="21">
        <f t="shared" ca="1" si="6"/>
        <v>0</v>
      </c>
    </row>
    <row r="24" spans="1:17" ht="12.75" x14ac:dyDescent="0.3">
      <c r="C24" s="13">
        <f t="shared" si="4"/>
        <v>17</v>
      </c>
      <c r="D24" s="137" t="str">
        <f>Lookups!$D$57</f>
        <v>Buildings</v>
      </c>
      <c r="E24" s="14" t="str">
        <f t="shared" si="5"/>
        <v>Various</v>
      </c>
      <c r="F24" s="14" t="str">
        <f t="shared" si="0"/>
        <v>$Millions</v>
      </c>
      <c r="G24" s="14" t="str">
        <f t="shared" si="1"/>
        <v>Real $2021</v>
      </c>
      <c r="H24" s="14" t="str">
        <f t="shared" si="2"/>
        <v>End of Period</v>
      </c>
      <c r="J24" s="171">
        <f ca="1">'Cash contributions (SCS)'!J29+IF(Gifted_Include_2224="Yes",'Gifted assets'!J24,0)</f>
        <v>0</v>
      </c>
      <c r="K24" s="169">
        <f ca="1">'Cash contributions (SCS)'!K29+IF(Gifted_Include_2224="Yes",'Gifted assets'!K24,0)</f>
        <v>0</v>
      </c>
      <c r="L24" s="170">
        <f ca="1">'Cash contributions (SCS)'!L29+IF(Gifted_Include_2429="Yes",'Gifted assets'!L24,0)</f>
        <v>0</v>
      </c>
      <c r="M24" s="171">
        <f ca="1">'Cash contributions (SCS)'!M29+IF(Gifted_Include_2429="Yes",'Gifted assets'!M24,0)</f>
        <v>0</v>
      </c>
      <c r="N24" s="171">
        <f ca="1">'Cash contributions (SCS)'!N29+IF(Gifted_Include_2429="Yes",'Gifted assets'!N24,0)</f>
        <v>0</v>
      </c>
      <c r="O24" s="171">
        <f ca="1">'Cash contributions (SCS)'!O29+IF(Gifted_Include_2429="Yes",'Gifted assets'!O24,0)</f>
        <v>0</v>
      </c>
      <c r="P24" s="172">
        <f ca="1">'Cash contributions (SCS)'!P29+IF(Gifted_Include_2429="Yes",'Gifted assets'!P24,0)</f>
        <v>0</v>
      </c>
      <c r="Q24" s="21">
        <f t="shared" ca="1" si="6"/>
        <v>0</v>
      </c>
    </row>
    <row r="25" spans="1:17" ht="12.75" x14ac:dyDescent="0.3">
      <c r="C25" s="13">
        <f t="shared" si="4"/>
        <v>18</v>
      </c>
      <c r="D25" s="137" t="str">
        <f>Lookups!$D$58</f>
        <v>In-house Software</v>
      </c>
      <c r="E25" s="14" t="str">
        <f t="shared" si="5"/>
        <v>Various</v>
      </c>
      <c r="F25" s="14" t="str">
        <f t="shared" si="0"/>
        <v>$Millions</v>
      </c>
      <c r="G25" s="14" t="str">
        <f t="shared" si="1"/>
        <v>Real $2021</v>
      </c>
      <c r="H25" s="14" t="str">
        <f t="shared" si="2"/>
        <v>End of Period</v>
      </c>
      <c r="J25" s="171">
        <f ca="1">'Cash contributions (SCS)'!J30+IF(Gifted_Include_2224="Yes",'Gifted assets'!J25,0)</f>
        <v>0</v>
      </c>
      <c r="K25" s="169">
        <f ca="1">'Cash contributions (SCS)'!K30+IF(Gifted_Include_2224="Yes",'Gifted assets'!K25,0)</f>
        <v>0</v>
      </c>
      <c r="L25" s="170">
        <f ca="1">'Cash contributions (SCS)'!L30+IF(Gifted_Include_2429="Yes",'Gifted assets'!L25,0)</f>
        <v>0</v>
      </c>
      <c r="M25" s="171">
        <f ca="1">'Cash contributions (SCS)'!M30+IF(Gifted_Include_2429="Yes",'Gifted assets'!M25,0)</f>
        <v>0</v>
      </c>
      <c r="N25" s="171">
        <f ca="1">'Cash contributions (SCS)'!N30+IF(Gifted_Include_2429="Yes",'Gifted assets'!N25,0)</f>
        <v>0</v>
      </c>
      <c r="O25" s="171">
        <f ca="1">'Cash contributions (SCS)'!O30+IF(Gifted_Include_2429="Yes",'Gifted assets'!O25,0)</f>
        <v>0</v>
      </c>
      <c r="P25" s="172">
        <f ca="1">'Cash contributions (SCS)'!P30+IF(Gifted_Include_2429="Yes",'Gifted assets'!P25,0)</f>
        <v>0</v>
      </c>
      <c r="Q25" s="21">
        <f t="shared" ca="1" si="6"/>
        <v>0</v>
      </c>
    </row>
    <row r="26" spans="1:17" x14ac:dyDescent="0.3">
      <c r="L26" s="15"/>
      <c r="P26" s="16"/>
    </row>
    <row r="27" spans="1:17" ht="13.15" x14ac:dyDescent="0.3">
      <c r="D27" s="136" t="s">
        <v>151</v>
      </c>
      <c r="E27" s="17" t="s">
        <v>157</v>
      </c>
      <c r="F27" s="17" t="str">
        <f>Input_Unit</f>
        <v>$Millions</v>
      </c>
      <c r="G27" s="17" t="str">
        <f>Input_Dollar_Basis</f>
        <v>Real $2021</v>
      </c>
      <c r="H27" s="17" t="str">
        <f>End_Period</f>
        <v>End of Period</v>
      </c>
      <c r="J27" s="18">
        <f t="shared" ref="J27" ca="1" si="7">SUM(J8:J25)</f>
        <v>3.1137693122529408</v>
      </c>
      <c r="K27" s="18">
        <f t="shared" ref="K27:P27" ca="1" si="8">SUM(K8:K25)</f>
        <v>3.1232588164314286</v>
      </c>
      <c r="L27" s="19">
        <f t="shared" ca="1" si="8"/>
        <v>0.15722577712260044</v>
      </c>
      <c r="M27" s="18">
        <f t="shared" ca="1" si="8"/>
        <v>0.15787950113733074</v>
      </c>
      <c r="N27" s="18">
        <f t="shared" ca="1" si="8"/>
        <v>0.15854925323742064</v>
      </c>
      <c r="O27" s="18">
        <f t="shared" ca="1" si="8"/>
        <v>0.15923546106170899</v>
      </c>
      <c r="P27" s="20">
        <f t="shared" ca="1" si="8"/>
        <v>0.15993856383345298</v>
      </c>
      <c r="Q27" s="18">
        <f ca="1">SUM(Q8:Q25)</f>
        <v>0.79282855639251371</v>
      </c>
    </row>
    <row r="28" spans="1:17" ht="11.25" customHeight="1" x14ac:dyDescent="0.3"/>
    <row r="29" spans="1:17" ht="11.25" customHeight="1" x14ac:dyDescent="0.3">
      <c r="D29" s="137" t="s">
        <v>101</v>
      </c>
      <c r="E29" s="14" t="s">
        <v>295</v>
      </c>
      <c r="F29" s="14" t="str">
        <f>'Net connection capex (SCS)'!F$27</f>
        <v>$Millions</v>
      </c>
      <c r="G29" s="14" t="str">
        <f>'Net connection capex (SCS)'!G$27</f>
        <v>Real $2021</v>
      </c>
      <c r="H29" s="14" t="str">
        <f>'Net connection capex (SCS)'!H$27</f>
        <v>End of Period</v>
      </c>
      <c r="J29" s="21">
        <f ca="1">'Cash contributions (SCS)'!J$32</f>
        <v>0.65217052479573023</v>
      </c>
      <c r="K29" s="169">
        <f ca="1">'Cash contributions (SCS)'!K$32</f>
        <v>0.66166002897421794</v>
      </c>
      <c r="L29" s="170">
        <f ca="1">'Cash contributions (SCS)'!L$32</f>
        <v>0.15722577712260044</v>
      </c>
      <c r="M29" s="21">
        <f ca="1">'Cash contributions (SCS)'!M$32</f>
        <v>0.15787950113733074</v>
      </c>
      <c r="N29" s="21">
        <f ca="1">'Cash contributions (SCS)'!N$32</f>
        <v>0.15854925323742064</v>
      </c>
      <c r="O29" s="21">
        <f ca="1">'Cash contributions (SCS)'!O$32</f>
        <v>0.15923546106170899</v>
      </c>
      <c r="P29" s="21">
        <f ca="1">'Cash contributions (SCS)'!P$32</f>
        <v>0.15993856383345298</v>
      </c>
    </row>
    <row r="30" spans="1:17" ht="11.25" customHeight="1" x14ac:dyDescent="0.3">
      <c r="D30" s="137" t="s">
        <v>97</v>
      </c>
      <c r="E30" s="14" t="s">
        <v>296</v>
      </c>
      <c r="F30" s="14" t="str">
        <f>'Gifted assets'!F$27</f>
        <v>$Millions</v>
      </c>
      <c r="G30" s="14" t="str">
        <f>'Gifted assets'!G$27</f>
        <v>Real $2021</v>
      </c>
      <c r="H30" s="14" t="str">
        <f>'Gifted assets'!H$27</f>
        <v>End of Period</v>
      </c>
      <c r="J30" s="21">
        <f>IF(Gifted_Include_2224="Yes",'Gifted assets'!J$27,0)</f>
        <v>2.4615987874572105</v>
      </c>
      <c r="K30" s="169">
        <f>IF(Gifted_Include_2224="Yes",'Gifted assets'!K$27,0)</f>
        <v>2.4615987874572105</v>
      </c>
      <c r="L30" s="170">
        <f>IF(Gifted_Include_2429="Yes",'Gifted assets'!L$27,0)</f>
        <v>0</v>
      </c>
      <c r="M30" s="21">
        <f>IF(Gifted_Include_2429="Yes",'Gifted assets'!M$27,0)</f>
        <v>0</v>
      </c>
      <c r="N30" s="21">
        <f>IF(Gifted_Include_2429="Yes",'Gifted assets'!N$27,0)</f>
        <v>0</v>
      </c>
      <c r="O30" s="21">
        <f>IF(Gifted_Include_2429="Yes",'Gifted assets'!O$27,0)</f>
        <v>0</v>
      </c>
      <c r="P30" s="21">
        <f>IF(Gifted_Include_2429="Yes",'Gifted assets'!P$27,0)</f>
        <v>0</v>
      </c>
    </row>
    <row r="31" spans="1:17" ht="11.25" customHeight="1" x14ac:dyDescent="0.3"/>
    <row r="32" spans="1:17" ht="11.25" customHeight="1" x14ac:dyDescent="0.3">
      <c r="A32" s="3">
        <f ca="1">IF(SUM($J32:$P32)&gt;0,1,0)</f>
        <v>0</v>
      </c>
      <c r="D32" s="137" t="s">
        <v>98</v>
      </c>
      <c r="E32" s="137"/>
      <c r="J32" s="3">
        <f t="shared" ref="J32" ca="1" si="9">IF(ROUND(J27-SUM(J29:J30),4)&lt;&gt;0,1,0)</f>
        <v>0</v>
      </c>
      <c r="K32" s="3">
        <f t="shared" ref="K32:P32" ca="1" si="10">IF(ROUND(K27-SUM(K29:K30),4)&lt;&gt;0,1,0)</f>
        <v>0</v>
      </c>
      <c r="L32" s="3">
        <f t="shared" ca="1" si="10"/>
        <v>0</v>
      </c>
      <c r="M32" s="3">
        <f t="shared" ca="1" si="10"/>
        <v>0</v>
      </c>
      <c r="N32" s="3">
        <f t="shared" ca="1" si="10"/>
        <v>0</v>
      </c>
      <c r="O32" s="3">
        <f t="shared" ca="1" si="10"/>
        <v>0</v>
      </c>
      <c r="P32" s="3">
        <f t="shared" ca="1" si="10"/>
        <v>0</v>
      </c>
    </row>
    <row r="34" spans="3:17" s="7" customFormat="1" ht="13.9" x14ac:dyDescent="0.45">
      <c r="C34" s="7" t="s">
        <v>300</v>
      </c>
    </row>
    <row r="36" spans="3:17" ht="26.25" x14ac:dyDescent="0.3">
      <c r="C36" s="143" t="s">
        <v>81</v>
      </c>
      <c r="D36" s="144" t="s">
        <v>89</v>
      </c>
      <c r="E36" s="144" t="s">
        <v>90</v>
      </c>
      <c r="F36" s="145" t="s">
        <v>17</v>
      </c>
      <c r="G36" s="145" t="s">
        <v>83</v>
      </c>
      <c r="H36" s="145" t="s">
        <v>84</v>
      </c>
      <c r="J36" s="10" t="str">
        <f>Lookups!I$11</f>
        <v>FY23</v>
      </c>
      <c r="K36" s="10" t="str">
        <f>Lookups!J$11</f>
        <v>FY24</v>
      </c>
      <c r="L36" s="11" t="str">
        <f>Lookups!K$11</f>
        <v>FY25</v>
      </c>
      <c r="M36" s="10" t="str">
        <f>Lookups!L$11</f>
        <v>FY26</v>
      </c>
      <c r="N36" s="10" t="str">
        <f>Lookups!M$11</f>
        <v>FY27</v>
      </c>
      <c r="O36" s="10" t="str">
        <f>Lookups!N$11</f>
        <v>FY28</v>
      </c>
      <c r="P36" s="12" t="str">
        <f>Lookups!O$11</f>
        <v>FY29</v>
      </c>
      <c r="Q36" s="10" t="str">
        <f>Lookups!Q$11</f>
        <v>Total FY25 to FY29</v>
      </c>
    </row>
    <row r="37" spans="3:17" ht="12.75" x14ac:dyDescent="0.3">
      <c r="C37" s="146">
        <f>N(C36)+1</f>
        <v>1</v>
      </c>
      <c r="D37" s="184" t="str">
        <f>'Net connection capex (SCS)'!D34</f>
        <v>RESIDENTIAL</v>
      </c>
      <c r="E37" s="184" t="str">
        <f>'Net connection capex (SCS)'!E34</f>
        <v>Simple connection LV</v>
      </c>
      <c r="F37" s="148" t="str">
        <f t="shared" ref="F37:F50" si="11">Input_Unit</f>
        <v>$Millions</v>
      </c>
      <c r="G37" s="148" t="str">
        <f t="shared" ref="G37:G50" si="12">Input_Dollar_Basis</f>
        <v>Real $2021</v>
      </c>
      <c r="H37" s="148" t="str">
        <f t="shared" ref="H37:H50" si="13">End_Period</f>
        <v>End of Period</v>
      </c>
      <c r="J37" s="171">
        <f>('Cash contributions (SCS)'!J39)/10^6
+IF('Cash contributions (SCS)'!J$54=0,0,J$30*('Cash contributions (SCS)'!J39/'Cash contributions (SCS)'!J$54))</f>
        <v>0.19393772735418535</v>
      </c>
      <c r="K37" s="169">
        <f>('Cash contributions (SCS)'!K39)/10^6
+IF('Cash contributions (SCS)'!K$54=0,0,K$30*('Cash contributions (SCS)'!K39/'Cash contributions (SCS)'!K$54))</f>
        <v>0.19360642017629071</v>
      </c>
      <c r="L37" s="170">
        <f>('Cash contributions (SCS)'!L39)/10^6
+IF('Cash contributions (SCS)'!L$54=0,0,L$30*('Cash contributions (SCS)'!L39/'Cash contributions (SCS)'!L$54))</f>
        <v>0</v>
      </c>
      <c r="M37" s="171">
        <f>('Cash contributions (SCS)'!M39)/10^6
+IF('Cash contributions (SCS)'!M$54=0,0,M$30*('Cash contributions (SCS)'!M39/'Cash contributions (SCS)'!M$54))</f>
        <v>0</v>
      </c>
      <c r="N37" s="171">
        <f>('Cash contributions (SCS)'!N39)/10^6
+IF('Cash contributions (SCS)'!N$54=0,0,N$30*('Cash contributions (SCS)'!N39/'Cash contributions (SCS)'!N$54))</f>
        <v>0</v>
      </c>
      <c r="O37" s="171">
        <f>('Cash contributions (SCS)'!O39)/10^6
+IF('Cash contributions (SCS)'!O$54=0,0,O$30*('Cash contributions (SCS)'!O39/'Cash contributions (SCS)'!O$54))</f>
        <v>0</v>
      </c>
      <c r="P37" s="172">
        <f>('Cash contributions (SCS)'!P39)/10^6
+IF('Cash contributions (SCS)'!P$54=0,0,P$30*('Cash contributions (SCS)'!P39/'Cash contributions (SCS)'!P$54))</f>
        <v>0</v>
      </c>
      <c r="Q37" s="21">
        <f t="shared" ref="Q37:Q50" si="14">SUM(L37:P37)</f>
        <v>0</v>
      </c>
    </row>
    <row r="38" spans="3:17" ht="12.75" x14ac:dyDescent="0.3">
      <c r="C38" s="146">
        <f t="shared" ref="C38:C50" si="15">N(C37)+1</f>
        <v>2</v>
      </c>
      <c r="D38" s="184"/>
      <c r="E38" s="184" t="str">
        <f>'Net connection capex (SCS)'!E35</f>
        <v>Complex connection LV</v>
      </c>
      <c r="F38" s="148" t="str">
        <f t="shared" si="11"/>
        <v>$Millions</v>
      </c>
      <c r="G38" s="148" t="str">
        <f t="shared" si="12"/>
        <v>Real $2021</v>
      </c>
      <c r="H38" s="148" t="str">
        <f t="shared" si="13"/>
        <v>End of Period</v>
      </c>
      <c r="J38" s="171">
        <f>('Cash contributions (SCS)'!J40)/10^6
+IF('Cash contributions (SCS)'!J$54=0,0,J$30*('Cash contributions (SCS)'!J40/'Cash contributions (SCS)'!J$54))</f>
        <v>7.5119877583665395E-2</v>
      </c>
      <c r="K38" s="169">
        <f>('Cash contributions (SCS)'!K40)/10^6
+IF('Cash contributions (SCS)'!K$54=0,0,K$30*('Cash contributions (SCS)'!K40/'Cash contributions (SCS)'!K$54))</f>
        <v>7.4466788046730487E-2</v>
      </c>
      <c r="L38" s="170">
        <f>('Cash contributions (SCS)'!L40)/10^6
+IF('Cash contributions (SCS)'!L$54=0,0,L$30*('Cash contributions (SCS)'!L40/'Cash contributions (SCS)'!L$54))</f>
        <v>1.5817811655120067E-2</v>
      </c>
      <c r="M38" s="171">
        <f>('Cash contributions (SCS)'!M40)/10^6
+IF('Cash contributions (SCS)'!M$54=0,0,M$30*('Cash contributions (SCS)'!M40/'Cash contributions (SCS)'!M$54))</f>
        <v>1.5859890323464017E-2</v>
      </c>
      <c r="N38" s="171">
        <f>('Cash contributions (SCS)'!N40)/10^6
+IF('Cash contributions (SCS)'!N$54=0,0,N$30*('Cash contributions (SCS)'!N40/'Cash contributions (SCS)'!N$54))</f>
        <v>1.5901968991807961E-2</v>
      </c>
      <c r="O38" s="171">
        <f>('Cash contributions (SCS)'!O40)/10^6
+IF('Cash contributions (SCS)'!O$54=0,0,O$30*('Cash contributions (SCS)'!O40/'Cash contributions (SCS)'!O$54))</f>
        <v>1.5944047660151912E-2</v>
      </c>
      <c r="P38" s="172">
        <f>('Cash contributions (SCS)'!P40)/10^6
+IF('Cash contributions (SCS)'!P$54=0,0,P$30*('Cash contributions (SCS)'!P40/'Cash contributions (SCS)'!P$54))</f>
        <v>1.5986126328495855E-2</v>
      </c>
      <c r="Q38" s="21">
        <f t="shared" si="14"/>
        <v>7.9509844959039816E-2</v>
      </c>
    </row>
    <row r="39" spans="3:17" ht="12.75" x14ac:dyDescent="0.3">
      <c r="C39" s="146">
        <f t="shared" si="15"/>
        <v>3</v>
      </c>
      <c r="D39" s="184"/>
      <c r="E39" s="184" t="str">
        <f>'Net connection capex (SCS)'!E36</f>
        <v>Complex connection HV</v>
      </c>
      <c r="F39" s="148" t="str">
        <f t="shared" si="11"/>
        <v>$Millions</v>
      </c>
      <c r="G39" s="148" t="str">
        <f t="shared" si="12"/>
        <v>Real $2021</v>
      </c>
      <c r="H39" s="148" t="str">
        <f t="shared" si="13"/>
        <v>End of Period</v>
      </c>
      <c r="J39" s="171">
        <f>('Cash contributions (SCS)'!J41)/10^6
+IF('Cash contributions (SCS)'!J$54=0,0,J$30*('Cash contributions (SCS)'!J41/'Cash contributions (SCS)'!J$54))</f>
        <v>0.24395700071773618</v>
      </c>
      <c r="K39" s="169">
        <f>('Cash contributions (SCS)'!K41)/10^6
+IF('Cash contributions (SCS)'!K$54=0,0,K$30*('Cash contributions (SCS)'!K41/'Cash contributions (SCS)'!K$54))</f>
        <v>0.24119099710957279</v>
      </c>
      <c r="L39" s="170">
        <f>('Cash contributions (SCS)'!L41)/10^6
+IF('Cash contributions (SCS)'!L$54=0,0,L$30*('Cash contributions (SCS)'!L41/'Cash contributions (SCS)'!L$54))</f>
        <v>5.1096131161547681E-2</v>
      </c>
      <c r="M39" s="171">
        <f>('Cash contributions (SCS)'!M41)/10^6
+IF('Cash contributions (SCS)'!M$54=0,0,M$30*('Cash contributions (SCS)'!M41/'Cash contributions (SCS)'!M$54))</f>
        <v>5.1096131161547681E-2</v>
      </c>
      <c r="N39" s="171">
        <f>('Cash contributions (SCS)'!N41)/10^6
+IF('Cash contributions (SCS)'!N$54=0,0,N$30*('Cash contributions (SCS)'!N41/'Cash contributions (SCS)'!N$54))</f>
        <v>5.1096131161547681E-2</v>
      </c>
      <c r="O39" s="171">
        <f>('Cash contributions (SCS)'!O41)/10^6
+IF('Cash contributions (SCS)'!O$54=0,0,O$30*('Cash contributions (SCS)'!O41/'Cash contributions (SCS)'!O$54))</f>
        <v>5.1096131161547681E-2</v>
      </c>
      <c r="P39" s="172">
        <f>('Cash contributions (SCS)'!P41)/10^6
+IF('Cash contributions (SCS)'!P$54=0,0,P$30*('Cash contributions (SCS)'!P41/'Cash contributions (SCS)'!P$54))</f>
        <v>5.1096131161547681E-2</v>
      </c>
      <c r="Q39" s="21">
        <f t="shared" si="14"/>
        <v>0.25548065580773838</v>
      </c>
    </row>
    <row r="40" spans="3:17" ht="12.75" x14ac:dyDescent="0.3">
      <c r="C40" s="146">
        <f t="shared" si="15"/>
        <v>4</v>
      </c>
      <c r="D40" s="184" t="str">
        <f>'Net connection capex (SCS)'!D37</f>
        <v>COMMERCIAL/INDUSTRIAL</v>
      </c>
      <c r="E40" s="184" t="str">
        <f>'Net connection capex (SCS)'!E37</f>
        <v>Simple connection LV</v>
      </c>
      <c r="F40" s="148" t="str">
        <f t="shared" si="11"/>
        <v>$Millions</v>
      </c>
      <c r="G40" s="148" t="str">
        <f t="shared" si="12"/>
        <v>Real $2021</v>
      </c>
      <c r="H40" s="148" t="str">
        <f t="shared" si="13"/>
        <v>End of Period</v>
      </c>
      <c r="J40" s="171">
        <f>('Cash contributions (SCS)'!J42)/10^6
+IF('Cash contributions (SCS)'!J$54=0,0,J$30*('Cash contributions (SCS)'!J42/'Cash contributions (SCS)'!J$54))</f>
        <v>9.4346820144851601E-2</v>
      </c>
      <c r="K40" s="169">
        <f>('Cash contributions (SCS)'!K42)/10^6
+IF('Cash contributions (SCS)'!K$54=0,0,K$30*('Cash contributions (SCS)'!K42/'Cash contributions (SCS)'!K$54))</f>
        <v>9.6018809494870155E-2</v>
      </c>
      <c r="L40" s="170">
        <f>('Cash contributions (SCS)'!L42)/10^6
+IF('Cash contributions (SCS)'!L$54=0,0,L$30*('Cash contributions (SCS)'!L42/'Cash contributions (SCS)'!L$54))</f>
        <v>2.0937546130160401E-2</v>
      </c>
      <c r="M40" s="171">
        <f>('Cash contributions (SCS)'!M42)/10^6
+IF('Cash contributions (SCS)'!M$54=0,0,M$30*('Cash contributions (SCS)'!M42/'Cash contributions (SCS)'!M$54))</f>
        <v>2.1549191476546721E-2</v>
      </c>
      <c r="N40" s="171">
        <f>('Cash contributions (SCS)'!N42)/10^6
+IF('Cash contributions (SCS)'!N$54=0,0,N$30*('Cash contributions (SCS)'!N42/'Cash contributions (SCS)'!N$54))</f>
        <v>2.2176864908292685E-2</v>
      </c>
      <c r="O40" s="171">
        <f>('Cash contributions (SCS)'!O42)/10^6
+IF('Cash contributions (SCS)'!O$54=0,0,O$30*('Cash contributions (SCS)'!O42/'Cash contributions (SCS)'!O$54))</f>
        <v>2.2820994064237085E-2</v>
      </c>
      <c r="P40" s="172">
        <f>('Cash contributions (SCS)'!P42)/10^6
+IF('Cash contributions (SCS)'!P$54=0,0,P$30*('Cash contributions (SCS)'!P42/'Cash contributions (SCS)'!P$54))</f>
        <v>2.348201816763713E-2</v>
      </c>
      <c r="Q40" s="21">
        <f t="shared" si="14"/>
        <v>0.11096661474687403</v>
      </c>
    </row>
    <row r="41" spans="3:17" ht="12.75" x14ac:dyDescent="0.3">
      <c r="C41" s="146">
        <f t="shared" si="15"/>
        <v>5</v>
      </c>
      <c r="D41" s="184"/>
      <c r="E41" s="184" t="str">
        <f>'Net connection capex (SCS)'!E38</f>
        <v>Complex connection HV (customer connected at LV, minor HV works)</v>
      </c>
      <c r="F41" s="148" t="str">
        <f t="shared" si="11"/>
        <v>$Millions</v>
      </c>
      <c r="G41" s="148" t="str">
        <f t="shared" si="12"/>
        <v>Real $2021</v>
      </c>
      <c r="H41" s="148" t="str">
        <f t="shared" si="13"/>
        <v>End of Period</v>
      </c>
      <c r="J41" s="171">
        <f>('Cash contributions (SCS)'!J43)/10^6
+IF('Cash contributions (SCS)'!J$54=0,0,J$30*('Cash contributions (SCS)'!J43/'Cash contributions (SCS)'!J$54))</f>
        <v>1.1677031196739784</v>
      </c>
      <c r="K41" s="169">
        <f>('Cash contributions (SCS)'!K43)/10^6
+IF('Cash contributions (SCS)'!K$54=0,0,K$30*('Cash contributions (SCS)'!K43/'Cash contributions (SCS)'!K$54))</f>
        <v>1.1174900239707242</v>
      </c>
      <c r="L41" s="170">
        <f>('Cash contributions (SCS)'!L43)/10^6
+IF('Cash contributions (SCS)'!L$54=0,0,L$30*('Cash contributions (SCS)'!L43/'Cash contributions (SCS)'!L$54))</f>
        <v>0</v>
      </c>
      <c r="M41" s="171">
        <f>('Cash contributions (SCS)'!M43)/10^6
+IF('Cash contributions (SCS)'!M$54=0,0,M$30*('Cash contributions (SCS)'!M43/'Cash contributions (SCS)'!M$54))</f>
        <v>0</v>
      </c>
      <c r="N41" s="171">
        <f>('Cash contributions (SCS)'!N43)/10^6
+IF('Cash contributions (SCS)'!N$54=0,0,N$30*('Cash contributions (SCS)'!N43/'Cash contributions (SCS)'!N$54))</f>
        <v>0</v>
      </c>
      <c r="O41" s="171">
        <f>('Cash contributions (SCS)'!O43)/10^6
+IF('Cash contributions (SCS)'!O$54=0,0,O$30*('Cash contributions (SCS)'!O43/'Cash contributions (SCS)'!O$54))</f>
        <v>0</v>
      </c>
      <c r="P41" s="172">
        <f>('Cash contributions (SCS)'!P43)/10^6
+IF('Cash contributions (SCS)'!P$54=0,0,P$30*('Cash contributions (SCS)'!P43/'Cash contributions (SCS)'!P$54))</f>
        <v>0</v>
      </c>
      <c r="Q41" s="21">
        <f t="shared" si="14"/>
        <v>0</v>
      </c>
    </row>
    <row r="42" spans="3:17" ht="12.75" x14ac:dyDescent="0.3">
      <c r="C42" s="146">
        <f t="shared" si="15"/>
        <v>6</v>
      </c>
      <c r="D42" s="184"/>
      <c r="E42" s="184" t="str">
        <f>'Net connection capex (SCS)'!E39</f>
        <v>Complex connection HV (customer connected at LV, upstream asset works)</v>
      </c>
      <c r="F42" s="148" t="str">
        <f t="shared" si="11"/>
        <v>$Millions</v>
      </c>
      <c r="G42" s="148" t="str">
        <f t="shared" si="12"/>
        <v>Real $2021</v>
      </c>
      <c r="H42" s="148" t="str">
        <f t="shared" si="13"/>
        <v>End of Period</v>
      </c>
      <c r="J42" s="171">
        <f>('Cash contributions (SCS)'!J44)/10^6
+IF('Cash contributions (SCS)'!J$54=0,0,J$30*('Cash contributions (SCS)'!J44/'Cash contributions (SCS)'!J$54))</f>
        <v>0.24417046756911781</v>
      </c>
      <c r="K42" s="169">
        <f>('Cash contributions (SCS)'!K44)/10^6
+IF('Cash contributions (SCS)'!K$54=0,0,K$30*('Cash contributions (SCS)'!K44/'Cash contributions (SCS)'!K$54))</f>
        <v>0.24074568363475859</v>
      </c>
      <c r="L42" s="170">
        <f>('Cash contributions (SCS)'!L44)/10^6
+IF('Cash contributions (SCS)'!L$54=0,0,L$30*('Cash contributions (SCS)'!L44/'Cash contributions (SCS)'!L$54))</f>
        <v>0</v>
      </c>
      <c r="M42" s="171">
        <f>('Cash contributions (SCS)'!M44)/10^6
+IF('Cash contributions (SCS)'!M$54=0,0,M$30*('Cash contributions (SCS)'!M44/'Cash contributions (SCS)'!M$54))</f>
        <v>0</v>
      </c>
      <c r="N42" s="171">
        <f>('Cash contributions (SCS)'!N44)/10^6
+IF('Cash contributions (SCS)'!N$54=0,0,N$30*('Cash contributions (SCS)'!N44/'Cash contributions (SCS)'!N$54))</f>
        <v>0</v>
      </c>
      <c r="O42" s="171">
        <f>('Cash contributions (SCS)'!O44)/10^6
+IF('Cash contributions (SCS)'!O$54=0,0,O$30*('Cash contributions (SCS)'!O44/'Cash contributions (SCS)'!O$54))</f>
        <v>0</v>
      </c>
      <c r="P42" s="172">
        <f>('Cash contributions (SCS)'!P44)/10^6
+IF('Cash contributions (SCS)'!P$54=0,0,P$30*('Cash contributions (SCS)'!P44/'Cash contributions (SCS)'!P$54))</f>
        <v>0</v>
      </c>
      <c r="Q42" s="21">
        <f t="shared" si="14"/>
        <v>0</v>
      </c>
    </row>
    <row r="43" spans="3:17" ht="12.75" x14ac:dyDescent="0.3">
      <c r="C43" s="146">
        <f t="shared" si="15"/>
        <v>7</v>
      </c>
      <c r="D43" s="184"/>
      <c r="E43" s="184" t="str">
        <f>'Net connection capex (SCS)'!E40</f>
        <v>Complex connection HV (customer connected at HV)</v>
      </c>
      <c r="F43" s="148" t="str">
        <f t="shared" si="11"/>
        <v>$Millions</v>
      </c>
      <c r="G43" s="148" t="str">
        <f t="shared" si="12"/>
        <v>Real $2021</v>
      </c>
      <c r="H43" s="148" t="str">
        <f t="shared" si="13"/>
        <v>End of Period</v>
      </c>
      <c r="J43" s="171">
        <f>('Cash contributions (SCS)'!J45)/10^6
+IF('Cash contributions (SCS)'!J$54=0,0,J$30*('Cash contributions (SCS)'!J45/'Cash contributions (SCS)'!J$54))</f>
        <v>0.52581676112140951</v>
      </c>
      <c r="K43" s="169">
        <f>('Cash contributions (SCS)'!K45)/10^6
+IF('Cash contributions (SCS)'!K$54=0,0,K$30*('Cash contributions (SCS)'!K45/'Cash contributions (SCS)'!K$54))</f>
        <v>0.59747071996295809</v>
      </c>
      <c r="L43" s="170">
        <f>('Cash contributions (SCS)'!L45)/10^6
+IF('Cash contributions (SCS)'!L$54=0,0,L$30*('Cash contributions (SCS)'!L45/'Cash contributions (SCS)'!L$54))</f>
        <v>0</v>
      </c>
      <c r="M43" s="171">
        <f>('Cash contributions (SCS)'!M45)/10^6
+IF('Cash contributions (SCS)'!M$54=0,0,M$30*('Cash contributions (SCS)'!M45/'Cash contributions (SCS)'!M$54))</f>
        <v>0</v>
      </c>
      <c r="N43" s="171">
        <f>('Cash contributions (SCS)'!N45)/10^6
+IF('Cash contributions (SCS)'!N$54=0,0,N$30*('Cash contributions (SCS)'!N45/'Cash contributions (SCS)'!N$54))</f>
        <v>0</v>
      </c>
      <c r="O43" s="171">
        <f>('Cash contributions (SCS)'!O45)/10^6
+IF('Cash contributions (SCS)'!O$54=0,0,O$30*('Cash contributions (SCS)'!O45/'Cash contributions (SCS)'!O$54))</f>
        <v>0</v>
      </c>
      <c r="P43" s="172">
        <f>('Cash contributions (SCS)'!P45)/10^6
+IF('Cash contributions (SCS)'!P$54=0,0,P$30*('Cash contributions (SCS)'!P45/'Cash contributions (SCS)'!P$54))</f>
        <v>0</v>
      </c>
      <c r="Q43" s="21">
        <f t="shared" si="14"/>
        <v>0</v>
      </c>
    </row>
    <row r="44" spans="3:17" ht="12.75" x14ac:dyDescent="0.3">
      <c r="C44" s="146">
        <f t="shared" si="15"/>
        <v>8</v>
      </c>
      <c r="D44" s="184"/>
      <c r="E44" s="184" t="str">
        <f>'Net connection capex (SCS)'!E41</f>
        <v>Complex connection sub-transmission</v>
      </c>
      <c r="F44" s="148" t="str">
        <f t="shared" si="11"/>
        <v>$Millions</v>
      </c>
      <c r="G44" s="148" t="str">
        <f t="shared" si="12"/>
        <v>Real $2021</v>
      </c>
      <c r="H44" s="148" t="str">
        <f t="shared" si="13"/>
        <v>End of Period</v>
      </c>
      <c r="J44" s="171">
        <f>('Cash contributions (SCS)'!J46)/10^6
+IF('Cash contributions (SCS)'!J$54=0,0,J$30*('Cash contributions (SCS)'!J46/'Cash contributions (SCS)'!J$54))</f>
        <v>0</v>
      </c>
      <c r="K44" s="169">
        <f>('Cash contributions (SCS)'!K46)/10^6
+IF('Cash contributions (SCS)'!K$54=0,0,K$30*('Cash contributions (SCS)'!K46/'Cash contributions (SCS)'!K$54))</f>
        <v>0</v>
      </c>
      <c r="L44" s="170">
        <f>('Cash contributions (SCS)'!L46)/10^6
+IF('Cash contributions (SCS)'!L$54=0,0,L$30*('Cash contributions (SCS)'!L46/'Cash contributions (SCS)'!L$54))</f>
        <v>0</v>
      </c>
      <c r="M44" s="171">
        <f>('Cash contributions (SCS)'!M46)/10^6
+IF('Cash contributions (SCS)'!M$54=0,0,M$30*('Cash contributions (SCS)'!M46/'Cash contributions (SCS)'!M$54))</f>
        <v>0</v>
      </c>
      <c r="N44" s="171">
        <f>('Cash contributions (SCS)'!N46)/10^6
+IF('Cash contributions (SCS)'!N$54=0,0,N$30*('Cash contributions (SCS)'!N46/'Cash contributions (SCS)'!N$54))</f>
        <v>0</v>
      </c>
      <c r="O44" s="171">
        <f>('Cash contributions (SCS)'!O46)/10^6
+IF('Cash contributions (SCS)'!O$54=0,0,O$30*('Cash contributions (SCS)'!O46/'Cash contributions (SCS)'!O$54))</f>
        <v>0</v>
      </c>
      <c r="P44" s="172">
        <f>('Cash contributions (SCS)'!P46)/10^6
+IF('Cash contributions (SCS)'!P$54=0,0,P$30*('Cash contributions (SCS)'!P46/'Cash contributions (SCS)'!P$54))</f>
        <v>0</v>
      </c>
      <c r="Q44" s="21">
        <f t="shared" si="14"/>
        <v>0</v>
      </c>
    </row>
    <row r="45" spans="3:17" ht="12.75" x14ac:dyDescent="0.3">
      <c r="C45" s="146">
        <f t="shared" si="15"/>
        <v>9</v>
      </c>
      <c r="D45" s="184" t="str">
        <f>'Net connection capex (SCS)'!D42</f>
        <v>SUBDIVISION</v>
      </c>
      <c r="E45" s="184" t="str">
        <f>'Net connection capex (SCS)'!E42</f>
        <v>Complex connection LV</v>
      </c>
      <c r="F45" s="148" t="str">
        <f t="shared" si="11"/>
        <v>$Millions</v>
      </c>
      <c r="G45" s="148" t="str">
        <f t="shared" si="12"/>
        <v>Real $2021</v>
      </c>
      <c r="H45" s="148" t="str">
        <f t="shared" si="13"/>
        <v>End of Period</v>
      </c>
      <c r="J45" s="171">
        <f>('Cash contributions (SCS)'!J47)/10^6
+IF('Cash contributions (SCS)'!J$54=0,0,J$30*('Cash contributions (SCS)'!J47/'Cash contributions (SCS)'!J$54))</f>
        <v>0.33122553284475892</v>
      </c>
      <c r="K45" s="169">
        <f>('Cash contributions (SCS)'!K47)/10^6
+IF('Cash contributions (SCS)'!K$54=0,0,K$30*('Cash contributions (SCS)'!K47/'Cash contributions (SCS)'!K$54))</f>
        <v>0.32747007177469728</v>
      </c>
      <c r="L45" s="170">
        <f>('Cash contributions (SCS)'!L47)/10^6
+IF('Cash contributions (SCS)'!L$54=0,0,L$30*('Cash contributions (SCS)'!L47/'Cash contributions (SCS)'!L$54))</f>
        <v>6.9374288175772306E-2</v>
      </c>
      <c r="M45" s="171">
        <f>('Cash contributions (SCS)'!M47)/10^6
+IF('Cash contributions (SCS)'!M$54=0,0,M$30*('Cash contributions (SCS)'!M47/'Cash contributions (SCS)'!M$54))</f>
        <v>6.9374288175772306E-2</v>
      </c>
      <c r="N45" s="171">
        <f>('Cash contributions (SCS)'!N47)/10^6
+IF('Cash contributions (SCS)'!N$54=0,0,N$30*('Cash contributions (SCS)'!N47/'Cash contributions (SCS)'!N$54))</f>
        <v>6.9374288175772306E-2</v>
      </c>
      <c r="O45" s="171">
        <f>('Cash contributions (SCS)'!O47)/10^6
+IF('Cash contributions (SCS)'!O$54=0,0,O$30*('Cash contributions (SCS)'!O47/'Cash contributions (SCS)'!O$54))</f>
        <v>6.9374288175772306E-2</v>
      </c>
      <c r="P45" s="172">
        <f>('Cash contributions (SCS)'!P47)/10^6
+IF('Cash contributions (SCS)'!P$54=0,0,P$30*('Cash contributions (SCS)'!P47/'Cash contributions (SCS)'!P$54))</f>
        <v>6.9374288175772306E-2</v>
      </c>
      <c r="Q45" s="21">
        <f t="shared" si="14"/>
        <v>0.34687144087886151</v>
      </c>
    </row>
    <row r="46" spans="3:17" ht="12.75" x14ac:dyDescent="0.3">
      <c r="C46" s="146">
        <f t="shared" si="15"/>
        <v>10</v>
      </c>
      <c r="D46" s="184"/>
      <c r="E46" s="184" t="str">
        <f>'Net connection capex (SCS)'!E43</f>
        <v>Complex connection HV (no upstream asset works)</v>
      </c>
      <c r="F46" s="148" t="str">
        <f t="shared" si="11"/>
        <v>$Millions</v>
      </c>
      <c r="G46" s="148" t="str">
        <f t="shared" si="12"/>
        <v>Real $2021</v>
      </c>
      <c r="H46" s="148" t="str">
        <f t="shared" si="13"/>
        <v>End of Period</v>
      </c>
      <c r="J46" s="171">
        <f>('Cash contributions (SCS)'!J48)/10^6
+IF('Cash contributions (SCS)'!J$54=0,0,J$30*('Cash contributions (SCS)'!J48/'Cash contributions (SCS)'!J$54))</f>
        <v>0.12238932365175373</v>
      </c>
      <c r="K46" s="169">
        <f>('Cash contributions (SCS)'!K48)/10^6
+IF('Cash contributions (SCS)'!K$54=0,0,K$30*('Cash contributions (SCS)'!K48/'Cash contributions (SCS)'!K$54))</f>
        <v>0.12100166390095561</v>
      </c>
      <c r="L46" s="170">
        <f>('Cash contributions (SCS)'!L48)/10^6
+IF('Cash contributions (SCS)'!L$54=0,0,L$30*('Cash contributions (SCS)'!L48/'Cash contributions (SCS)'!L$54))</f>
        <v>0</v>
      </c>
      <c r="M46" s="171">
        <f>('Cash contributions (SCS)'!M48)/10^6
+IF('Cash contributions (SCS)'!M$54=0,0,M$30*('Cash contributions (SCS)'!M48/'Cash contributions (SCS)'!M$54))</f>
        <v>0</v>
      </c>
      <c r="N46" s="171">
        <f>('Cash contributions (SCS)'!N48)/10^6
+IF('Cash contributions (SCS)'!N$54=0,0,N$30*('Cash contributions (SCS)'!N48/'Cash contributions (SCS)'!N$54))</f>
        <v>0</v>
      </c>
      <c r="O46" s="171">
        <f>('Cash contributions (SCS)'!O48)/10^6
+IF('Cash contributions (SCS)'!O$54=0,0,O$30*('Cash contributions (SCS)'!O48/'Cash contributions (SCS)'!O$54))</f>
        <v>0</v>
      </c>
      <c r="P46" s="172">
        <f>('Cash contributions (SCS)'!P48)/10^6
+IF('Cash contributions (SCS)'!P$54=0,0,P$30*('Cash contributions (SCS)'!P48/'Cash contributions (SCS)'!P$54))</f>
        <v>0</v>
      </c>
      <c r="Q46" s="21">
        <f t="shared" si="14"/>
        <v>0</v>
      </c>
    </row>
    <row r="47" spans="3:17" ht="12.75" x14ac:dyDescent="0.3">
      <c r="C47" s="146">
        <f t="shared" si="15"/>
        <v>11</v>
      </c>
      <c r="D47" s="184"/>
      <c r="E47" s="184" t="str">
        <f>'Net connection capex (SCS)'!E44</f>
        <v>Complex connection HV (with upstream asset works)</v>
      </c>
      <c r="F47" s="148" t="str">
        <f t="shared" si="11"/>
        <v>$Millions</v>
      </c>
      <c r="G47" s="148" t="str">
        <f t="shared" si="12"/>
        <v>Real $2021</v>
      </c>
      <c r="H47" s="148" t="str">
        <f t="shared" si="13"/>
        <v>End of Period</v>
      </c>
      <c r="J47" s="171">
        <f>('Cash contributions (SCS)'!J49)/10^6
+IF('Cash contributions (SCS)'!J$54=0,0,J$30*('Cash contributions (SCS)'!J49/'Cash contributions (SCS)'!J$54))</f>
        <v>0.1151026815914838</v>
      </c>
      <c r="K47" s="169">
        <f>('Cash contributions (SCS)'!K49)/10^6
+IF('Cash contributions (SCS)'!K$54=0,0,K$30*('Cash contributions (SCS)'!K49/'Cash contributions (SCS)'!K$54))</f>
        <v>0.11379763835987065</v>
      </c>
      <c r="L47" s="170">
        <f>('Cash contributions (SCS)'!L49)/10^6
+IF('Cash contributions (SCS)'!L$54=0,0,L$30*('Cash contributions (SCS)'!L49/'Cash contributions (SCS)'!L$54))</f>
        <v>0</v>
      </c>
      <c r="M47" s="171">
        <f>('Cash contributions (SCS)'!M49)/10^6
+IF('Cash contributions (SCS)'!M$54=0,0,M$30*('Cash contributions (SCS)'!M49/'Cash contributions (SCS)'!M$54))</f>
        <v>0</v>
      </c>
      <c r="N47" s="171">
        <f>('Cash contributions (SCS)'!N49)/10^6
+IF('Cash contributions (SCS)'!N$54=0,0,N$30*('Cash contributions (SCS)'!N49/'Cash contributions (SCS)'!N$54))</f>
        <v>0</v>
      </c>
      <c r="O47" s="171">
        <f>('Cash contributions (SCS)'!O49)/10^6
+IF('Cash contributions (SCS)'!O$54=0,0,O$30*('Cash contributions (SCS)'!O49/'Cash contributions (SCS)'!O$54))</f>
        <v>0</v>
      </c>
      <c r="P47" s="172">
        <f>('Cash contributions (SCS)'!P49)/10^6
+IF('Cash contributions (SCS)'!P$54=0,0,P$30*('Cash contributions (SCS)'!P49/'Cash contributions (SCS)'!P$54))</f>
        <v>0</v>
      </c>
      <c r="Q47" s="21">
        <f t="shared" si="14"/>
        <v>0</v>
      </c>
    </row>
    <row r="48" spans="3:17" ht="12.75" x14ac:dyDescent="0.3">
      <c r="C48" s="146">
        <f t="shared" si="15"/>
        <v>12</v>
      </c>
      <c r="D48" s="184" t="str">
        <f>'Net connection capex (SCS)'!D45</f>
        <v>EMBEDDED GENERATION</v>
      </c>
      <c r="E48" s="184" t="str">
        <f>'Net connection capex (SCS)'!E45</f>
        <v>Simple connection LV</v>
      </c>
      <c r="F48" s="148" t="str">
        <f t="shared" si="11"/>
        <v>$Millions</v>
      </c>
      <c r="G48" s="148" t="str">
        <f t="shared" si="12"/>
        <v>Real $2021</v>
      </c>
      <c r="H48" s="148" t="str">
        <f t="shared" si="13"/>
        <v>End of Period</v>
      </c>
      <c r="J48" s="171">
        <f>('Cash contributions (SCS)'!J50)/10^6
+IF('Cash contributions (SCS)'!J$54=0,0,J$30*('Cash contributions (SCS)'!J50/'Cash contributions (SCS)'!J$54))</f>
        <v>0</v>
      </c>
      <c r="K48" s="169">
        <f>('Cash contributions (SCS)'!K50)/10^6
+IF('Cash contributions (SCS)'!K$54=0,0,K$30*('Cash contributions (SCS)'!K50/'Cash contributions (SCS)'!K$54))</f>
        <v>0</v>
      </c>
      <c r="L48" s="170">
        <f>('Cash contributions (SCS)'!L50)/10^6
+IF('Cash contributions (SCS)'!L$54=0,0,L$30*('Cash contributions (SCS)'!L50/'Cash contributions (SCS)'!L$54))</f>
        <v>0</v>
      </c>
      <c r="M48" s="171">
        <f>('Cash contributions (SCS)'!M50)/10^6
+IF('Cash contributions (SCS)'!M$54=0,0,M$30*('Cash contributions (SCS)'!M50/'Cash contributions (SCS)'!M$54))</f>
        <v>0</v>
      </c>
      <c r="N48" s="171">
        <f>('Cash contributions (SCS)'!N50)/10^6
+IF('Cash contributions (SCS)'!N$54=0,0,N$30*('Cash contributions (SCS)'!N50/'Cash contributions (SCS)'!N$54))</f>
        <v>0</v>
      </c>
      <c r="O48" s="171">
        <f>('Cash contributions (SCS)'!O50)/10^6
+IF('Cash contributions (SCS)'!O$54=0,0,O$30*('Cash contributions (SCS)'!O50/'Cash contributions (SCS)'!O$54))</f>
        <v>0</v>
      </c>
      <c r="P48" s="172">
        <f>('Cash contributions (SCS)'!P50)/10^6
+IF('Cash contributions (SCS)'!P$54=0,0,P$30*('Cash contributions (SCS)'!P50/'Cash contributions (SCS)'!P$54))</f>
        <v>0</v>
      </c>
      <c r="Q48" s="21">
        <f t="shared" si="14"/>
        <v>0</v>
      </c>
    </row>
    <row r="49" spans="1:17" ht="12.75" x14ac:dyDescent="0.3">
      <c r="C49" s="146">
        <f t="shared" si="15"/>
        <v>13</v>
      </c>
      <c r="D49" s="184"/>
      <c r="E49" s="184" t="str">
        <f>'Net connection capex (SCS)'!E46</f>
        <v>Complex connection HV (small capacity)</v>
      </c>
      <c r="F49" s="148" t="str">
        <f t="shared" si="11"/>
        <v>$Millions</v>
      </c>
      <c r="G49" s="148" t="str">
        <f t="shared" si="12"/>
        <v>Real $2021</v>
      </c>
      <c r="H49" s="148" t="str">
        <f t="shared" si="13"/>
        <v>End of Period</v>
      </c>
      <c r="J49" s="171">
        <f>('Cash contributions (SCS)'!J51)/10^6
+IF('Cash contributions (SCS)'!J$54=0,0,J$30*('Cash contributions (SCS)'!J51/'Cash contributions (SCS)'!J$54))</f>
        <v>0</v>
      </c>
      <c r="K49" s="169">
        <f>('Cash contributions (SCS)'!K51)/10^6
+IF('Cash contributions (SCS)'!K$54=0,0,K$30*('Cash contributions (SCS)'!K51/'Cash contributions (SCS)'!K$54))</f>
        <v>0</v>
      </c>
      <c r="L49" s="170">
        <f>('Cash contributions (SCS)'!L51)/10^6
+IF('Cash contributions (SCS)'!L$54=0,0,L$30*('Cash contributions (SCS)'!L51/'Cash contributions (SCS)'!L$54))</f>
        <v>0</v>
      </c>
      <c r="M49" s="171">
        <f>('Cash contributions (SCS)'!M51)/10^6
+IF('Cash contributions (SCS)'!M$54=0,0,M$30*('Cash contributions (SCS)'!M51/'Cash contributions (SCS)'!M$54))</f>
        <v>0</v>
      </c>
      <c r="N49" s="171">
        <f>('Cash contributions (SCS)'!N51)/10^6
+IF('Cash contributions (SCS)'!N$54=0,0,N$30*('Cash contributions (SCS)'!N51/'Cash contributions (SCS)'!N$54))</f>
        <v>0</v>
      </c>
      <c r="O49" s="171">
        <f>('Cash contributions (SCS)'!O51)/10^6
+IF('Cash contributions (SCS)'!O$54=0,0,O$30*('Cash contributions (SCS)'!O51/'Cash contributions (SCS)'!O$54))</f>
        <v>0</v>
      </c>
      <c r="P49" s="172">
        <f>('Cash contributions (SCS)'!P51)/10^6
+IF('Cash contributions (SCS)'!P$54=0,0,P$30*('Cash contributions (SCS)'!P51/'Cash contributions (SCS)'!P$54))</f>
        <v>0</v>
      </c>
      <c r="Q49" s="21">
        <f t="shared" si="14"/>
        <v>0</v>
      </c>
    </row>
    <row r="50" spans="1:17" ht="12.75" x14ac:dyDescent="0.3">
      <c r="C50" s="146">
        <f t="shared" si="15"/>
        <v>14</v>
      </c>
      <c r="D50" s="184"/>
      <c r="E50" s="184" t="str">
        <f>'Net connection capex (SCS)'!E47</f>
        <v>Complex connection HV (large capacity)</v>
      </c>
      <c r="F50" s="148" t="str">
        <f t="shared" si="11"/>
        <v>$Millions</v>
      </c>
      <c r="G50" s="148" t="str">
        <f t="shared" si="12"/>
        <v>Real $2021</v>
      </c>
      <c r="H50" s="148" t="str">
        <f t="shared" si="13"/>
        <v>End of Period</v>
      </c>
      <c r="J50" s="171">
        <f>('Cash contributions (SCS)'!J52)/10^6
+IF('Cash contributions (SCS)'!J$54=0,0,J$30*('Cash contributions (SCS)'!J52/'Cash contributions (SCS)'!J$54))</f>
        <v>0</v>
      </c>
      <c r="K50" s="169">
        <f>('Cash contributions (SCS)'!K52)/10^6
+IF('Cash contributions (SCS)'!K$54=0,0,K$30*('Cash contributions (SCS)'!K52/'Cash contributions (SCS)'!K$54))</f>
        <v>0</v>
      </c>
      <c r="L50" s="170">
        <f>('Cash contributions (SCS)'!L52)/10^6
+IF('Cash contributions (SCS)'!L$54=0,0,L$30*('Cash contributions (SCS)'!L52/'Cash contributions (SCS)'!L$54))</f>
        <v>0</v>
      </c>
      <c r="M50" s="171">
        <f>('Cash contributions (SCS)'!M52)/10^6
+IF('Cash contributions (SCS)'!M$54=0,0,M$30*('Cash contributions (SCS)'!M52/'Cash contributions (SCS)'!M$54))</f>
        <v>0</v>
      </c>
      <c r="N50" s="171">
        <f>('Cash contributions (SCS)'!N52)/10^6
+IF('Cash contributions (SCS)'!N$54=0,0,N$30*('Cash contributions (SCS)'!N52/'Cash contributions (SCS)'!N$54))</f>
        <v>0</v>
      </c>
      <c r="O50" s="171">
        <f>('Cash contributions (SCS)'!O52)/10^6
+IF('Cash contributions (SCS)'!O$54=0,0,O$30*('Cash contributions (SCS)'!O52/'Cash contributions (SCS)'!O$54))</f>
        <v>0</v>
      </c>
      <c r="P50" s="172">
        <f>('Cash contributions (SCS)'!P52)/10^6
+IF('Cash contributions (SCS)'!P$54=0,0,P$30*('Cash contributions (SCS)'!P52/'Cash contributions (SCS)'!P$54))</f>
        <v>0</v>
      </c>
      <c r="Q50" s="21">
        <f t="shared" si="14"/>
        <v>0</v>
      </c>
    </row>
    <row r="52" spans="1:17" ht="13.15" x14ac:dyDescent="0.3">
      <c r="D52" s="136" t="s">
        <v>150</v>
      </c>
      <c r="E52" s="17" t="s">
        <v>157</v>
      </c>
      <c r="F52" s="17" t="str">
        <f>Input_Unit</f>
        <v>$Millions</v>
      </c>
      <c r="G52" s="17" t="str">
        <f>Input_Dollar_Basis</f>
        <v>Real $2021</v>
      </c>
      <c r="H52" s="17" t="str">
        <f>End_Period</f>
        <v>End of Period</v>
      </c>
      <c r="J52" s="18">
        <f t="shared" ref="J52:Q52" si="16">SUM(J37:J50)</f>
        <v>3.1137693122529413</v>
      </c>
      <c r="K52" s="18">
        <f t="shared" si="16"/>
        <v>3.1232588164314286</v>
      </c>
      <c r="L52" s="19">
        <f t="shared" si="16"/>
        <v>0.15722577712260044</v>
      </c>
      <c r="M52" s="18">
        <f t="shared" si="16"/>
        <v>0.15787950113733074</v>
      </c>
      <c r="N52" s="18">
        <f t="shared" si="16"/>
        <v>0.15854925323742064</v>
      </c>
      <c r="O52" s="18">
        <f t="shared" si="16"/>
        <v>0.15923546106170899</v>
      </c>
      <c r="P52" s="20">
        <f t="shared" si="16"/>
        <v>0.15993856383345298</v>
      </c>
      <c r="Q52" s="18">
        <f t="shared" si="16"/>
        <v>0.79282855639251371</v>
      </c>
    </row>
    <row r="54" spans="1:17" ht="11.25" customHeight="1" x14ac:dyDescent="0.3">
      <c r="A54" s="3">
        <f ca="1">IF(SUM($I54:$P54)&gt;0,1,0)</f>
        <v>0</v>
      </c>
      <c r="D54" s="137" t="s">
        <v>98</v>
      </c>
      <c r="E54" s="137"/>
      <c r="J54" s="3">
        <f t="shared" ref="J54:P54" ca="1" si="17">IF(ROUND(J52-J27,4)&lt;&gt;0,1,0)</f>
        <v>0</v>
      </c>
      <c r="K54" s="3">
        <f t="shared" ca="1" si="17"/>
        <v>0</v>
      </c>
      <c r="L54" s="3">
        <f t="shared" ca="1" si="17"/>
        <v>0</v>
      </c>
      <c r="M54" s="3">
        <f t="shared" ca="1" si="17"/>
        <v>0</v>
      </c>
      <c r="N54" s="3">
        <f t="shared" ca="1" si="17"/>
        <v>0</v>
      </c>
      <c r="O54" s="3">
        <f t="shared" ca="1" si="17"/>
        <v>0</v>
      </c>
      <c r="P54" s="3">
        <f t="shared" ca="1" si="17"/>
        <v>0</v>
      </c>
    </row>
    <row r="56" spans="1:17" s="6" customFormat="1" ht="15" x14ac:dyDescent="0.45">
      <c r="B56" s="6" t="s">
        <v>93</v>
      </c>
    </row>
  </sheetData>
  <autoFilter ref="C7:P25" xr:uid="{00000000-0009-0000-0000-00000100000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6F2F2-4258-49CA-8AFB-2F11B14A151D}">
  <sheetPr codeName="Sheet7">
    <tabColor theme="4" tint="-0.249977111117893"/>
  </sheetPr>
  <dimension ref="A1:J199"/>
  <sheetViews>
    <sheetView workbookViewId="0"/>
  </sheetViews>
  <sheetFormatPr defaultColWidth="0" defaultRowHeight="14.25" x14ac:dyDescent="0.45"/>
  <cols>
    <col min="1" max="10" width="9" customWidth="1"/>
    <col min="11" max="16384" width="9" hidden="1"/>
  </cols>
  <sheetData>
    <row r="1" spans="2:9" s="1" customFormat="1" x14ac:dyDescent="0.45"/>
    <row r="2" spans="2:9" s="1" customFormat="1" x14ac:dyDescent="0.45"/>
    <row r="3" spans="2:9" s="1" customFormat="1" x14ac:dyDescent="0.45"/>
    <row r="4" spans="2:9" s="1" customFormat="1" x14ac:dyDescent="0.45"/>
    <row r="5" spans="2:9" s="1" customFormat="1" x14ac:dyDescent="0.45"/>
    <row r="6" spans="2:9" s="1" customFormat="1" x14ac:dyDescent="0.45"/>
    <row r="7" spans="2:9" s="1" customFormat="1" x14ac:dyDescent="0.45"/>
    <row r="8" spans="2:9" s="1" customFormat="1" ht="164.65" customHeight="1" x14ac:dyDescent="2.65">
      <c r="B8" s="248" t="s">
        <v>297</v>
      </c>
      <c r="C8" s="249"/>
      <c r="D8" s="249"/>
      <c r="E8" s="249"/>
      <c r="F8" s="249"/>
      <c r="G8" s="249"/>
      <c r="H8" s="249"/>
      <c r="I8" s="249"/>
    </row>
    <row r="9" spans="2:9" s="1" customFormat="1" x14ac:dyDescent="0.45"/>
    <row r="10" spans="2:9" s="1" customFormat="1" x14ac:dyDescent="0.45"/>
    <row r="11" spans="2:9" s="1" customFormat="1" x14ac:dyDescent="0.45"/>
    <row r="12" spans="2:9" s="1" customFormat="1" x14ac:dyDescent="0.45"/>
    <row r="13" spans="2:9" s="1" customFormat="1" x14ac:dyDescent="0.45"/>
    <row r="14" spans="2:9" s="1" customFormat="1" x14ac:dyDescent="0.45"/>
    <row r="15" spans="2:9" s="1" customFormat="1" x14ac:dyDescent="0.45"/>
    <row r="16" spans="2:9" s="1" customFormat="1" x14ac:dyDescent="0.45"/>
    <row r="17" s="1" customFormat="1" x14ac:dyDescent="0.45"/>
    <row r="18" s="1" customFormat="1" x14ac:dyDescent="0.45"/>
    <row r="19" s="1" customFormat="1" x14ac:dyDescent="0.45"/>
    <row r="20" s="1" customFormat="1" x14ac:dyDescent="0.45"/>
    <row r="21" s="1" customFormat="1" x14ac:dyDescent="0.45"/>
    <row r="22" s="1" customFormat="1" x14ac:dyDescent="0.45"/>
    <row r="23" s="1" customFormat="1" x14ac:dyDescent="0.45"/>
    <row r="24" s="1" customFormat="1" x14ac:dyDescent="0.45"/>
    <row r="25" s="1" customFormat="1" x14ac:dyDescent="0.45"/>
    <row r="26" s="1" customFormat="1" x14ac:dyDescent="0.45"/>
    <row r="27" s="1" customFormat="1" x14ac:dyDescent="0.45"/>
    <row r="28" s="1" customFormat="1" x14ac:dyDescent="0.45"/>
    <row r="29" s="1" customFormat="1" x14ac:dyDescent="0.45"/>
    <row r="30" s="1" customFormat="1" x14ac:dyDescent="0.45"/>
    <row r="31" s="1" customFormat="1" x14ac:dyDescent="0.45"/>
    <row r="32" s="1" customFormat="1" x14ac:dyDescent="0.45"/>
    <row r="33" s="1" customFormat="1" x14ac:dyDescent="0.45"/>
    <row r="34" s="1" customFormat="1" x14ac:dyDescent="0.45"/>
    <row r="35" s="1" customFormat="1" x14ac:dyDescent="0.45"/>
    <row r="36" s="1" customFormat="1" x14ac:dyDescent="0.45"/>
    <row r="37" s="1" customFormat="1" x14ac:dyDescent="0.45"/>
    <row r="38" s="1" customFormat="1" x14ac:dyDescent="0.45"/>
    <row r="39" s="1" customFormat="1" x14ac:dyDescent="0.45"/>
    <row r="40" s="1" customFormat="1" x14ac:dyDescent="0.45"/>
    <row r="41" s="1" customFormat="1" x14ac:dyDescent="0.45"/>
    <row r="42" s="1" customFormat="1" x14ac:dyDescent="0.45"/>
    <row r="43" s="1" customFormat="1" x14ac:dyDescent="0.45"/>
    <row r="44" s="1" customFormat="1" x14ac:dyDescent="0.45"/>
    <row r="45" s="1" customFormat="1" x14ac:dyDescent="0.45"/>
    <row r="46" s="1" customFormat="1" x14ac:dyDescent="0.45"/>
    <row r="47" s="1" customFormat="1" x14ac:dyDescent="0.45"/>
    <row r="48" s="1" customFormat="1" x14ac:dyDescent="0.45"/>
    <row r="49" s="1" customFormat="1" x14ac:dyDescent="0.45"/>
    <row r="50" s="1" customFormat="1" x14ac:dyDescent="0.45"/>
    <row r="51" s="1" customFormat="1" x14ac:dyDescent="0.45"/>
    <row r="52" s="1" customFormat="1" x14ac:dyDescent="0.45"/>
    <row r="53" s="1" customFormat="1" x14ac:dyDescent="0.45"/>
    <row r="54" s="1" customFormat="1" x14ac:dyDescent="0.45"/>
    <row r="55" s="1" customFormat="1" x14ac:dyDescent="0.45"/>
    <row r="56" s="1" customFormat="1" x14ac:dyDescent="0.45"/>
    <row r="57" s="1" customFormat="1" x14ac:dyDescent="0.45"/>
    <row r="58" s="1" customFormat="1" x14ac:dyDescent="0.45"/>
    <row r="59" s="1" customFormat="1" x14ac:dyDescent="0.45"/>
    <row r="60" s="1" customFormat="1" x14ac:dyDescent="0.45"/>
    <row r="61" s="1" customFormat="1" x14ac:dyDescent="0.45"/>
    <row r="62" s="1" customFormat="1" x14ac:dyDescent="0.45"/>
    <row r="63" s="1" customFormat="1" x14ac:dyDescent="0.45"/>
    <row r="64" s="1" customFormat="1" x14ac:dyDescent="0.45"/>
    <row r="65" s="1" customFormat="1" x14ac:dyDescent="0.45"/>
    <row r="66" s="1" customFormat="1" x14ac:dyDescent="0.45"/>
    <row r="67" s="1" customFormat="1" x14ac:dyDescent="0.45"/>
    <row r="68" s="1" customFormat="1" x14ac:dyDescent="0.45"/>
    <row r="69" s="1" customFormat="1" x14ac:dyDescent="0.45"/>
    <row r="70" s="1" customFormat="1" x14ac:dyDescent="0.45"/>
    <row r="71" s="1" customFormat="1" x14ac:dyDescent="0.45"/>
    <row r="72" s="1" customFormat="1" x14ac:dyDescent="0.45"/>
    <row r="73" s="1" customFormat="1" x14ac:dyDescent="0.45"/>
    <row r="74" s="1" customFormat="1" x14ac:dyDescent="0.45"/>
    <row r="75" s="1" customFormat="1" x14ac:dyDescent="0.45"/>
    <row r="76" s="1" customFormat="1" x14ac:dyDescent="0.45"/>
    <row r="77" s="1" customFormat="1" x14ac:dyDescent="0.45"/>
    <row r="78" s="1" customFormat="1" x14ac:dyDescent="0.45"/>
    <row r="79" s="1" customFormat="1" x14ac:dyDescent="0.45"/>
    <row r="80" s="1" customFormat="1" x14ac:dyDescent="0.45"/>
    <row r="81" s="1" customFormat="1" x14ac:dyDescent="0.45"/>
    <row r="82" s="1" customFormat="1" x14ac:dyDescent="0.45"/>
    <row r="83" s="1" customFormat="1" x14ac:dyDescent="0.45"/>
    <row r="84" s="1" customFormat="1" x14ac:dyDescent="0.45"/>
    <row r="85" s="1" customFormat="1" x14ac:dyDescent="0.45"/>
    <row r="86" s="1" customFormat="1" x14ac:dyDescent="0.45"/>
    <row r="87" s="1" customFormat="1" x14ac:dyDescent="0.45"/>
    <row r="88" s="1" customFormat="1" x14ac:dyDescent="0.45"/>
    <row r="89" s="1" customFormat="1" x14ac:dyDescent="0.45"/>
    <row r="90" s="1" customFormat="1" x14ac:dyDescent="0.45"/>
    <row r="91" s="1" customFormat="1" x14ac:dyDescent="0.45"/>
    <row r="92" s="1" customFormat="1" x14ac:dyDescent="0.45"/>
    <row r="93" s="1" customFormat="1" x14ac:dyDescent="0.45"/>
    <row r="94" s="1" customFormat="1" x14ac:dyDescent="0.45"/>
    <row r="95" s="1" customFormat="1" x14ac:dyDescent="0.45"/>
    <row r="96" s="1" customFormat="1" x14ac:dyDescent="0.45"/>
    <row r="97" s="1" customFormat="1" x14ac:dyDescent="0.45"/>
    <row r="98" s="1" customFormat="1" x14ac:dyDescent="0.45"/>
    <row r="99" s="1" customFormat="1" x14ac:dyDescent="0.45"/>
    <row r="100" s="1" customFormat="1" x14ac:dyDescent="0.45"/>
    <row r="101" s="1" customFormat="1" x14ac:dyDescent="0.45"/>
    <row r="102" s="1" customFormat="1" x14ac:dyDescent="0.45"/>
    <row r="103" s="1" customFormat="1" x14ac:dyDescent="0.45"/>
    <row r="104" s="1" customFormat="1" x14ac:dyDescent="0.45"/>
    <row r="105" s="1" customFormat="1" x14ac:dyDescent="0.45"/>
    <row r="106" s="1" customFormat="1" x14ac:dyDescent="0.45"/>
    <row r="107" s="1" customFormat="1" x14ac:dyDescent="0.45"/>
    <row r="108" s="1" customFormat="1" x14ac:dyDescent="0.45"/>
    <row r="109" s="1" customFormat="1" x14ac:dyDescent="0.45"/>
    <row r="110" s="1" customFormat="1" x14ac:dyDescent="0.45"/>
    <row r="111" s="1" customFormat="1" x14ac:dyDescent="0.45"/>
    <row r="112" s="1" customFormat="1" x14ac:dyDescent="0.45"/>
    <row r="113" s="1" customFormat="1" x14ac:dyDescent="0.45"/>
    <row r="114" s="1" customFormat="1" x14ac:dyDescent="0.45"/>
    <row r="115" s="1" customFormat="1" x14ac:dyDescent="0.45"/>
    <row r="116" s="1" customFormat="1" x14ac:dyDescent="0.45"/>
    <row r="117" s="1" customFormat="1" x14ac:dyDescent="0.45"/>
    <row r="118" s="1" customFormat="1" x14ac:dyDescent="0.45"/>
    <row r="119" s="1" customFormat="1" x14ac:dyDescent="0.45"/>
    <row r="120" s="1" customFormat="1" x14ac:dyDescent="0.45"/>
    <row r="121" s="1" customFormat="1" x14ac:dyDescent="0.45"/>
    <row r="122" s="1" customFormat="1" x14ac:dyDescent="0.45"/>
    <row r="123" s="1" customFormat="1" x14ac:dyDescent="0.45"/>
    <row r="124" s="1" customFormat="1" x14ac:dyDescent="0.45"/>
    <row r="125" s="1" customFormat="1" x14ac:dyDescent="0.45"/>
    <row r="126" s="1" customFormat="1" x14ac:dyDescent="0.45"/>
    <row r="127" s="1" customFormat="1" x14ac:dyDescent="0.45"/>
    <row r="128" s="1" customFormat="1" x14ac:dyDescent="0.45"/>
    <row r="129" s="1" customFormat="1" x14ac:dyDescent="0.45"/>
    <row r="130" s="1" customFormat="1" x14ac:dyDescent="0.45"/>
    <row r="131" s="1" customFormat="1" x14ac:dyDescent="0.45"/>
    <row r="132" s="1" customFormat="1" x14ac:dyDescent="0.45"/>
    <row r="133" s="1" customFormat="1" x14ac:dyDescent="0.45"/>
    <row r="134" s="1" customFormat="1" x14ac:dyDescent="0.45"/>
    <row r="135" s="1" customFormat="1" x14ac:dyDescent="0.45"/>
    <row r="136" s="1" customFormat="1" x14ac:dyDescent="0.45"/>
    <row r="137" s="1" customFormat="1" x14ac:dyDescent="0.45"/>
    <row r="138" s="1" customFormat="1" x14ac:dyDescent="0.45"/>
    <row r="139" s="1" customFormat="1" x14ac:dyDescent="0.45"/>
    <row r="140" s="1" customFormat="1" x14ac:dyDescent="0.45"/>
    <row r="141" s="1" customFormat="1" x14ac:dyDescent="0.45"/>
    <row r="142" s="1" customFormat="1" x14ac:dyDescent="0.45"/>
    <row r="143" s="1" customFormat="1" x14ac:dyDescent="0.45"/>
    <row r="144" s="1" customFormat="1" x14ac:dyDescent="0.45"/>
    <row r="145" s="1" customFormat="1" x14ac:dyDescent="0.45"/>
    <row r="146" s="1" customFormat="1" x14ac:dyDescent="0.45"/>
    <row r="147" s="1" customFormat="1" x14ac:dyDescent="0.45"/>
    <row r="148" s="1" customFormat="1" x14ac:dyDescent="0.45"/>
    <row r="149" s="1" customFormat="1" x14ac:dyDescent="0.45"/>
    <row r="150" s="1" customFormat="1" x14ac:dyDescent="0.45"/>
    <row r="151" s="1" customFormat="1" x14ac:dyDescent="0.45"/>
    <row r="152" s="1" customFormat="1" x14ac:dyDescent="0.45"/>
    <row r="153" s="1" customFormat="1" x14ac:dyDescent="0.45"/>
    <row r="154" s="1" customFormat="1" x14ac:dyDescent="0.45"/>
    <row r="155" s="1" customFormat="1" x14ac:dyDescent="0.45"/>
    <row r="156" s="1" customFormat="1" x14ac:dyDescent="0.45"/>
    <row r="157" s="1" customFormat="1" x14ac:dyDescent="0.45"/>
    <row r="158" s="1" customFormat="1" x14ac:dyDescent="0.45"/>
    <row r="159" s="1" customFormat="1" x14ac:dyDescent="0.45"/>
    <row r="160" s="1" customFormat="1" x14ac:dyDescent="0.45"/>
    <row r="161" s="1" customFormat="1" x14ac:dyDescent="0.45"/>
    <row r="162" s="1" customFormat="1" x14ac:dyDescent="0.45"/>
    <row r="163" s="1" customFormat="1" x14ac:dyDescent="0.45"/>
    <row r="164" s="1" customFormat="1" x14ac:dyDescent="0.45"/>
    <row r="165" s="1" customFormat="1" x14ac:dyDescent="0.45"/>
    <row r="166" s="1" customFormat="1" x14ac:dyDescent="0.45"/>
    <row r="167" s="1" customFormat="1" x14ac:dyDescent="0.45"/>
    <row r="168" s="1" customFormat="1" x14ac:dyDescent="0.45"/>
    <row r="169" s="1" customFormat="1" x14ac:dyDescent="0.45"/>
    <row r="170" s="1" customFormat="1" x14ac:dyDescent="0.45"/>
    <row r="171" s="1" customFormat="1" x14ac:dyDescent="0.45"/>
    <row r="172" s="1" customFormat="1" x14ac:dyDescent="0.45"/>
    <row r="173" s="1" customFormat="1" x14ac:dyDescent="0.45"/>
    <row r="174" s="1" customFormat="1" x14ac:dyDescent="0.45"/>
    <row r="175" s="1" customFormat="1" x14ac:dyDescent="0.45"/>
    <row r="176" s="1" customFormat="1" x14ac:dyDescent="0.45"/>
    <row r="177" s="1" customFormat="1" x14ac:dyDescent="0.45"/>
    <row r="178" s="1" customFormat="1" x14ac:dyDescent="0.45"/>
    <row r="179" s="1" customFormat="1" x14ac:dyDescent="0.45"/>
    <row r="180" s="1" customFormat="1" x14ac:dyDescent="0.45"/>
    <row r="181" s="1" customFormat="1" x14ac:dyDescent="0.45"/>
    <row r="182" s="1" customFormat="1" x14ac:dyDescent="0.45"/>
    <row r="183" s="1" customFormat="1" x14ac:dyDescent="0.45"/>
    <row r="184" s="1" customFormat="1" x14ac:dyDescent="0.45"/>
    <row r="185" s="1" customFormat="1" x14ac:dyDescent="0.45"/>
    <row r="186" s="1" customFormat="1" x14ac:dyDescent="0.45"/>
    <row r="187" s="1" customFormat="1" x14ac:dyDescent="0.45"/>
    <row r="188" s="1" customFormat="1" x14ac:dyDescent="0.45"/>
    <row r="189" s="1" customFormat="1" x14ac:dyDescent="0.45"/>
    <row r="190" s="1" customFormat="1" x14ac:dyDescent="0.45"/>
    <row r="191" s="1" customFormat="1" x14ac:dyDescent="0.45"/>
    <row r="192" s="1" customFormat="1" x14ac:dyDescent="0.45"/>
    <row r="193" s="1" customFormat="1" x14ac:dyDescent="0.45"/>
    <row r="194" s="1" customFormat="1" x14ac:dyDescent="0.45"/>
    <row r="195" s="1" customFormat="1" x14ac:dyDescent="0.45"/>
    <row r="196" s="1" customFormat="1" x14ac:dyDescent="0.45"/>
    <row r="197" s="1" customFormat="1" x14ac:dyDescent="0.45"/>
    <row r="198" s="1" customFormat="1" x14ac:dyDescent="0.45"/>
    <row r="199" s="1" customFormat="1" x14ac:dyDescent="0.45"/>
  </sheetData>
  <pageMargins left="0.7" right="0.7" top="0.75" bottom="0.75" header="0.3" footer="0.3"/>
  <pageSetup paperSize="9" orientation="portrait" horizontalDpi="300" verticalDpi="0" copies="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86F3B-C01F-4321-8EB7-651ADC72C6D5}">
  <sheetPr codeName="Sheet8">
    <tabColor theme="4" tint="0.59999389629810485"/>
  </sheetPr>
  <dimension ref="A1:T92"/>
  <sheetViews>
    <sheetView showGridLines="0" zoomScaleNormal="100" workbookViewId="0">
      <pane xSplit="5" ySplit="1" topLeftCell="F2" activePane="bottomRight" state="frozen"/>
      <selection activeCell="I5" sqref="I5"/>
      <selection pane="topRight" activeCell="I5" sqref="I5"/>
      <selection pane="bottomLeft" activeCell="I5" sqref="I5"/>
      <selection pane="bottomRight" activeCell="F2" sqref="F2"/>
    </sheetView>
  </sheetViews>
  <sheetFormatPr defaultColWidth="7.3984375" defaultRowHeight="10.15" x14ac:dyDescent="0.3"/>
  <cols>
    <col min="1" max="1" width="2.6640625" style="140" customWidth="1"/>
    <col min="2" max="2" width="2.265625" style="140" customWidth="1"/>
    <col min="3" max="3" width="5.265625" style="140" customWidth="1"/>
    <col min="4" max="4" width="28.86328125" style="140" customWidth="1"/>
    <col min="5" max="5" width="54.73046875" style="140" customWidth="1"/>
    <col min="6" max="8" width="12.59765625" style="140" customWidth="1"/>
    <col min="9" max="17" width="10.1328125" style="140" customWidth="1"/>
    <col min="18" max="18" width="10" style="140" customWidth="1"/>
    <col min="19" max="22" width="10.1328125" style="140" customWidth="1"/>
    <col min="23" max="16384" width="7.3984375" style="140"/>
  </cols>
  <sheetData>
    <row r="1" spans="1:17" ht="18.75" x14ac:dyDescent="0.3">
      <c r="A1" s="138">
        <f ca="1">IF(SUM($A3:$A92)&gt;0,1,0)</f>
        <v>0</v>
      </c>
      <c r="B1" s="139" t="s">
        <v>301</v>
      </c>
    </row>
    <row r="3" spans="1:17" s="141" customFormat="1" ht="15" x14ac:dyDescent="0.45">
      <c r="B3" s="141" t="s">
        <v>302</v>
      </c>
    </row>
    <row r="4" spans="1:17" s="5" customFormat="1" ht="11.25" customHeight="1" x14ac:dyDescent="0.3"/>
    <row r="5" spans="1:17" s="142" customFormat="1" ht="13.9" x14ac:dyDescent="0.45">
      <c r="C5" s="142" t="s">
        <v>155</v>
      </c>
    </row>
    <row r="6" spans="1:17" ht="11.25" customHeight="1" x14ac:dyDescent="0.3"/>
    <row r="7" spans="1:17" ht="26.25" x14ac:dyDescent="0.3">
      <c r="C7" s="143" t="s">
        <v>81</v>
      </c>
      <c r="D7" s="9" t="s">
        <v>100</v>
      </c>
      <c r="E7" s="145" t="s">
        <v>99</v>
      </c>
      <c r="F7" s="145" t="s">
        <v>17</v>
      </c>
      <c r="G7" s="145" t="s">
        <v>83</v>
      </c>
      <c r="H7" s="145" t="s">
        <v>84</v>
      </c>
      <c r="J7" s="10" t="str">
        <f>Lookups!I$11</f>
        <v>FY23</v>
      </c>
      <c r="K7" s="10" t="str">
        <f>Lookups!J$11</f>
        <v>FY24</v>
      </c>
      <c r="L7" s="11" t="str">
        <f>Lookups!K$11</f>
        <v>FY25</v>
      </c>
      <c r="M7" s="10" t="str">
        <f>Lookups!L$11</f>
        <v>FY26</v>
      </c>
      <c r="N7" s="10" t="str">
        <f>Lookups!M$11</f>
        <v>FY27</v>
      </c>
      <c r="O7" s="10" t="str">
        <f>Lookups!N$11</f>
        <v>FY28</v>
      </c>
      <c r="P7" s="12" t="str">
        <f>Lookups!O$11</f>
        <v>FY29</v>
      </c>
      <c r="Q7" s="10" t="str">
        <f>Lookups!Q$11</f>
        <v>Total FY25 to FY29</v>
      </c>
    </row>
    <row r="8" spans="1:17" ht="12.75" x14ac:dyDescent="0.3">
      <c r="C8" s="146">
        <f>N(C7)+1</f>
        <v>1</v>
      </c>
      <c r="D8" s="137" t="str">
        <f>Lookups!$D$41</f>
        <v>Substations</v>
      </c>
      <c r="E8" s="14" t="s">
        <v>157</v>
      </c>
      <c r="F8" s="14" t="str">
        <f t="shared" ref="F8:F25" si="0">Input_Unit</f>
        <v>$Millions</v>
      </c>
      <c r="G8" s="14" t="str">
        <f t="shared" ref="G8:G25" si="1">Input_Dollar_Basis</f>
        <v>Real $2021</v>
      </c>
      <c r="H8" s="14" t="str">
        <f t="shared" ref="H8:H25" si="2">End_Period</f>
        <v>End of Period</v>
      </c>
      <c r="J8" s="171">
        <f t="shared" ref="J8:P17" ca="1" si="3">SUMIF($R$34:$T$47,$D8,J$34:J$47)/10^6</f>
        <v>0</v>
      </c>
      <c r="K8" s="169">
        <f t="shared" ca="1" si="3"/>
        <v>0</v>
      </c>
      <c r="L8" s="170">
        <f t="shared" ca="1" si="3"/>
        <v>0</v>
      </c>
      <c r="M8" s="171">
        <f t="shared" ca="1" si="3"/>
        <v>0</v>
      </c>
      <c r="N8" s="171">
        <f t="shared" ca="1" si="3"/>
        <v>0</v>
      </c>
      <c r="O8" s="171">
        <f t="shared" ca="1" si="3"/>
        <v>0</v>
      </c>
      <c r="P8" s="172">
        <f t="shared" ca="1" si="3"/>
        <v>0</v>
      </c>
      <c r="Q8" s="21">
        <f t="shared" ref="Q8:Q25" ca="1" si="4">SUM(L8:P8)</f>
        <v>0</v>
      </c>
    </row>
    <row r="9" spans="1:17" ht="12.75" x14ac:dyDescent="0.3">
      <c r="C9" s="146">
        <f t="shared" ref="C9:C25" si="5">N(C8)+1</f>
        <v>2</v>
      </c>
      <c r="D9" s="137" t="str">
        <f>Lookups!$D$42</f>
        <v>Distribution Lines</v>
      </c>
      <c r="E9" s="14" t="s">
        <v>157</v>
      </c>
      <c r="F9" s="14" t="str">
        <f t="shared" si="0"/>
        <v>$Millions</v>
      </c>
      <c r="G9" s="14" t="str">
        <f t="shared" si="1"/>
        <v>Real $2021</v>
      </c>
      <c r="H9" s="14" t="str">
        <f t="shared" si="2"/>
        <v>End of Period</v>
      </c>
      <c r="J9" s="171">
        <f t="shared" ca="1" si="3"/>
        <v>2.5334108343481097</v>
      </c>
      <c r="K9" s="169">
        <f t="shared" ca="1" si="3"/>
        <v>2.5757656047237618</v>
      </c>
      <c r="L9" s="170">
        <f t="shared" ca="1" si="3"/>
        <v>0.25548065580773838</v>
      </c>
      <c r="M9" s="171">
        <f t="shared" ca="1" si="3"/>
        <v>0.25548065580773838</v>
      </c>
      <c r="N9" s="171">
        <f t="shared" ca="1" si="3"/>
        <v>0.25548065580773838</v>
      </c>
      <c r="O9" s="171">
        <f t="shared" ca="1" si="3"/>
        <v>0.25548065580773838</v>
      </c>
      <c r="P9" s="172">
        <f t="shared" ca="1" si="3"/>
        <v>0.25548065580773838</v>
      </c>
      <c r="Q9" s="21">
        <f t="shared" ca="1" si="4"/>
        <v>1.2774032790386918</v>
      </c>
    </row>
    <row r="10" spans="1:17" ht="12.75" x14ac:dyDescent="0.3">
      <c r="C10" s="146">
        <f t="shared" si="5"/>
        <v>3</v>
      </c>
      <c r="D10" s="137" t="str">
        <f>Lookups!$D$43</f>
        <v>Transmission Lines</v>
      </c>
      <c r="E10" s="14" t="s">
        <v>157</v>
      </c>
      <c r="F10" s="14" t="str">
        <f t="shared" si="0"/>
        <v>$Millions</v>
      </c>
      <c r="G10" s="14" t="str">
        <f t="shared" si="1"/>
        <v>Real $2021</v>
      </c>
      <c r="H10" s="14" t="str">
        <f t="shared" si="2"/>
        <v>End of Period</v>
      </c>
      <c r="J10" s="171">
        <f t="shared" ca="1" si="3"/>
        <v>0</v>
      </c>
      <c r="K10" s="169">
        <f t="shared" ca="1" si="3"/>
        <v>0</v>
      </c>
      <c r="L10" s="170">
        <f t="shared" ca="1" si="3"/>
        <v>0</v>
      </c>
      <c r="M10" s="171">
        <f t="shared" ca="1" si="3"/>
        <v>0</v>
      </c>
      <c r="N10" s="171">
        <f t="shared" ca="1" si="3"/>
        <v>0</v>
      </c>
      <c r="O10" s="171">
        <f t="shared" ca="1" si="3"/>
        <v>0</v>
      </c>
      <c r="P10" s="172">
        <f t="shared" ca="1" si="3"/>
        <v>0</v>
      </c>
      <c r="Q10" s="21">
        <f t="shared" ca="1" si="4"/>
        <v>0</v>
      </c>
    </row>
    <row r="11" spans="1:17" ht="12.75" x14ac:dyDescent="0.3">
      <c r="C11" s="146">
        <f t="shared" si="5"/>
        <v>4</v>
      </c>
      <c r="D11" s="137" t="str">
        <f>Lookups!$D$44</f>
        <v>LV Services</v>
      </c>
      <c r="E11" s="14" t="s">
        <v>157</v>
      </c>
      <c r="F11" s="14" t="str">
        <f t="shared" si="0"/>
        <v>$Millions</v>
      </c>
      <c r="G11" s="14" t="str">
        <f t="shared" si="1"/>
        <v>Real $2021</v>
      </c>
      <c r="H11" s="14" t="str">
        <f t="shared" si="2"/>
        <v>End of Period</v>
      </c>
      <c r="J11" s="171">
        <f t="shared" ca="1" si="3"/>
        <v>0.7274417896305424</v>
      </c>
      <c r="K11" s="169">
        <f t="shared" ca="1" si="3"/>
        <v>0.73253454014732811</v>
      </c>
      <c r="L11" s="170">
        <f t="shared" ca="1" si="3"/>
        <v>0.73770332232678104</v>
      </c>
      <c r="M11" s="171">
        <f t="shared" ca="1" si="3"/>
        <v>0.74295016311501227</v>
      </c>
      <c r="N11" s="171">
        <f t="shared" ca="1" si="3"/>
        <v>0.74827714433004122</v>
      </c>
      <c r="O11" s="171">
        <f t="shared" ca="1" si="3"/>
        <v>0.75368640416606258</v>
      </c>
      <c r="P11" s="172">
        <f t="shared" ca="1" si="3"/>
        <v>0.75918013873936208</v>
      </c>
      <c r="Q11" s="21">
        <f t="shared" ca="1" si="4"/>
        <v>3.7417971726772588</v>
      </c>
    </row>
    <row r="12" spans="1:17" ht="12.75" x14ac:dyDescent="0.3">
      <c r="C12" s="146">
        <f t="shared" si="5"/>
        <v>5</v>
      </c>
      <c r="D12" s="137" t="str">
        <f>Lookups!$D$45</f>
        <v>Distribution Substations</v>
      </c>
      <c r="E12" s="14" t="s">
        <v>157</v>
      </c>
      <c r="F12" s="14" t="str">
        <f t="shared" si="0"/>
        <v>$Millions</v>
      </c>
      <c r="G12" s="14" t="str">
        <f t="shared" si="1"/>
        <v>Real $2021</v>
      </c>
      <c r="H12" s="14" t="str">
        <f t="shared" si="2"/>
        <v>End of Period</v>
      </c>
      <c r="J12" s="171">
        <f t="shared" ca="1" si="3"/>
        <v>0</v>
      </c>
      <c r="K12" s="169">
        <f t="shared" ca="1" si="3"/>
        <v>0</v>
      </c>
      <c r="L12" s="170">
        <f t="shared" ca="1" si="3"/>
        <v>0</v>
      </c>
      <c r="M12" s="171">
        <f t="shared" ca="1" si="3"/>
        <v>0</v>
      </c>
      <c r="N12" s="171">
        <f t="shared" ca="1" si="3"/>
        <v>0</v>
      </c>
      <c r="O12" s="171">
        <f t="shared" ca="1" si="3"/>
        <v>0</v>
      </c>
      <c r="P12" s="172">
        <f t="shared" ca="1" si="3"/>
        <v>0</v>
      </c>
      <c r="Q12" s="21">
        <f t="shared" ca="1" si="4"/>
        <v>0</v>
      </c>
    </row>
    <row r="13" spans="1:17" ht="12.75" x14ac:dyDescent="0.3">
      <c r="C13" s="146">
        <f t="shared" si="5"/>
        <v>6</v>
      </c>
      <c r="D13" s="137" t="str">
        <f>Lookups!$D$46</f>
        <v>Distribution Switchgear</v>
      </c>
      <c r="E13" s="14" t="s">
        <v>157</v>
      </c>
      <c r="F13" s="14" t="str">
        <f t="shared" si="0"/>
        <v>$Millions</v>
      </c>
      <c r="G13" s="14" t="str">
        <f t="shared" si="1"/>
        <v>Real $2021</v>
      </c>
      <c r="H13" s="14" t="str">
        <f t="shared" si="2"/>
        <v>End of Period</v>
      </c>
      <c r="J13" s="171">
        <f t="shared" ca="1" si="3"/>
        <v>0</v>
      </c>
      <c r="K13" s="169">
        <f t="shared" ca="1" si="3"/>
        <v>0</v>
      </c>
      <c r="L13" s="170">
        <f t="shared" ca="1" si="3"/>
        <v>0</v>
      </c>
      <c r="M13" s="171">
        <f t="shared" ca="1" si="3"/>
        <v>0</v>
      </c>
      <c r="N13" s="171">
        <f t="shared" ca="1" si="3"/>
        <v>0</v>
      </c>
      <c r="O13" s="171">
        <f t="shared" ca="1" si="3"/>
        <v>0</v>
      </c>
      <c r="P13" s="172">
        <f t="shared" ca="1" si="3"/>
        <v>0</v>
      </c>
      <c r="Q13" s="21">
        <f t="shared" ca="1" si="4"/>
        <v>0</v>
      </c>
    </row>
    <row r="14" spans="1:17" ht="12.75" x14ac:dyDescent="0.3">
      <c r="C14" s="146">
        <f t="shared" si="5"/>
        <v>7</v>
      </c>
      <c r="D14" s="137" t="str">
        <f>Lookups!$D$47</f>
        <v>Protection</v>
      </c>
      <c r="E14" s="14" t="s">
        <v>157</v>
      </c>
      <c r="F14" s="14" t="str">
        <f t="shared" si="0"/>
        <v>$Millions</v>
      </c>
      <c r="G14" s="14" t="str">
        <f t="shared" si="1"/>
        <v>Real $2021</v>
      </c>
      <c r="H14" s="14" t="str">
        <f t="shared" si="2"/>
        <v>End of Period</v>
      </c>
      <c r="J14" s="171">
        <f t="shared" ca="1" si="3"/>
        <v>0</v>
      </c>
      <c r="K14" s="169">
        <f t="shared" ca="1" si="3"/>
        <v>0</v>
      </c>
      <c r="L14" s="170">
        <f t="shared" ca="1" si="3"/>
        <v>0</v>
      </c>
      <c r="M14" s="171">
        <f t="shared" ca="1" si="3"/>
        <v>0</v>
      </c>
      <c r="N14" s="171">
        <f t="shared" ca="1" si="3"/>
        <v>0</v>
      </c>
      <c r="O14" s="171">
        <f t="shared" ca="1" si="3"/>
        <v>0</v>
      </c>
      <c r="P14" s="172">
        <f t="shared" ca="1" si="3"/>
        <v>0</v>
      </c>
      <c r="Q14" s="21">
        <f t="shared" ca="1" si="4"/>
        <v>0</v>
      </c>
    </row>
    <row r="15" spans="1:17" ht="12.75" x14ac:dyDescent="0.3">
      <c r="C15" s="146">
        <f t="shared" si="5"/>
        <v>8</v>
      </c>
      <c r="D15" s="137" t="str">
        <f>Lookups!$D$48</f>
        <v>SCADA</v>
      </c>
      <c r="E15" s="14" t="s">
        <v>157</v>
      </c>
      <c r="F15" s="14" t="str">
        <f t="shared" si="0"/>
        <v>$Millions</v>
      </c>
      <c r="G15" s="14" t="str">
        <f t="shared" si="1"/>
        <v>Real $2021</v>
      </c>
      <c r="H15" s="14" t="str">
        <f t="shared" si="2"/>
        <v>End of Period</v>
      </c>
      <c r="J15" s="171">
        <f t="shared" ca="1" si="3"/>
        <v>0</v>
      </c>
      <c r="K15" s="169">
        <f t="shared" ca="1" si="3"/>
        <v>0</v>
      </c>
      <c r="L15" s="170">
        <f t="shared" ca="1" si="3"/>
        <v>0</v>
      </c>
      <c r="M15" s="171">
        <f t="shared" ca="1" si="3"/>
        <v>0</v>
      </c>
      <c r="N15" s="171">
        <f t="shared" ca="1" si="3"/>
        <v>0</v>
      </c>
      <c r="O15" s="171">
        <f t="shared" ca="1" si="3"/>
        <v>0</v>
      </c>
      <c r="P15" s="172">
        <f t="shared" ca="1" si="3"/>
        <v>0</v>
      </c>
      <c r="Q15" s="21">
        <f t="shared" ca="1" si="4"/>
        <v>0</v>
      </c>
    </row>
    <row r="16" spans="1:17" ht="12.75" x14ac:dyDescent="0.3">
      <c r="C16" s="146">
        <f t="shared" si="5"/>
        <v>9</v>
      </c>
      <c r="D16" s="137" t="str">
        <f>Lookups!$D$49</f>
        <v>Communications</v>
      </c>
      <c r="E16" s="14" t="s">
        <v>157</v>
      </c>
      <c r="F16" s="14" t="str">
        <f t="shared" si="0"/>
        <v>$Millions</v>
      </c>
      <c r="G16" s="14" t="str">
        <f t="shared" si="1"/>
        <v>Real $2021</v>
      </c>
      <c r="H16" s="14" t="str">
        <f t="shared" si="2"/>
        <v>End of Period</v>
      </c>
      <c r="J16" s="171">
        <f t="shared" ca="1" si="3"/>
        <v>0</v>
      </c>
      <c r="K16" s="169">
        <f t="shared" ca="1" si="3"/>
        <v>0</v>
      </c>
      <c r="L16" s="170">
        <f t="shared" ca="1" si="3"/>
        <v>0</v>
      </c>
      <c r="M16" s="171">
        <f t="shared" ca="1" si="3"/>
        <v>0</v>
      </c>
      <c r="N16" s="171">
        <f t="shared" ca="1" si="3"/>
        <v>0</v>
      </c>
      <c r="O16" s="171">
        <f t="shared" ca="1" si="3"/>
        <v>0</v>
      </c>
      <c r="P16" s="172">
        <f t="shared" ca="1" si="3"/>
        <v>0</v>
      </c>
      <c r="Q16" s="21">
        <f t="shared" ca="1" si="4"/>
        <v>0</v>
      </c>
    </row>
    <row r="17" spans="1:17" ht="12.75" x14ac:dyDescent="0.3">
      <c r="C17" s="146">
        <f t="shared" si="5"/>
        <v>10</v>
      </c>
      <c r="D17" s="137" t="str">
        <f>Lookups!$D$50</f>
        <v>Land and Easements</v>
      </c>
      <c r="E17" s="14" t="s">
        <v>157</v>
      </c>
      <c r="F17" s="14" t="str">
        <f t="shared" si="0"/>
        <v>$Millions</v>
      </c>
      <c r="G17" s="14" t="str">
        <f t="shared" si="1"/>
        <v>Real $2021</v>
      </c>
      <c r="H17" s="14" t="str">
        <f t="shared" si="2"/>
        <v>End of Period</v>
      </c>
      <c r="J17" s="171">
        <f t="shared" ca="1" si="3"/>
        <v>0</v>
      </c>
      <c r="K17" s="169">
        <f t="shared" ca="1" si="3"/>
        <v>0</v>
      </c>
      <c r="L17" s="170">
        <f t="shared" ca="1" si="3"/>
        <v>0</v>
      </c>
      <c r="M17" s="171">
        <f t="shared" ca="1" si="3"/>
        <v>0</v>
      </c>
      <c r="N17" s="171">
        <f t="shared" ca="1" si="3"/>
        <v>0</v>
      </c>
      <c r="O17" s="171">
        <f t="shared" ca="1" si="3"/>
        <v>0</v>
      </c>
      <c r="P17" s="172">
        <f t="shared" ca="1" si="3"/>
        <v>0</v>
      </c>
      <c r="Q17" s="21">
        <f t="shared" ca="1" si="4"/>
        <v>0</v>
      </c>
    </row>
    <row r="18" spans="1:17" ht="12.75" x14ac:dyDescent="0.3">
      <c r="C18" s="146">
        <f t="shared" si="5"/>
        <v>11</v>
      </c>
      <c r="D18" s="137" t="str">
        <f>Lookups!$D$51</f>
        <v>Property</v>
      </c>
      <c r="E18" s="14" t="s">
        <v>157</v>
      </c>
      <c r="F18" s="14" t="str">
        <f t="shared" si="0"/>
        <v>$Millions</v>
      </c>
      <c r="G18" s="14" t="str">
        <f t="shared" si="1"/>
        <v>Real $2021</v>
      </c>
      <c r="H18" s="14" t="str">
        <f t="shared" si="2"/>
        <v>End of Period</v>
      </c>
      <c r="J18" s="171">
        <f t="shared" ref="J18:P25" ca="1" si="6">SUMIF($R$34:$T$47,$D18,J$34:J$47)/10^6</f>
        <v>0</v>
      </c>
      <c r="K18" s="169">
        <f t="shared" ca="1" si="6"/>
        <v>0</v>
      </c>
      <c r="L18" s="170">
        <f t="shared" ca="1" si="6"/>
        <v>0</v>
      </c>
      <c r="M18" s="171">
        <f t="shared" ca="1" si="6"/>
        <v>0</v>
      </c>
      <c r="N18" s="171">
        <f t="shared" ca="1" si="6"/>
        <v>0</v>
      </c>
      <c r="O18" s="171">
        <f t="shared" ca="1" si="6"/>
        <v>0</v>
      </c>
      <c r="P18" s="172">
        <f t="shared" ca="1" si="6"/>
        <v>0</v>
      </c>
      <c r="Q18" s="21">
        <f t="shared" ca="1" si="4"/>
        <v>0</v>
      </c>
    </row>
    <row r="19" spans="1:17" ht="12.75" x14ac:dyDescent="0.3">
      <c r="C19" s="146">
        <f t="shared" si="5"/>
        <v>12</v>
      </c>
      <c r="D19" s="137" t="str">
        <f>Lookups!$D$52</f>
        <v>IT and Communications</v>
      </c>
      <c r="E19" s="14" t="s">
        <v>157</v>
      </c>
      <c r="F19" s="14" t="str">
        <f t="shared" si="0"/>
        <v>$Millions</v>
      </c>
      <c r="G19" s="14" t="str">
        <f t="shared" si="1"/>
        <v>Real $2021</v>
      </c>
      <c r="H19" s="14" t="str">
        <f t="shared" si="2"/>
        <v>End of Period</v>
      </c>
      <c r="J19" s="171">
        <f t="shared" ca="1" si="6"/>
        <v>0</v>
      </c>
      <c r="K19" s="169">
        <f t="shared" ca="1" si="6"/>
        <v>0</v>
      </c>
      <c r="L19" s="170">
        <f t="shared" ca="1" si="6"/>
        <v>0</v>
      </c>
      <c r="M19" s="171">
        <f t="shared" ca="1" si="6"/>
        <v>0</v>
      </c>
      <c r="N19" s="171">
        <f t="shared" ca="1" si="6"/>
        <v>0</v>
      </c>
      <c r="O19" s="171">
        <f t="shared" ca="1" si="6"/>
        <v>0</v>
      </c>
      <c r="P19" s="172">
        <f t="shared" ca="1" si="6"/>
        <v>0</v>
      </c>
      <c r="Q19" s="21">
        <f t="shared" ca="1" si="4"/>
        <v>0</v>
      </c>
    </row>
    <row r="20" spans="1:17" ht="12.75" x14ac:dyDescent="0.3">
      <c r="C20" s="146">
        <f t="shared" si="5"/>
        <v>13</v>
      </c>
      <c r="D20" s="137" t="str">
        <f>Lookups!$D$53</f>
        <v>Motor Vehicles</v>
      </c>
      <c r="E20" s="14" t="s">
        <v>157</v>
      </c>
      <c r="F20" s="14" t="str">
        <f t="shared" si="0"/>
        <v>$Millions</v>
      </c>
      <c r="G20" s="14" t="str">
        <f t="shared" si="1"/>
        <v>Real $2021</v>
      </c>
      <c r="H20" s="14" t="str">
        <f t="shared" si="2"/>
        <v>End of Period</v>
      </c>
      <c r="J20" s="171">
        <f t="shared" ca="1" si="6"/>
        <v>0</v>
      </c>
      <c r="K20" s="169">
        <f t="shared" ca="1" si="6"/>
        <v>0</v>
      </c>
      <c r="L20" s="170">
        <f t="shared" ca="1" si="6"/>
        <v>0</v>
      </c>
      <c r="M20" s="171">
        <f t="shared" ca="1" si="6"/>
        <v>0</v>
      </c>
      <c r="N20" s="171">
        <f t="shared" ca="1" si="6"/>
        <v>0</v>
      </c>
      <c r="O20" s="171">
        <f t="shared" ca="1" si="6"/>
        <v>0</v>
      </c>
      <c r="P20" s="172">
        <f t="shared" ca="1" si="6"/>
        <v>0</v>
      </c>
      <c r="Q20" s="21">
        <f t="shared" ca="1" si="4"/>
        <v>0</v>
      </c>
    </row>
    <row r="21" spans="1:17" ht="12.75" x14ac:dyDescent="0.3">
      <c r="C21" s="146">
        <f t="shared" si="5"/>
        <v>14</v>
      </c>
      <c r="D21" s="137" t="str">
        <f>Lookups!$D$54</f>
        <v>Plant and Equipment</v>
      </c>
      <c r="E21" s="14" t="s">
        <v>157</v>
      </c>
      <c r="F21" s="14" t="str">
        <f t="shared" si="0"/>
        <v>$Millions</v>
      </c>
      <c r="G21" s="14" t="str">
        <f t="shared" si="1"/>
        <v>Real $2021</v>
      </c>
      <c r="H21" s="14" t="str">
        <f t="shared" si="2"/>
        <v>End of Period</v>
      </c>
      <c r="J21" s="171">
        <f t="shared" ca="1" si="6"/>
        <v>0</v>
      </c>
      <c r="K21" s="169">
        <f t="shared" ca="1" si="6"/>
        <v>0</v>
      </c>
      <c r="L21" s="170">
        <f t="shared" ca="1" si="6"/>
        <v>0</v>
      </c>
      <c r="M21" s="171">
        <f t="shared" ca="1" si="6"/>
        <v>0</v>
      </c>
      <c r="N21" s="171">
        <f t="shared" ca="1" si="6"/>
        <v>0</v>
      </c>
      <c r="O21" s="171">
        <f t="shared" ca="1" si="6"/>
        <v>0</v>
      </c>
      <c r="P21" s="172">
        <f t="shared" ca="1" si="6"/>
        <v>0</v>
      </c>
      <c r="Q21" s="21">
        <f t="shared" ca="1" si="4"/>
        <v>0</v>
      </c>
    </row>
    <row r="22" spans="1:17" ht="12.75" x14ac:dyDescent="0.3">
      <c r="C22" s="146">
        <f t="shared" si="5"/>
        <v>15</v>
      </c>
      <c r="D22" s="137" t="str">
        <f>Lookups!$D$55</f>
        <v>Property Leases</v>
      </c>
      <c r="E22" s="14" t="s">
        <v>157</v>
      </c>
      <c r="F22" s="14" t="str">
        <f t="shared" si="0"/>
        <v>$Millions</v>
      </c>
      <c r="G22" s="14" t="str">
        <f t="shared" si="1"/>
        <v>Real $2021</v>
      </c>
      <c r="H22" s="14" t="str">
        <f t="shared" si="2"/>
        <v>End of Period</v>
      </c>
      <c r="J22" s="171">
        <f t="shared" ca="1" si="6"/>
        <v>0</v>
      </c>
      <c r="K22" s="169">
        <f t="shared" ca="1" si="6"/>
        <v>0</v>
      </c>
      <c r="L22" s="170">
        <f t="shared" ca="1" si="6"/>
        <v>0</v>
      </c>
      <c r="M22" s="171">
        <f t="shared" ca="1" si="6"/>
        <v>0</v>
      </c>
      <c r="N22" s="171">
        <f t="shared" ca="1" si="6"/>
        <v>0</v>
      </c>
      <c r="O22" s="171">
        <f t="shared" ca="1" si="6"/>
        <v>0</v>
      </c>
      <c r="P22" s="172">
        <f t="shared" ca="1" si="6"/>
        <v>0</v>
      </c>
      <c r="Q22" s="21">
        <f t="shared" ca="1" si="4"/>
        <v>0</v>
      </c>
    </row>
    <row r="23" spans="1:17" ht="12.75" x14ac:dyDescent="0.3">
      <c r="C23" s="146">
        <f t="shared" si="5"/>
        <v>16</v>
      </c>
      <c r="D23" s="137" t="str">
        <f>Lookups!$D$56</f>
        <v>Fleet Leases</v>
      </c>
      <c r="E23" s="14" t="s">
        <v>157</v>
      </c>
      <c r="F23" s="14" t="str">
        <f t="shared" si="0"/>
        <v>$Millions</v>
      </c>
      <c r="G23" s="14" t="str">
        <f t="shared" si="1"/>
        <v>Real $2021</v>
      </c>
      <c r="H23" s="14" t="str">
        <f t="shared" si="2"/>
        <v>End of Period</v>
      </c>
      <c r="J23" s="171">
        <f t="shared" ca="1" si="6"/>
        <v>0</v>
      </c>
      <c r="K23" s="169">
        <f t="shared" ca="1" si="6"/>
        <v>0</v>
      </c>
      <c r="L23" s="170">
        <f t="shared" ca="1" si="6"/>
        <v>0</v>
      </c>
      <c r="M23" s="171">
        <f t="shared" ca="1" si="6"/>
        <v>0</v>
      </c>
      <c r="N23" s="171">
        <f t="shared" ca="1" si="6"/>
        <v>0</v>
      </c>
      <c r="O23" s="171">
        <f t="shared" ca="1" si="6"/>
        <v>0</v>
      </c>
      <c r="P23" s="172">
        <f t="shared" ca="1" si="6"/>
        <v>0</v>
      </c>
      <c r="Q23" s="21">
        <f t="shared" ca="1" si="4"/>
        <v>0</v>
      </c>
    </row>
    <row r="24" spans="1:17" ht="12.75" x14ac:dyDescent="0.3">
      <c r="C24" s="146">
        <f t="shared" si="5"/>
        <v>17</v>
      </c>
      <c r="D24" s="137" t="str">
        <f>Lookups!$D$57</f>
        <v>Buildings</v>
      </c>
      <c r="E24" s="14" t="s">
        <v>157</v>
      </c>
      <c r="F24" s="14" t="str">
        <f t="shared" si="0"/>
        <v>$Millions</v>
      </c>
      <c r="G24" s="14" t="str">
        <f t="shared" si="1"/>
        <v>Real $2021</v>
      </c>
      <c r="H24" s="14" t="str">
        <f t="shared" si="2"/>
        <v>End of Period</v>
      </c>
      <c r="J24" s="171">
        <f t="shared" ca="1" si="6"/>
        <v>0</v>
      </c>
      <c r="K24" s="169">
        <f t="shared" ca="1" si="6"/>
        <v>0</v>
      </c>
      <c r="L24" s="170">
        <f t="shared" ca="1" si="6"/>
        <v>0</v>
      </c>
      <c r="M24" s="171">
        <f t="shared" ca="1" si="6"/>
        <v>0</v>
      </c>
      <c r="N24" s="171">
        <f t="shared" ca="1" si="6"/>
        <v>0</v>
      </c>
      <c r="O24" s="171">
        <f t="shared" ca="1" si="6"/>
        <v>0</v>
      </c>
      <c r="P24" s="172">
        <f t="shared" ca="1" si="6"/>
        <v>0</v>
      </c>
      <c r="Q24" s="21">
        <f t="shared" ca="1" si="4"/>
        <v>0</v>
      </c>
    </row>
    <row r="25" spans="1:17" ht="12.75" x14ac:dyDescent="0.3">
      <c r="C25" s="146">
        <f t="shared" si="5"/>
        <v>18</v>
      </c>
      <c r="D25" s="137" t="str">
        <f>Lookups!$D$58</f>
        <v>In-house Software</v>
      </c>
      <c r="E25" s="14" t="s">
        <v>157</v>
      </c>
      <c r="F25" s="14" t="str">
        <f t="shared" si="0"/>
        <v>$Millions</v>
      </c>
      <c r="G25" s="14" t="str">
        <f t="shared" si="1"/>
        <v>Real $2021</v>
      </c>
      <c r="H25" s="14" t="str">
        <f t="shared" si="2"/>
        <v>End of Period</v>
      </c>
      <c r="J25" s="171">
        <f t="shared" ca="1" si="6"/>
        <v>0</v>
      </c>
      <c r="K25" s="169">
        <f t="shared" ca="1" si="6"/>
        <v>0</v>
      </c>
      <c r="L25" s="170">
        <f t="shared" ca="1" si="6"/>
        <v>0</v>
      </c>
      <c r="M25" s="171">
        <f t="shared" ca="1" si="6"/>
        <v>0</v>
      </c>
      <c r="N25" s="171">
        <f t="shared" ca="1" si="6"/>
        <v>0</v>
      </c>
      <c r="O25" s="171">
        <f t="shared" ca="1" si="6"/>
        <v>0</v>
      </c>
      <c r="P25" s="172">
        <f t="shared" ca="1" si="6"/>
        <v>0</v>
      </c>
      <c r="Q25" s="21">
        <f t="shared" ca="1" si="4"/>
        <v>0</v>
      </c>
    </row>
    <row r="26" spans="1:17" x14ac:dyDescent="0.3">
      <c r="E26" s="5"/>
      <c r="F26" s="5"/>
      <c r="G26" s="5"/>
      <c r="H26" s="5"/>
      <c r="L26" s="152"/>
      <c r="P26" s="153"/>
      <c r="Q26" s="5"/>
    </row>
    <row r="27" spans="1:17" ht="13.15" x14ac:dyDescent="0.3">
      <c r="D27" s="154" t="s">
        <v>15</v>
      </c>
      <c r="E27" s="17" t="s">
        <v>157</v>
      </c>
      <c r="F27" s="17" t="str">
        <f>Input_Unit</f>
        <v>$Millions</v>
      </c>
      <c r="G27" s="17" t="str">
        <f>Input_Dollar_Basis</f>
        <v>Real $2021</v>
      </c>
      <c r="H27" s="17" t="str">
        <f>End_Period</f>
        <v>End of Period</v>
      </c>
      <c r="J27" s="156">
        <f t="shared" ref="J27" ca="1" si="7">SUM(J8:J25)</f>
        <v>3.2608526239786522</v>
      </c>
      <c r="K27" s="156">
        <f t="shared" ref="K27:P27" ca="1" si="8">SUM(K8:K25)</f>
        <v>3.3083001448710898</v>
      </c>
      <c r="L27" s="157">
        <f t="shared" ca="1" si="8"/>
        <v>0.99318397813451942</v>
      </c>
      <c r="M27" s="156">
        <f t="shared" ca="1" si="8"/>
        <v>0.99843081892275065</v>
      </c>
      <c r="N27" s="156">
        <f t="shared" ca="1" si="8"/>
        <v>1.0037578001377796</v>
      </c>
      <c r="O27" s="156">
        <f t="shared" ca="1" si="8"/>
        <v>1.009167059973801</v>
      </c>
      <c r="P27" s="158">
        <f t="shared" ca="1" si="8"/>
        <v>1.0146607945471005</v>
      </c>
      <c r="Q27" s="18">
        <f ca="1">SUM(Q8:Q25)</f>
        <v>5.0192004517159505</v>
      </c>
    </row>
    <row r="28" spans="1:17" ht="4.5" customHeight="1" x14ac:dyDescent="0.3"/>
    <row r="29" spans="1:17" ht="11.25" customHeight="1" x14ac:dyDescent="0.3">
      <c r="A29" s="138">
        <f ca="1">IF(SUM($J29:$P29)&gt;0,1,0)</f>
        <v>0</v>
      </c>
      <c r="D29" s="159" t="s">
        <v>98</v>
      </c>
      <c r="J29" s="138">
        <f t="shared" ref="J29:P29" ca="1" si="9">IF(ROUND(J27-J49/10^6,4)&lt;&gt;0,1,0)</f>
        <v>0</v>
      </c>
      <c r="K29" s="138">
        <f t="shared" ca="1" si="9"/>
        <v>0</v>
      </c>
      <c r="L29" s="138">
        <f t="shared" ca="1" si="9"/>
        <v>0</v>
      </c>
      <c r="M29" s="138">
        <f t="shared" ca="1" si="9"/>
        <v>0</v>
      </c>
      <c r="N29" s="138">
        <f t="shared" ca="1" si="9"/>
        <v>0</v>
      </c>
      <c r="O29" s="138">
        <f t="shared" ca="1" si="9"/>
        <v>0</v>
      </c>
      <c r="P29" s="138">
        <f t="shared" ca="1" si="9"/>
        <v>0</v>
      </c>
    </row>
    <row r="30" spans="1:17" s="5" customFormat="1" ht="4.5" customHeight="1" x14ac:dyDescent="0.3"/>
    <row r="31" spans="1:17" s="142" customFormat="1" ht="13.9" x14ac:dyDescent="0.45">
      <c r="C31" s="142" t="s">
        <v>162</v>
      </c>
    </row>
    <row r="32" spans="1:17" ht="11.25" customHeight="1" x14ac:dyDescent="0.3"/>
    <row r="33" spans="3:20" ht="13.15" x14ac:dyDescent="0.3">
      <c r="C33" s="143" t="s">
        <v>81</v>
      </c>
      <c r="D33" s="144" t="s">
        <v>89</v>
      </c>
      <c r="E33" s="144" t="s">
        <v>90</v>
      </c>
      <c r="F33" s="145" t="s">
        <v>17</v>
      </c>
      <c r="G33" s="145" t="s">
        <v>83</v>
      </c>
      <c r="H33" s="145" t="s">
        <v>84</v>
      </c>
      <c r="J33" s="10" t="str">
        <f>Lookups!I$11</f>
        <v>FY23</v>
      </c>
      <c r="K33" s="10" t="str">
        <f>Lookups!J$11</f>
        <v>FY24</v>
      </c>
      <c r="L33" s="11" t="str">
        <f>Lookups!K$11</f>
        <v>FY25</v>
      </c>
      <c r="M33" s="10" t="str">
        <f>Lookups!L$11</f>
        <v>FY26</v>
      </c>
      <c r="N33" s="10" t="str">
        <f>Lookups!M$11</f>
        <v>FY27</v>
      </c>
      <c r="O33" s="10" t="str">
        <f>Lookups!N$11</f>
        <v>FY28</v>
      </c>
      <c r="P33" s="12" t="str">
        <f>Lookups!O$11</f>
        <v>FY29</v>
      </c>
      <c r="R33" s="267" t="s">
        <v>161</v>
      </c>
      <c r="S33" s="267"/>
      <c r="T33" s="267"/>
    </row>
    <row r="34" spans="3:20" ht="12.75" x14ac:dyDescent="0.3">
      <c r="C34" s="146">
        <f>N(C33)+1</f>
        <v>1</v>
      </c>
      <c r="D34" s="147" t="s">
        <v>34</v>
      </c>
      <c r="E34" s="147" t="s">
        <v>63</v>
      </c>
      <c r="F34" s="148" t="str">
        <f t="shared" ref="F34:F47" si="10">Dollars</f>
        <v>Dollars</v>
      </c>
      <c r="G34" s="148" t="str">
        <f t="shared" ref="G34:G47" si="11">Input_Dollar_Basis</f>
        <v>Real $2021</v>
      </c>
      <c r="H34" s="148" t="str">
        <f t="shared" ref="H34:H47" si="12">End_Period</f>
        <v>End of Period</v>
      </c>
      <c r="J34" s="185">
        <f t="shared" ref="J34:P47" si="13">IF($N77="",0,J54*$N77)</f>
        <v>203098.65109235802</v>
      </c>
      <c r="K34" s="186">
        <f t="shared" si="13"/>
        <v>205076.87180693753</v>
      </c>
      <c r="L34" s="187">
        <f t="shared" si="13"/>
        <v>207055.09252151704</v>
      </c>
      <c r="M34" s="185">
        <f t="shared" si="13"/>
        <v>209033.31323609705</v>
      </c>
      <c r="N34" s="185">
        <f t="shared" si="13"/>
        <v>211011.53395067656</v>
      </c>
      <c r="O34" s="185">
        <f t="shared" si="13"/>
        <v>212989.75466525607</v>
      </c>
      <c r="P34" s="188">
        <f t="shared" si="13"/>
        <v>214967.97537983561</v>
      </c>
      <c r="R34" s="266" t="s">
        <v>3</v>
      </c>
      <c r="S34" s="266"/>
      <c r="T34" s="266"/>
    </row>
    <row r="35" spans="3:20" ht="12.75" x14ac:dyDescent="0.3">
      <c r="C35" s="146">
        <f t="shared" ref="C35:C47" si="14">N(C34)+1</f>
        <v>2</v>
      </c>
      <c r="D35" s="147"/>
      <c r="E35" s="147" t="s">
        <v>64</v>
      </c>
      <c r="F35" s="148" t="str">
        <f t="shared" si="10"/>
        <v>Dollars</v>
      </c>
      <c r="G35" s="148" t="str">
        <f t="shared" si="11"/>
        <v>Real $2021</v>
      </c>
      <c r="H35" s="148" t="str">
        <f t="shared" si="12"/>
        <v>End of Period</v>
      </c>
      <c r="J35" s="185">
        <f t="shared" si="13"/>
        <v>78668.271592160905</v>
      </c>
      <c r="K35" s="186">
        <f t="shared" si="13"/>
        <v>78878.664933880616</v>
      </c>
      <c r="L35" s="187">
        <f t="shared" si="13"/>
        <v>79089.058275600328</v>
      </c>
      <c r="M35" s="185">
        <f t="shared" si="13"/>
        <v>79299.451617320083</v>
      </c>
      <c r="N35" s="185">
        <f t="shared" si="13"/>
        <v>79509.844959039794</v>
      </c>
      <c r="O35" s="185">
        <f t="shared" si="13"/>
        <v>79720.238300759564</v>
      </c>
      <c r="P35" s="188">
        <f t="shared" si="13"/>
        <v>79930.631642479275</v>
      </c>
      <c r="R35" s="266" t="s">
        <v>3</v>
      </c>
      <c r="S35" s="266"/>
      <c r="T35" s="266"/>
    </row>
    <row r="36" spans="3:20" ht="12.75" x14ac:dyDescent="0.3">
      <c r="C36" s="146">
        <f t="shared" si="14"/>
        <v>3</v>
      </c>
      <c r="D36" s="147"/>
      <c r="E36" s="147" t="s">
        <v>65</v>
      </c>
      <c r="F36" s="148" t="str">
        <f t="shared" si="10"/>
        <v>Dollars</v>
      </c>
      <c r="G36" s="148" t="str">
        <f t="shared" si="11"/>
        <v>Real $2021</v>
      </c>
      <c r="H36" s="148" t="str">
        <f t="shared" si="12"/>
        <v>End of Period</v>
      </c>
      <c r="J36" s="185">
        <f t="shared" si="13"/>
        <v>255480.6558077384</v>
      </c>
      <c r="K36" s="186">
        <f t="shared" si="13"/>
        <v>255480.6558077384</v>
      </c>
      <c r="L36" s="187">
        <f t="shared" si="13"/>
        <v>255480.6558077384</v>
      </c>
      <c r="M36" s="185">
        <f t="shared" si="13"/>
        <v>255480.6558077384</v>
      </c>
      <c r="N36" s="185">
        <f t="shared" si="13"/>
        <v>255480.6558077384</v>
      </c>
      <c r="O36" s="185">
        <f t="shared" si="13"/>
        <v>255480.6558077384</v>
      </c>
      <c r="P36" s="188">
        <f t="shared" si="13"/>
        <v>255480.6558077384</v>
      </c>
      <c r="R36" s="266" t="s">
        <v>1</v>
      </c>
      <c r="S36" s="266"/>
      <c r="T36" s="266"/>
    </row>
    <row r="37" spans="3:20" ht="12.75" x14ac:dyDescent="0.3">
      <c r="C37" s="146">
        <f t="shared" si="14"/>
        <v>4</v>
      </c>
      <c r="D37" s="147" t="s">
        <v>53</v>
      </c>
      <c r="E37" s="147" t="s">
        <v>63</v>
      </c>
      <c r="F37" s="148" t="str">
        <f t="shared" si="10"/>
        <v>Dollars</v>
      </c>
      <c r="G37" s="148" t="str">
        <f t="shared" si="11"/>
        <v>Real $2021</v>
      </c>
      <c r="H37" s="148" t="str">
        <f t="shared" si="12"/>
        <v>End of Period</v>
      </c>
      <c r="J37" s="185">
        <f t="shared" si="13"/>
        <v>98803.42606716197</v>
      </c>
      <c r="K37" s="186">
        <f t="shared" si="13"/>
        <v>101707.56252764835</v>
      </c>
      <c r="L37" s="187">
        <f t="shared" si="13"/>
        <v>104687.730650802</v>
      </c>
      <c r="M37" s="185">
        <f t="shared" si="13"/>
        <v>107745.9573827336</v>
      </c>
      <c r="N37" s="185">
        <f t="shared" si="13"/>
        <v>110884.32454146341</v>
      </c>
      <c r="O37" s="185">
        <f t="shared" si="13"/>
        <v>114104.97032118542</v>
      </c>
      <c r="P37" s="188">
        <f t="shared" si="13"/>
        <v>117410.09083818564</v>
      </c>
      <c r="R37" s="266" t="s">
        <v>3</v>
      </c>
      <c r="S37" s="266"/>
      <c r="T37" s="266"/>
    </row>
    <row r="38" spans="3:20" ht="12.75" x14ac:dyDescent="0.3">
      <c r="C38" s="146">
        <f t="shared" si="14"/>
        <v>5</v>
      </c>
      <c r="D38" s="147"/>
      <c r="E38" s="147" t="s">
        <v>66</v>
      </c>
      <c r="F38" s="148" t="str">
        <f t="shared" si="10"/>
        <v>Dollars</v>
      </c>
      <c r="G38" s="148" t="str">
        <f t="shared" si="11"/>
        <v>Real $2021</v>
      </c>
      <c r="H38" s="148" t="str">
        <f t="shared" si="12"/>
        <v>End of Period</v>
      </c>
      <c r="J38" s="185">
        <f t="shared" si="13"/>
        <v>1222861.2334360492</v>
      </c>
      <c r="K38" s="186">
        <f t="shared" si="13"/>
        <v>1183697.1014840363</v>
      </c>
      <c r="L38" s="187">
        <f t="shared" si="13"/>
        <v>0</v>
      </c>
      <c r="M38" s="185">
        <f t="shared" si="13"/>
        <v>0</v>
      </c>
      <c r="N38" s="185">
        <f t="shared" si="13"/>
        <v>0</v>
      </c>
      <c r="O38" s="185">
        <f t="shared" si="13"/>
        <v>0</v>
      </c>
      <c r="P38" s="188">
        <f t="shared" si="13"/>
        <v>0</v>
      </c>
      <c r="R38" s="266" t="s">
        <v>1</v>
      </c>
      <c r="S38" s="266"/>
      <c r="T38" s="266"/>
    </row>
    <row r="39" spans="3:20" ht="12.75" x14ac:dyDescent="0.3">
      <c r="C39" s="146">
        <f t="shared" si="14"/>
        <v>6</v>
      </c>
      <c r="D39" s="147"/>
      <c r="E39" s="147" t="s">
        <v>67</v>
      </c>
      <c r="F39" s="148" t="str">
        <f t="shared" si="10"/>
        <v>Dollars</v>
      </c>
      <c r="G39" s="148" t="str">
        <f t="shared" si="11"/>
        <v>Real $2021</v>
      </c>
      <c r="H39" s="148" t="str">
        <f t="shared" si="12"/>
        <v>End of Period</v>
      </c>
      <c r="J39" s="185">
        <f t="shared" si="13"/>
        <v>255704.20606874232</v>
      </c>
      <c r="K39" s="186">
        <f t="shared" si="13"/>
        <v>255008.95918577092</v>
      </c>
      <c r="L39" s="187">
        <f t="shared" si="13"/>
        <v>0</v>
      </c>
      <c r="M39" s="185">
        <f t="shared" si="13"/>
        <v>0</v>
      </c>
      <c r="N39" s="185">
        <f t="shared" si="13"/>
        <v>0</v>
      </c>
      <c r="O39" s="185">
        <f t="shared" si="13"/>
        <v>0</v>
      </c>
      <c r="P39" s="188">
        <f t="shared" si="13"/>
        <v>0</v>
      </c>
      <c r="R39" s="266" t="s">
        <v>1</v>
      </c>
      <c r="S39" s="266"/>
      <c r="T39" s="266"/>
    </row>
    <row r="40" spans="3:20" ht="12.75" x14ac:dyDescent="0.3">
      <c r="C40" s="146">
        <f t="shared" si="14"/>
        <v>7</v>
      </c>
      <c r="D40" s="147"/>
      <c r="E40" s="147" t="s">
        <v>68</v>
      </c>
      <c r="F40" s="148" t="str">
        <f t="shared" si="10"/>
        <v>Dollars</v>
      </c>
      <c r="G40" s="148" t="str">
        <f t="shared" si="11"/>
        <v>Real $2021</v>
      </c>
      <c r="H40" s="148" t="str">
        <f t="shared" si="12"/>
        <v>End of Period</v>
      </c>
      <c r="J40" s="185">
        <f t="shared" si="13"/>
        <v>550654.461937038</v>
      </c>
      <c r="K40" s="186">
        <f t="shared" si="13"/>
        <v>632868.61114767462</v>
      </c>
      <c r="L40" s="187">
        <f t="shared" si="13"/>
        <v>0</v>
      </c>
      <c r="M40" s="185">
        <f t="shared" si="13"/>
        <v>0</v>
      </c>
      <c r="N40" s="185">
        <f t="shared" si="13"/>
        <v>0</v>
      </c>
      <c r="O40" s="185">
        <f t="shared" si="13"/>
        <v>0</v>
      </c>
      <c r="P40" s="188">
        <f t="shared" si="13"/>
        <v>0</v>
      </c>
      <c r="R40" s="266" t="s">
        <v>1</v>
      </c>
      <c r="S40" s="266"/>
      <c r="T40" s="266"/>
    </row>
    <row r="41" spans="3:20" ht="12.75" x14ac:dyDescent="0.3">
      <c r="C41" s="146">
        <f t="shared" si="14"/>
        <v>8</v>
      </c>
      <c r="D41" s="147"/>
      <c r="E41" s="147" t="s">
        <v>69</v>
      </c>
      <c r="F41" s="148" t="str">
        <f t="shared" si="10"/>
        <v>Dollars</v>
      </c>
      <c r="G41" s="148" t="str">
        <f t="shared" si="11"/>
        <v>Real $2021</v>
      </c>
      <c r="H41" s="148" t="str">
        <f t="shared" si="12"/>
        <v>End of Period</v>
      </c>
      <c r="J41" s="185">
        <f t="shared" si="13"/>
        <v>0</v>
      </c>
      <c r="K41" s="186">
        <f t="shared" si="13"/>
        <v>0</v>
      </c>
      <c r="L41" s="187">
        <f t="shared" si="13"/>
        <v>0</v>
      </c>
      <c r="M41" s="185">
        <f t="shared" si="13"/>
        <v>0</v>
      </c>
      <c r="N41" s="185">
        <f t="shared" si="13"/>
        <v>0</v>
      </c>
      <c r="O41" s="185">
        <f t="shared" si="13"/>
        <v>0</v>
      </c>
      <c r="P41" s="188">
        <f t="shared" si="13"/>
        <v>0</v>
      </c>
      <c r="R41" s="266" t="s">
        <v>1</v>
      </c>
      <c r="S41" s="266"/>
      <c r="T41" s="266"/>
    </row>
    <row r="42" spans="3:20" ht="12.75" x14ac:dyDescent="0.3">
      <c r="C42" s="146">
        <f t="shared" si="14"/>
        <v>9</v>
      </c>
      <c r="D42" s="147" t="s">
        <v>56</v>
      </c>
      <c r="E42" s="147" t="s">
        <v>64</v>
      </c>
      <c r="F42" s="148" t="str">
        <f t="shared" si="10"/>
        <v>Dollars</v>
      </c>
      <c r="G42" s="148" t="str">
        <f t="shared" si="11"/>
        <v>Real $2021</v>
      </c>
      <c r="H42" s="148" t="str">
        <f t="shared" si="12"/>
        <v>End of Period</v>
      </c>
      <c r="J42" s="185">
        <f t="shared" si="13"/>
        <v>346871.44087886153</v>
      </c>
      <c r="K42" s="186">
        <f t="shared" si="13"/>
        <v>346871.44087886153</v>
      </c>
      <c r="L42" s="187">
        <f t="shared" si="13"/>
        <v>346871.44087886153</v>
      </c>
      <c r="M42" s="185">
        <f t="shared" si="13"/>
        <v>346871.44087886153</v>
      </c>
      <c r="N42" s="185">
        <f t="shared" si="13"/>
        <v>346871.44087886153</v>
      </c>
      <c r="O42" s="185">
        <f t="shared" si="13"/>
        <v>346871.44087886153</v>
      </c>
      <c r="P42" s="188">
        <f t="shared" si="13"/>
        <v>346871.44087886153</v>
      </c>
      <c r="R42" s="266" t="s">
        <v>3</v>
      </c>
      <c r="S42" s="266"/>
      <c r="T42" s="266"/>
    </row>
    <row r="43" spans="3:20" ht="12.75" x14ac:dyDescent="0.3">
      <c r="C43" s="146">
        <f t="shared" si="14"/>
        <v>10</v>
      </c>
      <c r="D43" s="147"/>
      <c r="E43" s="147" t="s">
        <v>70</v>
      </c>
      <c r="F43" s="148" t="str">
        <f t="shared" si="10"/>
        <v>Dollars</v>
      </c>
      <c r="G43" s="148" t="str">
        <f t="shared" si="11"/>
        <v>Real $2021</v>
      </c>
      <c r="H43" s="148" t="str">
        <f t="shared" si="12"/>
        <v>End of Period</v>
      </c>
      <c r="J43" s="185">
        <f t="shared" si="13"/>
        <v>128170.55701792915</v>
      </c>
      <c r="K43" s="186">
        <f t="shared" si="13"/>
        <v>128170.55701792915</v>
      </c>
      <c r="L43" s="187">
        <f t="shared" si="13"/>
        <v>0</v>
      </c>
      <c r="M43" s="185">
        <f t="shared" si="13"/>
        <v>0</v>
      </c>
      <c r="N43" s="185">
        <f t="shared" si="13"/>
        <v>0</v>
      </c>
      <c r="O43" s="185">
        <f t="shared" si="13"/>
        <v>0</v>
      </c>
      <c r="P43" s="188">
        <f t="shared" si="13"/>
        <v>0</v>
      </c>
      <c r="R43" s="266" t="s">
        <v>1</v>
      </c>
      <c r="S43" s="266"/>
      <c r="T43" s="266"/>
    </row>
    <row r="44" spans="3:20" ht="12.75" x14ac:dyDescent="0.3">
      <c r="C44" s="146">
        <f t="shared" si="14"/>
        <v>11</v>
      </c>
      <c r="D44" s="147"/>
      <c r="E44" s="147" t="s">
        <v>71</v>
      </c>
      <c r="F44" s="148" t="str">
        <f t="shared" si="10"/>
        <v>Dollars</v>
      </c>
      <c r="G44" s="148" t="str">
        <f t="shared" si="11"/>
        <v>Real $2021</v>
      </c>
      <c r="H44" s="148" t="str">
        <f t="shared" si="12"/>
        <v>End of Period</v>
      </c>
      <c r="J44" s="185">
        <f t="shared" si="13"/>
        <v>120539.72008061199</v>
      </c>
      <c r="K44" s="186">
        <f t="shared" si="13"/>
        <v>120539.72008061199</v>
      </c>
      <c r="L44" s="187">
        <f t="shared" si="13"/>
        <v>0</v>
      </c>
      <c r="M44" s="185">
        <f t="shared" si="13"/>
        <v>0</v>
      </c>
      <c r="N44" s="185">
        <f t="shared" si="13"/>
        <v>0</v>
      </c>
      <c r="O44" s="185">
        <f t="shared" si="13"/>
        <v>0</v>
      </c>
      <c r="P44" s="188">
        <f t="shared" si="13"/>
        <v>0</v>
      </c>
      <c r="R44" s="266" t="s">
        <v>1</v>
      </c>
      <c r="S44" s="266"/>
      <c r="T44" s="266"/>
    </row>
    <row r="45" spans="3:20" ht="12.75" x14ac:dyDescent="0.3">
      <c r="C45" s="146">
        <f t="shared" si="14"/>
        <v>12</v>
      </c>
      <c r="D45" s="147" t="s">
        <v>58</v>
      </c>
      <c r="E45" s="147" t="s">
        <v>63</v>
      </c>
      <c r="F45" s="148" t="str">
        <f t="shared" si="10"/>
        <v>Dollars</v>
      </c>
      <c r="G45" s="148" t="str">
        <f t="shared" si="11"/>
        <v>Real $2021</v>
      </c>
      <c r="H45" s="148" t="str">
        <f t="shared" si="12"/>
        <v>End of Period</v>
      </c>
      <c r="J45" s="185">
        <f t="shared" si="13"/>
        <v>0</v>
      </c>
      <c r="K45" s="186">
        <f t="shared" si="13"/>
        <v>0</v>
      </c>
      <c r="L45" s="187">
        <f t="shared" si="13"/>
        <v>0</v>
      </c>
      <c r="M45" s="185">
        <f t="shared" si="13"/>
        <v>0</v>
      </c>
      <c r="N45" s="185">
        <f t="shared" si="13"/>
        <v>0</v>
      </c>
      <c r="O45" s="185">
        <f t="shared" si="13"/>
        <v>0</v>
      </c>
      <c r="P45" s="188">
        <f t="shared" si="13"/>
        <v>0</v>
      </c>
      <c r="R45" s="266" t="s">
        <v>3</v>
      </c>
      <c r="S45" s="266"/>
      <c r="T45" s="266"/>
    </row>
    <row r="46" spans="3:20" ht="12.75" x14ac:dyDescent="0.3">
      <c r="C46" s="146">
        <f t="shared" si="14"/>
        <v>13</v>
      </c>
      <c r="D46" s="147"/>
      <c r="E46" s="147" t="s">
        <v>72</v>
      </c>
      <c r="F46" s="148" t="str">
        <f t="shared" si="10"/>
        <v>Dollars</v>
      </c>
      <c r="G46" s="148" t="str">
        <f t="shared" si="11"/>
        <v>Real $2021</v>
      </c>
      <c r="H46" s="148" t="str">
        <f t="shared" si="12"/>
        <v>End of Period</v>
      </c>
      <c r="J46" s="185">
        <f t="shared" si="13"/>
        <v>0</v>
      </c>
      <c r="K46" s="186">
        <f t="shared" si="13"/>
        <v>0</v>
      </c>
      <c r="L46" s="187">
        <f t="shared" si="13"/>
        <v>0</v>
      </c>
      <c r="M46" s="185">
        <f t="shared" si="13"/>
        <v>0</v>
      </c>
      <c r="N46" s="185">
        <f t="shared" si="13"/>
        <v>0</v>
      </c>
      <c r="O46" s="185">
        <f t="shared" si="13"/>
        <v>0</v>
      </c>
      <c r="P46" s="188">
        <f t="shared" si="13"/>
        <v>0</v>
      </c>
      <c r="R46" s="266" t="s">
        <v>1</v>
      </c>
      <c r="S46" s="266"/>
      <c r="T46" s="266"/>
    </row>
    <row r="47" spans="3:20" ht="12.75" x14ac:dyDescent="0.3">
      <c r="C47" s="146">
        <f t="shared" si="14"/>
        <v>14</v>
      </c>
      <c r="D47" s="147"/>
      <c r="E47" s="147" t="s">
        <v>73</v>
      </c>
      <c r="F47" s="148" t="str">
        <f t="shared" si="10"/>
        <v>Dollars</v>
      </c>
      <c r="G47" s="148" t="str">
        <f t="shared" si="11"/>
        <v>Real $2021</v>
      </c>
      <c r="H47" s="148" t="str">
        <f t="shared" si="12"/>
        <v>End of Period</v>
      </c>
      <c r="J47" s="185">
        <f t="shared" si="13"/>
        <v>0</v>
      </c>
      <c r="K47" s="186">
        <f t="shared" si="13"/>
        <v>0</v>
      </c>
      <c r="L47" s="187">
        <f t="shared" si="13"/>
        <v>0</v>
      </c>
      <c r="M47" s="185">
        <f t="shared" si="13"/>
        <v>0</v>
      </c>
      <c r="N47" s="185">
        <f t="shared" si="13"/>
        <v>0</v>
      </c>
      <c r="O47" s="185">
        <f t="shared" si="13"/>
        <v>0</v>
      </c>
      <c r="P47" s="188">
        <f t="shared" si="13"/>
        <v>0</v>
      </c>
      <c r="R47" s="266" t="s">
        <v>1</v>
      </c>
      <c r="S47" s="266"/>
      <c r="T47" s="266"/>
    </row>
    <row r="48" spans="3:20" x14ac:dyDescent="0.3">
      <c r="L48" s="152"/>
      <c r="P48" s="153"/>
    </row>
    <row r="49" spans="3:16" ht="13.15" x14ac:dyDescent="0.3">
      <c r="D49" s="154" t="s">
        <v>15</v>
      </c>
      <c r="E49" s="154"/>
      <c r="F49" s="155" t="str">
        <f>Dollars</f>
        <v>Dollars</v>
      </c>
      <c r="G49" s="155" t="str">
        <f>Input_Dollar_Basis</f>
        <v>Real $2021</v>
      </c>
      <c r="H49" s="155" t="str">
        <f>End_Period</f>
        <v>End of Period</v>
      </c>
      <c r="J49" s="161">
        <f t="shared" ref="J49" si="15">SUM(J34:J47)</f>
        <v>3260852.6239786521</v>
      </c>
      <c r="K49" s="161">
        <f t="shared" ref="K49:P49" si="16">SUM(K34:K47)</f>
        <v>3308300.1448710896</v>
      </c>
      <c r="L49" s="162">
        <f t="shared" si="16"/>
        <v>993183.97813451942</v>
      </c>
      <c r="M49" s="161">
        <f t="shared" si="16"/>
        <v>998430.81892275065</v>
      </c>
      <c r="N49" s="161">
        <f t="shared" si="16"/>
        <v>1003757.8001377797</v>
      </c>
      <c r="O49" s="161">
        <f t="shared" si="16"/>
        <v>1009167.059973801</v>
      </c>
      <c r="P49" s="163">
        <f t="shared" si="16"/>
        <v>1014660.7945471006</v>
      </c>
    </row>
    <row r="50" spans="3:16" ht="4.5" customHeight="1" x14ac:dyDescent="0.3"/>
    <row r="51" spans="3:16" s="142" customFormat="1" ht="13.9" x14ac:dyDescent="0.45">
      <c r="C51" s="142" t="s">
        <v>86</v>
      </c>
    </row>
    <row r="52" spans="3:16" ht="11.25" customHeight="1" x14ac:dyDescent="0.3"/>
    <row r="53" spans="3:16" ht="13.15" x14ac:dyDescent="0.3">
      <c r="C53" s="143" t="s">
        <v>81</v>
      </c>
      <c r="D53" s="144" t="s">
        <v>89</v>
      </c>
      <c r="E53" s="144" t="s">
        <v>90</v>
      </c>
      <c r="F53" s="145" t="s">
        <v>17</v>
      </c>
      <c r="G53" s="145" t="s">
        <v>83</v>
      </c>
      <c r="H53" s="145" t="s">
        <v>84</v>
      </c>
      <c r="J53" s="197" t="str">
        <f>Lookups!I$11</f>
        <v>FY23</v>
      </c>
      <c r="K53" s="197" t="str">
        <f>Lookups!J$11</f>
        <v>FY24</v>
      </c>
      <c r="L53" s="11" t="str">
        <f>Lookups!K$11</f>
        <v>FY25</v>
      </c>
      <c r="M53" s="10" t="str">
        <f>Lookups!L$11</f>
        <v>FY26</v>
      </c>
      <c r="N53" s="10" t="str">
        <f>Lookups!M$11</f>
        <v>FY27</v>
      </c>
      <c r="O53" s="10" t="str">
        <f>Lookups!N$11</f>
        <v>FY28</v>
      </c>
      <c r="P53" s="12" t="str">
        <f>Lookups!O$11</f>
        <v>FY29</v>
      </c>
    </row>
    <row r="54" spans="3:16" ht="12.75" x14ac:dyDescent="0.3">
      <c r="C54" s="146">
        <f>N(C53)+1</f>
        <v>1</v>
      </c>
      <c r="D54" s="184" t="str">
        <f>$D$34</f>
        <v>RESIDENTIAL</v>
      </c>
      <c r="E54" s="184" t="str">
        <f>$E$34</f>
        <v>Simple connection LV</v>
      </c>
      <c r="F54" s="148" t="s">
        <v>91</v>
      </c>
      <c r="G54" s="148" t="s">
        <v>16</v>
      </c>
      <c r="H54" s="148" t="s">
        <v>16</v>
      </c>
      <c r="J54" s="151">
        <v>196.64567955596092</v>
      </c>
      <c r="K54" s="149">
        <v>198.56104706154454</v>
      </c>
      <c r="L54" s="150">
        <v>200.47641456712816</v>
      </c>
      <c r="M54" s="151">
        <v>202.39178207271226</v>
      </c>
      <c r="N54" s="151">
        <v>204.30714957829588</v>
      </c>
      <c r="O54" s="151">
        <v>206.2225170838795</v>
      </c>
      <c r="P54" s="151">
        <v>208.13788458946311</v>
      </c>
    </row>
    <row r="55" spans="3:16" ht="12.75" x14ac:dyDescent="0.3">
      <c r="C55" s="146">
        <f t="shared" ref="C55:C67" si="17">N(C54)+1</f>
        <v>2</v>
      </c>
      <c r="D55" s="184"/>
      <c r="E55" s="184" t="str">
        <f>$E$35</f>
        <v>Complex connection LV</v>
      </c>
      <c r="F55" s="148" t="s">
        <v>91</v>
      </c>
      <c r="G55" s="148" t="s">
        <v>16</v>
      </c>
      <c r="H55" s="148" t="s">
        <v>16</v>
      </c>
      <c r="J55" s="151">
        <v>4.4226786326337448</v>
      </c>
      <c r="K55" s="149">
        <v>4.4345068083142296</v>
      </c>
      <c r="L55" s="150">
        <v>4.4463349839947144</v>
      </c>
      <c r="M55" s="151">
        <v>4.4581631596752018</v>
      </c>
      <c r="N55" s="151">
        <v>4.4699913353556866</v>
      </c>
      <c r="O55" s="151">
        <v>4.4818195110361749</v>
      </c>
      <c r="P55" s="151">
        <v>4.4936476867166597</v>
      </c>
    </row>
    <row r="56" spans="3:16" ht="12.75" x14ac:dyDescent="0.3">
      <c r="C56" s="146">
        <f t="shared" si="17"/>
        <v>3</v>
      </c>
      <c r="D56" s="184"/>
      <c r="E56" s="184" t="str">
        <f>$E$36</f>
        <v>Complex connection HV</v>
      </c>
      <c r="F56" s="148" t="s">
        <v>91</v>
      </c>
      <c r="G56" s="148" t="s">
        <v>16</v>
      </c>
      <c r="H56" s="148" t="s">
        <v>16</v>
      </c>
      <c r="J56" s="151">
        <v>12</v>
      </c>
      <c r="K56" s="149">
        <v>12</v>
      </c>
      <c r="L56" s="150">
        <v>12</v>
      </c>
      <c r="M56" s="151">
        <v>12</v>
      </c>
      <c r="N56" s="151">
        <v>12</v>
      </c>
      <c r="O56" s="151">
        <v>12</v>
      </c>
      <c r="P56" s="151">
        <v>12</v>
      </c>
    </row>
    <row r="57" spans="3:16" ht="12.75" x14ac:dyDescent="0.3">
      <c r="C57" s="146">
        <f t="shared" si="17"/>
        <v>4</v>
      </c>
      <c r="D57" s="184" t="str">
        <f>$D$37</f>
        <v>COMMERCIAL/INDUSTRIAL</v>
      </c>
      <c r="E57" s="184" t="str">
        <f>$E$37</f>
        <v>Simple connection LV</v>
      </c>
      <c r="F57" s="148" t="s">
        <v>91</v>
      </c>
      <c r="G57" s="148" t="s">
        <v>16</v>
      </c>
      <c r="H57" s="148" t="s">
        <v>16</v>
      </c>
      <c r="J57" s="151">
        <v>26.325850089187895</v>
      </c>
      <c r="K57" s="149">
        <v>27.099647761399581</v>
      </c>
      <c r="L57" s="150">
        <v>27.893703821736892</v>
      </c>
      <c r="M57" s="151">
        <v>28.708558343369077</v>
      </c>
      <c r="N57" s="151">
        <v>29.544766019906433</v>
      </c>
      <c r="O57" s="151">
        <v>30.40289656620655</v>
      </c>
      <c r="P57" s="151">
        <v>31.283535130279233</v>
      </c>
    </row>
    <row r="58" spans="3:16" ht="12.75" x14ac:dyDescent="0.3">
      <c r="C58" s="146">
        <f t="shared" si="17"/>
        <v>5</v>
      </c>
      <c r="D58" s="184"/>
      <c r="E58" s="184" t="str">
        <f>$E$38</f>
        <v>Complex connection HV (customer connected at LV, minor HV works)</v>
      </c>
      <c r="F58" s="148" t="s">
        <v>91</v>
      </c>
      <c r="G58" s="148" t="s">
        <v>16</v>
      </c>
      <c r="H58" s="148" t="s">
        <v>16</v>
      </c>
      <c r="J58" s="151">
        <v>30.047525102874356</v>
      </c>
      <c r="K58" s="149">
        <v>29.085203945097682</v>
      </c>
      <c r="L58" s="150"/>
      <c r="M58" s="151"/>
      <c r="N58" s="151"/>
      <c r="O58" s="151"/>
      <c r="P58" s="151"/>
    </row>
    <row r="59" spans="3:16" ht="12.75" x14ac:dyDescent="0.3">
      <c r="C59" s="146">
        <f t="shared" si="17"/>
        <v>6</v>
      </c>
      <c r="D59" s="184"/>
      <c r="E59" s="184" t="str">
        <f>$E$39</f>
        <v>Complex connection HV (customer connected at LV, upstream asset works)</v>
      </c>
      <c r="F59" s="148" t="s">
        <v>91</v>
      </c>
      <c r="G59" s="148" t="s">
        <v>16</v>
      </c>
      <c r="H59" s="148" t="s">
        <v>16</v>
      </c>
      <c r="J59" s="151">
        <v>2.654563330894244</v>
      </c>
      <c r="K59" s="149">
        <v>2.6473457066328807</v>
      </c>
      <c r="L59" s="150"/>
      <c r="M59" s="151"/>
      <c r="N59" s="151"/>
      <c r="O59" s="151"/>
      <c r="P59" s="151"/>
    </row>
    <row r="60" spans="3:16" ht="12.75" x14ac:dyDescent="0.3">
      <c r="C60" s="146">
        <f t="shared" si="17"/>
        <v>7</v>
      </c>
      <c r="D60" s="184"/>
      <c r="E60" s="184" t="str">
        <f>$E$40</f>
        <v>Complex connection HV (customer connected at HV)</v>
      </c>
      <c r="F60" s="148" t="s">
        <v>91</v>
      </c>
      <c r="G60" s="148" t="s">
        <v>16</v>
      </c>
      <c r="H60" s="148" t="s">
        <v>16</v>
      </c>
      <c r="J60" s="151">
        <v>3.022035422932686</v>
      </c>
      <c r="K60" s="149">
        <v>3.4732332036731339</v>
      </c>
      <c r="L60" s="150"/>
      <c r="M60" s="151"/>
      <c r="N60" s="151"/>
      <c r="O60" s="151"/>
      <c r="P60" s="151"/>
    </row>
    <row r="61" spans="3:16" ht="12.75" x14ac:dyDescent="0.3">
      <c r="C61" s="146">
        <f t="shared" si="17"/>
        <v>8</v>
      </c>
      <c r="D61" s="184"/>
      <c r="E61" s="184" t="str">
        <f>$E$41</f>
        <v>Complex connection sub-transmission</v>
      </c>
      <c r="F61" s="148" t="s">
        <v>91</v>
      </c>
      <c r="G61" s="148" t="s">
        <v>16</v>
      </c>
      <c r="H61" s="148" t="s">
        <v>16</v>
      </c>
      <c r="J61" s="151">
        <v>0</v>
      </c>
      <c r="K61" s="149">
        <v>0</v>
      </c>
      <c r="L61" s="150"/>
      <c r="M61" s="151"/>
      <c r="N61" s="151"/>
      <c r="O61" s="151"/>
      <c r="P61" s="151"/>
    </row>
    <row r="62" spans="3:16" ht="12.75" x14ac:dyDescent="0.3">
      <c r="C62" s="146">
        <f t="shared" si="17"/>
        <v>9</v>
      </c>
      <c r="D62" s="184" t="str">
        <f>$D$42</f>
        <v>SUBDIVISION</v>
      </c>
      <c r="E62" s="184" t="str">
        <f>$E$42</f>
        <v>Complex connection LV</v>
      </c>
      <c r="F62" s="148" t="s">
        <v>91</v>
      </c>
      <c r="G62" s="148" t="s">
        <v>16</v>
      </c>
      <c r="H62" s="148" t="s">
        <v>16</v>
      </c>
      <c r="J62" s="151">
        <v>290</v>
      </c>
      <c r="K62" s="149">
        <v>290</v>
      </c>
      <c r="L62" s="150">
        <v>290</v>
      </c>
      <c r="M62" s="151">
        <v>290</v>
      </c>
      <c r="N62" s="151">
        <v>290</v>
      </c>
      <c r="O62" s="151">
        <v>290</v>
      </c>
      <c r="P62" s="151">
        <v>290</v>
      </c>
    </row>
    <row r="63" spans="3:16" ht="12.75" x14ac:dyDescent="0.3">
      <c r="C63" s="146">
        <f t="shared" si="17"/>
        <v>10</v>
      </c>
      <c r="D63" s="184"/>
      <c r="E63" s="184" t="str">
        <f>$E$43</f>
        <v>Complex connection HV (no upstream asset works)</v>
      </c>
      <c r="F63" s="148" t="s">
        <v>91</v>
      </c>
      <c r="G63" s="148" t="s">
        <v>16</v>
      </c>
      <c r="H63" s="148" t="s">
        <v>16</v>
      </c>
      <c r="J63" s="151">
        <v>3</v>
      </c>
      <c r="K63" s="149">
        <v>3</v>
      </c>
      <c r="L63" s="150"/>
      <c r="M63" s="151"/>
      <c r="N63" s="151"/>
      <c r="O63" s="151"/>
      <c r="P63" s="151"/>
    </row>
    <row r="64" spans="3:16" ht="12.75" x14ac:dyDescent="0.3">
      <c r="C64" s="146">
        <f t="shared" si="17"/>
        <v>11</v>
      </c>
      <c r="D64" s="184"/>
      <c r="E64" s="184" t="str">
        <f>$E$44</f>
        <v>Complex connection HV (with upstream asset works)</v>
      </c>
      <c r="F64" s="148" t="s">
        <v>91</v>
      </c>
      <c r="G64" s="148" t="s">
        <v>16</v>
      </c>
      <c r="H64" s="148" t="s">
        <v>16</v>
      </c>
      <c r="J64" s="151">
        <v>3</v>
      </c>
      <c r="K64" s="149">
        <v>3</v>
      </c>
      <c r="L64" s="150"/>
      <c r="M64" s="151"/>
      <c r="N64" s="151"/>
      <c r="O64" s="151"/>
      <c r="P64" s="151"/>
    </row>
    <row r="65" spans="3:16" ht="12.75" x14ac:dyDescent="0.3">
      <c r="C65" s="146">
        <f t="shared" si="17"/>
        <v>12</v>
      </c>
      <c r="D65" s="184" t="str">
        <f>$D$45</f>
        <v>EMBEDDED GENERATION</v>
      </c>
      <c r="E65" s="184" t="str">
        <f>$E$45</f>
        <v>Simple connection LV</v>
      </c>
      <c r="F65" s="148" t="s">
        <v>91</v>
      </c>
      <c r="G65" s="148" t="s">
        <v>16</v>
      </c>
      <c r="H65" s="148" t="s">
        <v>16</v>
      </c>
      <c r="J65" s="151">
        <v>2774.5576281753874</v>
      </c>
      <c r="K65" s="149">
        <v>2915.8927909858803</v>
      </c>
      <c r="L65" s="150">
        <v>3063.1994682198401</v>
      </c>
      <c r="M65" s="151">
        <v>3215.7992451267346</v>
      </c>
      <c r="N65" s="151">
        <v>3372.9335446245177</v>
      </c>
      <c r="O65" s="151">
        <v>3533.226134246876</v>
      </c>
      <c r="P65" s="151">
        <v>3695.5127317620963</v>
      </c>
    </row>
    <row r="66" spans="3:16" ht="12.75" x14ac:dyDescent="0.3">
      <c r="C66" s="146">
        <f t="shared" si="17"/>
        <v>13</v>
      </c>
      <c r="D66" s="184"/>
      <c r="E66" s="184" t="str">
        <f>$E$46</f>
        <v>Complex connection HV (small capacity)</v>
      </c>
      <c r="F66" s="148" t="s">
        <v>91</v>
      </c>
      <c r="G66" s="148" t="s">
        <v>16</v>
      </c>
      <c r="H66" s="148" t="s">
        <v>16</v>
      </c>
      <c r="J66" s="151">
        <v>0</v>
      </c>
      <c r="K66" s="149">
        <v>0</v>
      </c>
      <c r="L66" s="150"/>
      <c r="M66" s="151"/>
      <c r="N66" s="151"/>
      <c r="O66" s="151"/>
      <c r="P66" s="151"/>
    </row>
    <row r="67" spans="3:16" ht="12.75" x14ac:dyDescent="0.3">
      <c r="C67" s="146">
        <f t="shared" si="17"/>
        <v>14</v>
      </c>
      <c r="D67" s="184"/>
      <c r="E67" s="184" t="str">
        <f>$E$47</f>
        <v>Complex connection HV (large capacity)</v>
      </c>
      <c r="F67" s="148" t="s">
        <v>91</v>
      </c>
      <c r="G67" s="148" t="s">
        <v>16</v>
      </c>
      <c r="H67" s="148" t="s">
        <v>16</v>
      </c>
      <c r="J67" s="151">
        <v>0</v>
      </c>
      <c r="K67" s="149">
        <v>0</v>
      </c>
      <c r="L67" s="150"/>
      <c r="M67" s="151"/>
      <c r="N67" s="151"/>
      <c r="O67" s="151"/>
      <c r="P67" s="151"/>
    </row>
    <row r="68" spans="3:16" ht="12.75" x14ac:dyDescent="0.3">
      <c r="K68" s="153"/>
      <c r="L68" s="254"/>
      <c r="M68" s="254"/>
      <c r="N68" s="254"/>
      <c r="O68" s="254"/>
      <c r="P68" s="254"/>
    </row>
    <row r="69" spans="3:16" ht="13.15" x14ac:dyDescent="0.3">
      <c r="D69" s="154" t="s">
        <v>15</v>
      </c>
      <c r="E69" s="154"/>
      <c r="F69" s="155" t="str">
        <f>F54</f>
        <v>Number</v>
      </c>
      <c r="G69" s="155" t="s">
        <v>16</v>
      </c>
      <c r="H69" s="155" t="s">
        <v>16</v>
      </c>
      <c r="J69" s="156">
        <f t="shared" ref="J69" si="18">SUM(J54:J67)</f>
        <v>3345.6759603098712</v>
      </c>
      <c r="K69" s="158">
        <f t="shared" ref="K69:P69" si="19">SUM(K54:K67)</f>
        <v>3489.1937754725423</v>
      </c>
      <c r="L69" s="157">
        <f t="shared" si="19"/>
        <v>3598.0159215926997</v>
      </c>
      <c r="M69" s="156">
        <f t="shared" si="19"/>
        <v>3753.3577487024913</v>
      </c>
      <c r="N69" s="156">
        <f t="shared" si="19"/>
        <v>3913.2554515580759</v>
      </c>
      <c r="O69" s="156">
        <f t="shared" si="19"/>
        <v>4076.3333674079981</v>
      </c>
      <c r="P69" s="158">
        <f t="shared" si="19"/>
        <v>4241.4277991685558</v>
      </c>
    </row>
    <row r="70" spans="3:16" ht="4.5" customHeight="1" x14ac:dyDescent="0.3"/>
    <row r="71" spans="3:16" s="142" customFormat="1" ht="13.9" x14ac:dyDescent="0.45">
      <c r="C71" s="142" t="s">
        <v>92</v>
      </c>
    </row>
    <row r="72" spans="3:16" ht="11.25" customHeight="1" x14ac:dyDescent="0.3"/>
    <row r="73" spans="3:16" ht="13.15" x14ac:dyDescent="0.3">
      <c r="C73" s="143" t="s">
        <v>81</v>
      </c>
      <c r="D73" s="144" t="s">
        <v>89</v>
      </c>
      <c r="E73" s="144" t="s">
        <v>90</v>
      </c>
      <c r="F73" s="145" t="s">
        <v>17</v>
      </c>
      <c r="G73" s="145" t="s">
        <v>83</v>
      </c>
      <c r="H73" s="145" t="s">
        <v>84</v>
      </c>
      <c r="I73" s="198" t="str">
        <f>I76</f>
        <v>FY19</v>
      </c>
      <c r="J73" s="198" t="str">
        <f t="shared" ref="J73:L73" si="20">J76</f>
        <v>FY20</v>
      </c>
      <c r="K73" s="198" t="str">
        <f t="shared" si="20"/>
        <v>FY21</v>
      </c>
      <c r="L73" s="198" t="str">
        <f t="shared" si="20"/>
        <v>FY22</v>
      </c>
    </row>
    <row r="74" spans="3:16" ht="12.75" x14ac:dyDescent="0.3">
      <c r="C74" s="146"/>
      <c r="D74" s="164" t="str">
        <f>'Gifted assets'!D65</f>
        <v>Nominal Mid to Real 2021 End</v>
      </c>
      <c r="E74" s="164"/>
      <c r="F74" s="165" t="str">
        <f>'Gifted assets'!F65</f>
        <v>Factor</v>
      </c>
      <c r="G74" s="165" t="str">
        <f>'Gifted assets'!G65</f>
        <v>N/A</v>
      </c>
      <c r="H74" s="165" t="str">
        <f>'Gifted assets'!H65</f>
        <v>N/A</v>
      </c>
      <c r="I74" s="202">
        <f>'Gifted assets'!M65</f>
        <v>1.0430527558684535</v>
      </c>
      <c r="J74" s="202">
        <f>'Gifted assets'!N65</f>
        <v>1.0366507933377533</v>
      </c>
      <c r="K74" s="202">
        <f>'Gifted assets'!O65</f>
        <v>1.019049330730136</v>
      </c>
      <c r="L74" s="202">
        <f>'Gifted assets'!P65</f>
        <v>0.970623220902322</v>
      </c>
    </row>
    <row r="75" spans="3:16" ht="11.25" customHeight="1" x14ac:dyDescent="0.3">
      <c r="N75" s="148" t="str">
        <f t="shared" ref="N75" si="21">Input_Dollar_Basis</f>
        <v>Real $2021</v>
      </c>
    </row>
    <row r="76" spans="3:16" ht="26.25" x14ac:dyDescent="0.3">
      <c r="C76" s="143" t="s">
        <v>81</v>
      </c>
      <c r="D76" s="144" t="s">
        <v>89</v>
      </c>
      <c r="E76" s="144" t="s">
        <v>90</v>
      </c>
      <c r="F76" s="145" t="s">
        <v>17</v>
      </c>
      <c r="G76" s="145" t="s">
        <v>83</v>
      </c>
      <c r="H76" s="145" t="s">
        <v>84</v>
      </c>
      <c r="I76" s="198" t="str">
        <f>"FY"&amp;RIGHT(J76,2)-1</f>
        <v>FY19</v>
      </c>
      <c r="J76" s="199" t="str">
        <f>"FY"&amp;RIGHT(K76,2)-1</f>
        <v>FY20</v>
      </c>
      <c r="K76" s="198" t="str">
        <f>"FY"&amp;RIGHT(L76,2)-1</f>
        <v>FY21</v>
      </c>
      <c r="L76" s="198" t="str">
        <f>"FY"&amp;RIGHT(J53,2)-1</f>
        <v>FY22</v>
      </c>
      <c r="N76" s="198" t="s">
        <v>163</v>
      </c>
    </row>
    <row r="77" spans="3:16" ht="12.75" x14ac:dyDescent="0.3">
      <c r="C77" s="146">
        <f>N(C76)+1</f>
        <v>1</v>
      </c>
      <c r="D77" s="184" t="str">
        <f>$D$34</f>
        <v>RESIDENTIAL</v>
      </c>
      <c r="E77" s="184" t="str">
        <f>$E$34</f>
        <v>Simple connection LV</v>
      </c>
      <c r="F77" s="148" t="str">
        <f t="shared" ref="F77:F90" si="22">Dollars</f>
        <v>Dollars</v>
      </c>
      <c r="G77" s="148" t="str">
        <f t="shared" ref="G77:G90" si="23">Nominal</f>
        <v>Nominal</v>
      </c>
      <c r="H77" s="148" t="str">
        <f t="shared" ref="H77:H90" si="24">Mid_Period</f>
        <v>Mid Period</v>
      </c>
      <c r="I77" s="149">
        <f>IF(AND('2.5 Connections'!O122&gt;0,'2.5 Connections'!O178&gt;0),'2.5 Connections'!O122/'2.5 Connections'!O178,"")</f>
        <v>502.22932330827069</v>
      </c>
      <c r="J77" s="150">
        <f>IF(AND('2.5 Connections'!P122&gt;0,'2.5 Connections'!P178&gt;0),'2.5 Connections'!P122/'2.5 Connections'!P178,"")</f>
        <v>900.42105263157896</v>
      </c>
      <c r="K77" s="151">
        <f>IF(AND('2.5 Connections'!Q122&gt;0,'2.5 Connections'!Q178&gt;0),'2.5 Connections'!Q122/'2.5 Connections'!Q178,"")</f>
        <v>1274.331550802139</v>
      </c>
      <c r="L77" s="151">
        <f>IF(AND('2.5 Connections'!R122&gt;0,'2.5 Connections'!R178&gt;0),'2.5 Connections'!R122/'2.5 Connections'!R178,"")</f>
        <v>1417.0074074074073</v>
      </c>
      <c r="N77" s="151">
        <f>IFERROR(SUMPRODUCT(I$74:L$74,I77:L77)/COUNT(I77:L77),"")</f>
        <v>1032.8152215241562</v>
      </c>
    </row>
    <row r="78" spans="3:16" ht="12.75" x14ac:dyDescent="0.3">
      <c r="C78" s="146">
        <f t="shared" ref="C78:C90" si="25">N(C77)+1</f>
        <v>2</v>
      </c>
      <c r="D78" s="184"/>
      <c r="E78" s="184" t="str">
        <f>$E$35</f>
        <v>Complex connection LV</v>
      </c>
      <c r="F78" s="148" t="str">
        <f t="shared" si="22"/>
        <v>Dollars</v>
      </c>
      <c r="G78" s="148" t="str">
        <f t="shared" si="23"/>
        <v>Nominal</v>
      </c>
      <c r="H78" s="148" t="str">
        <f t="shared" si="24"/>
        <v>Mid Period</v>
      </c>
      <c r="I78" s="149">
        <f>IF(AND('2.5 Connections'!O123&gt;0,'2.5 Connections'!O179&gt;0),'2.5 Connections'!O123/'2.5 Connections'!O179,"")</f>
        <v>15125</v>
      </c>
      <c r="J78" s="150">
        <f>IF(AND('2.5 Connections'!P123&gt;0,'2.5 Connections'!P179&gt;0),'2.5 Connections'!P123/'2.5 Connections'!P179,"")</f>
        <v>18315.857142857141</v>
      </c>
      <c r="K78" s="151">
        <f>IF(AND('2.5 Connections'!Q123&gt;0,'2.5 Connections'!Q179&gt;0),'2.5 Connections'!Q123/'2.5 Connections'!Q179,"")</f>
        <v>19393.75</v>
      </c>
      <c r="L78" s="151">
        <f>IF(AND('2.5 Connections'!R123&gt;0,'2.5 Connections'!R179&gt;0),'2.5 Connections'!R123/'2.5 Connections'!R179,"")</f>
        <v>17126.5</v>
      </c>
      <c r="N78" s="151">
        <f t="shared" ref="N78:N90" si="26">IFERROR(SUMPRODUCT(I$74:L$74,I78:L78)/COUNT(I78:L78),"")</f>
        <v>17787.47183023634</v>
      </c>
    </row>
    <row r="79" spans="3:16" ht="12.75" x14ac:dyDescent="0.3">
      <c r="C79" s="146">
        <f t="shared" si="25"/>
        <v>3</v>
      </c>
      <c r="D79" s="184"/>
      <c r="E79" s="184" t="str">
        <f>$E$36</f>
        <v>Complex connection HV</v>
      </c>
      <c r="F79" s="148" t="str">
        <f t="shared" si="22"/>
        <v>Dollars</v>
      </c>
      <c r="G79" s="148" t="str">
        <f t="shared" si="23"/>
        <v>Nominal</v>
      </c>
      <c r="H79" s="148" t="str">
        <f t="shared" si="24"/>
        <v>Mid Period</v>
      </c>
      <c r="I79" s="149">
        <f>IF(AND('2.5 Connections'!O124&gt;0,'2.5 Connections'!O180&gt;0),'2.5 Connections'!O124/'2.5 Connections'!O180,"")</f>
        <v>21783</v>
      </c>
      <c r="J79" s="150">
        <f>IF(AND('2.5 Connections'!P124&gt;0,'2.5 Connections'!P180&gt;0),'2.5 Connections'!P124/'2.5 Connections'!P180,"")</f>
        <v>20653.583333333332</v>
      </c>
      <c r="K79" s="151">
        <f>IF(AND('2.5 Connections'!Q124&gt;0,'2.5 Connections'!Q180&gt;0),'2.5 Connections'!Q124/'2.5 Connections'!Q180,"")</f>
        <v>16977.666666666668</v>
      </c>
      <c r="L79" s="151">
        <f>IF(AND('2.5 Connections'!R124&gt;0,'2.5 Connections'!R180&gt;0),'2.5 Connections'!R124/'2.5 Connections'!R180,"")</f>
        <v>24445.909090909092</v>
      </c>
      <c r="N79" s="151">
        <f t="shared" si="26"/>
        <v>21290.054650644866</v>
      </c>
    </row>
    <row r="80" spans="3:16" ht="12.75" x14ac:dyDescent="0.3">
      <c r="C80" s="146">
        <f t="shared" si="25"/>
        <v>4</v>
      </c>
      <c r="D80" s="184" t="str">
        <f>$D$37</f>
        <v>COMMERCIAL/INDUSTRIAL</v>
      </c>
      <c r="E80" s="184" t="str">
        <f>$E$37</f>
        <v>Simple connection LV</v>
      </c>
      <c r="F80" s="148" t="str">
        <f t="shared" si="22"/>
        <v>Dollars</v>
      </c>
      <c r="G80" s="148" t="str">
        <f t="shared" si="23"/>
        <v>Nominal</v>
      </c>
      <c r="H80" s="148" t="str">
        <f t="shared" si="24"/>
        <v>Mid Period</v>
      </c>
      <c r="I80" s="149">
        <f>IF(AND('2.5 Connections'!O125&gt;0,'2.5 Connections'!O181&gt;0),'2.5 Connections'!O125/'2.5 Connections'!O181,"")</f>
        <v>1859.8571428571429</v>
      </c>
      <c r="J80" s="150">
        <f>IF(AND('2.5 Connections'!P125&gt;0,'2.5 Connections'!P181&gt;0),'2.5 Connections'!P125/'2.5 Connections'!P181,"")</f>
        <v>4215.4444444444443</v>
      </c>
      <c r="K80" s="151">
        <f>IF(AND('2.5 Connections'!Q125&gt;0,'2.5 Connections'!Q181&gt;0),'2.5 Connections'!Q125/'2.5 Connections'!Q181,"")</f>
        <v>3159.3125</v>
      </c>
      <c r="L80" s="151">
        <f>IF(AND('2.5 Connections'!R125&gt;0,'2.5 Connections'!R181&gt;0),'2.5 Connections'!R125/'2.5 Connections'!R181,"")</f>
        <v>5648.9615384615381</v>
      </c>
      <c r="N80" s="151">
        <f t="shared" si="26"/>
        <v>3753.0953694726395</v>
      </c>
    </row>
    <row r="81" spans="2:14" ht="12.75" x14ac:dyDescent="0.3">
      <c r="C81" s="146">
        <f t="shared" si="25"/>
        <v>5</v>
      </c>
      <c r="D81" s="184"/>
      <c r="E81" s="184" t="str">
        <f>$E$38</f>
        <v>Complex connection HV (customer connected at LV, minor HV works)</v>
      </c>
      <c r="F81" s="148" t="str">
        <f t="shared" si="22"/>
        <v>Dollars</v>
      </c>
      <c r="G81" s="148" t="str">
        <f t="shared" si="23"/>
        <v>Nominal</v>
      </c>
      <c r="H81" s="148" t="str">
        <f t="shared" si="24"/>
        <v>Mid Period</v>
      </c>
      <c r="I81" s="149">
        <f>IF(AND('2.5 Connections'!O126&gt;0,'2.5 Connections'!O182&gt;0),'2.5 Connections'!O126/'2.5 Connections'!O182,"")</f>
        <v>44504.119047619046</v>
      </c>
      <c r="J81" s="150">
        <f>IF(AND('2.5 Connections'!P126&gt;0,'2.5 Connections'!P182&gt;0),'2.5 Connections'!P126/'2.5 Connections'!P182,"")</f>
        <v>34335.919999999998</v>
      </c>
      <c r="K81" s="151">
        <f>IF(AND('2.5 Connections'!Q126&gt;0,'2.5 Connections'!Q182&gt;0),'2.5 Connections'!Q126/'2.5 Connections'!Q182,"")</f>
        <v>43513.052631578947</v>
      </c>
      <c r="L81" s="151">
        <f>IF(AND('2.5 Connections'!R126&gt;0,'2.5 Connections'!R182&gt;0),'2.5 Connections'!R126/'2.5 Connections'!R182,"")</f>
        <v>37536.529411764706</v>
      </c>
      <c r="N81" s="151">
        <f t="shared" si="26"/>
        <v>40697.569242368976</v>
      </c>
    </row>
    <row r="82" spans="2:14" ht="12.75" x14ac:dyDescent="0.3">
      <c r="C82" s="146">
        <f t="shared" si="25"/>
        <v>6</v>
      </c>
      <c r="D82" s="184"/>
      <c r="E82" s="184" t="str">
        <f>$E$39</f>
        <v>Complex connection HV (customer connected at LV, upstream asset works)</v>
      </c>
      <c r="F82" s="148" t="str">
        <f t="shared" si="22"/>
        <v>Dollars</v>
      </c>
      <c r="G82" s="148" t="str">
        <f t="shared" si="23"/>
        <v>Nominal</v>
      </c>
      <c r="H82" s="148" t="str">
        <f t="shared" si="24"/>
        <v>Mid Period</v>
      </c>
      <c r="I82" s="149">
        <f>IF(AND('2.5 Connections'!O127&gt;0,'2.5 Connections'!O183&gt;0),'2.5 Connections'!O127/'2.5 Connections'!O183,"")</f>
        <v>66696</v>
      </c>
      <c r="J82" s="150">
        <f>IF(AND('2.5 Connections'!P127&gt;0,'2.5 Connections'!P183&gt;0),'2.5 Connections'!P127/'2.5 Connections'!P183,"")</f>
        <v>44497.25</v>
      </c>
      <c r="K82" s="151">
        <f>IF(AND('2.5 Connections'!Q127&gt;0,'2.5 Connections'!Q183&gt;0),'2.5 Connections'!Q127/'2.5 Connections'!Q183,"")</f>
        <v>172492</v>
      </c>
      <c r="L82" s="151">
        <f>IF(AND('2.5 Connections'!R127&gt;0,'2.5 Connections'!R183&gt;0),'2.5 Connections'!R127/'2.5 Connections'!R183,"")</f>
        <v>96671.6</v>
      </c>
      <c r="N82" s="151">
        <f t="shared" si="26"/>
        <v>96326.278259333572</v>
      </c>
    </row>
    <row r="83" spans="2:14" ht="12.75" x14ac:dyDescent="0.3">
      <c r="C83" s="146">
        <f t="shared" si="25"/>
        <v>7</v>
      </c>
      <c r="D83" s="184"/>
      <c r="E83" s="184" t="str">
        <f>$E$40</f>
        <v>Complex connection HV (customer connected at HV)</v>
      </c>
      <c r="F83" s="148" t="str">
        <f t="shared" si="22"/>
        <v>Dollars</v>
      </c>
      <c r="G83" s="148" t="str">
        <f t="shared" si="23"/>
        <v>Nominal</v>
      </c>
      <c r="H83" s="148" t="str">
        <f t="shared" si="24"/>
        <v>Mid Period</v>
      </c>
      <c r="I83" s="149" t="str">
        <f>IF(AND('2.5 Connections'!O128&gt;0,'2.5 Connections'!O184&gt;0),'2.5 Connections'!O128/'2.5 Connections'!O184,"")</f>
        <v/>
      </c>
      <c r="J83" s="150">
        <f>IF(AND('2.5 Connections'!P128&gt;0,'2.5 Connections'!P184&gt;0),'2.5 Connections'!P128/'2.5 Connections'!P184,"")</f>
        <v>5599.5</v>
      </c>
      <c r="K83" s="151">
        <f>IF(AND('2.5 Connections'!Q128&gt;0,'2.5 Connections'!Q184&gt;0),'2.5 Connections'!Q128/'2.5 Connections'!Q184,"")</f>
        <v>405290</v>
      </c>
      <c r="L83" s="151">
        <f>IF(AND('2.5 Connections'!R128&gt;0,'2.5 Connections'!R184&gt;0),'2.5 Connections'!R128/'2.5 Connections'!R184,"")</f>
        <v>131692.79999999999</v>
      </c>
      <c r="N83" s="151">
        <f t="shared" si="26"/>
        <v>182213.10635818564</v>
      </c>
    </row>
    <row r="84" spans="2:14" ht="12.75" x14ac:dyDescent="0.3">
      <c r="C84" s="146">
        <f t="shared" si="25"/>
        <v>8</v>
      </c>
      <c r="D84" s="184"/>
      <c r="E84" s="184" t="str">
        <f>$E$41</f>
        <v>Complex connection sub-transmission</v>
      </c>
      <c r="F84" s="148" t="str">
        <f t="shared" si="22"/>
        <v>Dollars</v>
      </c>
      <c r="G84" s="148" t="str">
        <f t="shared" si="23"/>
        <v>Nominal</v>
      </c>
      <c r="H84" s="148" t="str">
        <f t="shared" si="24"/>
        <v>Mid Period</v>
      </c>
      <c r="I84" s="149" t="str">
        <f>IF(AND('2.5 Connections'!O129&gt;0,'2.5 Connections'!O185&gt;0),'2.5 Connections'!O129/'2.5 Connections'!O185,"")</f>
        <v/>
      </c>
      <c r="J84" s="150" t="str">
        <f>IF(AND('2.5 Connections'!P129&gt;0,'2.5 Connections'!P185&gt;0),'2.5 Connections'!P129/'2.5 Connections'!P185,"")</f>
        <v/>
      </c>
      <c r="K84" s="151" t="str">
        <f>IF(AND('2.5 Connections'!Q129&gt;0,'2.5 Connections'!Q185&gt;0),'2.5 Connections'!Q129/'2.5 Connections'!Q185,"")</f>
        <v/>
      </c>
      <c r="L84" s="151" t="str">
        <f>IF(AND('2.5 Connections'!R129&gt;0,'2.5 Connections'!R185&gt;0),'2.5 Connections'!R129/'2.5 Connections'!R185,"")</f>
        <v/>
      </c>
      <c r="N84" s="151" t="str">
        <f t="shared" si="26"/>
        <v/>
      </c>
    </row>
    <row r="85" spans="2:14" ht="12.75" x14ac:dyDescent="0.3">
      <c r="C85" s="146">
        <f t="shared" si="25"/>
        <v>9</v>
      </c>
      <c r="D85" s="184" t="str">
        <f>$D$42</f>
        <v>SUBDIVISION</v>
      </c>
      <c r="E85" s="184" t="str">
        <f>$E$42</f>
        <v>Complex connection LV</v>
      </c>
      <c r="F85" s="148" t="str">
        <f t="shared" si="22"/>
        <v>Dollars</v>
      </c>
      <c r="G85" s="148" t="str">
        <f t="shared" si="23"/>
        <v>Nominal</v>
      </c>
      <c r="H85" s="148" t="str">
        <f t="shared" si="24"/>
        <v>Mid Period</v>
      </c>
      <c r="I85" s="149">
        <f>IF(AND('2.5 Connections'!O130&gt;0,'2.5 Connections'!O186&gt;0),'2.5 Connections'!O130/'2.5 Connections'!O186,"")</f>
        <v>546.51935483870966</v>
      </c>
      <c r="J85" s="150">
        <f>IF(AND('2.5 Connections'!P130&gt;0,'2.5 Connections'!P186&gt;0),'2.5 Connections'!P130/'2.5 Connections'!P186,"")</f>
        <v>768.43373493975901</v>
      </c>
      <c r="K85" s="151">
        <f>IF(AND('2.5 Connections'!Q130&gt;0,'2.5 Connections'!Q186&gt;0),'2.5 Connections'!Q130/'2.5 Connections'!Q186,"")</f>
        <v>1715.8840579710145</v>
      </c>
      <c r="L85" s="151">
        <f>IF(AND('2.5 Connections'!R130&gt;0,'2.5 Connections'!R186&gt;0),'2.5 Connections'!R130/'2.5 Connections'!R186,"")</f>
        <v>1719.737556561086</v>
      </c>
      <c r="N85" s="151">
        <f t="shared" si="26"/>
        <v>1196.1084168236605</v>
      </c>
    </row>
    <row r="86" spans="2:14" ht="12.75" x14ac:dyDescent="0.3">
      <c r="C86" s="146">
        <f t="shared" si="25"/>
        <v>10</v>
      </c>
      <c r="D86" s="184"/>
      <c r="E86" s="184" t="str">
        <f>$E$43</f>
        <v>Complex connection HV (no upstream asset works)</v>
      </c>
      <c r="F86" s="148" t="str">
        <f t="shared" si="22"/>
        <v>Dollars</v>
      </c>
      <c r="G86" s="148" t="str">
        <f t="shared" si="23"/>
        <v>Nominal</v>
      </c>
      <c r="H86" s="148" t="str">
        <f t="shared" si="24"/>
        <v>Mid Period</v>
      </c>
      <c r="I86" s="149">
        <f>IF(AND('2.5 Connections'!O131&gt;0,'2.5 Connections'!O187&gt;0),'2.5 Connections'!O131/'2.5 Connections'!O187,"")</f>
        <v>16848</v>
      </c>
      <c r="J86" s="150">
        <f>IF(AND('2.5 Connections'!P131&gt;0,'2.5 Connections'!P187&gt;0),'2.5 Connections'!P131/'2.5 Connections'!P187,"")</f>
        <v>564.75</v>
      </c>
      <c r="K86" s="151">
        <f>IF(AND('2.5 Connections'!Q131&gt;0,'2.5 Connections'!Q187&gt;0),'2.5 Connections'!Q131/'2.5 Connections'!Q187,"")</f>
        <v>84749</v>
      </c>
      <c r="L86" s="151">
        <f>IF(AND('2.5 Connections'!R131&gt;0,'2.5 Connections'!R187&gt;0),'2.5 Connections'!R131/'2.5 Connections'!R187,"")</f>
        <v>68380.666666666672</v>
      </c>
      <c r="N86" s="151">
        <f t="shared" si="26"/>
        <v>42723.519005976385</v>
      </c>
    </row>
    <row r="87" spans="2:14" ht="12.75" x14ac:dyDescent="0.3">
      <c r="C87" s="146">
        <f t="shared" si="25"/>
        <v>11</v>
      </c>
      <c r="D87" s="184"/>
      <c r="E87" s="184" t="str">
        <f>$E$44</f>
        <v>Complex connection HV (with upstream asset works)</v>
      </c>
      <c r="F87" s="148" t="str">
        <f t="shared" si="22"/>
        <v>Dollars</v>
      </c>
      <c r="G87" s="148" t="str">
        <f t="shared" si="23"/>
        <v>Nominal</v>
      </c>
      <c r="H87" s="148" t="str">
        <f t="shared" si="24"/>
        <v>Mid Period</v>
      </c>
      <c r="I87" s="149">
        <f>IF(AND('2.5 Connections'!O132&gt;0,'2.5 Connections'!O188&gt;0),'2.5 Connections'!O132/'2.5 Connections'!O188,"")</f>
        <v>23247</v>
      </c>
      <c r="J87" s="150">
        <f>IF(AND('2.5 Connections'!P132&gt;0,'2.5 Connections'!P188&gt;0),'2.5 Connections'!P132/'2.5 Connections'!P188,"")</f>
        <v>49811.5</v>
      </c>
      <c r="K87" s="151">
        <f>IF(AND('2.5 Connections'!Q132&gt;0,'2.5 Connections'!Q188&gt;0),'2.5 Connections'!Q132/'2.5 Connections'!Q188,"")</f>
        <v>43820</v>
      </c>
      <c r="L87" s="151" t="str">
        <f>IF(AND('2.5 Connections'!R132&gt;0,'2.5 Connections'!R188&gt;0),'2.5 Connections'!R132/'2.5 Connections'!R188,"")</f>
        <v/>
      </c>
      <c r="N87" s="151">
        <f t="shared" si="26"/>
        <v>40179.906693537334</v>
      </c>
    </row>
    <row r="88" spans="2:14" ht="12.75" x14ac:dyDescent="0.3">
      <c r="C88" s="146">
        <f t="shared" si="25"/>
        <v>12</v>
      </c>
      <c r="D88" s="184" t="str">
        <f>$D$45</f>
        <v>EMBEDDED GENERATION</v>
      </c>
      <c r="E88" s="184" t="str">
        <f>$E$45</f>
        <v>Simple connection LV</v>
      </c>
      <c r="F88" s="148" t="str">
        <f t="shared" si="22"/>
        <v>Dollars</v>
      </c>
      <c r="G88" s="148" t="str">
        <f t="shared" si="23"/>
        <v>Nominal</v>
      </c>
      <c r="H88" s="148" t="str">
        <f t="shared" si="24"/>
        <v>Mid Period</v>
      </c>
      <c r="I88" s="149" t="str">
        <f>IF(AND('2.5 Connections'!O133&gt;0,'2.5 Connections'!O189&gt;0),'2.5 Connections'!O133/'2.5 Connections'!O189,"")</f>
        <v/>
      </c>
      <c r="J88" s="150" t="str">
        <f>IF(AND('2.5 Connections'!P133&gt;0,'2.5 Connections'!P189&gt;0),'2.5 Connections'!P133/'2.5 Connections'!P189,"")</f>
        <v/>
      </c>
      <c r="K88" s="151" t="str">
        <f>IF(AND('2.5 Connections'!Q133&gt;0,'2.5 Connections'!Q189&gt;0),'2.5 Connections'!Q133/'2.5 Connections'!Q189,"")</f>
        <v/>
      </c>
      <c r="L88" s="151" t="str">
        <f>IF(AND('2.5 Connections'!R133&gt;0,'2.5 Connections'!R189&gt;0),'2.5 Connections'!R133/'2.5 Connections'!R189,"")</f>
        <v/>
      </c>
      <c r="N88" s="151" t="str">
        <f t="shared" si="26"/>
        <v/>
      </c>
    </row>
    <row r="89" spans="2:14" ht="12.75" x14ac:dyDescent="0.3">
      <c r="C89" s="146">
        <f t="shared" si="25"/>
        <v>13</v>
      </c>
      <c r="D89" s="184"/>
      <c r="E89" s="184" t="str">
        <f>$E$46</f>
        <v>Complex connection HV (small capacity)</v>
      </c>
      <c r="F89" s="148" t="str">
        <f t="shared" si="22"/>
        <v>Dollars</v>
      </c>
      <c r="G89" s="148" t="str">
        <f t="shared" si="23"/>
        <v>Nominal</v>
      </c>
      <c r="H89" s="148" t="str">
        <f t="shared" si="24"/>
        <v>Mid Period</v>
      </c>
      <c r="I89" s="149" t="str">
        <f>IF(AND('2.5 Connections'!O134&gt;0,'2.5 Connections'!O190&gt;0),'2.5 Connections'!O134/'2.5 Connections'!O190,"")</f>
        <v/>
      </c>
      <c r="J89" s="150" t="str">
        <f>IF(AND('2.5 Connections'!P134&gt;0,'2.5 Connections'!P190&gt;0),'2.5 Connections'!P134/'2.5 Connections'!P190,"")</f>
        <v/>
      </c>
      <c r="K89" s="151" t="str">
        <f>IF(AND('2.5 Connections'!Q134&gt;0,'2.5 Connections'!Q190&gt;0),'2.5 Connections'!Q134/'2.5 Connections'!Q190,"")</f>
        <v/>
      </c>
      <c r="L89" s="151" t="str">
        <f>IF(AND('2.5 Connections'!R134&gt;0,'2.5 Connections'!R190&gt;0),'2.5 Connections'!R134/'2.5 Connections'!R190,"")</f>
        <v/>
      </c>
      <c r="N89" s="151" t="str">
        <f t="shared" si="26"/>
        <v/>
      </c>
    </row>
    <row r="90" spans="2:14" ht="12.75" x14ac:dyDescent="0.3">
      <c r="C90" s="146">
        <f t="shared" si="25"/>
        <v>14</v>
      </c>
      <c r="D90" s="184"/>
      <c r="E90" s="184" t="str">
        <f>$E$47</f>
        <v>Complex connection HV (large capacity)</v>
      </c>
      <c r="F90" s="148" t="str">
        <f t="shared" si="22"/>
        <v>Dollars</v>
      </c>
      <c r="G90" s="148" t="str">
        <f t="shared" si="23"/>
        <v>Nominal</v>
      </c>
      <c r="H90" s="148" t="str">
        <f t="shared" si="24"/>
        <v>Mid Period</v>
      </c>
      <c r="I90" s="149" t="str">
        <f>IF(AND('2.5 Connections'!O135&gt;0,'2.5 Connections'!O191&gt;0),'2.5 Connections'!O135/'2.5 Connections'!O191,"")</f>
        <v/>
      </c>
      <c r="J90" s="150" t="str">
        <f>IF(AND('2.5 Connections'!P135&gt;0,'2.5 Connections'!P191&gt;0),'2.5 Connections'!P135/'2.5 Connections'!P191,"")</f>
        <v/>
      </c>
      <c r="K90" s="151" t="str">
        <f>IF(AND('2.5 Connections'!Q135&gt;0,'2.5 Connections'!Q191&gt;0),'2.5 Connections'!Q135/'2.5 Connections'!Q191,"")</f>
        <v/>
      </c>
      <c r="L90" s="151" t="str">
        <f>IF(AND('2.5 Connections'!R135&gt;0,'2.5 Connections'!R191&gt;0),'2.5 Connections'!R135/'2.5 Connections'!R191,"")</f>
        <v/>
      </c>
      <c r="N90" s="160" t="str">
        <f t="shared" si="26"/>
        <v/>
      </c>
    </row>
    <row r="91" spans="2:14" ht="4.5" customHeight="1" x14ac:dyDescent="0.3"/>
    <row r="92" spans="2:14" s="141" customFormat="1" ht="15" x14ac:dyDescent="0.45">
      <c r="B92" s="141" t="s">
        <v>93</v>
      </c>
    </row>
  </sheetData>
  <autoFilter ref="C7:O25" xr:uid="{00000000-0009-0000-0000-000001000000}"/>
  <mergeCells count="15">
    <mergeCell ref="R38:T38"/>
    <mergeCell ref="R39:T39"/>
    <mergeCell ref="R33:T33"/>
    <mergeCell ref="R34:T34"/>
    <mergeCell ref="R35:T35"/>
    <mergeCell ref="R36:T36"/>
    <mergeCell ref="R37:T37"/>
    <mergeCell ref="R46:T46"/>
    <mergeCell ref="R47:T47"/>
    <mergeCell ref="R40:T40"/>
    <mergeCell ref="R41:T41"/>
    <mergeCell ref="R42:T42"/>
    <mergeCell ref="R43:T43"/>
    <mergeCell ref="R44:T44"/>
    <mergeCell ref="R45:T45"/>
  </mergeCells>
  <dataValidations count="1">
    <dataValidation type="list" allowBlank="1" showInputMessage="1" showErrorMessage="1" sqref="R34:T47" xr:uid="{16EE5E07-CD5C-4F7F-B363-63C891CDEC43}">
      <formula1>$D$8:$D$25</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13386B98CA9D47B153354AC72DA840" ma:contentTypeVersion="10" ma:contentTypeDescription="Create a new document." ma:contentTypeScope="" ma:versionID="1d33a58b88525057e34c226c47740757">
  <xsd:schema xmlns:xsd="http://www.w3.org/2001/XMLSchema" xmlns:xs="http://www.w3.org/2001/XMLSchema" xmlns:p="http://schemas.microsoft.com/office/2006/metadata/properties" xmlns:ns2="2a09a3f0-ff30-4896-8eff-2a4081e1b291" targetNamespace="http://schemas.microsoft.com/office/2006/metadata/properties" ma:root="true" ma:fieldsID="d55c57b4e9d4cf2d55d57f36226ddeaf" ns2:_="">
    <xsd:import namespace="2a09a3f0-ff30-4896-8eff-2a4081e1b29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09a3f0-ff30-4896-8eff-2a4081e1b2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4d5ad4c-798f-4112-b232-d6cf578bb7cd" ma:termSetId="09814cd3-568e-fe90-9814-8d621ff8fb84" ma:anchorId="fba54fb3-c3e1-fe81-a776-ca4b69148c4d" ma:open="true" ma:isKeyword="false">
      <xsd:complexType>
        <xsd:sequence>
          <xsd:element ref="pc:Terms" minOccurs="0" maxOccurs="1"/>
        </xsd:sequence>
      </xsd:complex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09a3f0-ff30-4896-8eff-2a4081e1b29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BD42E3D8-3FB2-4B62-A82E-2B8A60177667}"/>
</file>

<file path=customXml/itemProps2.xml><?xml version="1.0" encoding="utf-8"?>
<ds:datastoreItem xmlns:ds="http://schemas.openxmlformats.org/officeDocument/2006/customXml" ds:itemID="{7D329A47-9638-408C-8363-37EA81EB1961}">
  <ds:schemaRefs>
    <ds:schemaRef ds:uri="http://schemas.microsoft.com/office/2006/metadata/properties"/>
    <ds:schemaRef ds:uri="e9ddd33f-6e0c-4ea4-b974-ce1f965c2a6f"/>
    <ds:schemaRef ds:uri="http://purl.org/dc/terms/"/>
    <ds:schemaRef ds:uri="http://schemas.openxmlformats.org/package/2006/metadata/core-properties"/>
    <ds:schemaRef ds:uri="http://schemas.microsoft.com/office/2006/documentManagement/types"/>
    <ds:schemaRef ds:uri="219a03a1-7fe7-42f3-bdad-55ca8d66a738"/>
    <ds:schemaRef ds:uri="http://purl.org/dc/elements/1.1/"/>
    <ds:schemaRef ds:uri="http://schemas.microsoft.com/office/infopath/2007/PartnerControls"/>
    <ds:schemaRef ds:uri="4eb6023d-658b-4527-be73-24b0518f0bf9"/>
    <ds:schemaRef ds:uri="http://www.w3.org/XML/1998/namespace"/>
    <ds:schemaRef ds:uri="http://purl.org/dc/dcmitype/"/>
  </ds:schemaRefs>
</ds:datastoreItem>
</file>

<file path=customXml/itemProps3.xml><?xml version="1.0" encoding="utf-8"?>
<ds:datastoreItem xmlns:ds="http://schemas.openxmlformats.org/officeDocument/2006/customXml" ds:itemID="{1168C0D9-2786-4DA6-AC43-64050FF9A821}">
  <ds:schemaRefs>
    <ds:schemaRef ds:uri="http://schemas.microsoft.com/sharepoint/v3/contenttype/forms"/>
  </ds:schemaRefs>
</ds:datastoreItem>
</file>

<file path=customXml/itemProps4.xml><?xml version="1.0" encoding="utf-8"?>
<ds:datastoreItem xmlns:ds="http://schemas.openxmlformats.org/officeDocument/2006/customXml" ds:itemID="{FA614F7F-48A0-4066-9916-F51EFA2EEA50}">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Cover</vt:lpstr>
      <vt:lpstr>TOC</vt:lpstr>
      <vt:lpstr>OUTPUTS --&gt;</vt:lpstr>
      <vt:lpstr>Export|Projects</vt:lpstr>
      <vt:lpstr>Reset RIN</vt:lpstr>
      <vt:lpstr>Gross connection capex (SCS)</vt:lpstr>
      <vt:lpstr>Capital contributions (SCS)</vt:lpstr>
      <vt:lpstr>CALCS --&gt;</vt:lpstr>
      <vt:lpstr>Net connection capex (SCS)</vt:lpstr>
      <vt:lpstr>Cash contributions (SCS)</vt:lpstr>
      <vt:lpstr>CALCS ACS--&gt;</vt:lpstr>
      <vt:lpstr>Net connection capex (ACS)</vt:lpstr>
      <vt:lpstr>INPUTS --&gt;</vt:lpstr>
      <vt:lpstr>Gifted assets</vt:lpstr>
      <vt:lpstr>2.5 Connections</vt:lpstr>
      <vt:lpstr>Lookups</vt:lpstr>
      <vt:lpstr>Checks</vt:lpstr>
      <vt:lpstr>Contribution_Ratio</vt:lpstr>
      <vt:lpstr>Dollars</vt:lpstr>
      <vt:lpstr>End_Period</vt:lpstr>
      <vt:lpstr>Gifted_Include_2224</vt:lpstr>
      <vt:lpstr>Gifted_Include_2429</vt:lpstr>
      <vt:lpstr>Input_Dollar_Basis</vt:lpstr>
      <vt:lpstr>Input_Unit</vt:lpstr>
      <vt:lpstr>LU_DNSP_Mapping</vt:lpstr>
      <vt:lpstr>LU_RIN_Cat</vt:lpstr>
      <vt:lpstr>Mid_Period</vt:lpstr>
      <vt:lpstr>Model_Name</vt:lpstr>
      <vt:lpstr>Nominal</vt:lpstr>
      <vt:lpstr>Output_Dollar_Basis</vt:lpstr>
      <vt:lpstr>Checks!Title_Msg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Power and Water Corporation</dc:creator>
  <cp:lastModifiedBy>Eli Grace-Webb</cp:lastModifiedBy>
  <dcterms:created xsi:type="dcterms:W3CDTF">2017-07-05T05:29:12Z</dcterms:created>
  <dcterms:modified xsi:type="dcterms:W3CDTF">2023-01-28T23:32:18Z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0x010100A213386B98CA9D47B153354AC72DA840</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AuthorIds_UIVersion_7680">
    <vt:lpwstr>13</vt:lpwstr>
  </property>
</Properties>
</file>