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showInkAnnotation="0" codeName="ThisWorkbook"/>
  <mc:AlternateContent xmlns:mc="http://schemas.openxmlformats.org/markup-compatibility/2006">
    <mc:Choice Requires="x15">
      <x15ac:absPath xmlns:x15ac="http://schemas.microsoft.com/office/spreadsheetml/2010/11/ac" url="https://ntgov.sharepoint.com/sites/PWCRegulationPricingandEconomicsEXT/Shared Documents/General/0. Reset RIN/Workbook 1 Forecasts/"/>
    </mc:Choice>
  </mc:AlternateContent>
  <xr:revisionPtr revIDLastSave="14" documentId="8_{4FB5E7A3-6C8D-4459-9767-4053554A28D7}" xr6:coauthVersionLast="47" xr6:coauthVersionMax="47" xr10:uidLastSave="{5564B346-8F65-4854-A4BF-056293E4FAC6}"/>
  <bookViews>
    <workbookView xWindow="-98" yWindow="-98" windowWidth="22695" windowHeight="14476" tabRatio="806" xr2:uid="{00000000-000D-0000-FFFF-FFFF00000000}"/>
  </bookViews>
  <sheets>
    <sheet name="Cover" sheetId="27" r:id="rId1"/>
    <sheet name="TOC" sheetId="28" r:id="rId2"/>
    <sheet name="Input_CPI" sheetId="113" r:id="rId3"/>
    <sheet name="Input_QS" sheetId="151" r:id="rId4"/>
    <sheet name="Input_FB" sheetId="152" r:id="rId5"/>
    <sheet name="WkB_1_CPI_Series" sheetId="144" r:id="rId6"/>
    <sheet name="WkB_1_2.1.1" sheetId="100" r:id="rId7"/>
    <sheet name="WkB_1_2.1.2" sheetId="132" r:id="rId8"/>
    <sheet name="WkB_1_2.1.3" sheetId="133" r:id="rId9"/>
    <sheet name="WkB_1_2.1.4" sheetId="134" r:id="rId10"/>
    <sheet name="WkB_1_2.1.7" sheetId="135" r:id="rId11"/>
    <sheet name="WkB_1_2.1.8" sheetId="101" r:id="rId12"/>
    <sheet name="WkB_1_2.2.1" sheetId="114" r:id="rId13"/>
    <sheet name="WkB_1_2.3.3" sheetId="102" r:id="rId14"/>
    <sheet name="WkB_1_2.3.4" sheetId="136" r:id="rId15"/>
    <sheet name="WkB_1_2.3.5" sheetId="137" r:id="rId16"/>
    <sheet name="WkB_1_2.3.6" sheetId="138" r:id="rId17"/>
    <sheet name="WkB_1_2.5.1" sheetId="145" r:id="rId18"/>
    <sheet name="WkB_1_2.5.2a" sheetId="115" r:id="rId19"/>
    <sheet name="WkB_1_2.5.2b" sheetId="139" r:id="rId20"/>
    <sheet name="WkB_1_2.5.2c" sheetId="140" r:id="rId21"/>
    <sheet name="WkB_1_2.5.3" sheetId="146" r:id="rId22"/>
    <sheet name="WkB_1_2.6.1" sheetId="116" r:id="rId23"/>
    <sheet name="WkB_1_2.6.5" sheetId="125" r:id="rId24"/>
    <sheet name="WkB_1_2.10" sheetId="103" r:id="rId25"/>
    <sheet name="WkB_1_2.11" sheetId="141" r:id="rId26"/>
    <sheet name="WkB_1_2.14" sheetId="104" r:id="rId27"/>
    <sheet name="WkB_1_2.16" sheetId="105" r:id="rId28"/>
    <sheet name="WkB_1_2.17.1" sheetId="106" r:id="rId29"/>
    <sheet name="WkB_1_2.17.2" sheetId="107" r:id="rId30"/>
    <sheet name="WkB_1_2.17.5" sheetId="108" r:id="rId31"/>
    <sheet name="WkB_1_3.1.1" sheetId="109" r:id="rId32"/>
    <sheet name="WkB_1_3.1.2" sheetId="130" r:id="rId33"/>
    <sheet name="WkB_1_3.1.3" sheetId="131" r:id="rId34"/>
    <sheet name="WkB_1_3.2.1" sheetId="120" r:id="rId35"/>
    <sheet name="WkB_1_3.2.2" sheetId="142" r:id="rId36"/>
    <sheet name="WkB_1_3.3" sheetId="117" r:id="rId37"/>
    <sheet name="WkB_1_7.2" sheetId="127" r:id="rId38"/>
    <sheet name="WkB_1_7.4" sheetId="121" r:id="rId39"/>
    <sheet name="WkB_1_7.7.1" sheetId="153" r:id="rId40"/>
    <sheet name="WkB_1_7.7.2" sheetId="154" r:id="rId41"/>
    <sheet name="WkB_1_7.7.3" sheetId="155" r:id="rId42"/>
    <sheet name="WkB_1_7.8.1" sheetId="148" r:id="rId43"/>
    <sheet name="WkB_1_7.8.2" sheetId="149" r:id="rId44"/>
    <sheet name="WkB_1_7.8.3" sheetId="150" r:id="rId45"/>
    <sheet name="WkB_2_7.4" sheetId="147" r:id="rId46"/>
    <sheet name="WkB_5_7.6.1" sheetId="118" r:id="rId47"/>
    <sheet name="WkB_1_Reconciliation" sheetId="129" r:id="rId48"/>
    <sheet name="Lookup" sheetId="4" r:id="rId49"/>
    <sheet name="Checks" sheetId="25" r:id="rId50"/>
  </sheets>
  <externalReferences>
    <externalReference r:id="rId51"/>
  </externalReferences>
  <definedNames>
    <definedName name="_xlnm._FilterDatabase" localSheetId="2" hidden="1">Input_CPI!$C$10:$X$30</definedName>
    <definedName name="Base_Year">Lookup!$E$11</definedName>
    <definedName name="Cash_Timing">Lookup!$D$65:$D$68</definedName>
    <definedName name="Days_In_Wk">Lookup!$D$30</definedName>
    <definedName name="Days_In_Yr">Lookup!$D$31</definedName>
    <definedName name="dms_0707_flag">'[1]7.7 TSS-LRMC'!$F$7</definedName>
    <definedName name="dms_FRCPlength_Num">'[1]AER ETL'!$C$70</definedName>
    <definedName name="Dollars">Lookup!$D$46</definedName>
    <definedName name="End_Period">Lookup!$D$67</definedName>
    <definedName name="Error">Lookup!$D$36</definedName>
    <definedName name="Factor">Lookup!$D$49</definedName>
    <definedName name="GWh">Lookup!$D$51</definedName>
    <definedName name="Half">Lookup!$D$32</definedName>
    <definedName name="Index_Period">Lookup!$J$18:$Y$18</definedName>
    <definedName name="Kilometres">Lookup!$D$53</definedName>
    <definedName name="LU_Basis">Lookup!$D$58:$D$61</definedName>
    <definedName name="LU_Units">Lookup!$D$45:$D$54</definedName>
    <definedName name="Mid_Period">Lookup!$D$66</definedName>
    <definedName name="Million">Lookup!$D$33</definedName>
    <definedName name="Millions">Lookup!$D$47</definedName>
    <definedName name="Model_Name">Cover!$B$3</definedName>
    <definedName name="Model_Start_Date">Lookup!$E$10</definedName>
    <definedName name="Mths_In_Mth">Lookup!$D$26</definedName>
    <definedName name="Mths_In_Qtr">Lookup!$D$27</definedName>
    <definedName name="Mths_In_Yr">Lookup!$D$29</definedName>
    <definedName name="MWh">Lookup!$D$52</definedName>
    <definedName name="NA">Lookup!$D$35</definedName>
    <definedName name="No">Lookup!$D$41</definedName>
    <definedName name="Nominal">Lookup!$D$61</definedName>
    <definedName name="Number">Lookup!$D$50</definedName>
    <definedName name="Ok">Lookup!$D$34</definedName>
    <definedName name="Percent">Lookup!$D$45</definedName>
    <definedName name="Qtrs_In_Yr">Lookup!$D$28</definedName>
    <definedName name="Real2019">Lookup!$D$59</definedName>
    <definedName name="Real2024">Lookup!$D$58</definedName>
    <definedName name="Start_Period">Lookup!$D$65</definedName>
    <definedName name="Thousands">Lookup!$D$48</definedName>
    <definedName name="Timing_Adj">Lookup!$E$65:$E$68</definedName>
    <definedName name="Title_Msg">Checks!$H$10</definedName>
    <definedName name="Yes">Lookup!$D$40</definedName>
    <definedName name="Yes_No">Lookup!$D$40:$D$41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0" l="1"/>
  <c r="B4" i="149"/>
  <c r="B4" i="148"/>
  <c r="B4" i="155"/>
  <c r="B4" i="154"/>
  <c r="B4" i="153"/>
  <c r="B4" i="135"/>
  <c r="B4" i="134"/>
  <c r="B4" i="133"/>
  <c r="B4" i="132"/>
  <c r="B4" i="100"/>
  <c r="B4" i="144"/>
  <c r="B4" i="152"/>
  <c r="H91" i="25"/>
  <c r="H86" i="25"/>
  <c r="H84" i="25"/>
  <c r="H76" i="25"/>
  <c r="H74" i="25"/>
  <c r="H73" i="25"/>
  <c r="H48" i="25"/>
  <c r="H47" i="25"/>
  <c r="H33" i="25"/>
  <c r="H31" i="25"/>
  <c r="D14" i="127" l="1"/>
  <c r="D13" i="127"/>
  <c r="D12" i="127"/>
  <c r="D11" i="127"/>
  <c r="D10" i="127"/>
  <c r="D49" i="28" l="1"/>
  <c r="D48" i="28"/>
  <c r="D47" i="28"/>
  <c r="B2" i="155"/>
  <c r="B2" i="154"/>
  <c r="B2" i="153" l="1"/>
  <c r="H375" i="114" l="1"/>
  <c r="H37" i="105"/>
  <c r="H38" i="105"/>
  <c r="H39" i="105"/>
  <c r="J11" i="113"/>
  <c r="J14" i="139"/>
  <c r="J15" i="139"/>
  <c r="J18" i="139"/>
  <c r="J22" i="139"/>
  <c r="J23" i="139"/>
  <c r="I15" i="139"/>
  <c r="I18" i="139"/>
  <c r="I24" i="140"/>
  <c r="K22" i="140"/>
  <c r="L13" i="140"/>
  <c r="L14" i="139"/>
  <c r="L20" i="139"/>
  <c r="L22" i="139"/>
  <c r="L24" i="140"/>
  <c r="J13" i="140"/>
  <c r="J22" i="140"/>
  <c r="I14" i="139"/>
  <c r="I23" i="139"/>
  <c r="I25" i="139"/>
  <c r="G21" i="140"/>
  <c r="G25" i="139"/>
  <c r="M12" i="139"/>
  <c r="M19" i="140"/>
  <c r="M20" i="139"/>
  <c r="H14" i="139"/>
  <c r="H19" i="139"/>
  <c r="L15" i="139"/>
  <c r="L19" i="139"/>
  <c r="L85" i="115"/>
  <c r="M21" i="139"/>
  <c r="K12" i="139"/>
  <c r="K16" i="139"/>
  <c r="K20" i="139"/>
  <c r="K25" i="139"/>
  <c r="F36" i="149"/>
  <c r="G36" i="149"/>
  <c r="F43" i="138"/>
  <c r="E29" i="137"/>
  <c r="E46" i="102"/>
  <c r="E32" i="137" s="1"/>
  <c r="H44" i="102"/>
  <c r="J42" i="138"/>
  <c r="J29" i="137"/>
  <c r="I42" i="136"/>
  <c r="I43" i="138"/>
  <c r="E46" i="136"/>
  <c r="G29" i="137"/>
  <c r="F46" i="136"/>
  <c r="F15" i="103"/>
  <c r="F32" i="103"/>
  <c r="G15" i="103"/>
  <c r="G32" i="103"/>
  <c r="G26" i="137"/>
  <c r="I15" i="103"/>
  <c r="I32" i="103"/>
  <c r="K15" i="103"/>
  <c r="K32" i="103"/>
  <c r="J15" i="103"/>
  <c r="J32" i="103"/>
  <c r="L15" i="103"/>
  <c r="L32" i="103"/>
  <c r="H15" i="103"/>
  <c r="H32" i="103"/>
  <c r="E74" i="120"/>
  <c r="H76" i="115"/>
  <c r="H81" i="115"/>
  <c r="I76" i="115"/>
  <c r="I80" i="115"/>
  <c r="I87" i="115"/>
  <c r="K82" i="115"/>
  <c r="K87" i="115"/>
  <c r="M74" i="115"/>
  <c r="M82" i="115"/>
  <c r="M83" i="115"/>
  <c r="L76" i="115"/>
  <c r="L77" i="115"/>
  <c r="L81" i="115"/>
  <c r="L84" i="115"/>
  <c r="H48" i="133"/>
  <c r="J76" i="115"/>
  <c r="J77" i="115"/>
  <c r="J80" i="115"/>
  <c r="J84" i="115"/>
  <c r="J85" i="115"/>
  <c r="O61" i="152"/>
  <c r="V123" i="152"/>
  <c r="X126" i="152"/>
  <c r="O50" i="152"/>
  <c r="W129" i="152"/>
  <c r="N62" i="152"/>
  <c r="O66" i="152"/>
  <c r="X151" i="152"/>
  <c r="L169" i="152" s="1"/>
  <c r="O32" i="151"/>
  <c r="P32" i="151" s="1"/>
  <c r="Q32" i="151" s="1"/>
  <c r="R32" i="151" s="1"/>
  <c r="S32" i="151" s="1"/>
  <c r="T32" i="151" s="1"/>
  <c r="O33" i="151"/>
  <c r="P33" i="151" s="1"/>
  <c r="Q33" i="151" s="1"/>
  <c r="R33" i="151" s="1"/>
  <c r="S33" i="151" s="1"/>
  <c r="T33" i="151" s="1"/>
  <c r="Q30" i="151"/>
  <c r="R30" i="151" s="1"/>
  <c r="S30" i="151" s="1"/>
  <c r="T30" i="151" s="1"/>
  <c r="H28" i="133"/>
  <c r="J28" i="133"/>
  <c r="I69" i="103"/>
  <c r="J69" i="103"/>
  <c r="K55" i="103"/>
  <c r="L55" i="103"/>
  <c r="G55" i="103"/>
  <c r="F32" i="133"/>
  <c r="D14" i="120"/>
  <c r="D15" i="120"/>
  <c r="D16" i="120"/>
  <c r="D17" i="120"/>
  <c r="D18" i="120"/>
  <c r="D19" i="120"/>
  <c r="E153" i="114"/>
  <c r="E152" i="114"/>
  <c r="E151" i="114"/>
  <c r="E150" i="114"/>
  <c r="E149" i="114"/>
  <c r="E148" i="114"/>
  <c r="E147" i="114"/>
  <c r="E146" i="114"/>
  <c r="E145" i="114"/>
  <c r="E144" i="114"/>
  <c r="E143" i="114"/>
  <c r="E142" i="114"/>
  <c r="E141" i="114"/>
  <c r="E140" i="114"/>
  <c r="E139" i="114"/>
  <c r="E138" i="114"/>
  <c r="D11" i="121"/>
  <c r="E11" i="121"/>
  <c r="K87" i="145"/>
  <c r="J63" i="145"/>
  <c r="H83" i="145"/>
  <c r="F63" i="145"/>
  <c r="K61" i="145"/>
  <c r="J83" i="145"/>
  <c r="H63" i="145"/>
  <c r="H97" i="145"/>
  <c r="H78" i="145"/>
  <c r="G97" i="145"/>
  <c r="I61" i="145"/>
  <c r="I87" i="145"/>
  <c r="V86" i="152"/>
  <c r="V85" i="152"/>
  <c r="Y122" i="152" s="1"/>
  <c r="Y123" i="152"/>
  <c r="Y124" i="152"/>
  <c r="Y125" i="152"/>
  <c r="Y126" i="152"/>
  <c r="Y127" i="152"/>
  <c r="Y128" i="152"/>
  <c r="Y129" i="152"/>
  <c r="Y130" i="152"/>
  <c r="Y131" i="152"/>
  <c r="Y132" i="152"/>
  <c r="Y133" i="152"/>
  <c r="Y134" i="152"/>
  <c r="Y135" i="152"/>
  <c r="Y136" i="152"/>
  <c r="Y137" i="152"/>
  <c r="Y139" i="152"/>
  <c r="Y140" i="152"/>
  <c r="Y141" i="152"/>
  <c r="Y142" i="152"/>
  <c r="Y143" i="152"/>
  <c r="Y144" i="152"/>
  <c r="Y145" i="152"/>
  <c r="Y146" i="152"/>
  <c r="Y147" i="152"/>
  <c r="Y148" i="152"/>
  <c r="Y149" i="152"/>
  <c r="Y150" i="152"/>
  <c r="Y151" i="152"/>
  <c r="Y152" i="152"/>
  <c r="Y153" i="152"/>
  <c r="D15" i="152"/>
  <c r="D16" i="152"/>
  <c r="D17" i="152"/>
  <c r="D18" i="152"/>
  <c r="D19" i="152"/>
  <c r="D20" i="152"/>
  <c r="D26" i="152"/>
  <c r="D27" i="152"/>
  <c r="D28" i="152"/>
  <c r="D29" i="152"/>
  <c r="D30" i="152"/>
  <c r="D31" i="152"/>
  <c r="Q31" i="151"/>
  <c r="R31" i="151" s="1"/>
  <c r="S31" i="151" s="1"/>
  <c r="T31" i="151" s="1"/>
  <c r="M65" i="151"/>
  <c r="I34" i="125"/>
  <c r="K34" i="125"/>
  <c r="M34" i="125"/>
  <c r="G34" i="125"/>
  <c r="H34" i="125"/>
  <c r="J34" i="125"/>
  <c r="L34" i="125"/>
  <c r="W123" i="152"/>
  <c r="X123" i="152"/>
  <c r="V129" i="152"/>
  <c r="V125" i="152"/>
  <c r="X127" i="152"/>
  <c r="V130" i="152"/>
  <c r="W133" i="152"/>
  <c r="V134" i="152"/>
  <c r="W134" i="152"/>
  <c r="X134" i="152"/>
  <c r="V137" i="152"/>
  <c r="X137" i="152"/>
  <c r="X139" i="152"/>
  <c r="W140" i="152"/>
  <c r="V141" i="152"/>
  <c r="W142" i="152"/>
  <c r="V144" i="152"/>
  <c r="V147" i="152"/>
  <c r="V148" i="152"/>
  <c r="X148" i="152"/>
  <c r="V150" i="152"/>
  <c r="W150" i="152"/>
  <c r="M169" i="152"/>
  <c r="V151" i="152"/>
  <c r="J169" i="152" s="1"/>
  <c r="W151" i="152"/>
  <c r="K169" i="152" s="1"/>
  <c r="M166" i="152"/>
  <c r="D10" i="152"/>
  <c r="D11" i="152"/>
  <c r="H76" i="133"/>
  <c r="H78" i="133"/>
  <c r="V180" i="152"/>
  <c r="V181" i="152"/>
  <c r="V186" i="152"/>
  <c r="V182" i="152"/>
  <c r="V183" i="152"/>
  <c r="V184" i="152"/>
  <c r="V185" i="152"/>
  <c r="V187" i="152"/>
  <c r="V188" i="152"/>
  <c r="V189" i="152"/>
  <c r="V190" i="152"/>
  <c r="V191" i="152"/>
  <c r="V192" i="152"/>
  <c r="V193" i="152"/>
  <c r="V194" i="152"/>
  <c r="V195" i="152"/>
  <c r="V196" i="152"/>
  <c r="V197" i="152"/>
  <c r="V198" i="152"/>
  <c r="V199" i="152"/>
  <c r="V200" i="152"/>
  <c r="V201" i="152"/>
  <c r="V202" i="152"/>
  <c r="V203" i="152"/>
  <c r="V204" i="152"/>
  <c r="V205" i="152"/>
  <c r="V206" i="152"/>
  <c r="V207" i="152"/>
  <c r="V208" i="152"/>
  <c r="V209" i="152"/>
  <c r="V210" i="152"/>
  <c r="D20" i="25"/>
  <c r="D19" i="25"/>
  <c r="D12" i="28"/>
  <c r="D11" i="28"/>
  <c r="O40" i="109"/>
  <c r="N40" i="109"/>
  <c r="O33" i="109"/>
  <c r="N33" i="109"/>
  <c r="H21" i="142"/>
  <c r="H31" i="151"/>
  <c r="G31" i="151"/>
  <c r="F31" i="151"/>
  <c r="E32" i="151"/>
  <c r="E33" i="151"/>
  <c r="E31" i="151"/>
  <c r="D71" i="151"/>
  <c r="C60" i="118"/>
  <c r="C57" i="118"/>
  <c r="K13" i="134"/>
  <c r="J13" i="134"/>
  <c r="I13" i="134"/>
  <c r="H13" i="134"/>
  <c r="G13" i="134"/>
  <c r="F13" i="134"/>
  <c r="E13" i="134"/>
  <c r="K13" i="133"/>
  <c r="J13" i="133"/>
  <c r="I13" i="133"/>
  <c r="H13" i="133"/>
  <c r="G13" i="133"/>
  <c r="F13" i="133"/>
  <c r="F33" i="152"/>
  <c r="G33" i="152"/>
  <c r="H33" i="152"/>
  <c r="F22" i="152"/>
  <c r="G22" i="152"/>
  <c r="H22" i="152"/>
  <c r="H24" i="151"/>
  <c r="G24" i="151"/>
  <c r="F24" i="151"/>
  <c r="H23" i="151"/>
  <c r="G23" i="151"/>
  <c r="F23" i="151"/>
  <c r="H22" i="151"/>
  <c r="G22" i="151"/>
  <c r="F22" i="151"/>
  <c r="F13" i="151"/>
  <c r="G13" i="151"/>
  <c r="H13" i="151"/>
  <c r="F37" i="152"/>
  <c r="G37" i="152"/>
  <c r="H37" i="152"/>
  <c r="F38" i="152"/>
  <c r="G38" i="152"/>
  <c r="H38" i="152"/>
  <c r="F39" i="152"/>
  <c r="G39" i="152"/>
  <c r="H39" i="152"/>
  <c r="F11" i="152"/>
  <c r="G11" i="152"/>
  <c r="H11" i="152"/>
  <c r="F12" i="152"/>
  <c r="G12" i="152"/>
  <c r="H12" i="152"/>
  <c r="H10" i="152"/>
  <c r="G10" i="152"/>
  <c r="F10" i="152"/>
  <c r="H31" i="152"/>
  <c r="G31" i="152"/>
  <c r="F31" i="152"/>
  <c r="H30" i="152"/>
  <c r="G30" i="152"/>
  <c r="F30" i="152"/>
  <c r="H29" i="152"/>
  <c r="G29" i="152"/>
  <c r="F29" i="152"/>
  <c r="H28" i="152"/>
  <c r="G28" i="152"/>
  <c r="F28" i="152"/>
  <c r="H27" i="152"/>
  <c r="G27" i="152"/>
  <c r="F27" i="152"/>
  <c r="H26" i="152"/>
  <c r="G26" i="152"/>
  <c r="F26" i="152"/>
  <c r="H20" i="152"/>
  <c r="G20" i="152"/>
  <c r="F20" i="152"/>
  <c r="H19" i="152"/>
  <c r="G19" i="152"/>
  <c r="F19" i="152"/>
  <c r="H18" i="152"/>
  <c r="G18" i="152"/>
  <c r="F18" i="152"/>
  <c r="H17" i="152"/>
  <c r="G17" i="152"/>
  <c r="F17" i="152"/>
  <c r="H16" i="152"/>
  <c r="G16" i="152"/>
  <c r="F16" i="152"/>
  <c r="H15" i="152"/>
  <c r="G15" i="152"/>
  <c r="F15" i="152"/>
  <c r="D180" i="152"/>
  <c r="D181" i="152"/>
  <c r="D182" i="152"/>
  <c r="D183" i="152"/>
  <c r="D184" i="152"/>
  <c r="D185" i="152"/>
  <c r="D186" i="152"/>
  <c r="D187" i="152"/>
  <c r="D188" i="152"/>
  <c r="D189" i="152"/>
  <c r="D190" i="152"/>
  <c r="D191" i="152"/>
  <c r="D192" i="152"/>
  <c r="D193" i="152"/>
  <c r="D194" i="152"/>
  <c r="D195" i="152"/>
  <c r="D196" i="152"/>
  <c r="D197" i="152"/>
  <c r="D198" i="152"/>
  <c r="D199" i="152"/>
  <c r="D200" i="152"/>
  <c r="D201" i="152"/>
  <c r="D202" i="152"/>
  <c r="D203" i="152"/>
  <c r="D204" i="152"/>
  <c r="D205" i="152"/>
  <c r="D206" i="152"/>
  <c r="D207" i="152"/>
  <c r="D208" i="152"/>
  <c r="D209" i="152"/>
  <c r="D210" i="152"/>
  <c r="D179" i="152"/>
  <c r="H210" i="152"/>
  <c r="G210" i="152"/>
  <c r="F210" i="152"/>
  <c r="H209" i="152"/>
  <c r="G209" i="152"/>
  <c r="F209" i="152"/>
  <c r="H208" i="152"/>
  <c r="G208" i="152"/>
  <c r="F208" i="152"/>
  <c r="H207" i="152"/>
  <c r="G207" i="152"/>
  <c r="F207" i="152"/>
  <c r="H206" i="152"/>
  <c r="G206" i="152"/>
  <c r="F206" i="152"/>
  <c r="H205" i="152"/>
  <c r="G205" i="152"/>
  <c r="F205" i="152"/>
  <c r="H204" i="152"/>
  <c r="G204" i="152"/>
  <c r="F204" i="152"/>
  <c r="H203" i="152"/>
  <c r="G203" i="152"/>
  <c r="F203" i="152"/>
  <c r="H202" i="152"/>
  <c r="G202" i="152"/>
  <c r="F202" i="152"/>
  <c r="H201" i="152"/>
  <c r="G201" i="152"/>
  <c r="F201" i="152"/>
  <c r="H200" i="152"/>
  <c r="G200" i="152"/>
  <c r="F200" i="152"/>
  <c r="H199" i="152"/>
  <c r="G199" i="152"/>
  <c r="F199" i="152"/>
  <c r="H198" i="152"/>
  <c r="G198" i="152"/>
  <c r="F198" i="152"/>
  <c r="H197" i="152"/>
  <c r="G197" i="152"/>
  <c r="F197" i="152"/>
  <c r="H196" i="152"/>
  <c r="G196" i="152"/>
  <c r="F196" i="152"/>
  <c r="H195" i="152"/>
  <c r="G195" i="152"/>
  <c r="F195" i="152"/>
  <c r="H194" i="152"/>
  <c r="G194" i="152"/>
  <c r="F194" i="152"/>
  <c r="H193" i="152"/>
  <c r="G193" i="152"/>
  <c r="F193" i="152"/>
  <c r="H192" i="152"/>
  <c r="G192" i="152"/>
  <c r="F192" i="152"/>
  <c r="H191" i="152"/>
  <c r="G191" i="152"/>
  <c r="F191" i="152"/>
  <c r="H190" i="152"/>
  <c r="G190" i="152"/>
  <c r="F190" i="152"/>
  <c r="H189" i="152"/>
  <c r="G189" i="152"/>
  <c r="F189" i="152"/>
  <c r="H188" i="152"/>
  <c r="G188" i="152"/>
  <c r="F188" i="152"/>
  <c r="H187" i="152"/>
  <c r="G187" i="152"/>
  <c r="F187" i="152"/>
  <c r="H186" i="152"/>
  <c r="G186" i="152"/>
  <c r="F186" i="152"/>
  <c r="H185" i="152"/>
  <c r="G185" i="152"/>
  <c r="F185" i="152"/>
  <c r="H184" i="152"/>
  <c r="G184" i="152"/>
  <c r="F184" i="152"/>
  <c r="H183" i="152"/>
  <c r="G183" i="152"/>
  <c r="F183" i="152"/>
  <c r="H182" i="152"/>
  <c r="G182" i="152"/>
  <c r="F182" i="152"/>
  <c r="H181" i="152"/>
  <c r="G181" i="152"/>
  <c r="F181" i="152"/>
  <c r="H180" i="152"/>
  <c r="G180" i="152"/>
  <c r="F180" i="152"/>
  <c r="E180" i="152"/>
  <c r="E181" i="152"/>
  <c r="E182" i="152"/>
  <c r="E183" i="152"/>
  <c r="E184" i="152"/>
  <c r="E185" i="152"/>
  <c r="E186" i="152"/>
  <c r="E187" i="152"/>
  <c r="E188" i="152"/>
  <c r="E189" i="152"/>
  <c r="E190" i="152"/>
  <c r="E191" i="152"/>
  <c r="E192" i="152"/>
  <c r="E193" i="152"/>
  <c r="E194" i="152"/>
  <c r="E195" i="152"/>
  <c r="E196" i="152"/>
  <c r="E197" i="152"/>
  <c r="E198" i="152"/>
  <c r="E199" i="152"/>
  <c r="E200" i="152"/>
  <c r="E201" i="152"/>
  <c r="E202" i="152"/>
  <c r="E203" i="152"/>
  <c r="E204" i="152"/>
  <c r="E205" i="152"/>
  <c r="E206" i="152"/>
  <c r="E207" i="152"/>
  <c r="E208" i="152"/>
  <c r="E209" i="152"/>
  <c r="E210" i="152"/>
  <c r="H179" i="152"/>
  <c r="G179" i="152"/>
  <c r="F179" i="152"/>
  <c r="H177" i="152"/>
  <c r="G177" i="152"/>
  <c r="F177" i="152"/>
  <c r="E177" i="152"/>
  <c r="D177" i="152"/>
  <c r="Y138" i="152"/>
  <c r="H20" i="151"/>
  <c r="H19" i="151"/>
  <c r="H17" i="151"/>
  <c r="H15" i="151"/>
  <c r="H14" i="151"/>
  <c r="H12" i="151"/>
  <c r="H10" i="151"/>
  <c r="H35" i="152"/>
  <c r="G35" i="152"/>
  <c r="F35" i="152"/>
  <c r="H34" i="152"/>
  <c r="G34" i="152"/>
  <c r="F34" i="152"/>
  <c r="H32" i="152"/>
  <c r="G32" i="152"/>
  <c r="F32" i="152"/>
  <c r="H24" i="152"/>
  <c r="G24" i="152"/>
  <c r="F24" i="152"/>
  <c r="H23" i="152"/>
  <c r="G23" i="152"/>
  <c r="F23" i="152"/>
  <c r="H21" i="152"/>
  <c r="G21" i="152"/>
  <c r="F21" i="152"/>
  <c r="H13" i="152"/>
  <c r="G13" i="152"/>
  <c r="F13" i="152"/>
  <c r="H8" i="152"/>
  <c r="G8" i="152"/>
  <c r="F8" i="152"/>
  <c r="E8" i="152"/>
  <c r="D86" i="152"/>
  <c r="D87" i="152"/>
  <c r="D88" i="152"/>
  <c r="D89" i="152"/>
  <c r="D90" i="152"/>
  <c r="D91" i="152"/>
  <c r="D92" i="152"/>
  <c r="D93" i="152"/>
  <c r="D94" i="152"/>
  <c r="D95" i="152"/>
  <c r="D96" i="152"/>
  <c r="D97" i="152"/>
  <c r="D98" i="152"/>
  <c r="D99" i="152"/>
  <c r="D100" i="152"/>
  <c r="D101" i="152"/>
  <c r="D102" i="152"/>
  <c r="D103" i="152"/>
  <c r="D104" i="152"/>
  <c r="D105" i="152"/>
  <c r="D106" i="152"/>
  <c r="D107" i="152"/>
  <c r="D108" i="152"/>
  <c r="D109" i="152"/>
  <c r="D110" i="152"/>
  <c r="D111" i="152"/>
  <c r="D112" i="152"/>
  <c r="D113" i="152"/>
  <c r="D114" i="152"/>
  <c r="D115" i="152"/>
  <c r="D116" i="152"/>
  <c r="D85" i="152"/>
  <c r="H116" i="152"/>
  <c r="G116" i="152"/>
  <c r="F116" i="152"/>
  <c r="H115" i="152"/>
  <c r="G115" i="152"/>
  <c r="F115" i="152"/>
  <c r="H114" i="152"/>
  <c r="G114" i="152"/>
  <c r="F114" i="152"/>
  <c r="H113" i="152"/>
  <c r="G113" i="152"/>
  <c r="F113" i="152"/>
  <c r="H112" i="152"/>
  <c r="G112" i="152"/>
  <c r="F112" i="152"/>
  <c r="H111" i="152"/>
  <c r="G111" i="152"/>
  <c r="F111" i="152"/>
  <c r="H110" i="152"/>
  <c r="G110" i="152"/>
  <c r="F110" i="152"/>
  <c r="H109" i="152"/>
  <c r="G109" i="152"/>
  <c r="F109" i="152"/>
  <c r="H108" i="152"/>
  <c r="G108" i="152"/>
  <c r="F108" i="152"/>
  <c r="H107" i="152"/>
  <c r="G107" i="152"/>
  <c r="F107" i="152"/>
  <c r="H106" i="152"/>
  <c r="G106" i="152"/>
  <c r="F106" i="152"/>
  <c r="H105" i="152"/>
  <c r="G105" i="152"/>
  <c r="F105" i="152"/>
  <c r="H104" i="152"/>
  <c r="G104" i="152"/>
  <c r="F104" i="152"/>
  <c r="H103" i="152"/>
  <c r="G103" i="152"/>
  <c r="F103" i="152"/>
  <c r="H102" i="152"/>
  <c r="G102" i="152"/>
  <c r="F102" i="152"/>
  <c r="H101" i="152"/>
  <c r="G101" i="152"/>
  <c r="F101" i="152"/>
  <c r="H100" i="152"/>
  <c r="G100" i="152"/>
  <c r="F100" i="152"/>
  <c r="H99" i="152"/>
  <c r="G99" i="152"/>
  <c r="F99" i="152"/>
  <c r="H98" i="152"/>
  <c r="G98" i="152"/>
  <c r="F98" i="152"/>
  <c r="H97" i="152"/>
  <c r="G97" i="152"/>
  <c r="F97" i="152"/>
  <c r="H96" i="152"/>
  <c r="G96" i="152"/>
  <c r="F96" i="152"/>
  <c r="H95" i="152"/>
  <c r="G95" i="152"/>
  <c r="F95" i="152"/>
  <c r="H94" i="152"/>
  <c r="G94" i="152"/>
  <c r="F94" i="152"/>
  <c r="H93" i="152"/>
  <c r="G93" i="152"/>
  <c r="F93" i="152"/>
  <c r="H92" i="152"/>
  <c r="G92" i="152"/>
  <c r="F92" i="152"/>
  <c r="H91" i="152"/>
  <c r="G91" i="152"/>
  <c r="F91" i="152"/>
  <c r="H90" i="152"/>
  <c r="G90" i="152"/>
  <c r="F90" i="152"/>
  <c r="H89" i="152"/>
  <c r="G89" i="152"/>
  <c r="F89" i="152"/>
  <c r="H88" i="152"/>
  <c r="G88" i="152"/>
  <c r="F88" i="152"/>
  <c r="H87" i="152"/>
  <c r="G87" i="152"/>
  <c r="F87" i="152"/>
  <c r="H86" i="152"/>
  <c r="G86" i="152"/>
  <c r="F86" i="152"/>
  <c r="E86" i="152"/>
  <c r="E87" i="152"/>
  <c r="E88" i="152"/>
  <c r="E89" i="152"/>
  <c r="E90" i="152"/>
  <c r="E91" i="152"/>
  <c r="E92" i="152"/>
  <c r="E93" i="152"/>
  <c r="E94" i="152"/>
  <c r="E95" i="152"/>
  <c r="E96" i="152"/>
  <c r="E97" i="152"/>
  <c r="E98" i="152"/>
  <c r="E99" i="152"/>
  <c r="E100" i="152"/>
  <c r="E101" i="152"/>
  <c r="E102" i="152"/>
  <c r="E103" i="152"/>
  <c r="E104" i="152"/>
  <c r="E105" i="152"/>
  <c r="E106" i="152"/>
  <c r="E107" i="152"/>
  <c r="E108" i="152"/>
  <c r="E109" i="152"/>
  <c r="E110" i="152"/>
  <c r="E111" i="152"/>
  <c r="E112" i="152"/>
  <c r="E113" i="152"/>
  <c r="E114" i="152"/>
  <c r="E115" i="152"/>
  <c r="E116" i="152"/>
  <c r="H85" i="152"/>
  <c r="G85" i="152"/>
  <c r="F85" i="152"/>
  <c r="H83" i="152"/>
  <c r="G83" i="152"/>
  <c r="F83" i="152"/>
  <c r="E83" i="152"/>
  <c r="D83" i="152"/>
  <c r="F32" i="151"/>
  <c r="G32" i="151"/>
  <c r="H32" i="151"/>
  <c r="F33" i="151"/>
  <c r="G33" i="151"/>
  <c r="H33" i="151"/>
  <c r="H30" i="151"/>
  <c r="G30" i="151"/>
  <c r="F30" i="151"/>
  <c r="H28" i="151"/>
  <c r="G28" i="151"/>
  <c r="F28" i="151"/>
  <c r="E28" i="151"/>
  <c r="G14" i="151"/>
  <c r="F14" i="151"/>
  <c r="G12" i="151"/>
  <c r="F12" i="151"/>
  <c r="G15" i="151"/>
  <c r="F15" i="151"/>
  <c r="G19" i="151"/>
  <c r="F19" i="151"/>
  <c r="G17" i="151"/>
  <c r="F17" i="151"/>
  <c r="G20" i="151"/>
  <c r="G10" i="151"/>
  <c r="F20" i="151"/>
  <c r="F10" i="151"/>
  <c r="H8" i="151"/>
  <c r="G8" i="151"/>
  <c r="F8" i="151"/>
  <c r="E8" i="151"/>
  <c r="I173" i="152"/>
  <c r="H173" i="152"/>
  <c r="G173" i="152"/>
  <c r="F173" i="152"/>
  <c r="E173" i="152"/>
  <c r="I169" i="152"/>
  <c r="I168" i="152"/>
  <c r="I167" i="152"/>
  <c r="I166" i="152"/>
  <c r="I165" i="152"/>
  <c r="I164" i="152"/>
  <c r="I161" i="152"/>
  <c r="I160" i="152"/>
  <c r="I158" i="152"/>
  <c r="I157" i="152"/>
  <c r="H169" i="152"/>
  <c r="G169" i="152"/>
  <c r="F169" i="152"/>
  <c r="H168" i="152"/>
  <c r="G168" i="152"/>
  <c r="F168" i="152"/>
  <c r="H167" i="152"/>
  <c r="G167" i="152"/>
  <c r="F167" i="152"/>
  <c r="H166" i="152"/>
  <c r="G166" i="152"/>
  <c r="F166" i="152"/>
  <c r="H165" i="152"/>
  <c r="G165" i="152"/>
  <c r="F165" i="152"/>
  <c r="H164" i="152"/>
  <c r="G164" i="152"/>
  <c r="F164" i="152"/>
  <c r="I171" i="152"/>
  <c r="H171" i="152"/>
  <c r="G171" i="152"/>
  <c r="F171" i="152"/>
  <c r="D163" i="152"/>
  <c r="E157" i="152"/>
  <c r="H158" i="152"/>
  <c r="G158" i="152"/>
  <c r="F158" i="152"/>
  <c r="E158" i="152"/>
  <c r="H157" i="152"/>
  <c r="G157" i="152"/>
  <c r="F157" i="152"/>
  <c r="E78" i="152"/>
  <c r="H79" i="152"/>
  <c r="G79" i="152"/>
  <c r="F79" i="152"/>
  <c r="E79" i="152"/>
  <c r="H78" i="152"/>
  <c r="G78" i="152"/>
  <c r="F78" i="152"/>
  <c r="E62" i="151"/>
  <c r="F62" i="151"/>
  <c r="G62" i="151"/>
  <c r="H62" i="151"/>
  <c r="E61" i="151"/>
  <c r="H61" i="151"/>
  <c r="G61" i="151"/>
  <c r="F61" i="151"/>
  <c r="F63" i="152"/>
  <c r="G63" i="152"/>
  <c r="H63" i="152"/>
  <c r="F64" i="152"/>
  <c r="G64" i="152"/>
  <c r="H64" i="152"/>
  <c r="F65" i="152"/>
  <c r="G65" i="152"/>
  <c r="H65" i="152"/>
  <c r="F66" i="152"/>
  <c r="G66" i="152"/>
  <c r="H66" i="152"/>
  <c r="F67" i="152"/>
  <c r="G67" i="152"/>
  <c r="H67" i="152"/>
  <c r="F68" i="152"/>
  <c r="G68" i="152"/>
  <c r="H68" i="152"/>
  <c r="F69" i="152"/>
  <c r="G69" i="152"/>
  <c r="H69" i="152"/>
  <c r="F70" i="152"/>
  <c r="G70" i="152"/>
  <c r="H70" i="152"/>
  <c r="F71" i="152"/>
  <c r="G71" i="152"/>
  <c r="H71" i="152"/>
  <c r="F72" i="152"/>
  <c r="G72" i="152"/>
  <c r="H72" i="152"/>
  <c r="F73" i="152"/>
  <c r="G73" i="152"/>
  <c r="H73" i="152"/>
  <c r="F74" i="152"/>
  <c r="G74" i="152"/>
  <c r="H74" i="152"/>
  <c r="F75" i="152"/>
  <c r="G75" i="152"/>
  <c r="H75" i="152"/>
  <c r="F76" i="152"/>
  <c r="G76" i="152"/>
  <c r="H76" i="152"/>
  <c r="D234" i="152"/>
  <c r="F234" i="152"/>
  <c r="G234" i="152"/>
  <c r="H234" i="152"/>
  <c r="D235" i="152"/>
  <c r="F235" i="152"/>
  <c r="G235" i="152"/>
  <c r="H235" i="152"/>
  <c r="D236" i="152"/>
  <c r="F236" i="152"/>
  <c r="G236" i="152"/>
  <c r="H236" i="152"/>
  <c r="D237" i="152"/>
  <c r="F237" i="152"/>
  <c r="G237" i="152"/>
  <c r="H237" i="152"/>
  <c r="D238" i="152"/>
  <c r="F238" i="152"/>
  <c r="G238" i="152"/>
  <c r="H238" i="152"/>
  <c r="D239" i="152"/>
  <c r="F239" i="152"/>
  <c r="G239" i="152"/>
  <c r="H239" i="152"/>
  <c r="D240" i="152"/>
  <c r="F240" i="152"/>
  <c r="G240" i="152"/>
  <c r="H240" i="152"/>
  <c r="D241" i="152"/>
  <c r="F241" i="152"/>
  <c r="G241" i="152"/>
  <c r="H241" i="152"/>
  <c r="D242" i="152"/>
  <c r="F242" i="152"/>
  <c r="G242" i="152"/>
  <c r="H242" i="152"/>
  <c r="D243" i="152"/>
  <c r="F243" i="152"/>
  <c r="G243" i="152"/>
  <c r="H243" i="152"/>
  <c r="D244" i="152"/>
  <c r="F244" i="152"/>
  <c r="G244" i="152"/>
  <c r="H244" i="152"/>
  <c r="D245" i="152"/>
  <c r="F245" i="152"/>
  <c r="G245" i="152"/>
  <c r="H245" i="152"/>
  <c r="D246" i="152"/>
  <c r="F246" i="152"/>
  <c r="G246" i="152"/>
  <c r="H246" i="152"/>
  <c r="D247" i="152"/>
  <c r="F247" i="152"/>
  <c r="G247" i="152"/>
  <c r="H247" i="152"/>
  <c r="D140" i="152"/>
  <c r="F140" i="152"/>
  <c r="G140" i="152"/>
  <c r="H140" i="152"/>
  <c r="D141" i="152"/>
  <c r="F141" i="152"/>
  <c r="G141" i="152"/>
  <c r="H141" i="152"/>
  <c r="D142" i="152"/>
  <c r="F142" i="152"/>
  <c r="G142" i="152"/>
  <c r="H142" i="152"/>
  <c r="D143" i="152"/>
  <c r="F143" i="152"/>
  <c r="G143" i="152"/>
  <c r="H143" i="152"/>
  <c r="D144" i="152"/>
  <c r="F144" i="152"/>
  <c r="G144" i="152"/>
  <c r="H144" i="152"/>
  <c r="D145" i="152"/>
  <c r="F145" i="152"/>
  <c r="G145" i="152"/>
  <c r="H145" i="152"/>
  <c r="D146" i="152"/>
  <c r="F146" i="152"/>
  <c r="G146" i="152"/>
  <c r="H146" i="152"/>
  <c r="D147" i="152"/>
  <c r="F147" i="152"/>
  <c r="G147" i="152"/>
  <c r="H147" i="152"/>
  <c r="D148" i="152"/>
  <c r="F148" i="152"/>
  <c r="G148" i="152"/>
  <c r="H148" i="152"/>
  <c r="D149" i="152"/>
  <c r="F149" i="152"/>
  <c r="G149" i="152"/>
  <c r="H149" i="152"/>
  <c r="D150" i="152"/>
  <c r="F150" i="152"/>
  <c r="G150" i="152"/>
  <c r="H150" i="152"/>
  <c r="D151" i="152"/>
  <c r="F151" i="152"/>
  <c r="G151" i="152"/>
  <c r="H151" i="152"/>
  <c r="D152" i="152"/>
  <c r="F152" i="152"/>
  <c r="G152" i="152"/>
  <c r="H152" i="152"/>
  <c r="D153" i="152"/>
  <c r="F153" i="152"/>
  <c r="G153" i="152"/>
  <c r="H153" i="152"/>
  <c r="M249" i="152"/>
  <c r="L249" i="152"/>
  <c r="K249" i="152"/>
  <c r="J249" i="152"/>
  <c r="I249" i="152"/>
  <c r="H249" i="152"/>
  <c r="G249" i="152"/>
  <c r="F249" i="152"/>
  <c r="H233" i="152"/>
  <c r="G233" i="152"/>
  <c r="F233" i="152"/>
  <c r="D233" i="152"/>
  <c r="H232" i="152"/>
  <c r="G232" i="152"/>
  <c r="F232" i="152"/>
  <c r="D232" i="152"/>
  <c r="H231" i="152"/>
  <c r="G231" i="152"/>
  <c r="F231" i="152"/>
  <c r="D231" i="152"/>
  <c r="H230" i="152"/>
  <c r="G230" i="152"/>
  <c r="F230" i="152"/>
  <c r="D230" i="152"/>
  <c r="H229" i="152"/>
  <c r="G229" i="152"/>
  <c r="F229" i="152"/>
  <c r="D229" i="152"/>
  <c r="H228" i="152"/>
  <c r="G228" i="152"/>
  <c r="F228" i="152"/>
  <c r="D228" i="152"/>
  <c r="H227" i="152"/>
  <c r="G227" i="152"/>
  <c r="F227" i="152"/>
  <c r="D227" i="152"/>
  <c r="H226" i="152"/>
  <c r="G226" i="152"/>
  <c r="F226" i="152"/>
  <c r="D226" i="152"/>
  <c r="H225" i="152"/>
  <c r="G225" i="152"/>
  <c r="F225" i="152"/>
  <c r="D225" i="152"/>
  <c r="H224" i="152"/>
  <c r="G224" i="152"/>
  <c r="F224" i="152"/>
  <c r="D224" i="152"/>
  <c r="H223" i="152"/>
  <c r="G223" i="152"/>
  <c r="F223" i="152"/>
  <c r="D223" i="152"/>
  <c r="H222" i="152"/>
  <c r="G222" i="152"/>
  <c r="F222" i="152"/>
  <c r="D222" i="152"/>
  <c r="H221" i="152"/>
  <c r="G221" i="152"/>
  <c r="F221" i="152"/>
  <c r="D221" i="152"/>
  <c r="H220" i="152"/>
  <c r="G220" i="152"/>
  <c r="F220" i="152"/>
  <c r="D220" i="152"/>
  <c r="H219" i="152"/>
  <c r="G219" i="152"/>
  <c r="F219" i="152"/>
  <c r="D219" i="152"/>
  <c r="H218" i="152"/>
  <c r="G218" i="152"/>
  <c r="F218" i="152"/>
  <c r="D218" i="152"/>
  <c r="H217" i="152"/>
  <c r="G217" i="152"/>
  <c r="F217" i="152"/>
  <c r="E217" i="152"/>
  <c r="E218" i="152"/>
  <c r="E219" i="152"/>
  <c r="E220" i="152"/>
  <c r="E221" i="152"/>
  <c r="E222" i="152"/>
  <c r="E223" i="152"/>
  <c r="E224" i="152"/>
  <c r="E225" i="152"/>
  <c r="E226" i="152"/>
  <c r="E227" i="152"/>
  <c r="E228" i="152"/>
  <c r="E229" i="152"/>
  <c r="E230" i="152"/>
  <c r="E231" i="152"/>
  <c r="E232" i="152"/>
  <c r="E233" i="152"/>
  <c r="E234" i="152"/>
  <c r="E235" i="152"/>
  <c r="E236" i="152"/>
  <c r="E237" i="152"/>
  <c r="E238" i="152"/>
  <c r="E239" i="152"/>
  <c r="E240" i="152"/>
  <c r="E241" i="152"/>
  <c r="E242" i="152"/>
  <c r="E243" i="152"/>
  <c r="E244" i="152"/>
  <c r="E245" i="152"/>
  <c r="E246" i="152"/>
  <c r="E247" i="152"/>
  <c r="D217" i="152"/>
  <c r="H216" i="152"/>
  <c r="G216" i="152"/>
  <c r="F216" i="152"/>
  <c r="D216" i="152"/>
  <c r="H214" i="152"/>
  <c r="G214" i="152"/>
  <c r="F214" i="152"/>
  <c r="E214" i="152"/>
  <c r="D214" i="152"/>
  <c r="H161" i="152"/>
  <c r="G161" i="152"/>
  <c r="F161" i="152"/>
  <c r="H160" i="152"/>
  <c r="G160" i="152"/>
  <c r="F160" i="152"/>
  <c r="I155" i="152"/>
  <c r="H155" i="152"/>
  <c r="G155" i="152"/>
  <c r="F155" i="152"/>
  <c r="H139" i="152"/>
  <c r="G139" i="152"/>
  <c r="F139" i="152"/>
  <c r="D139" i="152"/>
  <c r="H138" i="152"/>
  <c r="G138" i="152"/>
  <c r="F138" i="152"/>
  <c r="D138" i="152"/>
  <c r="H137" i="152"/>
  <c r="G137" i="152"/>
  <c r="F137" i="152"/>
  <c r="D137" i="152"/>
  <c r="H136" i="152"/>
  <c r="G136" i="152"/>
  <c r="F136" i="152"/>
  <c r="D136" i="152"/>
  <c r="H135" i="152"/>
  <c r="G135" i="152"/>
  <c r="F135" i="152"/>
  <c r="D135" i="152"/>
  <c r="H134" i="152"/>
  <c r="G134" i="152"/>
  <c r="F134" i="152"/>
  <c r="D134" i="152"/>
  <c r="H133" i="152"/>
  <c r="G133" i="152"/>
  <c r="F133" i="152"/>
  <c r="D133" i="152"/>
  <c r="H132" i="152"/>
  <c r="G132" i="152"/>
  <c r="F132" i="152"/>
  <c r="D132" i="152"/>
  <c r="H131" i="152"/>
  <c r="G131" i="152"/>
  <c r="F131" i="152"/>
  <c r="D131" i="152"/>
  <c r="H130" i="152"/>
  <c r="G130" i="152"/>
  <c r="F130" i="152"/>
  <c r="D130" i="152"/>
  <c r="H129" i="152"/>
  <c r="G129" i="152"/>
  <c r="F129" i="152"/>
  <c r="D129" i="152"/>
  <c r="H128" i="152"/>
  <c r="G128" i="152"/>
  <c r="F128" i="152"/>
  <c r="D128" i="152"/>
  <c r="H127" i="152"/>
  <c r="G127" i="152"/>
  <c r="F127" i="152"/>
  <c r="D127" i="152"/>
  <c r="H126" i="152"/>
  <c r="G126" i="152"/>
  <c r="F126" i="152"/>
  <c r="D126" i="152"/>
  <c r="H125" i="152"/>
  <c r="G125" i="152"/>
  <c r="F125" i="152"/>
  <c r="D125" i="152"/>
  <c r="H124" i="152"/>
  <c r="G124" i="152"/>
  <c r="F124" i="152"/>
  <c r="D124" i="152"/>
  <c r="H123" i="152"/>
  <c r="G123" i="152"/>
  <c r="F123" i="152"/>
  <c r="E123" i="152"/>
  <c r="E124" i="152"/>
  <c r="E125" i="152"/>
  <c r="E126" i="152"/>
  <c r="E127" i="152"/>
  <c r="E128" i="152"/>
  <c r="E129" i="152"/>
  <c r="E130" i="152"/>
  <c r="E131" i="152"/>
  <c r="E132" i="152"/>
  <c r="E133" i="152"/>
  <c r="E134" i="152"/>
  <c r="E135" i="152"/>
  <c r="E136" i="152"/>
  <c r="E137" i="152"/>
  <c r="E138" i="152"/>
  <c r="E139" i="152"/>
  <c r="E140" i="152"/>
  <c r="E141" i="152"/>
  <c r="E142" i="152"/>
  <c r="E143" i="152"/>
  <c r="E144" i="152"/>
  <c r="E145" i="152"/>
  <c r="E146" i="152"/>
  <c r="E147" i="152"/>
  <c r="E148" i="152"/>
  <c r="E149" i="152"/>
  <c r="E150" i="152"/>
  <c r="E151" i="152"/>
  <c r="E152" i="152"/>
  <c r="E153" i="152"/>
  <c r="D123" i="152"/>
  <c r="H122" i="152"/>
  <c r="G122" i="152"/>
  <c r="F122" i="152"/>
  <c r="D122" i="152"/>
  <c r="X120" i="152"/>
  <c r="W120" i="152"/>
  <c r="V120" i="152"/>
  <c r="H120" i="152"/>
  <c r="G120" i="152"/>
  <c r="F120" i="152"/>
  <c r="E120" i="152"/>
  <c r="D120" i="152"/>
  <c r="H62" i="152"/>
  <c r="G62" i="152"/>
  <c r="F62" i="152"/>
  <c r="H61" i="152"/>
  <c r="G61" i="152"/>
  <c r="F61" i="152"/>
  <c r="H60" i="152"/>
  <c r="G60" i="152"/>
  <c r="F60" i="152"/>
  <c r="H59" i="152"/>
  <c r="G59" i="152"/>
  <c r="F59" i="152"/>
  <c r="H58" i="152"/>
  <c r="G58" i="152"/>
  <c r="F58" i="152"/>
  <c r="H57" i="152"/>
  <c r="G57" i="152"/>
  <c r="F57" i="152"/>
  <c r="H56" i="152"/>
  <c r="G56" i="152"/>
  <c r="F56" i="152"/>
  <c r="H55" i="152"/>
  <c r="G55" i="152"/>
  <c r="F55" i="152"/>
  <c r="H54" i="152"/>
  <c r="G54" i="152"/>
  <c r="F54" i="152"/>
  <c r="H53" i="152"/>
  <c r="G53" i="152"/>
  <c r="F53" i="152"/>
  <c r="H52" i="152"/>
  <c r="G52" i="152"/>
  <c r="F52" i="152"/>
  <c r="H51" i="152"/>
  <c r="G51" i="152"/>
  <c r="F51" i="152"/>
  <c r="H50" i="152"/>
  <c r="G50" i="152"/>
  <c r="F50" i="152"/>
  <c r="H49" i="152"/>
  <c r="G49" i="152"/>
  <c r="F49" i="152"/>
  <c r="H48" i="152"/>
  <c r="G48" i="152"/>
  <c r="F48" i="152"/>
  <c r="H47" i="152"/>
  <c r="G47" i="152"/>
  <c r="F47" i="152"/>
  <c r="H46" i="152"/>
  <c r="G46" i="152"/>
  <c r="F46" i="152"/>
  <c r="E46" i="152"/>
  <c r="E47" i="152"/>
  <c r="E48" i="152"/>
  <c r="E49" i="152"/>
  <c r="E50" i="152"/>
  <c r="E51" i="152"/>
  <c r="E52" i="152"/>
  <c r="E53" i="152"/>
  <c r="E54" i="152"/>
  <c r="E55" i="152"/>
  <c r="E56" i="152"/>
  <c r="E57" i="152"/>
  <c r="E58" i="152"/>
  <c r="E59" i="152"/>
  <c r="E60" i="152"/>
  <c r="E61" i="152"/>
  <c r="E62" i="152"/>
  <c r="E63" i="152"/>
  <c r="E64" i="152"/>
  <c r="E65" i="152"/>
  <c r="E66" i="152"/>
  <c r="E67" i="152"/>
  <c r="E68" i="152"/>
  <c r="E69" i="152"/>
  <c r="E70" i="152"/>
  <c r="E71" i="152"/>
  <c r="E72" i="152"/>
  <c r="E73" i="152"/>
  <c r="E74" i="152"/>
  <c r="E75" i="152"/>
  <c r="E76" i="152"/>
  <c r="H45" i="152"/>
  <c r="G45" i="152"/>
  <c r="F45" i="152"/>
  <c r="H43" i="152"/>
  <c r="G43" i="152"/>
  <c r="F43" i="152"/>
  <c r="E43" i="152"/>
  <c r="B2" i="152"/>
  <c r="D74" i="151"/>
  <c r="D75" i="151"/>
  <c r="D76" i="151"/>
  <c r="D77" i="151"/>
  <c r="D78" i="151"/>
  <c r="D79" i="151"/>
  <c r="D80" i="151"/>
  <c r="D81" i="151"/>
  <c r="D82" i="151"/>
  <c r="D83" i="151"/>
  <c r="D84" i="151"/>
  <c r="D85" i="151"/>
  <c r="D86" i="151"/>
  <c r="D87" i="151"/>
  <c r="D88" i="151"/>
  <c r="D89" i="151"/>
  <c r="D90" i="151"/>
  <c r="D91" i="151"/>
  <c r="D73" i="151"/>
  <c r="I93" i="151"/>
  <c r="H93" i="151"/>
  <c r="G93" i="151"/>
  <c r="F93" i="151"/>
  <c r="H91" i="151"/>
  <c r="G91" i="151"/>
  <c r="F91" i="151"/>
  <c r="H90" i="151"/>
  <c r="G90" i="151"/>
  <c r="F90" i="151"/>
  <c r="H89" i="151"/>
  <c r="G89" i="151"/>
  <c r="F89" i="151"/>
  <c r="H88" i="151"/>
  <c r="G88" i="151"/>
  <c r="F88" i="151"/>
  <c r="H87" i="151"/>
  <c r="G87" i="151"/>
  <c r="F87" i="151"/>
  <c r="H86" i="151"/>
  <c r="G86" i="151"/>
  <c r="F86" i="151"/>
  <c r="H85" i="151"/>
  <c r="G85" i="151"/>
  <c r="F85" i="151"/>
  <c r="H84" i="151"/>
  <c r="G84" i="151"/>
  <c r="F84" i="151"/>
  <c r="H83" i="151"/>
  <c r="G83" i="151"/>
  <c r="F83" i="151"/>
  <c r="H82" i="151"/>
  <c r="G82" i="151"/>
  <c r="F82" i="151"/>
  <c r="H81" i="151"/>
  <c r="G81" i="151"/>
  <c r="F81" i="151"/>
  <c r="H80" i="151"/>
  <c r="G80" i="151"/>
  <c r="F80" i="151"/>
  <c r="H79" i="151"/>
  <c r="G79" i="151"/>
  <c r="F79" i="151"/>
  <c r="H78" i="151"/>
  <c r="G78" i="151"/>
  <c r="F78" i="151"/>
  <c r="H77" i="151"/>
  <c r="G77" i="151"/>
  <c r="F77" i="151"/>
  <c r="H76" i="151"/>
  <c r="G76" i="151"/>
  <c r="F76" i="151"/>
  <c r="H75" i="151"/>
  <c r="G75" i="151"/>
  <c r="F75" i="151"/>
  <c r="H74" i="151"/>
  <c r="G74" i="151"/>
  <c r="F74" i="151"/>
  <c r="E74" i="151"/>
  <c r="E75" i="151"/>
  <c r="E76" i="151"/>
  <c r="E77" i="151"/>
  <c r="E78" i="151"/>
  <c r="E79" i="151"/>
  <c r="E80" i="151"/>
  <c r="E81" i="151"/>
  <c r="E82" i="151"/>
  <c r="E83" i="151"/>
  <c r="E84" i="151"/>
  <c r="E85" i="151"/>
  <c r="E86" i="151"/>
  <c r="E87" i="151"/>
  <c r="E88" i="151"/>
  <c r="E89" i="151"/>
  <c r="E90" i="151"/>
  <c r="E91" i="151"/>
  <c r="H73" i="151"/>
  <c r="G73" i="151"/>
  <c r="F73" i="151"/>
  <c r="H71" i="151"/>
  <c r="G71" i="151"/>
  <c r="F71" i="151"/>
  <c r="E71" i="151"/>
  <c r="H65" i="151"/>
  <c r="G65" i="151"/>
  <c r="F65" i="151"/>
  <c r="H64" i="151"/>
  <c r="G64" i="151"/>
  <c r="F64" i="151"/>
  <c r="I59" i="151"/>
  <c r="H59" i="151"/>
  <c r="G59" i="151"/>
  <c r="F59" i="151"/>
  <c r="H57" i="151"/>
  <c r="G57" i="151"/>
  <c r="F57" i="151"/>
  <c r="H56" i="151"/>
  <c r="G56" i="151"/>
  <c r="F56" i="151"/>
  <c r="H55" i="151"/>
  <c r="G55" i="151"/>
  <c r="F55" i="151"/>
  <c r="H54" i="151"/>
  <c r="G54" i="151"/>
  <c r="F54" i="151"/>
  <c r="H53" i="151"/>
  <c r="G53" i="151"/>
  <c r="F53" i="151"/>
  <c r="H52" i="151"/>
  <c r="G52" i="151"/>
  <c r="F52" i="151"/>
  <c r="H51" i="151"/>
  <c r="G51" i="151"/>
  <c r="F51" i="151"/>
  <c r="H50" i="151"/>
  <c r="G50" i="151"/>
  <c r="F50" i="151"/>
  <c r="H49" i="151"/>
  <c r="G49" i="151"/>
  <c r="F49" i="151"/>
  <c r="H48" i="151"/>
  <c r="G48" i="151"/>
  <c r="F48" i="151"/>
  <c r="H47" i="151"/>
  <c r="G47" i="151"/>
  <c r="F47" i="151"/>
  <c r="H46" i="151"/>
  <c r="G46" i="151"/>
  <c r="F46" i="151"/>
  <c r="H45" i="151"/>
  <c r="G45" i="151"/>
  <c r="F45" i="151"/>
  <c r="H44" i="151"/>
  <c r="G44" i="151"/>
  <c r="F44" i="151"/>
  <c r="H43" i="151"/>
  <c r="G43" i="151"/>
  <c r="F43" i="151"/>
  <c r="H42" i="151"/>
  <c r="G42" i="151"/>
  <c r="F42" i="151"/>
  <c r="H41" i="151"/>
  <c r="G41" i="151"/>
  <c r="F41" i="151"/>
  <c r="H40" i="151"/>
  <c r="G40" i="151"/>
  <c r="F40" i="151"/>
  <c r="H39" i="151"/>
  <c r="G39" i="151"/>
  <c r="F39" i="151"/>
  <c r="L65" i="151"/>
  <c r="W136" i="152"/>
  <c r="M93" i="151"/>
  <c r="K65" i="151"/>
  <c r="N73" i="152"/>
  <c r="O55" i="152"/>
  <c r="N55" i="152"/>
  <c r="N45" i="152"/>
  <c r="E40" i="151"/>
  <c r="E41" i="151"/>
  <c r="E42" i="151"/>
  <c r="E43" i="151"/>
  <c r="E44" i="151"/>
  <c r="E45" i="151"/>
  <c r="E46" i="151"/>
  <c r="E47" i="151"/>
  <c r="E48" i="151"/>
  <c r="E49" i="151"/>
  <c r="E50" i="151"/>
  <c r="E51" i="151"/>
  <c r="E52" i="151"/>
  <c r="E53" i="151"/>
  <c r="E54" i="151"/>
  <c r="E55" i="151"/>
  <c r="E56" i="151"/>
  <c r="E57" i="151"/>
  <c r="H37" i="151"/>
  <c r="G37" i="151"/>
  <c r="F37" i="151"/>
  <c r="E37" i="151"/>
  <c r="J65" i="151"/>
  <c r="K93" i="151"/>
  <c r="L93" i="151"/>
  <c r="J93" i="151"/>
  <c r="B2" i="151"/>
  <c r="M35" i="115"/>
  <c r="L35" i="115"/>
  <c r="K35" i="115"/>
  <c r="J35" i="115"/>
  <c r="I35" i="115"/>
  <c r="H35" i="115"/>
  <c r="M34" i="115"/>
  <c r="L34" i="115"/>
  <c r="K34" i="115"/>
  <c r="J34" i="115"/>
  <c r="I34" i="115"/>
  <c r="H34" i="115"/>
  <c r="G35" i="115"/>
  <c r="G34" i="115"/>
  <c r="K29" i="115"/>
  <c r="M30" i="140"/>
  <c r="L29" i="115"/>
  <c r="G30" i="140"/>
  <c r="H30" i="140"/>
  <c r="I29" i="115"/>
  <c r="J30" i="140"/>
  <c r="M29" i="115"/>
  <c r="J29" i="115"/>
  <c r="G29" i="115"/>
  <c r="I30" i="140"/>
  <c r="H28" i="115"/>
  <c r="F25" i="100" s="1"/>
  <c r="H29" i="140"/>
  <c r="H31" i="140" s="1"/>
  <c r="I29" i="140"/>
  <c r="J28" i="115"/>
  <c r="H25" i="100" s="1"/>
  <c r="J29" i="140"/>
  <c r="J31" i="140" s="1"/>
  <c r="L29" i="140"/>
  <c r="L28" i="115"/>
  <c r="J25" i="100" s="1"/>
  <c r="M29" i="140"/>
  <c r="M28" i="115"/>
  <c r="K25" i="100" s="1"/>
  <c r="G29" i="140"/>
  <c r="G28" i="115"/>
  <c r="E25" i="100" s="1"/>
  <c r="AS89" i="115"/>
  <c r="AR89" i="115"/>
  <c r="AQ89" i="115"/>
  <c r="AP89" i="115"/>
  <c r="AO89" i="115"/>
  <c r="AN89" i="115"/>
  <c r="AM89" i="115"/>
  <c r="AK89" i="115"/>
  <c r="AJ89" i="115"/>
  <c r="AI89" i="115"/>
  <c r="AF89" i="115"/>
  <c r="AE89" i="115"/>
  <c r="AC89" i="115"/>
  <c r="AB89" i="115"/>
  <c r="AA89" i="115"/>
  <c r="Z89" i="115"/>
  <c r="W89" i="115"/>
  <c r="AS73" i="115"/>
  <c r="AR73" i="115"/>
  <c r="AQ73" i="115"/>
  <c r="AP73" i="115"/>
  <c r="AO73" i="115"/>
  <c r="AN73" i="115"/>
  <c r="AM73" i="115"/>
  <c r="AK73" i="115"/>
  <c r="AJ73" i="115"/>
  <c r="AI73" i="115"/>
  <c r="AH73" i="115"/>
  <c r="AG73" i="115"/>
  <c r="AF73" i="115"/>
  <c r="AE73" i="115"/>
  <c r="AC73" i="115"/>
  <c r="AB73" i="115"/>
  <c r="AA73" i="115"/>
  <c r="Z73" i="115"/>
  <c r="Y73" i="115"/>
  <c r="X73" i="115"/>
  <c r="W73" i="115"/>
  <c r="U73" i="115"/>
  <c r="T73" i="115"/>
  <c r="S73" i="115"/>
  <c r="R73" i="115"/>
  <c r="Q73" i="115"/>
  <c r="P73" i="115"/>
  <c r="O73" i="115"/>
  <c r="AM72" i="115"/>
  <c r="AE72" i="115"/>
  <c r="W72" i="115"/>
  <c r="O72" i="115"/>
  <c r="AC48" i="115"/>
  <c r="AB48" i="115"/>
  <c r="AA48" i="115"/>
  <c r="Z48" i="115"/>
  <c r="Y48" i="115"/>
  <c r="X48" i="115"/>
  <c r="W48" i="115"/>
  <c r="W47" i="115"/>
  <c r="AE47" i="115"/>
  <c r="AM47" i="115"/>
  <c r="AE48" i="115"/>
  <c r="AF48" i="115"/>
  <c r="AG48" i="115"/>
  <c r="AH48" i="115"/>
  <c r="AI48" i="115"/>
  <c r="AJ48" i="115"/>
  <c r="AK48" i="115"/>
  <c r="AM48" i="115"/>
  <c r="AN48" i="115"/>
  <c r="AO48" i="115"/>
  <c r="AP48" i="115"/>
  <c r="AQ48" i="115"/>
  <c r="AR48" i="115"/>
  <c r="AS48" i="115"/>
  <c r="AE64" i="115"/>
  <c r="AF64" i="115"/>
  <c r="AG64" i="115"/>
  <c r="AH64" i="115"/>
  <c r="AI64" i="115"/>
  <c r="AJ64" i="115"/>
  <c r="AK64" i="115"/>
  <c r="AM64" i="115"/>
  <c r="AN64" i="115"/>
  <c r="AO64" i="115"/>
  <c r="AP64" i="115"/>
  <c r="AQ64" i="115"/>
  <c r="AR64" i="115"/>
  <c r="AS64" i="115"/>
  <c r="AC64" i="115"/>
  <c r="AB64" i="115"/>
  <c r="AA64" i="115"/>
  <c r="Z64" i="115"/>
  <c r="Y64" i="115"/>
  <c r="X64" i="115"/>
  <c r="W64" i="115"/>
  <c r="U48" i="115"/>
  <c r="T48" i="115"/>
  <c r="S48" i="115"/>
  <c r="R48" i="115"/>
  <c r="Q48" i="115"/>
  <c r="P48" i="115"/>
  <c r="O48" i="115"/>
  <c r="O47" i="115"/>
  <c r="D78" i="118"/>
  <c r="J75" i="118"/>
  <c r="J74" i="118"/>
  <c r="I74" i="118"/>
  <c r="H74" i="118"/>
  <c r="G74" i="118"/>
  <c r="F74" i="118"/>
  <c r="E74" i="118"/>
  <c r="D74" i="118"/>
  <c r="E11" i="147"/>
  <c r="M38" i="142"/>
  <c r="E38" i="142"/>
  <c r="R179" i="120"/>
  <c r="T179" i="120"/>
  <c r="Q179" i="120"/>
  <c r="Q166" i="120"/>
  <c r="S166" i="120"/>
  <c r="T153" i="120"/>
  <c r="Q153" i="120"/>
  <c r="U153" i="120"/>
  <c r="S153" i="120"/>
  <c r="R153" i="120"/>
  <c r="S140" i="120"/>
  <c r="Q140" i="120"/>
  <c r="U140" i="120"/>
  <c r="R140" i="120"/>
  <c r="D140" i="120"/>
  <c r="S127" i="120"/>
  <c r="Q127" i="120"/>
  <c r="U127" i="120"/>
  <c r="R127" i="120"/>
  <c r="D127" i="120"/>
  <c r="S114" i="120"/>
  <c r="U114" i="120"/>
  <c r="R114" i="120"/>
  <c r="D114" i="120"/>
  <c r="T101" i="120"/>
  <c r="S101" i="120"/>
  <c r="Q101" i="120"/>
  <c r="U101" i="120"/>
  <c r="R101" i="120"/>
  <c r="D101" i="120"/>
  <c r="U88" i="120"/>
  <c r="R88" i="120"/>
  <c r="D88" i="120"/>
  <c r="I54" i="134"/>
  <c r="I55" i="134"/>
  <c r="G56" i="134"/>
  <c r="M65" i="129"/>
  <c r="L65" i="129"/>
  <c r="F65" i="129"/>
  <c r="S179" i="120"/>
  <c r="U166" i="120"/>
  <c r="Q114" i="120"/>
  <c r="D113" i="120"/>
  <c r="D151" i="120"/>
  <c r="D150" i="120"/>
  <c r="D136" i="120"/>
  <c r="D83" i="120"/>
  <c r="D121" i="120"/>
  <c r="D84" i="120"/>
  <c r="D138" i="120"/>
  <c r="D85" i="120"/>
  <c r="D86" i="120"/>
  <c r="D122" i="120"/>
  <c r="D123" i="120"/>
  <c r="D108" i="120"/>
  <c r="D124" i="120"/>
  <c r="D109" i="120"/>
  <c r="D137" i="120"/>
  <c r="D139" i="120"/>
  <c r="D87" i="120"/>
  <c r="D95" i="120"/>
  <c r="D110" i="120"/>
  <c r="D125" i="120"/>
  <c r="D147" i="120"/>
  <c r="D96" i="120"/>
  <c r="D111" i="120"/>
  <c r="D126" i="120"/>
  <c r="D148" i="120"/>
  <c r="D152" i="120"/>
  <c r="D97" i="120"/>
  <c r="D112" i="120"/>
  <c r="D134" i="120"/>
  <c r="D149" i="120"/>
  <c r="D100" i="120"/>
  <c r="D82" i="120"/>
  <c r="D98" i="120"/>
  <c r="D135" i="120"/>
  <c r="D99" i="120"/>
  <c r="A14" i="144"/>
  <c r="O38" i="142"/>
  <c r="N38" i="142"/>
  <c r="D37" i="142"/>
  <c r="D36" i="142"/>
  <c r="D35" i="142"/>
  <c r="D34" i="142"/>
  <c r="D33" i="142"/>
  <c r="D32" i="142"/>
  <c r="G38" i="142"/>
  <c r="F38" i="142"/>
  <c r="F10" i="127"/>
  <c r="D32" i="129"/>
  <c r="D46" i="102"/>
  <c r="D32" i="137"/>
  <c r="D44" i="136"/>
  <c r="D43" i="136"/>
  <c r="D42" i="136"/>
  <c r="D46" i="136"/>
  <c r="L52" i="145"/>
  <c r="L97" i="145"/>
  <c r="L50" i="145"/>
  <c r="L95" i="145"/>
  <c r="L40" i="145"/>
  <c r="L42" i="145"/>
  <c r="L87" i="145"/>
  <c r="L38" i="145"/>
  <c r="L83" i="145"/>
  <c r="L31" i="145"/>
  <c r="L33" i="145"/>
  <c r="L78" i="145"/>
  <c r="L29" i="145"/>
  <c r="L74" i="145"/>
  <c r="L16" i="145"/>
  <c r="L61" i="145"/>
  <c r="L18" i="145"/>
  <c r="L63" i="145"/>
  <c r="L20" i="145"/>
  <c r="L65" i="145"/>
  <c r="M167" i="145"/>
  <c r="M122" i="145"/>
  <c r="D52" i="28"/>
  <c r="D51" i="28"/>
  <c r="D50" i="28"/>
  <c r="K30" i="150"/>
  <c r="J30" i="150"/>
  <c r="I30" i="150"/>
  <c r="H30" i="150"/>
  <c r="L29" i="150"/>
  <c r="K29" i="150"/>
  <c r="J29" i="150"/>
  <c r="I29" i="150"/>
  <c r="H29" i="150"/>
  <c r="L28" i="150"/>
  <c r="K28" i="150"/>
  <c r="I28" i="150"/>
  <c r="H28" i="150"/>
  <c r="G28" i="150"/>
  <c r="B2" i="150"/>
  <c r="A1" i="150"/>
  <c r="H102" i="25" s="1"/>
  <c r="B2" i="149"/>
  <c r="B2" i="148"/>
  <c r="D153" i="120"/>
  <c r="U64" i="120"/>
  <c r="T64" i="120"/>
  <c r="S64" i="120"/>
  <c r="R64" i="120"/>
  <c r="Q64" i="120"/>
  <c r="P64" i="120"/>
  <c r="O64" i="120"/>
  <c r="N64" i="120"/>
  <c r="F74" i="120"/>
  <c r="H127" i="120"/>
  <c r="H114" i="120"/>
  <c r="K153" i="120"/>
  <c r="H101" i="120"/>
  <c r="I140" i="120"/>
  <c r="K140" i="120"/>
  <c r="J153" i="120"/>
  <c r="L153" i="120"/>
  <c r="L88" i="120"/>
  <c r="J140" i="120"/>
  <c r="I114" i="120"/>
  <c r="K114" i="120"/>
  <c r="J127" i="120"/>
  <c r="I101" i="120"/>
  <c r="L114" i="120"/>
  <c r="K127" i="120"/>
  <c r="L101" i="120"/>
  <c r="L140" i="120"/>
  <c r="H140" i="120"/>
  <c r="I153" i="120"/>
  <c r="H88" i="120"/>
  <c r="I88" i="120"/>
  <c r="J88" i="120"/>
  <c r="K88" i="120"/>
  <c r="J101" i="120"/>
  <c r="K101" i="120"/>
  <c r="J114" i="120"/>
  <c r="I127" i="120"/>
  <c r="H153" i="120"/>
  <c r="L127" i="120"/>
  <c r="G66" i="134"/>
  <c r="G67" i="134"/>
  <c r="G68" i="134"/>
  <c r="G70" i="134" s="1"/>
  <c r="I63" i="134"/>
  <c r="I60" i="134"/>
  <c r="I52" i="134"/>
  <c r="I44" i="134"/>
  <c r="I75" i="133"/>
  <c r="H75" i="133"/>
  <c r="I67" i="133"/>
  <c r="H67" i="133"/>
  <c r="F71" i="132"/>
  <c r="E71" i="132"/>
  <c r="F70" i="132"/>
  <c r="E70" i="132"/>
  <c r="F69" i="132"/>
  <c r="F80" i="132" s="1"/>
  <c r="E69" i="132"/>
  <c r="F68" i="132"/>
  <c r="E68" i="132"/>
  <c r="F67" i="132"/>
  <c r="E67" i="132"/>
  <c r="F66" i="132"/>
  <c r="E66" i="132"/>
  <c r="E80" i="132"/>
  <c r="K65" i="132"/>
  <c r="J65" i="132"/>
  <c r="I65" i="132"/>
  <c r="H65" i="132"/>
  <c r="G65" i="132"/>
  <c r="F65" i="132"/>
  <c r="E65" i="132"/>
  <c r="E64" i="132"/>
  <c r="H34" i="132"/>
  <c r="P31" i="130"/>
  <c r="P30" i="130"/>
  <c r="D11" i="147"/>
  <c r="M11" i="147"/>
  <c r="M28" i="147" s="1"/>
  <c r="L11" i="147"/>
  <c r="K11" i="147"/>
  <c r="K28" i="147" s="1"/>
  <c r="J11" i="147"/>
  <c r="J28" i="147" s="1"/>
  <c r="I11" i="147"/>
  <c r="I28" i="147" s="1"/>
  <c r="H11" i="147"/>
  <c r="H28" i="147" s="1"/>
  <c r="G11" i="147"/>
  <c r="F11" i="147"/>
  <c r="D46" i="25"/>
  <c r="D45" i="25"/>
  <c r="D35" i="25"/>
  <c r="D120" i="25"/>
  <c r="D56" i="28"/>
  <c r="C6" i="147"/>
  <c r="B4" i="147"/>
  <c r="B2" i="147"/>
  <c r="H129" i="25"/>
  <c r="D124" i="25"/>
  <c r="D93" i="25"/>
  <c r="D67" i="25"/>
  <c r="D66" i="25"/>
  <c r="D65" i="25"/>
  <c r="D64" i="25"/>
  <c r="D63" i="25"/>
  <c r="D62" i="25"/>
  <c r="D59" i="25"/>
  <c r="D58" i="25"/>
  <c r="D54" i="25"/>
  <c r="D53" i="25"/>
  <c r="D52" i="25"/>
  <c r="D49" i="25"/>
  <c r="D44" i="25"/>
  <c r="D43" i="25"/>
  <c r="D42" i="25"/>
  <c r="D41" i="25"/>
  <c r="D39" i="25"/>
  <c r="D38" i="25"/>
  <c r="D37" i="25"/>
  <c r="D36" i="25"/>
  <c r="D30" i="25"/>
  <c r="D29" i="25"/>
  <c r="D28" i="25"/>
  <c r="D25" i="25"/>
  <c r="D24" i="25"/>
  <c r="D23" i="25"/>
  <c r="D22" i="25"/>
  <c r="D21" i="25"/>
  <c r="D18" i="25"/>
  <c r="D66" i="28"/>
  <c r="D65" i="28"/>
  <c r="D29" i="28"/>
  <c r="D25" i="28"/>
  <c r="B2" i="113"/>
  <c r="B2" i="144"/>
  <c r="B2" i="100"/>
  <c r="B2" i="132"/>
  <c r="B2" i="133"/>
  <c r="B2" i="134"/>
  <c r="B2" i="135"/>
  <c r="B2" i="101"/>
  <c r="B2" i="114"/>
  <c r="B2" i="102"/>
  <c r="B2" i="136"/>
  <c r="B2" i="137"/>
  <c r="B2" i="138"/>
  <c r="B2" i="145"/>
  <c r="B2" i="115"/>
  <c r="B2" i="139"/>
  <c r="B2" i="140"/>
  <c r="B2" i="146"/>
  <c r="B2" i="116"/>
  <c r="B2" i="125"/>
  <c r="B2" i="103"/>
  <c r="B2" i="141"/>
  <c r="B2" i="104"/>
  <c r="B2" i="105"/>
  <c r="B2" i="106"/>
  <c r="B2" i="107"/>
  <c r="B2" i="108"/>
  <c r="B2" i="109"/>
  <c r="B2" i="130"/>
  <c r="B2" i="131"/>
  <c r="B2" i="120"/>
  <c r="B2" i="142"/>
  <c r="B2" i="117"/>
  <c r="B2" i="127"/>
  <c r="B2" i="121"/>
  <c r="B2" i="118"/>
  <c r="B2" i="129"/>
  <c r="B3" i="25"/>
  <c r="I59" i="134"/>
  <c r="H59" i="134"/>
  <c r="I51" i="134"/>
  <c r="H51" i="134"/>
  <c r="C6" i="146"/>
  <c r="B4" i="146"/>
  <c r="B111" i="145"/>
  <c r="B112" i="145"/>
  <c r="B113" i="145"/>
  <c r="B110" i="145"/>
  <c r="B106" i="145"/>
  <c r="B107" i="145"/>
  <c r="B108" i="145"/>
  <c r="B105" i="145"/>
  <c r="C6" i="145"/>
  <c r="B4" i="145"/>
  <c r="D13" i="28"/>
  <c r="E8" i="144"/>
  <c r="W71" i="117"/>
  <c r="Y71" i="117"/>
  <c r="Z65" i="117"/>
  <c r="V65" i="117"/>
  <c r="Y65" i="117"/>
  <c r="U65" i="117"/>
  <c r="Z58" i="117"/>
  <c r="W58" i="117"/>
  <c r="X51" i="117"/>
  <c r="W51" i="117"/>
  <c r="X44" i="117"/>
  <c r="AA44" i="117"/>
  <c r="V37" i="117"/>
  <c r="Y37" i="117"/>
  <c r="U30" i="117"/>
  <c r="X30" i="117"/>
  <c r="AA58" i="117"/>
  <c r="U71" i="117"/>
  <c r="U37" i="117"/>
  <c r="V71" i="117"/>
  <c r="Y30" i="117"/>
  <c r="Z44" i="117"/>
  <c r="V51" i="117"/>
  <c r="U58" i="117"/>
  <c r="U74" i="120"/>
  <c r="T74" i="120"/>
  <c r="S74" i="120"/>
  <c r="R74" i="120"/>
  <c r="Q74" i="120"/>
  <c r="P74" i="120"/>
  <c r="L74" i="120"/>
  <c r="K74" i="120"/>
  <c r="J74" i="120"/>
  <c r="I74" i="120"/>
  <c r="H74" i="120"/>
  <c r="G74" i="120"/>
  <c r="E46" i="118"/>
  <c r="D46" i="118"/>
  <c r="D79" i="118" s="1"/>
  <c r="E45" i="118"/>
  <c r="D45" i="118"/>
  <c r="D67" i="118" s="1"/>
  <c r="K22" i="129"/>
  <c r="J22" i="129"/>
  <c r="I22" i="129"/>
  <c r="H22" i="129"/>
  <c r="G22" i="129"/>
  <c r="F22" i="129"/>
  <c r="E22" i="129"/>
  <c r="J78" i="116"/>
  <c r="J79" i="116"/>
  <c r="F66" i="134"/>
  <c r="D92" i="117"/>
  <c r="D91" i="117"/>
  <c r="D90" i="117"/>
  <c r="D89" i="117"/>
  <c r="D88" i="117"/>
  <c r="D87" i="117"/>
  <c r="D85" i="117"/>
  <c r="D84" i="117"/>
  <c r="D83" i="117"/>
  <c r="D82" i="117"/>
  <c r="D81" i="117"/>
  <c r="D80" i="117"/>
  <c r="D78" i="117"/>
  <c r="D77" i="117"/>
  <c r="D76" i="117"/>
  <c r="D75" i="117"/>
  <c r="D74" i="117"/>
  <c r="D73" i="117"/>
  <c r="D71" i="117"/>
  <c r="D70" i="117"/>
  <c r="D69" i="117"/>
  <c r="D68" i="117"/>
  <c r="D67" i="117"/>
  <c r="D133" i="117"/>
  <c r="D132" i="117"/>
  <c r="D131" i="117"/>
  <c r="D130" i="117"/>
  <c r="D129" i="117"/>
  <c r="D128" i="117"/>
  <c r="D127" i="117"/>
  <c r="D126" i="117"/>
  <c r="D125" i="117"/>
  <c r="AA113" i="117"/>
  <c r="Z113" i="117"/>
  <c r="Y113" i="117"/>
  <c r="X113" i="117"/>
  <c r="W113" i="117"/>
  <c r="V113" i="117"/>
  <c r="U113" i="117"/>
  <c r="AA97" i="117"/>
  <c r="Z97" i="117"/>
  <c r="Y97" i="117"/>
  <c r="X97" i="117"/>
  <c r="W97" i="117"/>
  <c r="V97" i="117"/>
  <c r="U97" i="117"/>
  <c r="U96" i="117"/>
  <c r="AA23" i="117"/>
  <c r="Z23" i="117"/>
  <c r="Y23" i="117"/>
  <c r="X23" i="117"/>
  <c r="W23" i="117"/>
  <c r="V23" i="117"/>
  <c r="U23" i="117"/>
  <c r="U22" i="117"/>
  <c r="AA11" i="117"/>
  <c r="Z11" i="117"/>
  <c r="Y11" i="117"/>
  <c r="X11" i="117"/>
  <c r="W11" i="117"/>
  <c r="V11" i="117"/>
  <c r="U11" i="117"/>
  <c r="U10" i="117"/>
  <c r="S113" i="117"/>
  <c r="R113" i="117"/>
  <c r="Q113" i="117"/>
  <c r="P113" i="117"/>
  <c r="O113" i="117"/>
  <c r="N113" i="117"/>
  <c r="M113" i="117"/>
  <c r="S97" i="117"/>
  <c r="R97" i="117"/>
  <c r="Q97" i="117"/>
  <c r="P97" i="117"/>
  <c r="O97" i="117"/>
  <c r="N97" i="117"/>
  <c r="M97" i="117"/>
  <c r="M96" i="117"/>
  <c r="S23" i="117"/>
  <c r="R23" i="117"/>
  <c r="Q23" i="117"/>
  <c r="P23" i="117"/>
  <c r="O23" i="117"/>
  <c r="N23" i="117"/>
  <c r="M23" i="117"/>
  <c r="M22" i="117"/>
  <c r="S11" i="117"/>
  <c r="R11" i="117"/>
  <c r="Q11" i="117"/>
  <c r="P11" i="117"/>
  <c r="O11" i="117"/>
  <c r="N11" i="117"/>
  <c r="M11" i="117"/>
  <c r="M10" i="117"/>
  <c r="K97" i="117"/>
  <c r="J97" i="117"/>
  <c r="I97" i="117"/>
  <c r="H97" i="117"/>
  <c r="G97" i="117"/>
  <c r="F97" i="117"/>
  <c r="E97" i="117"/>
  <c r="E96" i="117"/>
  <c r="K23" i="117"/>
  <c r="J23" i="117"/>
  <c r="I23" i="117"/>
  <c r="H23" i="117"/>
  <c r="G23" i="117"/>
  <c r="F23" i="117"/>
  <c r="E23" i="117"/>
  <c r="E22" i="117"/>
  <c r="C6" i="142"/>
  <c r="B4" i="142"/>
  <c r="S34" i="131"/>
  <c r="R34" i="131"/>
  <c r="Q34" i="131"/>
  <c r="P34" i="131"/>
  <c r="O34" i="131"/>
  <c r="N34" i="131"/>
  <c r="M34" i="131"/>
  <c r="S28" i="131"/>
  <c r="R28" i="131"/>
  <c r="Q28" i="131"/>
  <c r="P28" i="131"/>
  <c r="O28" i="131"/>
  <c r="N28" i="131"/>
  <c r="M28" i="131"/>
  <c r="S11" i="131"/>
  <c r="R11" i="131"/>
  <c r="Q11" i="131"/>
  <c r="P11" i="131"/>
  <c r="O11" i="131"/>
  <c r="N11" i="131"/>
  <c r="M11" i="131"/>
  <c r="M10" i="131"/>
  <c r="D32" i="131"/>
  <c r="D31" i="131"/>
  <c r="D30" i="131"/>
  <c r="K28" i="131"/>
  <c r="J28" i="131"/>
  <c r="I28" i="131"/>
  <c r="H28" i="131"/>
  <c r="G28" i="131"/>
  <c r="F28" i="131"/>
  <c r="E28" i="131"/>
  <c r="L34" i="130"/>
  <c r="L33" i="130"/>
  <c r="L32" i="130"/>
  <c r="L31" i="130"/>
  <c r="L30" i="130"/>
  <c r="S11" i="130"/>
  <c r="R11" i="130"/>
  <c r="Q11" i="130"/>
  <c r="P11" i="130"/>
  <c r="O11" i="130"/>
  <c r="N11" i="130"/>
  <c r="M11" i="130"/>
  <c r="M10" i="130"/>
  <c r="K11" i="130"/>
  <c r="J11" i="130"/>
  <c r="I11" i="130"/>
  <c r="H11" i="130"/>
  <c r="G11" i="130"/>
  <c r="F11" i="130"/>
  <c r="E11" i="130"/>
  <c r="E10" i="130"/>
  <c r="D43" i="28"/>
  <c r="S11" i="109"/>
  <c r="R11" i="109"/>
  <c r="Q11" i="109"/>
  <c r="P11" i="109"/>
  <c r="O11" i="109"/>
  <c r="N11" i="109"/>
  <c r="M11" i="109"/>
  <c r="M10" i="109"/>
  <c r="K10" i="108"/>
  <c r="J10" i="108"/>
  <c r="I10" i="108"/>
  <c r="H10" i="108"/>
  <c r="G10" i="108"/>
  <c r="F10" i="108"/>
  <c r="E10" i="108"/>
  <c r="E9" i="108"/>
  <c r="K51" i="107"/>
  <c r="J51" i="107"/>
  <c r="I51" i="107"/>
  <c r="H51" i="107"/>
  <c r="G51" i="107"/>
  <c r="F51" i="107"/>
  <c r="E51" i="107"/>
  <c r="K35" i="107"/>
  <c r="J35" i="107"/>
  <c r="I35" i="107"/>
  <c r="H35" i="107"/>
  <c r="G35" i="107"/>
  <c r="F35" i="107"/>
  <c r="E35" i="107"/>
  <c r="K10" i="107"/>
  <c r="J10" i="107"/>
  <c r="I10" i="107"/>
  <c r="H10" i="107"/>
  <c r="G10" i="107"/>
  <c r="F10" i="107"/>
  <c r="E10" i="107"/>
  <c r="E9" i="107"/>
  <c r="G27" i="106"/>
  <c r="F60" i="132"/>
  <c r="F27" i="106"/>
  <c r="E60" i="132"/>
  <c r="E19" i="105"/>
  <c r="D33" i="28"/>
  <c r="C6" i="141"/>
  <c r="B4" i="141"/>
  <c r="L27" i="103"/>
  <c r="K27" i="103"/>
  <c r="J27" i="103"/>
  <c r="I27" i="103"/>
  <c r="H27" i="103"/>
  <c r="G27" i="103"/>
  <c r="F27" i="103"/>
  <c r="F26" i="103"/>
  <c r="C6" i="140"/>
  <c r="B4" i="140"/>
  <c r="C6" i="139"/>
  <c r="B4" i="139"/>
  <c r="J40" i="138"/>
  <c r="D39" i="138"/>
  <c r="D38" i="138"/>
  <c r="D37" i="138"/>
  <c r="D36" i="138"/>
  <c r="D35" i="138"/>
  <c r="D34" i="138"/>
  <c r="D33" i="138"/>
  <c r="D32" i="138"/>
  <c r="D31" i="138"/>
  <c r="K30" i="138"/>
  <c r="J30" i="138"/>
  <c r="I30" i="138"/>
  <c r="H30" i="138"/>
  <c r="G30" i="138"/>
  <c r="F30" i="138"/>
  <c r="E30" i="138"/>
  <c r="D28" i="138"/>
  <c r="K10" i="138"/>
  <c r="J10" i="138"/>
  <c r="I10" i="138"/>
  <c r="H10" i="138"/>
  <c r="G10" i="138"/>
  <c r="F10" i="138"/>
  <c r="E10" i="138"/>
  <c r="E9" i="138"/>
  <c r="C6" i="138"/>
  <c r="B4" i="138"/>
  <c r="F26" i="137"/>
  <c r="D25" i="137"/>
  <c r="D24" i="137"/>
  <c r="K23" i="137"/>
  <c r="J23" i="137"/>
  <c r="I23" i="137"/>
  <c r="H23" i="137"/>
  <c r="G23" i="137"/>
  <c r="F23" i="137"/>
  <c r="E23" i="137"/>
  <c r="D21" i="137"/>
  <c r="K10" i="137"/>
  <c r="J10" i="137"/>
  <c r="I10" i="137"/>
  <c r="H10" i="137"/>
  <c r="G10" i="137"/>
  <c r="F10" i="137"/>
  <c r="E10" i="137"/>
  <c r="E9" i="137"/>
  <c r="C6" i="137"/>
  <c r="B4" i="137"/>
  <c r="D28" i="136"/>
  <c r="D39" i="136"/>
  <c r="D38" i="136"/>
  <c r="D37" i="136"/>
  <c r="D36" i="136"/>
  <c r="D35" i="136"/>
  <c r="D34" i="136"/>
  <c r="D33" i="136"/>
  <c r="D32" i="136"/>
  <c r="D31" i="136"/>
  <c r="K30" i="136"/>
  <c r="J30" i="136"/>
  <c r="I30" i="136"/>
  <c r="H30" i="136"/>
  <c r="G30" i="136"/>
  <c r="F30" i="136"/>
  <c r="E30" i="136"/>
  <c r="K10" i="136"/>
  <c r="J10" i="136"/>
  <c r="I10" i="136"/>
  <c r="H10" i="136"/>
  <c r="G10" i="136"/>
  <c r="F10" i="136"/>
  <c r="E10" i="136"/>
  <c r="E9" i="136"/>
  <c r="C6" i="136"/>
  <c r="B4" i="136"/>
  <c r="K30" i="102"/>
  <c r="J30" i="102"/>
  <c r="I30" i="102"/>
  <c r="H30" i="102"/>
  <c r="G30" i="102"/>
  <c r="F30" i="102"/>
  <c r="E30" i="102"/>
  <c r="D27" i="28"/>
  <c r="D24" i="28"/>
  <c r="D23" i="28"/>
  <c r="D22" i="28"/>
  <c r="D28" i="28"/>
  <c r="F80" i="133"/>
  <c r="E80" i="133"/>
  <c r="H79" i="133"/>
  <c r="H77" i="133"/>
  <c r="F72" i="133"/>
  <c r="E72" i="133"/>
  <c r="H71" i="133"/>
  <c r="H70" i="133"/>
  <c r="H69" i="133"/>
  <c r="H68" i="133"/>
  <c r="G64" i="134"/>
  <c r="G48" i="134"/>
  <c r="E13" i="133"/>
  <c r="D18" i="28"/>
  <c r="D17" i="28"/>
  <c r="D16" i="28"/>
  <c r="H35" i="132"/>
  <c r="D15" i="28"/>
  <c r="K34" i="131"/>
  <c r="J34" i="131"/>
  <c r="I34" i="131"/>
  <c r="G34" i="131"/>
  <c r="H34" i="131"/>
  <c r="D41" i="28"/>
  <c r="D40" i="28"/>
  <c r="F34" i="131"/>
  <c r="D33" i="131"/>
  <c r="E34" i="131"/>
  <c r="D29" i="131"/>
  <c r="K11" i="131"/>
  <c r="J11" i="131"/>
  <c r="I11" i="131"/>
  <c r="H11" i="131"/>
  <c r="G11" i="131"/>
  <c r="F11" i="131"/>
  <c r="E11" i="131"/>
  <c r="E10" i="131"/>
  <c r="C6" i="131"/>
  <c r="B4" i="131"/>
  <c r="L29" i="130"/>
  <c r="C6" i="130"/>
  <c r="B4" i="130"/>
  <c r="D128" i="25"/>
  <c r="D64" i="28"/>
  <c r="D26" i="129"/>
  <c r="D25" i="129"/>
  <c r="D23" i="129"/>
  <c r="K11" i="129"/>
  <c r="J11" i="129"/>
  <c r="I11" i="129"/>
  <c r="H11" i="129"/>
  <c r="G11" i="129"/>
  <c r="F11" i="129"/>
  <c r="E11" i="129"/>
  <c r="D30" i="129"/>
  <c r="D31" i="129"/>
  <c r="D33" i="129"/>
  <c r="D45" i="28"/>
  <c r="G58" i="127"/>
  <c r="H58" i="127" s="1"/>
  <c r="G57" i="127"/>
  <c r="H57" i="127" s="1"/>
  <c r="G56" i="127"/>
  <c r="H56" i="127" s="1"/>
  <c r="G55" i="127"/>
  <c r="H55" i="127" s="1"/>
  <c r="G54" i="127"/>
  <c r="H54" i="127" s="1"/>
  <c r="G53" i="127"/>
  <c r="H53" i="127" s="1"/>
  <c r="G52" i="127"/>
  <c r="H52" i="127" s="1"/>
  <c r="G51" i="127"/>
  <c r="H51" i="127" s="1"/>
  <c r="G50" i="127"/>
  <c r="H50" i="127" s="1"/>
  <c r="G49" i="127"/>
  <c r="H49" i="127" s="1"/>
  <c r="G48" i="127"/>
  <c r="H48" i="127" s="1"/>
  <c r="G47" i="127"/>
  <c r="H47" i="127" s="1"/>
  <c r="G46" i="127"/>
  <c r="H46" i="127" s="1"/>
  <c r="G45" i="127"/>
  <c r="H45" i="127" s="1"/>
  <c r="G44" i="127"/>
  <c r="H44" i="127" s="1"/>
  <c r="G43" i="127"/>
  <c r="H43" i="127"/>
  <c r="G42" i="127"/>
  <c r="H42" i="127" s="1"/>
  <c r="G41" i="127"/>
  <c r="H41" i="127" s="1"/>
  <c r="G40" i="127"/>
  <c r="H40" i="127" s="1"/>
  <c r="H39" i="127"/>
  <c r="C6" i="127"/>
  <c r="B4" i="127"/>
  <c r="D46" i="28"/>
  <c r="D42" i="28"/>
  <c r="D31" i="28"/>
  <c r="C6" i="125"/>
  <c r="B4" i="125"/>
  <c r="C6" i="121"/>
  <c r="B4" i="121"/>
  <c r="C6" i="120"/>
  <c r="B4" i="120"/>
  <c r="M63" i="121"/>
  <c r="M55" i="121"/>
  <c r="M59" i="121"/>
  <c r="M67" i="121"/>
  <c r="M57" i="121"/>
  <c r="M65" i="121"/>
  <c r="M54" i="121"/>
  <c r="M60" i="121"/>
  <c r="M62" i="121"/>
  <c r="M58" i="121"/>
  <c r="M66" i="121"/>
  <c r="M53" i="121"/>
  <c r="M61" i="121"/>
  <c r="M64" i="121"/>
  <c r="M56" i="121"/>
  <c r="D129" i="25"/>
  <c r="D60" i="28"/>
  <c r="D44" i="28"/>
  <c r="D39" i="28"/>
  <c r="D38" i="28"/>
  <c r="D35" i="28"/>
  <c r="D34" i="28"/>
  <c r="D37" i="28"/>
  <c r="D36" i="28"/>
  <c r="D32" i="28"/>
  <c r="D30" i="28"/>
  <c r="D26" i="28"/>
  <c r="D21" i="28"/>
  <c r="D20" i="28"/>
  <c r="D19" i="28"/>
  <c r="D14" i="28"/>
  <c r="D10" i="28"/>
  <c r="C6" i="118"/>
  <c r="B4" i="118"/>
  <c r="K113" i="117"/>
  <c r="J113" i="117"/>
  <c r="I113" i="117"/>
  <c r="H113" i="117"/>
  <c r="G113" i="117"/>
  <c r="F113" i="117"/>
  <c r="E113" i="117"/>
  <c r="D65" i="117"/>
  <c r="D64" i="117"/>
  <c r="D63" i="117"/>
  <c r="D62" i="117"/>
  <c r="D61" i="117"/>
  <c r="D60" i="117"/>
  <c r="D58" i="117"/>
  <c r="D57" i="117"/>
  <c r="D56" i="117"/>
  <c r="D55" i="117"/>
  <c r="D54" i="117"/>
  <c r="D53" i="117"/>
  <c r="D51" i="117"/>
  <c r="D50" i="117"/>
  <c r="D49" i="117"/>
  <c r="D48" i="117"/>
  <c r="D47" i="117"/>
  <c r="D46" i="117"/>
  <c r="D44" i="117"/>
  <c r="D43" i="117"/>
  <c r="D42" i="117"/>
  <c r="D41" i="117"/>
  <c r="D40" i="117"/>
  <c r="D39" i="117"/>
  <c r="D37" i="117"/>
  <c r="D36" i="117"/>
  <c r="D35" i="117"/>
  <c r="D34" i="117"/>
  <c r="D33" i="117"/>
  <c r="D32" i="117"/>
  <c r="D30" i="117"/>
  <c r="D29" i="117"/>
  <c r="D28" i="117"/>
  <c r="D27" i="117"/>
  <c r="D26" i="117"/>
  <c r="D25" i="117"/>
  <c r="K11" i="117"/>
  <c r="J11" i="117"/>
  <c r="I11" i="117"/>
  <c r="H11" i="117"/>
  <c r="G11" i="117"/>
  <c r="F11" i="117"/>
  <c r="E11" i="117"/>
  <c r="E10" i="117"/>
  <c r="C6" i="117"/>
  <c r="B4" i="117"/>
  <c r="C6" i="116"/>
  <c r="B4" i="116"/>
  <c r="C6" i="115"/>
  <c r="B4" i="115"/>
  <c r="C6" i="114"/>
  <c r="B4" i="114"/>
  <c r="N36" i="105"/>
  <c r="M36" i="105"/>
  <c r="L36" i="105"/>
  <c r="K36" i="105"/>
  <c r="J36" i="105"/>
  <c r="I36" i="105"/>
  <c r="H36" i="105"/>
  <c r="G36" i="105"/>
  <c r="F36" i="105"/>
  <c r="E36" i="105"/>
  <c r="N30" i="105"/>
  <c r="M30" i="105"/>
  <c r="L30" i="105"/>
  <c r="K30" i="105"/>
  <c r="J30" i="105"/>
  <c r="I30" i="105"/>
  <c r="H30" i="105"/>
  <c r="G30" i="105"/>
  <c r="F30" i="105"/>
  <c r="E30" i="105"/>
  <c r="I30" i="113" a="1"/>
  <c r="I30" i="113" s="1"/>
  <c r="D30" i="113"/>
  <c r="I29" i="113" a="1"/>
  <c r="I29" i="113" s="1"/>
  <c r="D29" i="113"/>
  <c r="I28" i="113" a="1"/>
  <c r="I28" i="113" s="1"/>
  <c r="D28" i="113"/>
  <c r="I27" i="113" a="1"/>
  <c r="I27" i="113" s="1"/>
  <c r="D27" i="113"/>
  <c r="D26" i="113"/>
  <c r="D25" i="113"/>
  <c r="D24" i="113"/>
  <c r="D23" i="113"/>
  <c r="D22" i="113"/>
  <c r="D21" i="113"/>
  <c r="D20" i="113"/>
  <c r="D19" i="113"/>
  <c r="D18" i="113"/>
  <c r="D17" i="113"/>
  <c r="D16" i="113"/>
  <c r="F10" i="113"/>
  <c r="J9" i="113"/>
  <c r="A1" i="113"/>
  <c r="H18" i="25"/>
  <c r="K9" i="113"/>
  <c r="L9" i="113"/>
  <c r="M9" i="113"/>
  <c r="N9" i="113"/>
  <c r="O9" i="113"/>
  <c r="P9" i="113"/>
  <c r="Q9" i="113"/>
  <c r="R9" i="113"/>
  <c r="S9" i="113"/>
  <c r="K11" i="109"/>
  <c r="J11" i="109"/>
  <c r="I11" i="109"/>
  <c r="H11" i="109"/>
  <c r="G11" i="109"/>
  <c r="F11" i="109"/>
  <c r="E11" i="109"/>
  <c r="E10" i="109"/>
  <c r="C6" i="109"/>
  <c r="B4" i="109"/>
  <c r="C6" i="108"/>
  <c r="B4" i="108"/>
  <c r="C6" i="107"/>
  <c r="B4" i="107"/>
  <c r="G25" i="106"/>
  <c r="F25" i="106"/>
  <c r="L10" i="106"/>
  <c r="K10" i="106"/>
  <c r="J10" i="106"/>
  <c r="I10" i="106"/>
  <c r="H10" i="106"/>
  <c r="G10" i="106"/>
  <c r="F10" i="106"/>
  <c r="F9" i="106"/>
  <c r="C6" i="106"/>
  <c r="B4" i="106"/>
  <c r="C6" i="105"/>
  <c r="B4" i="105"/>
  <c r="K11" i="104"/>
  <c r="J11" i="104"/>
  <c r="I11" i="104"/>
  <c r="H11" i="104"/>
  <c r="G11" i="104"/>
  <c r="F11" i="104"/>
  <c r="E11" i="104"/>
  <c r="E10" i="104"/>
  <c r="D8" i="104"/>
  <c r="C6" i="104"/>
  <c r="B4" i="104"/>
  <c r="L10" i="103"/>
  <c r="K10" i="103"/>
  <c r="J10" i="103"/>
  <c r="I10" i="103"/>
  <c r="H10" i="103"/>
  <c r="G10" i="103"/>
  <c r="F10" i="103"/>
  <c r="F9" i="103"/>
  <c r="C6" i="103"/>
  <c r="B4" i="103"/>
  <c r="C6" i="101"/>
  <c r="B4" i="101"/>
  <c r="B4" i="102"/>
  <c r="C6" i="102"/>
  <c r="K10" i="102"/>
  <c r="J10" i="102"/>
  <c r="I10" i="102"/>
  <c r="H10" i="102"/>
  <c r="G10" i="102"/>
  <c r="F10" i="102"/>
  <c r="E10" i="102"/>
  <c r="E9" i="102"/>
  <c r="K10" i="101"/>
  <c r="J10" i="101"/>
  <c r="I10" i="101"/>
  <c r="H10" i="101"/>
  <c r="G10" i="101"/>
  <c r="F10" i="101"/>
  <c r="E10" i="101"/>
  <c r="E9" i="101"/>
  <c r="K17" i="4"/>
  <c r="L17" i="4" s="1"/>
  <c r="M17" i="4" s="1"/>
  <c r="N17" i="4" s="1"/>
  <c r="O17" i="4" s="1"/>
  <c r="P17" i="4" s="1"/>
  <c r="Q17" i="4" s="1"/>
  <c r="R17" i="4" s="1"/>
  <c r="S17" i="4" s="1"/>
  <c r="T17" i="4" s="1"/>
  <c r="U17" i="4" s="1"/>
  <c r="V17" i="4" s="1"/>
  <c r="W17" i="4" s="1"/>
  <c r="X17" i="4" s="1"/>
  <c r="Y17" i="4" s="1"/>
  <c r="D60" i="4"/>
  <c r="E68" i="4"/>
  <c r="D68" i="4"/>
  <c r="D54" i="4"/>
  <c r="B3" i="4"/>
  <c r="B6" i="28"/>
  <c r="B4" i="28"/>
  <c r="B4" i="25"/>
  <c r="B4" i="4"/>
  <c r="H26" i="107"/>
  <c r="H29" i="107"/>
  <c r="I26" i="107"/>
  <c r="I29" i="107"/>
  <c r="G26" i="107"/>
  <c r="G29" i="107"/>
  <c r="E26" i="107"/>
  <c r="E29" i="107"/>
  <c r="K26" i="107"/>
  <c r="K29" i="107"/>
  <c r="J26" i="107"/>
  <c r="J29" i="107"/>
  <c r="F26" i="107"/>
  <c r="F29" i="107"/>
  <c r="A29" i="107"/>
  <c r="A1" i="107"/>
  <c r="H59" i="25"/>
  <c r="Q27" i="127"/>
  <c r="Q29" i="127"/>
  <c r="Q28" i="127"/>
  <c r="Q26" i="127"/>
  <c r="E21" i="108"/>
  <c r="F21" i="108"/>
  <c r="Q25" i="127"/>
  <c r="Q21" i="127"/>
  <c r="Q17" i="127"/>
  <c r="Q15" i="127"/>
  <c r="Q23" i="127"/>
  <c r="Q24" i="127"/>
  <c r="Q16" i="127"/>
  <c r="Q22" i="127"/>
  <c r="Q18" i="127"/>
  <c r="Q19" i="127"/>
  <c r="Q20" i="127"/>
  <c r="A1" i="118"/>
  <c r="H124" i="25" s="1"/>
  <c r="M23" i="121"/>
  <c r="M18" i="121"/>
  <c r="M16" i="121"/>
  <c r="M21" i="121"/>
  <c r="M15" i="121"/>
  <c r="M20" i="121"/>
  <c r="M25" i="121"/>
  <c r="M24" i="121"/>
  <c r="M12" i="121"/>
  <c r="M14" i="121"/>
  <c r="M13" i="121"/>
  <c r="M17" i="121"/>
  <c r="M19" i="121"/>
  <c r="M22" i="121"/>
  <c r="D67" i="132"/>
  <c r="D68" i="132"/>
  <c r="D69" i="132"/>
  <c r="D70" i="132"/>
  <c r="D71" i="132"/>
  <c r="D66" i="132"/>
  <c r="F19" i="105"/>
  <c r="J21" i="108"/>
  <c r="K21" i="108"/>
  <c r="I21" i="108"/>
  <c r="H21" i="108"/>
  <c r="K28" i="133"/>
  <c r="F42" i="136"/>
  <c r="F42" i="138"/>
  <c r="F28" i="137"/>
  <c r="I28" i="137"/>
  <c r="I42" i="138"/>
  <c r="H42" i="136"/>
  <c r="H28" i="137"/>
  <c r="H42" i="138"/>
  <c r="E42" i="136"/>
  <c r="E42" i="138"/>
  <c r="E28" i="137"/>
  <c r="K42" i="136"/>
  <c r="K28" i="137"/>
  <c r="K42" i="138"/>
  <c r="G42" i="136"/>
  <c r="G28" i="137"/>
  <c r="H180" i="114"/>
  <c r="F15" i="137"/>
  <c r="G15" i="149"/>
  <c r="H58" i="116"/>
  <c r="H90" i="115"/>
  <c r="G90" i="115"/>
  <c r="G180" i="114"/>
  <c r="F15" i="149"/>
  <c r="E22" i="136"/>
  <c r="K180" i="114"/>
  <c r="I22" i="136"/>
  <c r="K90" i="115"/>
  <c r="J15" i="149"/>
  <c r="K58" i="116"/>
  <c r="J15" i="137"/>
  <c r="L90" i="115"/>
  <c r="L58" i="116"/>
  <c r="L180" i="114"/>
  <c r="K15" i="149"/>
  <c r="I15" i="149"/>
  <c r="J58" i="116"/>
  <c r="J180" i="114"/>
  <c r="H22" i="136"/>
  <c r="M58" i="116"/>
  <c r="M90" i="115"/>
  <c r="L15" i="149"/>
  <c r="M180" i="114"/>
  <c r="H15" i="149"/>
  <c r="I180" i="114"/>
  <c r="G15" i="137"/>
  <c r="I58" i="116"/>
  <c r="I90" i="115"/>
  <c r="F29" i="137"/>
  <c r="F43" i="136"/>
  <c r="E43" i="136"/>
  <c r="E43" i="138"/>
  <c r="J22" i="136"/>
  <c r="H43" i="138"/>
  <c r="I29" i="137"/>
  <c r="K43" i="138"/>
  <c r="K29" i="137"/>
  <c r="K43" i="136"/>
  <c r="J43" i="138"/>
  <c r="F21" i="103"/>
  <c r="F20" i="135"/>
  <c r="E20" i="135"/>
  <c r="K38" i="103"/>
  <c r="I38" i="103"/>
  <c r="I21" i="103"/>
  <c r="H19" i="101"/>
  <c r="H38" i="103"/>
  <c r="L21" i="103"/>
  <c r="J20" i="135"/>
  <c r="H20" i="135"/>
  <c r="G20" i="135"/>
  <c r="K20" i="135"/>
  <c r="H42" i="105"/>
  <c r="I20" i="135"/>
  <c r="I42" i="105"/>
  <c r="J42" i="105"/>
  <c r="K42" i="105"/>
  <c r="M42" i="105"/>
  <c r="L42" i="105"/>
  <c r="G21" i="142"/>
  <c r="N42" i="105"/>
  <c r="J21" i="142"/>
  <c r="I21" i="142"/>
  <c r="K21" i="142"/>
  <c r="I16" i="113" a="1"/>
  <c r="I16" i="113" s="1"/>
  <c r="J28" i="113" a="1"/>
  <c r="J28" i="113" s="1"/>
  <c r="A1" i="144"/>
  <c r="H21" i="25"/>
  <c r="K15" i="4" l="1"/>
  <c r="J16" i="4" s="1"/>
  <c r="J15" i="4" s="1"/>
  <c r="D70" i="118"/>
  <c r="D76" i="118"/>
  <c r="K26" i="137"/>
  <c r="G30" i="150"/>
  <c r="M17" i="139"/>
  <c r="M79" i="115"/>
  <c r="M13" i="139"/>
  <c r="M75" i="115"/>
  <c r="H23" i="139"/>
  <c r="H85" i="115"/>
  <c r="G17" i="139"/>
  <c r="G79" i="115"/>
  <c r="G13" i="139"/>
  <c r="G75" i="115"/>
  <c r="K18" i="139"/>
  <c r="K80" i="115"/>
  <c r="L12" i="139"/>
  <c r="J61" i="145" s="1"/>
  <c r="L74" i="115"/>
  <c r="I22" i="139"/>
  <c r="I84" i="115"/>
  <c r="G15" i="139"/>
  <c r="G77" i="115"/>
  <c r="N50" i="152"/>
  <c r="M25" i="140"/>
  <c r="G25" i="140"/>
  <c r="H62" i="133"/>
  <c r="M35" i="130"/>
  <c r="O71" i="152"/>
  <c r="N65" i="152"/>
  <c r="O58" i="152"/>
  <c r="L15" i="140"/>
  <c r="K25" i="140"/>
  <c r="K17" i="140"/>
  <c r="K13" i="140"/>
  <c r="N38" i="109"/>
  <c r="V140" i="152"/>
  <c r="V127" i="152"/>
  <c r="V124" i="152"/>
  <c r="J30" i="133"/>
  <c r="N53" i="152"/>
  <c r="H44" i="134"/>
  <c r="W147" i="152"/>
  <c r="X142" i="152"/>
  <c r="X135" i="152"/>
  <c r="V132" i="152"/>
  <c r="L144" i="145"/>
  <c r="L167" i="145"/>
  <c r="L199" i="145"/>
  <c r="N66" i="152"/>
  <c r="N64" i="152"/>
  <c r="L135" i="145"/>
  <c r="M24" i="140"/>
  <c r="L373" i="114"/>
  <c r="E17" i="101"/>
  <c r="H29" i="137"/>
  <c r="K78" i="115"/>
  <c r="M22" i="140"/>
  <c r="M14" i="140"/>
  <c r="H12" i="140"/>
  <c r="G21" i="103"/>
  <c r="F19" i="101"/>
  <c r="H17" i="101"/>
  <c r="L38" i="103"/>
  <c r="G48" i="133"/>
  <c r="J87" i="145"/>
  <c r="K14" i="139"/>
  <c r="K76" i="115"/>
  <c r="I12" i="139"/>
  <c r="I74" i="115"/>
  <c r="G83" i="145"/>
  <c r="K19" i="139"/>
  <c r="K81" i="115"/>
  <c r="I17" i="139"/>
  <c r="I79" i="115"/>
  <c r="O65" i="152"/>
  <c r="J23" i="108"/>
  <c r="E31" i="133"/>
  <c r="N47" i="152"/>
  <c r="N61" i="152"/>
  <c r="O59" i="152"/>
  <c r="N58" i="152"/>
  <c r="E25" i="141"/>
  <c r="J77" i="116"/>
  <c r="I80" i="116"/>
  <c r="G80" i="116"/>
  <c r="F18" i="135"/>
  <c r="G20" i="140"/>
  <c r="N63" i="152"/>
  <c r="K65" i="145"/>
  <c r="E78" i="145"/>
  <c r="N71" i="152"/>
  <c r="W130" i="152"/>
  <c r="E25" i="104"/>
  <c r="E14" i="104"/>
  <c r="N69" i="152"/>
  <c r="J44" i="102"/>
  <c r="J30" i="137" s="1"/>
  <c r="F97" i="145"/>
  <c r="E65" i="145"/>
  <c r="J23" i="140"/>
  <c r="J15" i="140"/>
  <c r="L19" i="140"/>
  <c r="J19" i="101"/>
  <c r="E64" i="133"/>
  <c r="W148" i="152"/>
  <c r="V142" i="152"/>
  <c r="L180" i="145"/>
  <c r="F14" i="104"/>
  <c r="O73" i="152"/>
  <c r="N67" i="152"/>
  <c r="N54" i="152"/>
  <c r="L23" i="139"/>
  <c r="F74" i="145"/>
  <c r="G78" i="145"/>
  <c r="O51" i="152"/>
  <c r="K21" i="103"/>
  <c r="E23" i="108"/>
  <c r="O64" i="152"/>
  <c r="O57" i="152"/>
  <c r="O45" i="152"/>
  <c r="I25" i="141"/>
  <c r="G25" i="141"/>
  <c r="G21" i="108"/>
  <c r="K69" i="132"/>
  <c r="I69" i="132"/>
  <c r="G68" i="132"/>
  <c r="H80" i="116"/>
  <c r="I17" i="101"/>
  <c r="H18" i="135"/>
  <c r="F17" i="101"/>
  <c r="E18" i="135"/>
  <c r="G17" i="101"/>
  <c r="M31" i="140"/>
  <c r="V122" i="152"/>
  <c r="O42" i="109"/>
  <c r="X141" i="152"/>
  <c r="M167" i="152"/>
  <c r="X128" i="152"/>
  <c r="F23" i="108"/>
  <c r="G23" i="108"/>
  <c r="K25" i="141"/>
  <c r="G18" i="135"/>
  <c r="J20" i="140"/>
  <c r="J12" i="140"/>
  <c r="I14" i="140"/>
  <c r="I23" i="108"/>
  <c r="M59" i="151"/>
  <c r="L122" i="145"/>
  <c r="H21" i="100"/>
  <c r="H30" i="141" s="1"/>
  <c r="K17" i="101"/>
  <c r="I18" i="135"/>
  <c r="H33" i="132"/>
  <c r="O35" i="130"/>
  <c r="Q34" i="130" s="1"/>
  <c r="X152" i="152"/>
  <c r="X149" i="152"/>
  <c r="V143" i="152"/>
  <c r="W141" i="152"/>
  <c r="X132" i="152"/>
  <c r="W128" i="152"/>
  <c r="X129" i="152"/>
  <c r="L123" i="145"/>
  <c r="L189" i="145"/>
  <c r="L154" i="145"/>
  <c r="H23" i="108"/>
  <c r="O74" i="152"/>
  <c r="O62" i="152"/>
  <c r="O53" i="152"/>
  <c r="K74" i="115"/>
  <c r="K18" i="135"/>
  <c r="J74" i="145"/>
  <c r="G63" i="145"/>
  <c r="J78" i="145"/>
  <c r="J18" i="140"/>
  <c r="G29" i="150"/>
  <c r="H25" i="139"/>
  <c r="H87" i="115"/>
  <c r="H17" i="139"/>
  <c r="H79" i="115"/>
  <c r="G23" i="139"/>
  <c r="G85" i="115"/>
  <c r="L16" i="139"/>
  <c r="L78" i="115"/>
  <c r="I82" i="115"/>
  <c r="I20" i="139"/>
  <c r="H20" i="139"/>
  <c r="H82" i="115"/>
  <c r="K21" i="139"/>
  <c r="K83" i="115"/>
  <c r="I19" i="139"/>
  <c r="I81" i="115"/>
  <c r="L18" i="139"/>
  <c r="L80" i="115"/>
  <c r="I28" i="146"/>
  <c r="X144" i="152"/>
  <c r="L160" i="145"/>
  <c r="H25" i="141"/>
  <c r="J18" i="135"/>
  <c r="G43" i="138"/>
  <c r="I43" i="136"/>
  <c r="E38" i="132"/>
  <c r="H45" i="134"/>
  <c r="I31" i="140"/>
  <c r="G39" i="140"/>
  <c r="G41" i="140" s="1"/>
  <c r="V152" i="152"/>
  <c r="V146" i="152"/>
  <c r="W131" i="152"/>
  <c r="N57" i="152"/>
  <c r="O54" i="152"/>
  <c r="O63" i="152"/>
  <c r="X122" i="152"/>
  <c r="W122" i="152"/>
  <c r="V131" i="152"/>
  <c r="J164" i="152" s="1"/>
  <c r="V126" i="152"/>
  <c r="G15" i="140"/>
  <c r="L23" i="140"/>
  <c r="I85" i="115"/>
  <c r="I19" i="140"/>
  <c r="I28" i="115"/>
  <c r="G25" i="100" s="1"/>
  <c r="J70" i="116"/>
  <c r="J38" i="103"/>
  <c r="G43" i="136"/>
  <c r="J25" i="104"/>
  <c r="N51" i="152"/>
  <c r="E19" i="101"/>
  <c r="F28" i="133"/>
  <c r="F30" i="133" s="1"/>
  <c r="Q73" i="152"/>
  <c r="I36" i="149"/>
  <c r="H37" i="132"/>
  <c r="H31" i="132"/>
  <c r="G49" i="146"/>
  <c r="V136" i="152"/>
  <c r="X136" i="152"/>
  <c r="M62" i="151"/>
  <c r="W149" i="152"/>
  <c r="W145" i="152"/>
  <c r="X143" i="152"/>
  <c r="W138" i="152"/>
  <c r="V135" i="152"/>
  <c r="V133" i="152"/>
  <c r="V128" i="152"/>
  <c r="X124" i="152"/>
  <c r="E28" i="133"/>
  <c r="E30" i="133" s="1"/>
  <c r="E32" i="133"/>
  <c r="I48" i="133"/>
  <c r="J49" i="146"/>
  <c r="I25" i="104"/>
  <c r="H32" i="132"/>
  <c r="H63" i="133"/>
  <c r="N59" i="152"/>
  <c r="O47" i="152"/>
  <c r="O43" i="109"/>
  <c r="W126" i="152"/>
  <c r="X138" i="152"/>
  <c r="J17" i="101"/>
  <c r="I19" i="101"/>
  <c r="F38" i="103"/>
  <c r="H15" i="137"/>
  <c r="J21" i="103"/>
  <c r="E15" i="137"/>
  <c r="J42" i="136"/>
  <c r="V149" i="152"/>
  <c r="X147" i="152"/>
  <c r="V145" i="152"/>
  <c r="V138" i="152"/>
  <c r="X130" i="152"/>
  <c r="M165" i="152"/>
  <c r="W125" i="152"/>
  <c r="W124" i="152"/>
  <c r="H31" i="133"/>
  <c r="O49" i="152"/>
  <c r="F25" i="141"/>
  <c r="J76" i="116"/>
  <c r="G18" i="140"/>
  <c r="G14" i="140"/>
  <c r="I15" i="140"/>
  <c r="M21" i="140"/>
  <c r="M17" i="140"/>
  <c r="H23" i="140"/>
  <c r="H19" i="140"/>
  <c r="H15" i="140"/>
  <c r="J25" i="140"/>
  <c r="L30" i="140"/>
  <c r="L31" i="140" s="1"/>
  <c r="H29" i="115"/>
  <c r="G17" i="140"/>
  <c r="G13" i="140"/>
  <c r="J24" i="140"/>
  <c r="J17" i="140"/>
  <c r="L21" i="140"/>
  <c r="M164" i="152"/>
  <c r="G373" i="114"/>
  <c r="G119" i="114" s="1"/>
  <c r="F48" i="134"/>
  <c r="H61" i="133"/>
  <c r="O67" i="152"/>
  <c r="W144" i="152"/>
  <c r="J48" i="133"/>
  <c r="J25" i="141"/>
  <c r="G44" i="102"/>
  <c r="G44" i="136" s="1"/>
  <c r="J16" i="140"/>
  <c r="I25" i="140"/>
  <c r="M79" i="152"/>
  <c r="W152" i="152"/>
  <c r="M168" i="152"/>
  <c r="M171" i="152" s="1"/>
  <c r="X131" i="152"/>
  <c r="K14" i="140"/>
  <c r="K17" i="139"/>
  <c r="AG89" i="115"/>
  <c r="S195" i="120"/>
  <c r="S198" i="120" s="1"/>
  <c r="R195" i="120"/>
  <c r="R198" i="120" s="1"/>
  <c r="I28" i="133"/>
  <c r="I30" i="133" s="1"/>
  <c r="O195" i="120"/>
  <c r="O198" i="120" s="1"/>
  <c r="H30" i="133"/>
  <c r="K30" i="133"/>
  <c r="G28" i="133"/>
  <c r="G30" i="133" s="1"/>
  <c r="J18" i="4"/>
  <c r="J57" i="116"/>
  <c r="J27" i="150"/>
  <c r="G57" i="116"/>
  <c r="J28" i="150"/>
  <c r="J26" i="137"/>
  <c r="L57" i="116"/>
  <c r="K57" i="116"/>
  <c r="M18" i="139"/>
  <c r="M80" i="115"/>
  <c r="M25" i="139"/>
  <c r="M87" i="115"/>
  <c r="K24" i="139"/>
  <c r="K86" i="115"/>
  <c r="J24" i="139"/>
  <c r="J86" i="115"/>
  <c r="M16" i="139"/>
  <c r="M78" i="115"/>
  <c r="H22" i="139"/>
  <c r="H84" i="115"/>
  <c r="J21" i="139"/>
  <c r="J83" i="115"/>
  <c r="G12" i="139"/>
  <c r="G74" i="115"/>
  <c r="J20" i="139"/>
  <c r="J82" i="115"/>
  <c r="J12" i="139"/>
  <c r="J74" i="115"/>
  <c r="I23" i="140"/>
  <c r="I12" i="140"/>
  <c r="I15" i="137"/>
  <c r="H21" i="103"/>
  <c r="G19" i="101"/>
  <c r="J43" i="136"/>
  <c r="G22" i="136"/>
  <c r="J90" i="115"/>
  <c r="J28" i="137"/>
  <c r="X89" i="115"/>
  <c r="K28" i="115"/>
  <c r="I25" i="100" s="1"/>
  <c r="I77" i="115"/>
  <c r="E44" i="102"/>
  <c r="E15" i="102" s="1"/>
  <c r="I95" i="145"/>
  <c r="H18" i="140"/>
  <c r="F48" i="133"/>
  <c r="K19" i="101"/>
  <c r="G38" i="103"/>
  <c r="H43" i="136"/>
  <c r="G42" i="138"/>
  <c r="G25" i="104"/>
  <c r="Y89" i="115"/>
  <c r="AH89" i="115"/>
  <c r="K29" i="140"/>
  <c r="K30" i="140"/>
  <c r="G87" i="115"/>
  <c r="L82" i="115"/>
  <c r="L70" i="103"/>
  <c r="H20" i="140"/>
  <c r="H17" i="140"/>
  <c r="J21" i="140"/>
  <c r="J14" i="140"/>
  <c r="L16" i="140"/>
  <c r="K70" i="103"/>
  <c r="E46" i="138"/>
  <c r="J36" i="149"/>
  <c r="K373" i="114"/>
  <c r="E48" i="133"/>
  <c r="M13" i="140"/>
  <c r="H16" i="140"/>
  <c r="K18" i="140"/>
  <c r="G31" i="140"/>
  <c r="K21" i="140"/>
  <c r="I20" i="140"/>
  <c r="I40" i="136"/>
  <c r="I40" i="102"/>
  <c r="I54" i="103"/>
  <c r="H26" i="137"/>
  <c r="I26" i="137"/>
  <c r="H25" i="106"/>
  <c r="L28" i="146"/>
  <c r="J69" i="132"/>
  <c r="H70" i="132"/>
  <c r="G71" i="132"/>
  <c r="J66" i="132"/>
  <c r="K40" i="136"/>
  <c r="J40" i="136"/>
  <c r="H40" i="136"/>
  <c r="G40" i="136"/>
  <c r="G40" i="102"/>
  <c r="E40" i="136"/>
  <c r="K40" i="102"/>
  <c r="J40" i="102"/>
  <c r="H40" i="102"/>
  <c r="E26" i="137"/>
  <c r="E40" i="138"/>
  <c r="L27" i="106"/>
  <c r="K60" i="132" s="1"/>
  <c r="K54" i="120" s="1"/>
  <c r="K16" i="120" s="1"/>
  <c r="K27" i="106"/>
  <c r="J60" i="132" s="1"/>
  <c r="J54" i="120" s="1"/>
  <c r="J18" i="120" s="1"/>
  <c r="H69" i="132"/>
  <c r="G70" i="132"/>
  <c r="K40" i="138"/>
  <c r="G40" i="138"/>
  <c r="H40" i="138"/>
  <c r="I40" i="138"/>
  <c r="E40" i="102"/>
  <c r="L27" i="150"/>
  <c r="I27" i="150"/>
  <c r="K27" i="150"/>
  <c r="H27" i="150"/>
  <c r="K68" i="132"/>
  <c r="J27" i="106"/>
  <c r="I60" i="132" s="1"/>
  <c r="I54" i="120" s="1"/>
  <c r="G69" i="132"/>
  <c r="J70" i="132"/>
  <c r="I70" i="132"/>
  <c r="H71" i="132"/>
  <c r="G66" i="132"/>
  <c r="H27" i="106"/>
  <c r="G60" i="132" s="1"/>
  <c r="G54" i="120" s="1"/>
  <c r="L30" i="150"/>
  <c r="L70" i="146"/>
  <c r="K23" i="108"/>
  <c r="K67" i="132"/>
  <c r="J71" i="132"/>
  <c r="I68" i="132"/>
  <c r="I27" i="106"/>
  <c r="H60" i="132" s="1"/>
  <c r="H54" i="120" s="1"/>
  <c r="H15" i="120" s="1"/>
  <c r="I71" i="132"/>
  <c r="F28" i="146"/>
  <c r="F40" i="136"/>
  <c r="F40" i="138"/>
  <c r="K66" i="132"/>
  <c r="J68" i="132"/>
  <c r="I67" i="132"/>
  <c r="H68" i="132"/>
  <c r="K70" i="132"/>
  <c r="H66" i="132"/>
  <c r="G67" i="132"/>
  <c r="G27" i="150"/>
  <c r="F40" i="102"/>
  <c r="K71" i="132"/>
  <c r="J67" i="132"/>
  <c r="I66" i="132"/>
  <c r="H67" i="132"/>
  <c r="I56" i="134"/>
  <c r="I48" i="134"/>
  <c r="O75" i="152"/>
  <c r="N75" i="152"/>
  <c r="J79" i="152"/>
  <c r="J13" i="139"/>
  <c r="J75" i="115"/>
  <c r="O72" i="152"/>
  <c r="N72" i="152"/>
  <c r="J87" i="115"/>
  <c r="J25" i="139"/>
  <c r="N46" i="152"/>
  <c r="O46" i="152"/>
  <c r="P70" i="152"/>
  <c r="N70" i="152"/>
  <c r="O70" i="152"/>
  <c r="J79" i="115"/>
  <c r="J17" i="139"/>
  <c r="N48" i="152"/>
  <c r="O48" i="152"/>
  <c r="J16" i="139"/>
  <c r="J78" i="115"/>
  <c r="F25" i="104"/>
  <c r="L184" i="145"/>
  <c r="Q32" i="130"/>
  <c r="M155" i="152"/>
  <c r="P195" i="120"/>
  <c r="P198" i="120" s="1"/>
  <c r="G80" i="133"/>
  <c r="L173" i="145"/>
  <c r="H25" i="104"/>
  <c r="F31" i="133"/>
  <c r="T71" i="152"/>
  <c r="H36" i="149"/>
  <c r="Q30" i="130"/>
  <c r="I62" i="134"/>
  <c r="Q88" i="120"/>
  <c r="T88" i="120"/>
  <c r="T114" i="120"/>
  <c r="T127" i="120"/>
  <c r="T140" i="120"/>
  <c r="U195" i="120"/>
  <c r="U198" i="120" s="1"/>
  <c r="X150" i="152"/>
  <c r="V139" i="152"/>
  <c r="L69" i="103"/>
  <c r="J32" i="133"/>
  <c r="R54" i="152"/>
  <c r="J73" i="116"/>
  <c r="G23" i="140"/>
  <c r="I17" i="140"/>
  <c r="I38" i="105"/>
  <c r="J38" i="105" s="1"/>
  <c r="K38" i="105" s="1"/>
  <c r="L38" i="105" s="1"/>
  <c r="M38" i="105" s="1"/>
  <c r="N38" i="105" s="1"/>
  <c r="L181" i="145"/>
  <c r="L179" i="145"/>
  <c r="M18" i="140"/>
  <c r="H22" i="140"/>
  <c r="G16" i="140"/>
  <c r="L12" i="140"/>
  <c r="K16" i="140"/>
  <c r="I39" i="105"/>
  <c r="J39" i="105" s="1"/>
  <c r="K39" i="105" s="1"/>
  <c r="L39" i="105" s="1"/>
  <c r="M39" i="105" s="1"/>
  <c r="N39" i="105" s="1"/>
  <c r="M373" i="114"/>
  <c r="J373" i="114"/>
  <c r="I64" i="134"/>
  <c r="I46" i="134"/>
  <c r="T195" i="120"/>
  <c r="T198" i="120" s="1"/>
  <c r="G72" i="133"/>
  <c r="I70" i="133" s="1"/>
  <c r="R46" i="152"/>
  <c r="J75" i="116"/>
  <c r="H25" i="140"/>
  <c r="G22" i="140"/>
  <c r="G12" i="140"/>
  <c r="K19" i="140"/>
  <c r="I16" i="140"/>
  <c r="H36" i="132"/>
  <c r="L28" i="147"/>
  <c r="A28" i="147" s="1"/>
  <c r="A1" i="147" s="1"/>
  <c r="H120" i="25" s="1"/>
  <c r="I47" i="134"/>
  <c r="O38" i="109"/>
  <c r="O41" i="109"/>
  <c r="Q195" i="120"/>
  <c r="Q198" i="120" s="1"/>
  <c r="W153" i="152"/>
  <c r="K166" i="152" s="1"/>
  <c r="W143" i="152"/>
  <c r="X140" i="152"/>
  <c r="W127" i="152"/>
  <c r="X125" i="152"/>
  <c r="L133" i="145"/>
  <c r="F24" i="145" s="1"/>
  <c r="J70" i="103"/>
  <c r="J55" i="103"/>
  <c r="J72" i="116"/>
  <c r="J80" i="116" s="1"/>
  <c r="H373" i="114"/>
  <c r="L18" i="140"/>
  <c r="K12" i="140"/>
  <c r="L126" i="145"/>
  <c r="I61" i="134"/>
  <c r="F31" i="134" s="1"/>
  <c r="H24" i="140"/>
  <c r="H14" i="140"/>
  <c r="I22" i="140"/>
  <c r="I373" i="114"/>
  <c r="K21" i="100"/>
  <c r="K30" i="141" s="1"/>
  <c r="E21" i="100"/>
  <c r="E30" i="141" s="1"/>
  <c r="E31" i="141" s="1"/>
  <c r="L178" i="145"/>
  <c r="P32" i="130"/>
  <c r="P34" i="130"/>
  <c r="G69" i="134"/>
  <c r="S88" i="120"/>
  <c r="T166" i="120"/>
  <c r="R166" i="120"/>
  <c r="U179" i="120"/>
  <c r="H39" i="140"/>
  <c r="H41" i="140" s="1"/>
  <c r="M64" i="151"/>
  <c r="G64" i="133"/>
  <c r="I64" i="133" s="1"/>
  <c r="V153" i="152"/>
  <c r="J166" i="152" s="1"/>
  <c r="X146" i="152"/>
  <c r="W139" i="152"/>
  <c r="W135" i="152"/>
  <c r="W132" i="152"/>
  <c r="N74" i="120"/>
  <c r="M55" i="103"/>
  <c r="I55" i="103"/>
  <c r="G31" i="134"/>
  <c r="K31" i="133"/>
  <c r="K48" i="133"/>
  <c r="J74" i="116"/>
  <c r="K44" i="102"/>
  <c r="P33" i="130"/>
  <c r="W146" i="152"/>
  <c r="K168" i="152" s="1"/>
  <c r="H55" i="103"/>
  <c r="M70" i="103"/>
  <c r="J71" i="116"/>
  <c r="M16" i="140"/>
  <c r="L20" i="140"/>
  <c r="K24" i="140"/>
  <c r="J28" i="146"/>
  <c r="K49" i="146"/>
  <c r="K28" i="146"/>
  <c r="L49" i="146"/>
  <c r="F49" i="146"/>
  <c r="G28" i="146"/>
  <c r="H49" i="146"/>
  <c r="H28" i="146"/>
  <c r="I49" i="146"/>
  <c r="I37" i="105"/>
  <c r="J37" i="105" s="1"/>
  <c r="J16" i="105" s="1"/>
  <c r="I25" i="106"/>
  <c r="L25" i="106"/>
  <c r="J25" i="106"/>
  <c r="K25" i="104"/>
  <c r="K25" i="106"/>
  <c r="J64" i="151"/>
  <c r="J62" i="151"/>
  <c r="J59" i="151"/>
  <c r="F21" i="100"/>
  <c r="F30" i="141" s="1"/>
  <c r="F22" i="136"/>
  <c r="K22" i="136"/>
  <c r="J168" i="152"/>
  <c r="I21" i="100"/>
  <c r="I30" i="141" s="1"/>
  <c r="I31" i="141" s="1"/>
  <c r="K15" i="137"/>
  <c r="G58" i="116"/>
  <c r="G21" i="100"/>
  <c r="G30" i="141" s="1"/>
  <c r="G31" i="141" s="1"/>
  <c r="J21" i="100"/>
  <c r="J30" i="141" s="1"/>
  <c r="J31" i="141" s="1"/>
  <c r="I63" i="133"/>
  <c r="I62" i="133"/>
  <c r="H60" i="133"/>
  <c r="Q35" i="130"/>
  <c r="P29" i="130"/>
  <c r="L175" i="145"/>
  <c r="L177" i="145"/>
  <c r="L193" i="145"/>
  <c r="J70" i="146"/>
  <c r="N44" i="109"/>
  <c r="T51" i="152"/>
  <c r="S51" i="152"/>
  <c r="R48" i="152"/>
  <c r="T48" i="152"/>
  <c r="Q45" i="152"/>
  <c r="F38" i="132"/>
  <c r="F41" i="132" s="1"/>
  <c r="K70" i="146"/>
  <c r="Q29" i="130"/>
  <c r="F70" i="146"/>
  <c r="K165" i="152"/>
  <c r="H70" i="145"/>
  <c r="P62" i="152"/>
  <c r="F67" i="134"/>
  <c r="Q31" i="130"/>
  <c r="G70" i="146"/>
  <c r="J70" i="145"/>
  <c r="L176" i="145"/>
  <c r="H30" i="132"/>
  <c r="E66" i="134"/>
  <c r="Q33" i="130"/>
  <c r="F70" i="145"/>
  <c r="T63" i="152"/>
  <c r="J19" i="120"/>
  <c r="I14" i="120"/>
  <c r="I19" i="120"/>
  <c r="H18" i="120"/>
  <c r="I18" i="120"/>
  <c r="I17" i="120"/>
  <c r="I16" i="120"/>
  <c r="K18" i="120"/>
  <c r="I15" i="120"/>
  <c r="H70" i="146"/>
  <c r="L167" i="152"/>
  <c r="I70" i="146"/>
  <c r="G70" i="145"/>
  <c r="L155" i="145"/>
  <c r="L203" i="145"/>
  <c r="L168" i="145"/>
  <c r="L200" i="145"/>
  <c r="K54" i="103"/>
  <c r="I53" i="134"/>
  <c r="H30" i="134" s="1"/>
  <c r="J69" i="116"/>
  <c r="G44" i="138"/>
  <c r="L145" i="145"/>
  <c r="L141" i="145"/>
  <c r="I45" i="134"/>
  <c r="K29" i="134" s="1"/>
  <c r="G32" i="133"/>
  <c r="L197" i="145"/>
  <c r="L158" i="145"/>
  <c r="L156" i="145"/>
  <c r="G70" i="103"/>
  <c r="K69" i="103"/>
  <c r="M54" i="103"/>
  <c r="G31" i="133"/>
  <c r="H15" i="114"/>
  <c r="H19" i="114"/>
  <c r="H23" i="114"/>
  <c r="H27" i="114"/>
  <c r="H31" i="114"/>
  <c r="H35" i="114"/>
  <c r="H39" i="114"/>
  <c r="H43" i="114"/>
  <c r="H47" i="114"/>
  <c r="H51" i="114"/>
  <c r="H55" i="114"/>
  <c r="H59" i="114"/>
  <c r="H63" i="114"/>
  <c r="H67" i="114"/>
  <c r="H71" i="114"/>
  <c r="H75" i="114"/>
  <c r="H79" i="114"/>
  <c r="H83" i="114"/>
  <c r="H87" i="114"/>
  <c r="H91" i="114"/>
  <c r="H95" i="114"/>
  <c r="H99" i="114"/>
  <c r="H103" i="114"/>
  <c r="H107" i="114"/>
  <c r="H111" i="114"/>
  <c r="H115" i="114"/>
  <c r="H119" i="114"/>
  <c r="H132" i="114"/>
  <c r="H136" i="114"/>
  <c r="H140" i="114"/>
  <c r="H144" i="114"/>
  <c r="H148" i="114"/>
  <c r="H152" i="114"/>
  <c r="H13" i="114"/>
  <c r="H17" i="114"/>
  <c r="H21" i="114"/>
  <c r="H25" i="114"/>
  <c r="H29" i="114"/>
  <c r="H33" i="114"/>
  <c r="H37" i="114"/>
  <c r="H41" i="114"/>
  <c r="H45" i="114"/>
  <c r="H49" i="114"/>
  <c r="H53" i="114"/>
  <c r="H57" i="114"/>
  <c r="H61" i="114"/>
  <c r="H65" i="114"/>
  <c r="H69" i="114"/>
  <c r="H73" i="114"/>
  <c r="H77" i="114"/>
  <c r="H81" i="114"/>
  <c r="H85" i="114"/>
  <c r="H89" i="114"/>
  <c r="H93" i="114"/>
  <c r="H97" i="114"/>
  <c r="H101" i="114"/>
  <c r="H105" i="114"/>
  <c r="H109" i="114"/>
  <c r="H113" i="114"/>
  <c r="H117" i="114"/>
  <c r="H130" i="114"/>
  <c r="H134" i="114"/>
  <c r="H138" i="114"/>
  <c r="H142" i="114"/>
  <c r="H146" i="114"/>
  <c r="H150" i="114"/>
  <c r="H14" i="114"/>
  <c r="H18" i="114"/>
  <c r="H22" i="114"/>
  <c r="H26" i="114"/>
  <c r="H30" i="114"/>
  <c r="H34" i="114"/>
  <c r="H38" i="114"/>
  <c r="H42" i="114"/>
  <c r="H46" i="114"/>
  <c r="H50" i="114"/>
  <c r="H54" i="114"/>
  <c r="H58" i="114"/>
  <c r="H62" i="114"/>
  <c r="H66" i="114"/>
  <c r="H12" i="114"/>
  <c r="H44" i="114"/>
  <c r="H80" i="114"/>
  <c r="H96" i="114"/>
  <c r="H112" i="114"/>
  <c r="H137" i="114"/>
  <c r="H153" i="114"/>
  <c r="H20" i="114"/>
  <c r="H52" i="114"/>
  <c r="H76" i="114"/>
  <c r="H92" i="114"/>
  <c r="H108" i="114"/>
  <c r="H133" i="114"/>
  <c r="H149" i="114"/>
  <c r="H40" i="114"/>
  <c r="H82" i="114"/>
  <c r="H98" i="114"/>
  <c r="H114" i="114"/>
  <c r="H139" i="114"/>
  <c r="H28" i="114"/>
  <c r="H60" i="114"/>
  <c r="H72" i="114"/>
  <c r="H88" i="114"/>
  <c r="H104" i="114"/>
  <c r="H129" i="114"/>
  <c r="H145" i="114"/>
  <c r="H24" i="114"/>
  <c r="H56" i="114"/>
  <c r="H74" i="114"/>
  <c r="H90" i="114"/>
  <c r="H106" i="114"/>
  <c r="H131" i="114"/>
  <c r="H147" i="114"/>
  <c r="H16" i="114"/>
  <c r="H94" i="114"/>
  <c r="H143" i="114"/>
  <c r="H32" i="114"/>
  <c r="H68" i="114"/>
  <c r="H151" i="114"/>
  <c r="H48" i="114"/>
  <c r="H110" i="114"/>
  <c r="H64" i="114"/>
  <c r="H70" i="114"/>
  <c r="H84" i="114"/>
  <c r="H78" i="114"/>
  <c r="H118" i="114"/>
  <c r="H141" i="114"/>
  <c r="H36" i="114"/>
  <c r="H135" i="114"/>
  <c r="H86" i="114"/>
  <c r="H100" i="114"/>
  <c r="L171" i="145"/>
  <c r="L132" i="145"/>
  <c r="F68" i="145" s="1"/>
  <c r="G69" i="103"/>
  <c r="J54" i="103"/>
  <c r="H32" i="133"/>
  <c r="P54" i="152"/>
  <c r="P131" i="152" s="1"/>
  <c r="Q53" i="152"/>
  <c r="L150" i="145"/>
  <c r="L195" i="145"/>
  <c r="L191" i="145"/>
  <c r="L182" i="145"/>
  <c r="I70" i="103"/>
  <c r="L54" i="103"/>
  <c r="J31" i="133"/>
  <c r="I32" i="133"/>
  <c r="R66" i="152"/>
  <c r="S63" i="152"/>
  <c r="E48" i="141"/>
  <c r="L148" i="145"/>
  <c r="L186" i="145"/>
  <c r="H70" i="103"/>
  <c r="M69" i="103"/>
  <c r="K32" i="133"/>
  <c r="I31" i="133"/>
  <c r="P74" i="152"/>
  <c r="P245" i="152" s="1"/>
  <c r="S71" i="152"/>
  <c r="H102" i="114"/>
  <c r="L190" i="145"/>
  <c r="L128" i="145"/>
  <c r="H69" i="103"/>
  <c r="H54" i="103"/>
  <c r="G54" i="103"/>
  <c r="H116" i="114"/>
  <c r="G138" i="114"/>
  <c r="G30" i="114"/>
  <c r="G62" i="114"/>
  <c r="G94" i="114"/>
  <c r="G67" i="114"/>
  <c r="G60" i="114"/>
  <c r="G52" i="114"/>
  <c r="G72" i="114"/>
  <c r="G109" i="114"/>
  <c r="G73" i="114"/>
  <c r="G106" i="114"/>
  <c r="G147" i="114"/>
  <c r="G39" i="114"/>
  <c r="G129" i="114"/>
  <c r="H30" i="137"/>
  <c r="H44" i="138"/>
  <c r="H44" i="136"/>
  <c r="G152" i="114"/>
  <c r="K36" i="149"/>
  <c r="J44" i="136"/>
  <c r="E13" i="102"/>
  <c r="E17" i="102"/>
  <c r="E14" i="102"/>
  <c r="E44" i="138"/>
  <c r="E16" i="102"/>
  <c r="E30" i="137"/>
  <c r="L36" i="149"/>
  <c r="E44" i="136"/>
  <c r="I44" i="102"/>
  <c r="E18" i="102"/>
  <c r="E12" i="102"/>
  <c r="F44" i="102"/>
  <c r="K44" i="138"/>
  <c r="L25" i="140"/>
  <c r="H21" i="140"/>
  <c r="K15" i="140"/>
  <c r="M23" i="140"/>
  <c r="L17" i="140"/>
  <c r="H13" i="140"/>
  <c r="G24" i="140"/>
  <c r="I21" i="140"/>
  <c r="I375" i="114"/>
  <c r="I27" i="114" s="1"/>
  <c r="F46" i="102"/>
  <c r="M57" i="116"/>
  <c r="M15" i="140"/>
  <c r="K23" i="140"/>
  <c r="K20" i="140"/>
  <c r="I19" i="114"/>
  <c r="I29" i="114"/>
  <c r="I57" i="116"/>
  <c r="G19" i="140"/>
  <c r="I13" i="140"/>
  <c r="J19" i="140"/>
  <c r="M20" i="140"/>
  <c r="M12" i="140"/>
  <c r="L22" i="140"/>
  <c r="L14" i="140"/>
  <c r="I18" i="140"/>
  <c r="H57" i="116"/>
  <c r="L62" i="151"/>
  <c r="L64" i="151"/>
  <c r="L59" i="151"/>
  <c r="K164" i="152"/>
  <c r="E41" i="132"/>
  <c r="K59" i="151"/>
  <c r="F68" i="134"/>
  <c r="K64" i="151"/>
  <c r="U78" i="117"/>
  <c r="S57" i="152"/>
  <c r="T57" i="152"/>
  <c r="P56" i="152"/>
  <c r="X133" i="152"/>
  <c r="E48" i="134"/>
  <c r="H63" i="134" s="1"/>
  <c r="H46" i="134"/>
  <c r="N35" i="130"/>
  <c r="P76" i="152"/>
  <c r="X153" i="152"/>
  <c r="L166" i="152" s="1"/>
  <c r="H47" i="134"/>
  <c r="F64" i="133"/>
  <c r="H64" i="133" s="1"/>
  <c r="V44" i="117"/>
  <c r="AA51" i="117"/>
  <c r="X58" i="117"/>
  <c r="Z71" i="117"/>
  <c r="K62" i="151"/>
  <c r="M158" i="152"/>
  <c r="L146" i="145"/>
  <c r="L205" i="145"/>
  <c r="L121" i="145"/>
  <c r="V30" i="117"/>
  <c r="Z37" i="117"/>
  <c r="AA37" i="117"/>
  <c r="W44" i="117"/>
  <c r="U51" i="117"/>
  <c r="Y58" i="117"/>
  <c r="W65" i="117"/>
  <c r="AA71" i="117"/>
  <c r="L152" i="145"/>
  <c r="L136" i="145"/>
  <c r="L198" i="145"/>
  <c r="P225" i="152"/>
  <c r="R61" i="152"/>
  <c r="P61" i="152"/>
  <c r="Q61" i="152"/>
  <c r="S61" i="152"/>
  <c r="T61" i="152"/>
  <c r="S58" i="152"/>
  <c r="T58" i="152"/>
  <c r="O69" i="152"/>
  <c r="S69" i="152"/>
  <c r="W137" i="152"/>
  <c r="K167" i="152" s="1"/>
  <c r="W30" i="117"/>
  <c r="Z30" i="117"/>
  <c r="AA30" i="117"/>
  <c r="W37" i="117"/>
  <c r="X37" i="117"/>
  <c r="Y44" i="117"/>
  <c r="U44" i="117"/>
  <c r="Y51" i="117"/>
  <c r="Z51" i="117"/>
  <c r="V58" i="117"/>
  <c r="X65" i="117"/>
  <c r="AA65" i="117"/>
  <c r="X71" i="117"/>
  <c r="P68" i="152"/>
  <c r="X145" i="152"/>
  <c r="L168" i="152" s="1"/>
  <c r="L139" i="145"/>
  <c r="L137" i="145"/>
  <c r="L153" i="145"/>
  <c r="Q49" i="152"/>
  <c r="P49" i="152"/>
  <c r="P126" i="152" s="1"/>
  <c r="R49" i="152"/>
  <c r="L131" i="145"/>
  <c r="L130" i="145"/>
  <c r="I70" i="145"/>
  <c r="E70" i="145"/>
  <c r="R74" i="152"/>
  <c r="R70" i="152"/>
  <c r="Q70" i="152"/>
  <c r="S70" i="152"/>
  <c r="T70" i="152"/>
  <c r="P69" i="152"/>
  <c r="Q69" i="152"/>
  <c r="R69" i="152"/>
  <c r="P66" i="152"/>
  <c r="R62" i="152"/>
  <c r="Q62" i="152"/>
  <c r="S62" i="152"/>
  <c r="T62" i="152"/>
  <c r="P57" i="152"/>
  <c r="Q57" i="152"/>
  <c r="R57" i="152"/>
  <c r="R59" i="152"/>
  <c r="Q59" i="152"/>
  <c r="S59" i="152"/>
  <c r="T59" i="152"/>
  <c r="P59" i="152"/>
  <c r="L169" i="145"/>
  <c r="L188" i="145"/>
  <c r="L143" i="145"/>
  <c r="Q75" i="152"/>
  <c r="S75" i="152"/>
  <c r="T75" i="152"/>
  <c r="P75" i="152"/>
  <c r="R75" i="152"/>
  <c r="Q67" i="152"/>
  <c r="S67" i="152"/>
  <c r="T67" i="152"/>
  <c r="P67" i="152"/>
  <c r="R67" i="152"/>
  <c r="Q55" i="152"/>
  <c r="S55" i="152"/>
  <c r="T55" i="152"/>
  <c r="P55" i="152"/>
  <c r="R55" i="152"/>
  <c r="P58" i="152"/>
  <c r="Q58" i="152"/>
  <c r="R58" i="152"/>
  <c r="L166" i="145"/>
  <c r="K70" i="145"/>
  <c r="L134" i="145"/>
  <c r="G38" i="132"/>
  <c r="F69" i="145"/>
  <c r="H24" i="145"/>
  <c r="K68" i="145"/>
  <c r="S74" i="152"/>
  <c r="T74" i="152"/>
  <c r="Q74" i="152"/>
  <c r="P73" i="152"/>
  <c r="S73" i="152"/>
  <c r="T73" i="152"/>
  <c r="R73" i="152"/>
  <c r="P72" i="152"/>
  <c r="R72" i="152"/>
  <c r="Q72" i="152"/>
  <c r="S72" i="152"/>
  <c r="T72" i="152"/>
  <c r="S66" i="152"/>
  <c r="T66" i="152"/>
  <c r="Q66" i="152"/>
  <c r="P65" i="152"/>
  <c r="S65" i="152"/>
  <c r="T65" i="152"/>
  <c r="R65" i="152"/>
  <c r="P64" i="152"/>
  <c r="R64" i="152"/>
  <c r="Q64" i="152"/>
  <c r="S64" i="152"/>
  <c r="T64" i="152"/>
  <c r="S54" i="152"/>
  <c r="T54" i="152"/>
  <c r="Q54" i="152"/>
  <c r="P53" i="152"/>
  <c r="S53" i="152"/>
  <c r="T53" i="152"/>
  <c r="R53" i="152"/>
  <c r="P52" i="152"/>
  <c r="R52" i="152"/>
  <c r="Q52" i="152"/>
  <c r="S52" i="152"/>
  <c r="T52" i="152"/>
  <c r="Q48" i="152"/>
  <c r="S48" i="152"/>
  <c r="P48" i="152"/>
  <c r="P219" i="152" s="1"/>
  <c r="Q47" i="152"/>
  <c r="P47" i="152"/>
  <c r="P218" i="152" s="1"/>
  <c r="S47" i="152"/>
  <c r="T47" i="152"/>
  <c r="R47" i="152"/>
  <c r="S46" i="152"/>
  <c r="T46" i="152"/>
  <c r="P46" i="152"/>
  <c r="P123" i="152" s="1"/>
  <c r="Q46" i="152"/>
  <c r="S45" i="152"/>
  <c r="T45" i="152"/>
  <c r="P45" i="152"/>
  <c r="R45" i="152"/>
  <c r="L201" i="145"/>
  <c r="L124" i="145"/>
  <c r="T69" i="152"/>
  <c r="Q65" i="152"/>
  <c r="R71" i="152"/>
  <c r="P71" i="152"/>
  <c r="Q71" i="152"/>
  <c r="R63" i="152"/>
  <c r="P63" i="152"/>
  <c r="Q63" i="152"/>
  <c r="R51" i="152"/>
  <c r="Q51" i="152"/>
  <c r="P51" i="152"/>
  <c r="P128" i="152" s="1"/>
  <c r="R50" i="152"/>
  <c r="P50" i="152"/>
  <c r="P127" i="152" s="1"/>
  <c r="Q50" i="152"/>
  <c r="S50" i="152"/>
  <c r="T50" i="152"/>
  <c r="K11" i="113"/>
  <c r="K27" i="113" s="1" a="1"/>
  <c r="K27" i="113" s="1"/>
  <c r="M160" i="152"/>
  <c r="M161" i="152"/>
  <c r="J161" i="152"/>
  <c r="L161" i="152"/>
  <c r="V179" i="152"/>
  <c r="J29" i="113" a="1"/>
  <c r="J29" i="113" s="1"/>
  <c r="J30" i="113" a="1"/>
  <c r="J30" i="113" s="1"/>
  <c r="J16" i="113" a="1"/>
  <c r="J16" i="113" s="1"/>
  <c r="J27" i="113" a="1"/>
  <c r="J27" i="113" s="1"/>
  <c r="E65" i="129"/>
  <c r="V78" i="117"/>
  <c r="J15" i="120" l="1"/>
  <c r="H38" i="132"/>
  <c r="K17" i="120"/>
  <c r="J16" i="120"/>
  <c r="K19" i="120"/>
  <c r="K14" i="120"/>
  <c r="J17" i="120"/>
  <c r="J48" i="120" s="1"/>
  <c r="J14" i="120"/>
  <c r="K15" i="120"/>
  <c r="K16" i="4"/>
  <c r="K18" i="4" s="1"/>
  <c r="K20" i="4" s="1"/>
  <c r="J15" i="113" s="1"/>
  <c r="L15" i="4"/>
  <c r="L16" i="4" s="1"/>
  <c r="M15" i="4" s="1"/>
  <c r="M16" i="4" s="1"/>
  <c r="H16" i="120"/>
  <c r="H14" i="120"/>
  <c r="H19" i="120"/>
  <c r="G21" i="139"/>
  <c r="G83" i="115"/>
  <c r="I36" i="114"/>
  <c r="J14" i="105"/>
  <c r="G136" i="114"/>
  <c r="G133" i="114"/>
  <c r="G49" i="114"/>
  <c r="G151" i="114"/>
  <c r="G110" i="114"/>
  <c r="G79" i="114"/>
  <c r="G113" i="114"/>
  <c r="G13" i="114"/>
  <c r="G61" i="114"/>
  <c r="G69" i="114"/>
  <c r="G76" i="114"/>
  <c r="G98" i="114"/>
  <c r="G66" i="114"/>
  <c r="G34" i="114"/>
  <c r="G132" i="114"/>
  <c r="G116" i="114"/>
  <c r="G33" i="114"/>
  <c r="G143" i="114"/>
  <c r="G96" i="114"/>
  <c r="G68" i="114"/>
  <c r="G105" i="114"/>
  <c r="G56" i="114"/>
  <c r="G43" i="114"/>
  <c r="G51" i="114"/>
  <c r="G53" i="114"/>
  <c r="G90" i="114"/>
  <c r="G58" i="114"/>
  <c r="G26" i="114"/>
  <c r="G30" i="137"/>
  <c r="G150" i="114"/>
  <c r="G153" i="114"/>
  <c r="G112" i="114"/>
  <c r="G23" i="114"/>
  <c r="G139" i="114"/>
  <c r="G47" i="114"/>
  <c r="G63" i="114"/>
  <c r="G100" i="114"/>
  <c r="G45" i="114"/>
  <c r="G29" i="114"/>
  <c r="G37" i="114"/>
  <c r="G44" i="114"/>
  <c r="G86" i="114"/>
  <c r="G54" i="114"/>
  <c r="G22" i="114"/>
  <c r="H31" i="141"/>
  <c r="G149" i="114"/>
  <c r="G108" i="114"/>
  <c r="G91" i="114"/>
  <c r="G135" i="114"/>
  <c r="G41" i="114"/>
  <c r="G57" i="114"/>
  <c r="G95" i="114"/>
  <c r="G17" i="114"/>
  <c r="G20" i="114"/>
  <c r="G28" i="114"/>
  <c r="G35" i="114"/>
  <c r="G82" i="114"/>
  <c r="G50" i="114"/>
  <c r="G18" i="114"/>
  <c r="G71" i="114"/>
  <c r="G16" i="114"/>
  <c r="G81" i="114"/>
  <c r="G145" i="114"/>
  <c r="G104" i="114"/>
  <c r="G80" i="114"/>
  <c r="G131" i="114"/>
  <c r="G36" i="114"/>
  <c r="G134" i="114"/>
  <c r="G89" i="114"/>
  <c r="G93" i="114"/>
  <c r="G101" i="114"/>
  <c r="G19" i="114"/>
  <c r="G21" i="114"/>
  <c r="G78" i="114"/>
  <c r="G46" i="114"/>
  <c r="G14" i="114"/>
  <c r="G27" i="114"/>
  <c r="G140" i="114"/>
  <c r="K31" i="140"/>
  <c r="K37" i="105"/>
  <c r="G59" i="114"/>
  <c r="G115" i="114"/>
  <c r="G141" i="114"/>
  <c r="G88" i="114"/>
  <c r="G64" i="114"/>
  <c r="G118" i="114"/>
  <c r="G31" i="114"/>
  <c r="G130" i="114"/>
  <c r="G40" i="114"/>
  <c r="G84" i="114"/>
  <c r="G92" i="114"/>
  <c r="G99" i="114"/>
  <c r="G12" i="114"/>
  <c r="G74" i="114"/>
  <c r="G42" i="114"/>
  <c r="G55" i="114"/>
  <c r="G111" i="114"/>
  <c r="G148" i="114"/>
  <c r="I38" i="114"/>
  <c r="G87" i="114"/>
  <c r="G142" i="114"/>
  <c r="G137" i="114"/>
  <c r="G77" i="114"/>
  <c r="G15" i="114"/>
  <c r="G114" i="114"/>
  <c r="G25" i="114"/>
  <c r="G117" i="114"/>
  <c r="G24" i="114"/>
  <c r="G75" i="114"/>
  <c r="G83" i="114"/>
  <c r="G85" i="114"/>
  <c r="G102" i="114"/>
  <c r="G70" i="114"/>
  <c r="G38" i="114"/>
  <c r="G97" i="114"/>
  <c r="G144" i="114"/>
  <c r="G71" i="145"/>
  <c r="F71" i="145"/>
  <c r="T49" i="152"/>
  <c r="H95" i="145"/>
  <c r="F87" i="145"/>
  <c r="M24" i="139"/>
  <c r="M86" i="115"/>
  <c r="L13" i="139"/>
  <c r="L75" i="115"/>
  <c r="J27" i="140"/>
  <c r="E71" i="145"/>
  <c r="H17" i="120"/>
  <c r="S49" i="152"/>
  <c r="K31" i="141"/>
  <c r="H87" i="145"/>
  <c r="G87" i="145"/>
  <c r="N74" i="152"/>
  <c r="F31" i="141"/>
  <c r="J44" i="138"/>
  <c r="K79" i="115"/>
  <c r="F13" i="127"/>
  <c r="F69" i="134"/>
  <c r="G27" i="140"/>
  <c r="L165" i="152"/>
  <c r="E61" i="145"/>
  <c r="G61" i="145"/>
  <c r="G74" i="145"/>
  <c r="H27" i="140"/>
  <c r="L24" i="139"/>
  <c r="L86" i="115"/>
  <c r="I63" i="145"/>
  <c r="H65" i="145"/>
  <c r="E97" i="145"/>
  <c r="K22" i="139"/>
  <c r="K84" i="115"/>
  <c r="I74" i="145"/>
  <c r="J71" i="145"/>
  <c r="J72" i="145" s="1"/>
  <c r="H61" i="145"/>
  <c r="F83" i="145"/>
  <c r="J155" i="152"/>
  <c r="M19" i="139"/>
  <c r="M81" i="115"/>
  <c r="H12" i="139"/>
  <c r="H74" i="115"/>
  <c r="J97" i="145"/>
  <c r="J165" i="152"/>
  <c r="E11" i="102"/>
  <c r="E19" i="102"/>
  <c r="G48" i="114"/>
  <c r="G107" i="114"/>
  <c r="G146" i="114"/>
  <c r="G120" i="114"/>
  <c r="G32" i="114"/>
  <c r="G124" i="114"/>
  <c r="G121" i="114"/>
  <c r="G103" i="114"/>
  <c r="G65" i="114"/>
  <c r="G125" i="114"/>
  <c r="G128" i="114"/>
  <c r="G123" i="114"/>
  <c r="G122" i="114"/>
  <c r="G127" i="114"/>
  <c r="G126" i="114"/>
  <c r="G73" i="145"/>
  <c r="I21" i="114"/>
  <c r="I24" i="139"/>
  <c r="I86" i="115"/>
  <c r="N49" i="152"/>
  <c r="J160" i="152"/>
  <c r="M173" i="152"/>
  <c r="M14" i="139"/>
  <c r="M76" i="115"/>
  <c r="Q56" i="152"/>
  <c r="P151" i="152"/>
  <c r="P169" i="152" s="1"/>
  <c r="J80" i="132"/>
  <c r="H80" i="132"/>
  <c r="P122" i="152"/>
  <c r="Q68" i="152"/>
  <c r="A198" i="120"/>
  <c r="A30" i="133"/>
  <c r="P35" i="130"/>
  <c r="J20" i="4"/>
  <c r="I15" i="113" s="1"/>
  <c r="I8" i="113"/>
  <c r="K21" i="113" s="1" a="1"/>
  <c r="K21" i="113" s="1"/>
  <c r="G18" i="120"/>
  <c r="G14" i="120"/>
  <c r="K75" i="115"/>
  <c r="K13" i="139"/>
  <c r="I16" i="139"/>
  <c r="I78" i="115"/>
  <c r="I16" i="114"/>
  <c r="G14" i="139"/>
  <c r="G76" i="115"/>
  <c r="L21" i="139"/>
  <c r="L83" i="115"/>
  <c r="G20" i="139"/>
  <c r="G82" i="115"/>
  <c r="M22" i="139"/>
  <c r="M84" i="115"/>
  <c r="A25" i="104"/>
  <c r="A1" i="104" s="1"/>
  <c r="H53" i="25" s="1"/>
  <c r="I12" i="114"/>
  <c r="H77" i="115"/>
  <c r="H15" i="139"/>
  <c r="I31" i="114"/>
  <c r="G18" i="139"/>
  <c r="G80" i="115"/>
  <c r="G16" i="120"/>
  <c r="G17" i="120"/>
  <c r="G80" i="132"/>
  <c r="G19" i="120"/>
  <c r="G15" i="120"/>
  <c r="K80" i="132"/>
  <c r="I80" i="132"/>
  <c r="G19" i="105"/>
  <c r="A70" i="146"/>
  <c r="A28" i="146"/>
  <c r="I19" i="105"/>
  <c r="A49" i="146"/>
  <c r="H19" i="105"/>
  <c r="G30" i="134"/>
  <c r="G21" i="134" s="1"/>
  <c r="J31" i="134"/>
  <c r="G29" i="134"/>
  <c r="I31" i="134"/>
  <c r="E31" i="134"/>
  <c r="I60" i="133"/>
  <c r="H31" i="134"/>
  <c r="H21" i="134" s="1"/>
  <c r="I61" i="133"/>
  <c r="K31" i="134"/>
  <c r="K30" i="134"/>
  <c r="I29" i="134"/>
  <c r="E24" i="145"/>
  <c r="I68" i="133"/>
  <c r="J69" i="145"/>
  <c r="I69" i="145"/>
  <c r="L27" i="140"/>
  <c r="I28" i="114"/>
  <c r="I35" i="114"/>
  <c r="J15" i="105"/>
  <c r="J167" i="152"/>
  <c r="J171" i="152" s="1"/>
  <c r="I72" i="133"/>
  <c r="K30" i="137"/>
  <c r="K44" i="136"/>
  <c r="P241" i="152"/>
  <c r="P147" i="152"/>
  <c r="I24" i="145"/>
  <c r="J158" i="152"/>
  <c r="H72" i="133"/>
  <c r="I80" i="133"/>
  <c r="I79" i="133"/>
  <c r="I76" i="133"/>
  <c r="I78" i="133"/>
  <c r="H80" i="133"/>
  <c r="I77" i="133"/>
  <c r="F64" i="134"/>
  <c r="G24" i="145"/>
  <c r="I69" i="133"/>
  <c r="H121" i="114"/>
  <c r="H120" i="114"/>
  <c r="H125" i="114"/>
  <c r="H127" i="114"/>
  <c r="H123" i="114"/>
  <c r="H124" i="114"/>
  <c r="H128" i="114"/>
  <c r="H122" i="114"/>
  <c r="H126" i="114"/>
  <c r="J24" i="145"/>
  <c r="H69" i="145"/>
  <c r="P220" i="152"/>
  <c r="G72" i="145"/>
  <c r="I26" i="114"/>
  <c r="I71" i="133"/>
  <c r="K160" i="152"/>
  <c r="K69" i="145"/>
  <c r="G69" i="145"/>
  <c r="P216" i="152"/>
  <c r="K161" i="152"/>
  <c r="K24" i="145"/>
  <c r="S68" i="152"/>
  <c r="E69" i="145"/>
  <c r="I18" i="114"/>
  <c r="N52" i="152"/>
  <c r="O52" i="152"/>
  <c r="G24" i="139"/>
  <c r="G86" i="115"/>
  <c r="F23" i="145"/>
  <c r="F72" i="145"/>
  <c r="K155" i="152"/>
  <c r="G16" i="139"/>
  <c r="G78" i="115"/>
  <c r="O89" i="115"/>
  <c r="G29" i="139" s="1"/>
  <c r="G27" i="115"/>
  <c r="G31" i="115" s="1"/>
  <c r="I27" i="140"/>
  <c r="H13" i="139"/>
  <c r="H75" i="115"/>
  <c r="P89" i="115"/>
  <c r="H29" i="139" s="1"/>
  <c r="H27" i="115"/>
  <c r="H31" i="115" s="1"/>
  <c r="F12" i="102"/>
  <c r="F16" i="102"/>
  <c r="F44" i="136"/>
  <c r="F14" i="102"/>
  <c r="F15" i="102"/>
  <c r="F11" i="102"/>
  <c r="F13" i="102"/>
  <c r="F18" i="102"/>
  <c r="F17" i="102"/>
  <c r="F44" i="138"/>
  <c r="F19" i="102"/>
  <c r="F30" i="137"/>
  <c r="I48" i="120"/>
  <c r="I68" i="145"/>
  <c r="H68" i="145"/>
  <c r="H18" i="139"/>
  <c r="H80" i="115"/>
  <c r="I20" i="114"/>
  <c r="I37" i="114"/>
  <c r="F32" i="137"/>
  <c r="F46" i="138"/>
  <c r="K27" i="140"/>
  <c r="E12" i="137"/>
  <c r="E11" i="137"/>
  <c r="H29" i="134"/>
  <c r="E29" i="134"/>
  <c r="F29" i="134"/>
  <c r="J29" i="134"/>
  <c r="K15" i="139"/>
  <c r="K77" i="115"/>
  <c r="S89" i="115"/>
  <c r="K29" i="139" s="1"/>
  <c r="K27" i="115"/>
  <c r="K31" i="115" s="1"/>
  <c r="F44" i="141"/>
  <c r="F45" i="141"/>
  <c r="F46" i="141"/>
  <c r="F47" i="141"/>
  <c r="F43" i="141"/>
  <c r="J23" i="145"/>
  <c r="G68" i="145"/>
  <c r="G23" i="145"/>
  <c r="H23" i="145"/>
  <c r="F77" i="145"/>
  <c r="J375" i="114"/>
  <c r="I17" i="114"/>
  <c r="I33" i="114"/>
  <c r="I25" i="114"/>
  <c r="G46" i="102"/>
  <c r="G46" i="136"/>
  <c r="G13" i="136" s="1"/>
  <c r="I39" i="114"/>
  <c r="I43" i="114"/>
  <c r="I47" i="114"/>
  <c r="I51" i="114"/>
  <c r="I55" i="114"/>
  <c r="I59" i="114"/>
  <c r="I63" i="114"/>
  <c r="I67" i="114"/>
  <c r="I71" i="114"/>
  <c r="I75" i="114"/>
  <c r="I79" i="114"/>
  <c r="I83" i="114"/>
  <c r="I87" i="114"/>
  <c r="I91" i="114"/>
  <c r="I95" i="114"/>
  <c r="I99" i="114"/>
  <c r="I103" i="114"/>
  <c r="I107" i="114"/>
  <c r="I111" i="114"/>
  <c r="I115" i="114"/>
  <c r="I119" i="114"/>
  <c r="I132" i="114"/>
  <c r="I41" i="114"/>
  <c r="I45" i="114"/>
  <c r="I49" i="114"/>
  <c r="I53" i="114"/>
  <c r="I57" i="114"/>
  <c r="I61" i="114"/>
  <c r="I65" i="114"/>
  <c r="I69" i="114"/>
  <c r="I73" i="114"/>
  <c r="I77" i="114"/>
  <c r="I81" i="114"/>
  <c r="I85" i="114"/>
  <c r="I89" i="114"/>
  <c r="I93" i="114"/>
  <c r="I97" i="114"/>
  <c r="I101" i="114"/>
  <c r="I105" i="114"/>
  <c r="I109" i="114"/>
  <c r="I113" i="114"/>
  <c r="I117" i="114"/>
  <c r="I130" i="114"/>
  <c r="I44" i="114"/>
  <c r="I60" i="114"/>
  <c r="I76" i="114"/>
  <c r="I92" i="114"/>
  <c r="I108" i="114"/>
  <c r="I133" i="114"/>
  <c r="I137" i="114"/>
  <c r="I141" i="114"/>
  <c r="I145" i="114"/>
  <c r="I149" i="114"/>
  <c r="I153" i="114"/>
  <c r="I50" i="114"/>
  <c r="I66" i="114"/>
  <c r="I82" i="114"/>
  <c r="I98" i="114"/>
  <c r="I114" i="114"/>
  <c r="I40" i="114"/>
  <c r="I56" i="114"/>
  <c r="I72" i="114"/>
  <c r="I88" i="114"/>
  <c r="I104" i="114"/>
  <c r="I129" i="114"/>
  <c r="I134" i="114"/>
  <c r="I138" i="114"/>
  <c r="I142" i="114"/>
  <c r="I146" i="114"/>
  <c r="I150" i="114"/>
  <c r="I46" i="114"/>
  <c r="I62" i="114"/>
  <c r="I78" i="114"/>
  <c r="I94" i="114"/>
  <c r="I110" i="114"/>
  <c r="I52" i="114"/>
  <c r="I68" i="114"/>
  <c r="I84" i="114"/>
  <c r="I100" i="114"/>
  <c r="I116" i="114"/>
  <c r="I135" i="114"/>
  <c r="I139" i="114"/>
  <c r="I143" i="114"/>
  <c r="I147" i="114"/>
  <c r="I151" i="114"/>
  <c r="I42" i="114"/>
  <c r="I58" i="114"/>
  <c r="I74" i="114"/>
  <c r="I90" i="114"/>
  <c r="I106" i="114"/>
  <c r="I131" i="114"/>
  <c r="I48" i="114"/>
  <c r="I64" i="114"/>
  <c r="I80" i="114"/>
  <c r="I96" i="114"/>
  <c r="I112" i="114"/>
  <c r="I136" i="114"/>
  <c r="I140" i="114"/>
  <c r="I144" i="114"/>
  <c r="I148" i="114"/>
  <c r="I152" i="114"/>
  <c r="I54" i="114"/>
  <c r="I70" i="114"/>
  <c r="I86" i="114"/>
  <c r="I102" i="114"/>
  <c r="I118" i="114"/>
  <c r="I126" i="114"/>
  <c r="I124" i="114"/>
  <c r="I122" i="114"/>
  <c r="I120" i="114"/>
  <c r="I125" i="114"/>
  <c r="I127" i="114"/>
  <c r="I123" i="114"/>
  <c r="I128" i="114"/>
  <c r="I121" i="114"/>
  <c r="L17" i="139"/>
  <c r="L79" i="115"/>
  <c r="L27" i="115"/>
  <c r="L31" i="115" s="1"/>
  <c r="T89" i="115"/>
  <c r="L29" i="139" s="1"/>
  <c r="H21" i="139"/>
  <c r="H83" i="115"/>
  <c r="I30" i="137"/>
  <c r="I44" i="136"/>
  <c r="I44" i="138"/>
  <c r="L37" i="105"/>
  <c r="K15" i="105"/>
  <c r="K16" i="105"/>
  <c r="K14" i="105"/>
  <c r="O44" i="109"/>
  <c r="O46" i="109" s="1"/>
  <c r="N46" i="109"/>
  <c r="G19" i="139"/>
  <c r="G81" i="115"/>
  <c r="G22" i="139"/>
  <c r="G84" i="115"/>
  <c r="E11" i="136"/>
  <c r="E15" i="136"/>
  <c r="E19" i="136"/>
  <c r="E18" i="136"/>
  <c r="E16" i="136"/>
  <c r="E17" i="136"/>
  <c r="E13" i="136"/>
  <c r="E14" i="136"/>
  <c r="E12" i="136"/>
  <c r="E14" i="138"/>
  <c r="E18" i="138"/>
  <c r="E12" i="138"/>
  <c r="E16" i="138"/>
  <c r="E13" i="138"/>
  <c r="E17" i="138"/>
  <c r="E15" i="138"/>
  <c r="E11" i="138"/>
  <c r="E19" i="138"/>
  <c r="P233" i="152"/>
  <c r="P139" i="152"/>
  <c r="K48" i="120"/>
  <c r="J68" i="145"/>
  <c r="P125" i="152"/>
  <c r="P165" i="152" s="1"/>
  <c r="L155" i="152"/>
  <c r="H16" i="139"/>
  <c r="H78" i="115"/>
  <c r="J19" i="139"/>
  <c r="J81" i="115"/>
  <c r="J89" i="115" s="1"/>
  <c r="J91" i="115" s="1"/>
  <c r="J27" i="115"/>
  <c r="J31" i="115" s="1"/>
  <c r="R89" i="115"/>
  <c r="J29" i="139" s="1"/>
  <c r="I30" i="114"/>
  <c r="I23" i="114"/>
  <c r="I13" i="114"/>
  <c r="K23" i="139"/>
  <c r="K85" i="115"/>
  <c r="I21" i="139"/>
  <c r="I83" i="115"/>
  <c r="M23" i="139"/>
  <c r="M85" i="115"/>
  <c r="L25" i="139"/>
  <c r="L87" i="115"/>
  <c r="H71" i="145"/>
  <c r="E68" i="145"/>
  <c r="I23" i="145"/>
  <c r="K23" i="145"/>
  <c r="F70" i="134"/>
  <c r="H24" i="139"/>
  <c r="H86" i="115"/>
  <c r="M27" i="140"/>
  <c r="I22" i="114"/>
  <c r="I15" i="114"/>
  <c r="I32" i="114"/>
  <c r="J30" i="134"/>
  <c r="J21" i="134" s="1"/>
  <c r="E30" i="134"/>
  <c r="F30" i="134"/>
  <c r="F21" i="134" s="1"/>
  <c r="I30" i="134"/>
  <c r="E23" i="145"/>
  <c r="P222" i="152"/>
  <c r="H54" i="134"/>
  <c r="I13" i="139"/>
  <c r="I75" i="115"/>
  <c r="I27" i="115"/>
  <c r="I31" i="115" s="1"/>
  <c r="Q89" i="115"/>
  <c r="I29" i="139" s="1"/>
  <c r="I14" i="114"/>
  <c r="I34" i="114"/>
  <c r="I24" i="114"/>
  <c r="M15" i="139"/>
  <c r="M77" i="115"/>
  <c r="U89" i="115"/>
  <c r="M29" i="139" s="1"/>
  <c r="M27" i="115"/>
  <c r="M31" i="115" s="1"/>
  <c r="P247" i="152"/>
  <c r="P153" i="152"/>
  <c r="P166" i="152" s="1"/>
  <c r="F12" i="127"/>
  <c r="L160" i="152"/>
  <c r="P224" i="152"/>
  <c r="P130" i="152"/>
  <c r="P244" i="152"/>
  <c r="P150" i="152"/>
  <c r="E57" i="145"/>
  <c r="I57" i="145"/>
  <c r="H57" i="145"/>
  <c r="J57" i="145"/>
  <c r="G57" i="145"/>
  <c r="K57" i="145"/>
  <c r="F57" i="145"/>
  <c r="P226" i="152"/>
  <c r="P132" i="152"/>
  <c r="J34" i="145"/>
  <c r="I34" i="145"/>
  <c r="G34" i="145"/>
  <c r="K34" i="145"/>
  <c r="F34" i="145"/>
  <c r="H34" i="145"/>
  <c r="E34" i="145"/>
  <c r="P240" i="152"/>
  <c r="P146" i="152"/>
  <c r="H79" i="145"/>
  <c r="E79" i="145"/>
  <c r="J79" i="145"/>
  <c r="I79" i="145"/>
  <c r="K79" i="145"/>
  <c r="G79" i="145"/>
  <c r="F79" i="145"/>
  <c r="P217" i="152"/>
  <c r="I71" i="145"/>
  <c r="F44" i="145"/>
  <c r="E44" i="145"/>
  <c r="K44" i="145"/>
  <c r="I44" i="145"/>
  <c r="H44" i="145"/>
  <c r="G44" i="145"/>
  <c r="J44" i="145"/>
  <c r="E77" i="145"/>
  <c r="P232" i="152"/>
  <c r="P138" i="152"/>
  <c r="S56" i="152"/>
  <c r="R56" i="152"/>
  <c r="T56" i="152"/>
  <c r="N56" i="152"/>
  <c r="L79" i="152"/>
  <c r="O56" i="152"/>
  <c r="L164" i="152"/>
  <c r="P242" i="152"/>
  <c r="P148" i="152"/>
  <c r="P235" i="152"/>
  <c r="P141" i="152"/>
  <c r="P124" i="152"/>
  <c r="K28" i="113" a="1"/>
  <c r="K28" i="113" s="1"/>
  <c r="P221" i="152"/>
  <c r="P246" i="152"/>
  <c r="P152" i="152"/>
  <c r="P227" i="152"/>
  <c r="P133" i="152"/>
  <c r="K171" i="152"/>
  <c r="K16" i="113" a="1"/>
  <c r="K16" i="113" s="1"/>
  <c r="P234" i="152"/>
  <c r="P140" i="152"/>
  <c r="P238" i="152"/>
  <c r="P144" i="152"/>
  <c r="F67" i="145"/>
  <c r="H22" i="145"/>
  <c r="K67" i="145"/>
  <c r="I67" i="145"/>
  <c r="G67" i="145"/>
  <c r="H67" i="145"/>
  <c r="K22" i="145"/>
  <c r="G22" i="145"/>
  <c r="E22" i="145"/>
  <c r="F22" i="145"/>
  <c r="I22" i="145"/>
  <c r="J67" i="145"/>
  <c r="J22" i="145"/>
  <c r="E67" i="145"/>
  <c r="J89" i="145"/>
  <c r="F89" i="145"/>
  <c r="E89" i="145"/>
  <c r="H89" i="145"/>
  <c r="I89" i="145"/>
  <c r="K89" i="145"/>
  <c r="G89" i="145"/>
  <c r="A62" i="151"/>
  <c r="L158" i="152"/>
  <c r="K158" i="152"/>
  <c r="P237" i="152"/>
  <c r="P143" i="152"/>
  <c r="P223" i="152"/>
  <c r="P129" i="152"/>
  <c r="P243" i="152"/>
  <c r="P149" i="152"/>
  <c r="K25" i="145"/>
  <c r="J25" i="145"/>
  <c r="F25" i="145"/>
  <c r="H25" i="145"/>
  <c r="G25" i="145"/>
  <c r="I25" i="145"/>
  <c r="E25" i="145"/>
  <c r="P239" i="152"/>
  <c r="P145" i="152"/>
  <c r="G21" i="145"/>
  <c r="K66" i="145"/>
  <c r="H21" i="145"/>
  <c r="K21" i="145"/>
  <c r="J66" i="145"/>
  <c r="E21" i="145"/>
  <c r="E66" i="145"/>
  <c r="I66" i="145"/>
  <c r="J21" i="145"/>
  <c r="I21" i="145"/>
  <c r="G66" i="145"/>
  <c r="F66" i="145"/>
  <c r="F21" i="145"/>
  <c r="H66" i="145"/>
  <c r="E72" i="145"/>
  <c r="O76" i="152"/>
  <c r="T76" i="152"/>
  <c r="R76" i="152"/>
  <c r="S76" i="152"/>
  <c r="N76" i="152"/>
  <c r="K30" i="113" a="1"/>
  <c r="K30" i="113" s="1"/>
  <c r="K71" i="145"/>
  <c r="P229" i="152"/>
  <c r="P135" i="152"/>
  <c r="P228" i="152"/>
  <c r="P134" i="152"/>
  <c r="Q76" i="152"/>
  <c r="R68" i="152"/>
  <c r="T68" i="152"/>
  <c r="N68" i="152"/>
  <c r="O68" i="152"/>
  <c r="F56" i="134"/>
  <c r="K69" i="116"/>
  <c r="K73" i="116"/>
  <c r="K77" i="116"/>
  <c r="K70" i="116"/>
  <c r="K74" i="116"/>
  <c r="K71" i="116"/>
  <c r="K75" i="116"/>
  <c r="K72" i="116"/>
  <c r="K76" i="116"/>
  <c r="K78" i="116"/>
  <c r="K79" i="116"/>
  <c r="P236" i="152"/>
  <c r="P142" i="152"/>
  <c r="P230" i="152"/>
  <c r="P136" i="152"/>
  <c r="E73" i="145"/>
  <c r="K29" i="113" a="1"/>
  <c r="K29" i="113" s="1"/>
  <c r="L11" i="113"/>
  <c r="L27" i="113" s="1" a="1"/>
  <c r="L27" i="113" s="1"/>
  <c r="I33" i="132"/>
  <c r="I30" i="132"/>
  <c r="I34" i="132"/>
  <c r="I37" i="132"/>
  <c r="I31" i="132"/>
  <c r="I35" i="132"/>
  <c r="I32" i="132"/>
  <c r="I38" i="132"/>
  <c r="G41" i="132"/>
  <c r="A41" i="132" s="1"/>
  <c r="I36" i="132"/>
  <c r="R60" i="152"/>
  <c r="Q60" i="152"/>
  <c r="P60" i="152"/>
  <c r="T60" i="152"/>
  <c r="S60" i="152"/>
  <c r="N60" i="152"/>
  <c r="K79" i="152"/>
  <c r="O60" i="152"/>
  <c r="E12" i="145"/>
  <c r="G12" i="145"/>
  <c r="K12" i="145"/>
  <c r="F12" i="145"/>
  <c r="J12" i="145"/>
  <c r="I12" i="145"/>
  <c r="H12" i="145"/>
  <c r="H48" i="134"/>
  <c r="H55" i="134"/>
  <c r="H62" i="134"/>
  <c r="F11" i="127"/>
  <c r="L171" i="152" l="1"/>
  <c r="L173" i="152" s="1"/>
  <c r="J173" i="152"/>
  <c r="K173" i="152"/>
  <c r="H48" i="120"/>
  <c r="J8" i="113"/>
  <c r="L18" i="4"/>
  <c r="L20" i="4" s="1"/>
  <c r="K15" i="113" s="1"/>
  <c r="G186" i="114"/>
  <c r="I186" i="114" s="1"/>
  <c r="A186" i="114" s="1"/>
  <c r="J73" i="145"/>
  <c r="A31" i="141"/>
  <c r="K95" i="145"/>
  <c r="E20" i="102"/>
  <c r="I77" i="145"/>
  <c r="K77" i="145"/>
  <c r="G18" i="136"/>
  <c r="E74" i="145"/>
  <c r="K21" i="134"/>
  <c r="F61" i="145"/>
  <c r="J77" i="145"/>
  <c r="E87" i="145"/>
  <c r="I65" i="145"/>
  <c r="G77" i="145"/>
  <c r="F95" i="145"/>
  <c r="F78" i="145"/>
  <c r="G95" i="145"/>
  <c r="K74" i="145"/>
  <c r="I97" i="145"/>
  <c r="F73" i="145"/>
  <c r="J65" i="145"/>
  <c r="J95" i="145"/>
  <c r="E63" i="145"/>
  <c r="K63" i="145"/>
  <c r="E83" i="145"/>
  <c r="E95" i="145"/>
  <c r="J19" i="105"/>
  <c r="H73" i="145"/>
  <c r="K97" i="145"/>
  <c r="K83" i="145"/>
  <c r="I83" i="145"/>
  <c r="G181" i="114"/>
  <c r="G182" i="114" s="1"/>
  <c r="A79" i="152"/>
  <c r="I21" i="134"/>
  <c r="G48" i="120"/>
  <c r="G14" i="142" s="1"/>
  <c r="E21" i="134"/>
  <c r="I21" i="113" a="1"/>
  <c r="I21" i="113" s="1"/>
  <c r="J21" i="113" a="1"/>
  <c r="J21" i="113" s="1"/>
  <c r="N15" i="4"/>
  <c r="N16" i="4" s="1"/>
  <c r="M18" i="4"/>
  <c r="A1" i="146"/>
  <c r="H44" i="25" s="1"/>
  <c r="G16" i="136"/>
  <c r="G14" i="136"/>
  <c r="G19" i="136"/>
  <c r="G15" i="136"/>
  <c r="G11" i="136"/>
  <c r="G17" i="136"/>
  <c r="G12" i="136"/>
  <c r="H181" i="114"/>
  <c r="H182" i="114" s="1"/>
  <c r="L21" i="113" a="1"/>
  <c r="L21" i="113" s="1"/>
  <c r="M11" i="113"/>
  <c r="M16" i="113" s="1" a="1"/>
  <c r="M16" i="113" s="1"/>
  <c r="M89" i="115"/>
  <c r="M91" i="115" s="1"/>
  <c r="I181" i="114"/>
  <c r="I182" i="114" s="1"/>
  <c r="K72" i="145"/>
  <c r="I72" i="145"/>
  <c r="K73" i="145"/>
  <c r="E20" i="138"/>
  <c r="E22" i="102"/>
  <c r="L16" i="113" a="1"/>
  <c r="L16" i="113" s="1"/>
  <c r="I89" i="115"/>
  <c r="I91" i="115" s="1"/>
  <c r="G32" i="137"/>
  <c r="G46" i="138"/>
  <c r="G15" i="102"/>
  <c r="G19" i="102"/>
  <c r="G18" i="102"/>
  <c r="G16" i="102"/>
  <c r="G11" i="102"/>
  <c r="G17" i="102"/>
  <c r="G12" i="102"/>
  <c r="G13" i="102"/>
  <c r="G14" i="102"/>
  <c r="I15" i="141"/>
  <c r="K15" i="141"/>
  <c r="G15" i="141"/>
  <c r="J15" i="141"/>
  <c r="H15" i="141"/>
  <c r="H14" i="142"/>
  <c r="K22" i="105"/>
  <c r="I14" i="142"/>
  <c r="L22" i="105"/>
  <c r="G89" i="115"/>
  <c r="G91" i="115" s="1"/>
  <c r="E20" i="136"/>
  <c r="L14" i="105"/>
  <c r="L16" i="105"/>
  <c r="M37" i="105"/>
  <c r="L15" i="105"/>
  <c r="K14" i="141"/>
  <c r="H14" i="141"/>
  <c r="G14" i="141"/>
  <c r="I14" i="141"/>
  <c r="J14" i="141"/>
  <c r="G27" i="139"/>
  <c r="K78" i="145"/>
  <c r="M27" i="139"/>
  <c r="L89" i="115"/>
  <c r="L91" i="115" s="1"/>
  <c r="F20" i="102"/>
  <c r="L27" i="139"/>
  <c r="H89" i="115"/>
  <c r="H91" i="115" s="1"/>
  <c r="J14" i="142"/>
  <c r="M22" i="105"/>
  <c r="H46" i="102"/>
  <c r="K375" i="114"/>
  <c r="J39" i="114"/>
  <c r="J43" i="114"/>
  <c r="J47" i="114"/>
  <c r="J51" i="114"/>
  <c r="J55" i="114"/>
  <c r="J59" i="114"/>
  <c r="J63" i="114"/>
  <c r="J67" i="114"/>
  <c r="J71" i="114"/>
  <c r="J75" i="114"/>
  <c r="J79" i="114"/>
  <c r="J83" i="114"/>
  <c r="J87" i="114"/>
  <c r="J91" i="114"/>
  <c r="J95" i="114"/>
  <c r="J99" i="114"/>
  <c r="J103" i="114"/>
  <c r="J107" i="114"/>
  <c r="J111" i="114"/>
  <c r="J115" i="114"/>
  <c r="J119" i="114"/>
  <c r="J132" i="114"/>
  <c r="J136" i="114"/>
  <c r="J140" i="114"/>
  <c r="J144" i="114"/>
  <c r="J148" i="114"/>
  <c r="J152" i="114"/>
  <c r="H46" i="136"/>
  <c r="J40" i="114"/>
  <c r="J44" i="114"/>
  <c r="J48" i="114"/>
  <c r="J52" i="114"/>
  <c r="J56" i="114"/>
  <c r="J60" i="114"/>
  <c r="J64" i="114"/>
  <c r="J68" i="114"/>
  <c r="J72" i="114"/>
  <c r="J76" i="114"/>
  <c r="J80" i="114"/>
  <c r="J84" i="114"/>
  <c r="J89" i="114"/>
  <c r="J98" i="114"/>
  <c r="J112" i="114"/>
  <c r="J130" i="114"/>
  <c r="J139" i="114"/>
  <c r="J153" i="114"/>
  <c r="J42" i="114"/>
  <c r="J53" i="114"/>
  <c r="J58" i="114"/>
  <c r="J69" i="114"/>
  <c r="J74" i="114"/>
  <c r="J85" i="114"/>
  <c r="J94" i="114"/>
  <c r="J108" i="114"/>
  <c r="J117" i="114"/>
  <c r="J135" i="114"/>
  <c r="J149" i="114"/>
  <c r="J49" i="114"/>
  <c r="J54" i="114"/>
  <c r="J65" i="114"/>
  <c r="J70" i="114"/>
  <c r="J81" i="114"/>
  <c r="J86" i="114"/>
  <c r="J100" i="114"/>
  <c r="J109" i="114"/>
  <c r="J118" i="114"/>
  <c r="J141" i="114"/>
  <c r="J150" i="114"/>
  <c r="J96" i="114"/>
  <c r="J105" i="114"/>
  <c r="J114" i="114"/>
  <c r="J137" i="114"/>
  <c r="J146" i="114"/>
  <c r="J36" i="114"/>
  <c r="J45" i="114"/>
  <c r="J50" i="114"/>
  <c r="J61" i="114"/>
  <c r="J66" i="114"/>
  <c r="J77" i="114"/>
  <c r="J82" i="114"/>
  <c r="J92" i="114"/>
  <c r="J101" i="114"/>
  <c r="J110" i="114"/>
  <c r="J133" i="114"/>
  <c r="J142" i="114"/>
  <c r="J151" i="114"/>
  <c r="J88" i="114"/>
  <c r="J97" i="114"/>
  <c r="J106" i="114"/>
  <c r="J129" i="114"/>
  <c r="J138" i="114"/>
  <c r="J147" i="114"/>
  <c r="J41" i="114"/>
  <c r="J46" i="114"/>
  <c r="J57" i="114"/>
  <c r="J62" i="114"/>
  <c r="J73" i="114"/>
  <c r="J78" i="114"/>
  <c r="J93" i="114"/>
  <c r="J102" i="114"/>
  <c r="J116" i="114"/>
  <c r="J134" i="114"/>
  <c r="J143" i="114"/>
  <c r="J145" i="114"/>
  <c r="J131" i="114"/>
  <c r="J104" i="114"/>
  <c r="J90" i="114"/>
  <c r="J113" i="114"/>
  <c r="J128" i="114"/>
  <c r="J124" i="114"/>
  <c r="J121" i="114"/>
  <c r="J127" i="114"/>
  <c r="J126" i="114"/>
  <c r="J122" i="114"/>
  <c r="J120" i="114"/>
  <c r="J125" i="114"/>
  <c r="J123" i="114"/>
  <c r="J30" i="114"/>
  <c r="J32" i="114"/>
  <c r="J15" i="114"/>
  <c r="J14" i="114"/>
  <c r="J38" i="114"/>
  <c r="J13" i="114"/>
  <c r="J23" i="114"/>
  <c r="J19" i="114"/>
  <c r="J21" i="114"/>
  <c r="J31" i="114"/>
  <c r="J27" i="114"/>
  <c r="J29" i="114"/>
  <c r="J17" i="114"/>
  <c r="J20" i="114"/>
  <c r="J28" i="114"/>
  <c r="J16" i="114"/>
  <c r="J35" i="114"/>
  <c r="J37" i="114"/>
  <c r="J25" i="114"/>
  <c r="J12" i="114"/>
  <c r="J18" i="114"/>
  <c r="J33" i="114"/>
  <c r="J26" i="114"/>
  <c r="J22" i="114"/>
  <c r="J24" i="114"/>
  <c r="J34" i="114"/>
  <c r="K89" i="115"/>
  <c r="K91" i="115" s="1"/>
  <c r="F11" i="137"/>
  <c r="F12" i="137"/>
  <c r="F65" i="145"/>
  <c r="H27" i="139"/>
  <c r="K14" i="142"/>
  <c r="N22" i="105"/>
  <c r="L29" i="113" a="1"/>
  <c r="L29" i="113" s="1"/>
  <c r="L28" i="113" a="1"/>
  <c r="L28" i="113" s="1"/>
  <c r="A158" i="152"/>
  <c r="H74" i="145"/>
  <c r="J27" i="139"/>
  <c r="K13" i="141"/>
  <c r="I13" i="141"/>
  <c r="G13" i="141"/>
  <c r="H13" i="141"/>
  <c r="J13" i="141"/>
  <c r="I78" i="145"/>
  <c r="K27" i="139"/>
  <c r="E22" i="138"/>
  <c r="E13" i="137"/>
  <c r="F14" i="136"/>
  <c r="F18" i="136"/>
  <c r="F11" i="136"/>
  <c r="F13" i="136"/>
  <c r="F19" i="136"/>
  <c r="F15" i="136"/>
  <c r="F16" i="136"/>
  <c r="F12" i="136"/>
  <c r="F17" i="136"/>
  <c r="G65" i="145"/>
  <c r="I27" i="139"/>
  <c r="L30" i="113" a="1"/>
  <c r="L30" i="113" s="1"/>
  <c r="P160" i="152"/>
  <c r="P164" i="152"/>
  <c r="K19" i="105"/>
  <c r="H17" i="141"/>
  <c r="K17" i="141"/>
  <c r="G17" i="141"/>
  <c r="I17" i="141"/>
  <c r="J17" i="141"/>
  <c r="F11" i="138"/>
  <c r="F15" i="138"/>
  <c r="F19" i="138"/>
  <c r="F14" i="138"/>
  <c r="F12" i="138"/>
  <c r="F13" i="138"/>
  <c r="F18" i="138"/>
  <c r="F16" i="138"/>
  <c r="F17" i="138"/>
  <c r="H72" i="145"/>
  <c r="H77" i="145"/>
  <c r="J16" i="141"/>
  <c r="G16" i="141"/>
  <c r="H16" i="141"/>
  <c r="K16" i="141"/>
  <c r="I16" i="141"/>
  <c r="E64" i="134"/>
  <c r="H64" i="134" s="1"/>
  <c r="H60" i="134"/>
  <c r="I90" i="145"/>
  <c r="J48" i="132"/>
  <c r="G48" i="132"/>
  <c r="I48" i="132"/>
  <c r="H48" i="132"/>
  <c r="K48" i="132"/>
  <c r="F80" i="145"/>
  <c r="E35" i="145"/>
  <c r="I13" i="145"/>
  <c r="G51" i="132"/>
  <c r="J51" i="132"/>
  <c r="H51" i="132"/>
  <c r="I51" i="132"/>
  <c r="K51" i="132"/>
  <c r="E26" i="145"/>
  <c r="G90" i="145"/>
  <c r="I45" i="145"/>
  <c r="I47" i="145" s="1"/>
  <c r="G80" i="145"/>
  <c r="G81" i="145" s="1"/>
  <c r="H35" i="145"/>
  <c r="F58" i="145"/>
  <c r="F62" i="145" s="1"/>
  <c r="P231" i="152"/>
  <c r="P249" i="152" s="1"/>
  <c r="P137" i="152"/>
  <c r="P155" i="152" s="1"/>
  <c r="H13" i="145"/>
  <c r="H19" i="145" s="1"/>
  <c r="I54" i="132"/>
  <c r="J54" i="132"/>
  <c r="K54" i="132"/>
  <c r="G54" i="132"/>
  <c r="H54" i="132"/>
  <c r="H45" i="145"/>
  <c r="E56" i="134"/>
  <c r="H56" i="134" s="1"/>
  <c r="H52" i="134"/>
  <c r="J13" i="145"/>
  <c r="I26" i="145"/>
  <c r="I30" i="145" s="1"/>
  <c r="K90" i="145"/>
  <c r="K45" i="145"/>
  <c r="K80" i="145"/>
  <c r="F35" i="145"/>
  <c r="K58" i="145"/>
  <c r="K50" i="132"/>
  <c r="J50" i="132"/>
  <c r="G50" i="132"/>
  <c r="H50" i="132"/>
  <c r="I50" i="132"/>
  <c r="A173" i="152"/>
  <c r="E45" i="145"/>
  <c r="G58" i="145"/>
  <c r="K13" i="145"/>
  <c r="H90" i="145"/>
  <c r="F45" i="145"/>
  <c r="J80" i="145"/>
  <c r="G35" i="145"/>
  <c r="G13" i="145"/>
  <c r="K49" i="132"/>
  <c r="H49" i="132"/>
  <c r="J49" i="132"/>
  <c r="G49" i="132"/>
  <c r="I49" i="132"/>
  <c r="F26" i="145"/>
  <c r="E90" i="145"/>
  <c r="E91" i="145" s="1"/>
  <c r="I15" i="145"/>
  <c r="I73" i="145"/>
  <c r="E80" i="145"/>
  <c r="I35" i="145"/>
  <c r="H58" i="145"/>
  <c r="F13" i="145"/>
  <c r="G26" i="145"/>
  <c r="I80" i="145"/>
  <c r="H53" i="134"/>
  <c r="E67" i="134"/>
  <c r="E13" i="145"/>
  <c r="J55" i="132"/>
  <c r="G55" i="132"/>
  <c r="K55" i="132"/>
  <c r="I55" i="132"/>
  <c r="H55" i="132"/>
  <c r="J26" i="145"/>
  <c r="F90" i="145"/>
  <c r="J45" i="145"/>
  <c r="H80" i="145"/>
  <c r="J35" i="145"/>
  <c r="I58" i="145"/>
  <c r="K35" i="145"/>
  <c r="I53" i="132"/>
  <c r="K53" i="132"/>
  <c r="H53" i="132"/>
  <c r="G53" i="132"/>
  <c r="J53" i="132"/>
  <c r="H26" i="145"/>
  <c r="J58" i="145"/>
  <c r="H61" i="134"/>
  <c r="E68" i="134"/>
  <c r="H52" i="132"/>
  <c r="I52" i="132"/>
  <c r="K52" i="132"/>
  <c r="G52" i="132"/>
  <c r="J52" i="132"/>
  <c r="P168" i="152"/>
  <c r="K26" i="145"/>
  <c r="J90" i="145"/>
  <c r="G45" i="145"/>
  <c r="E58" i="145"/>
  <c r="P161" i="152" l="1"/>
  <c r="P167" i="152"/>
  <c r="J22" i="105"/>
  <c r="K8" i="113"/>
  <c r="M28" i="113" a="1"/>
  <c r="M28" i="113" s="1"/>
  <c r="G92" i="145"/>
  <c r="H30" i="145"/>
  <c r="I60" i="145"/>
  <c r="G32" i="145"/>
  <c r="E94" i="145"/>
  <c r="G37" i="145"/>
  <c r="K51" i="145"/>
  <c r="E28" i="145"/>
  <c r="F81" i="145"/>
  <c r="E37" i="145"/>
  <c r="J37" i="145"/>
  <c r="F15" i="145"/>
  <c r="F32" i="145"/>
  <c r="J82" i="145"/>
  <c r="K92" i="145"/>
  <c r="F60" i="145"/>
  <c r="I32" i="145"/>
  <c r="H81" i="145"/>
  <c r="H60" i="145"/>
  <c r="F47" i="145"/>
  <c r="H37" i="145"/>
  <c r="G51" i="145"/>
  <c r="J51" i="145"/>
  <c r="I37" i="145"/>
  <c r="H92" i="145"/>
  <c r="J14" i="145"/>
  <c r="K17" i="145"/>
  <c r="G15" i="145"/>
  <c r="E60" i="145"/>
  <c r="J92" i="145"/>
  <c r="F92" i="145"/>
  <c r="E15" i="145"/>
  <c r="E81" i="145"/>
  <c r="G82" i="145"/>
  <c r="K32" i="145"/>
  <c r="J30" i="145"/>
  <c r="G59" i="145"/>
  <c r="K60" i="145"/>
  <c r="H15" i="145"/>
  <c r="J23" i="105"/>
  <c r="K37" i="145"/>
  <c r="E51" i="145"/>
  <c r="F41" i="145"/>
  <c r="H46" i="145"/>
  <c r="I51" i="145"/>
  <c r="I17" i="145"/>
  <c r="I94" i="145"/>
  <c r="J64" i="145"/>
  <c r="I82" i="145"/>
  <c r="K81" i="145"/>
  <c r="H51" i="145"/>
  <c r="H14" i="145"/>
  <c r="G86" i="145"/>
  <c r="F51" i="145"/>
  <c r="J17" i="145"/>
  <c r="F37" i="145"/>
  <c r="L8" i="113"/>
  <c r="M20" i="4"/>
  <c r="L15" i="113" s="1"/>
  <c r="O15" i="4"/>
  <c r="O16" i="4" s="1"/>
  <c r="N18" i="4"/>
  <c r="G22" i="102"/>
  <c r="G20" i="136"/>
  <c r="M30" i="113" a="1"/>
  <c r="M30" i="113" s="1"/>
  <c r="N11" i="113"/>
  <c r="N28" i="113" s="1" a="1"/>
  <c r="N28" i="113" s="1"/>
  <c r="M27" i="113" a="1"/>
  <c r="M27" i="113" s="1"/>
  <c r="M21" i="113" a="1"/>
  <c r="M21" i="113" s="1"/>
  <c r="M29" i="113" a="1"/>
  <c r="M29" i="113" s="1"/>
  <c r="K23" i="105"/>
  <c r="J94" i="145"/>
  <c r="J36" i="145"/>
  <c r="K91" i="145"/>
  <c r="I81" i="145"/>
  <c r="I49" i="145"/>
  <c r="J46" i="145"/>
  <c r="E64" i="145"/>
  <c r="K41" i="145"/>
  <c r="J49" i="145"/>
  <c r="G39" i="145"/>
  <c r="F36" i="145"/>
  <c r="H32" i="145"/>
  <c r="I39" i="145"/>
  <c r="J47" i="145"/>
  <c r="E47" i="145"/>
  <c r="J28" i="145"/>
  <c r="E82" i="145"/>
  <c r="E46" i="145"/>
  <c r="K59" i="145"/>
  <c r="E59" i="145"/>
  <c r="J41" i="145"/>
  <c r="F17" i="145"/>
  <c r="F46" i="145"/>
  <c r="I19" i="145"/>
  <c r="E62" i="145"/>
  <c r="J32" i="145"/>
  <c r="E14" i="145"/>
  <c r="F14" i="145"/>
  <c r="F27" i="145"/>
  <c r="H36" i="145"/>
  <c r="F22" i="102"/>
  <c r="N37" i="105"/>
  <c r="M15" i="105"/>
  <c r="M16" i="105"/>
  <c r="M14" i="105"/>
  <c r="E19" i="145"/>
  <c r="I36" i="145"/>
  <c r="F49" i="145"/>
  <c r="E49" i="145"/>
  <c r="K86" i="145"/>
  <c r="J15" i="145"/>
  <c r="J12" i="103"/>
  <c r="H41" i="145"/>
  <c r="I46" i="145"/>
  <c r="K53" i="116"/>
  <c r="K17" i="116" s="1"/>
  <c r="E39" i="145"/>
  <c r="K30" i="145"/>
  <c r="F20" i="136"/>
  <c r="H18" i="141"/>
  <c r="H28" i="141" s="1"/>
  <c r="H16" i="136"/>
  <c r="H12" i="136"/>
  <c r="H14" i="136"/>
  <c r="H15" i="136"/>
  <c r="H11" i="136"/>
  <c r="H18" i="136"/>
  <c r="H19" i="136"/>
  <c r="H13" i="136"/>
  <c r="H17" i="136"/>
  <c r="G14" i="138"/>
  <c r="G12" i="138"/>
  <c r="G19" i="138"/>
  <c r="G13" i="138"/>
  <c r="G16" i="138"/>
  <c r="G17" i="138"/>
  <c r="G18" i="138"/>
  <c r="G15" i="138"/>
  <c r="G11" i="138"/>
  <c r="J18" i="141"/>
  <c r="J28" i="141" s="1"/>
  <c r="K82" i="145"/>
  <c r="J53" i="116"/>
  <c r="J16" i="116" s="1"/>
  <c r="E36" i="145"/>
  <c r="I28" i="145"/>
  <c r="G18" i="141"/>
  <c r="G28" i="141" s="1"/>
  <c r="L19" i="105"/>
  <c r="L23" i="105" s="1"/>
  <c r="G11" i="137"/>
  <c r="G12" i="137"/>
  <c r="K29" i="103"/>
  <c r="I29" i="103"/>
  <c r="I27" i="145"/>
  <c r="L53" i="116"/>
  <c r="L20" i="116" s="1"/>
  <c r="I18" i="141"/>
  <c r="I28" i="141" s="1"/>
  <c r="E27" i="145"/>
  <c r="J39" i="145"/>
  <c r="J29" i="103"/>
  <c r="E86" i="145"/>
  <c r="G36" i="145"/>
  <c r="G30" i="145"/>
  <c r="K47" i="145"/>
  <c r="G94" i="145"/>
  <c r="I53" i="116"/>
  <c r="I15" i="116" s="1"/>
  <c r="F86" i="145"/>
  <c r="F20" i="138"/>
  <c r="K18" i="141"/>
  <c r="K28" i="141" s="1"/>
  <c r="F13" i="137"/>
  <c r="F22" i="138"/>
  <c r="J181" i="114"/>
  <c r="J182" i="114" s="1"/>
  <c r="G20" i="102"/>
  <c r="E30" i="145"/>
  <c r="K12" i="103"/>
  <c r="H28" i="145"/>
  <c r="G46" i="145"/>
  <c r="K15" i="145"/>
  <c r="L29" i="103"/>
  <c r="I86" i="145"/>
  <c r="H62" i="145"/>
  <c r="K19" i="145"/>
  <c r="K49" i="145"/>
  <c r="I12" i="103"/>
  <c r="I14" i="145"/>
  <c r="F82" i="145"/>
  <c r="K27" i="114"/>
  <c r="K35" i="114"/>
  <c r="L375" i="114"/>
  <c r="K18" i="114"/>
  <c r="K26" i="114"/>
  <c r="K34" i="114"/>
  <c r="K15" i="114"/>
  <c r="K31" i="114"/>
  <c r="K40" i="114"/>
  <c r="K44" i="114"/>
  <c r="K48" i="114"/>
  <c r="K52" i="114"/>
  <c r="K56" i="114"/>
  <c r="K60" i="114"/>
  <c r="K64" i="114"/>
  <c r="K68" i="114"/>
  <c r="K72" i="114"/>
  <c r="K76" i="114"/>
  <c r="K80" i="114"/>
  <c r="K84" i="114"/>
  <c r="K88" i="114"/>
  <c r="K92" i="114"/>
  <c r="K96" i="114"/>
  <c r="K100" i="114"/>
  <c r="K104" i="114"/>
  <c r="K108" i="114"/>
  <c r="K112" i="114"/>
  <c r="K23" i="114"/>
  <c r="K41" i="114"/>
  <c r="K50" i="114"/>
  <c r="K59" i="114"/>
  <c r="K73" i="114"/>
  <c r="K82" i="114"/>
  <c r="K91" i="114"/>
  <c r="K105" i="114"/>
  <c r="K114" i="114"/>
  <c r="K118" i="114"/>
  <c r="K131" i="114"/>
  <c r="K135" i="114"/>
  <c r="K139" i="114"/>
  <c r="K143" i="114"/>
  <c r="K147" i="114"/>
  <c r="K151" i="114"/>
  <c r="K46" i="114"/>
  <c r="K55" i="114"/>
  <c r="K69" i="114"/>
  <c r="K78" i="114"/>
  <c r="K87" i="114"/>
  <c r="K101" i="114"/>
  <c r="K110" i="114"/>
  <c r="K47" i="114"/>
  <c r="K61" i="114"/>
  <c r="K70" i="114"/>
  <c r="K79" i="114"/>
  <c r="K93" i="114"/>
  <c r="K102" i="114"/>
  <c r="K111" i="114"/>
  <c r="K43" i="114"/>
  <c r="K57" i="114"/>
  <c r="K66" i="114"/>
  <c r="K75" i="114"/>
  <c r="K89" i="114"/>
  <c r="K98" i="114"/>
  <c r="K107" i="114"/>
  <c r="K116" i="114"/>
  <c r="K129" i="114"/>
  <c r="K133" i="114"/>
  <c r="K137" i="114"/>
  <c r="K141" i="114"/>
  <c r="K145" i="114"/>
  <c r="K149" i="114"/>
  <c r="K153" i="114"/>
  <c r="K39" i="114"/>
  <c r="K53" i="114"/>
  <c r="K62" i="114"/>
  <c r="K71" i="114"/>
  <c r="K85" i="114"/>
  <c r="K94" i="114"/>
  <c r="K103" i="114"/>
  <c r="K49" i="114"/>
  <c r="K58" i="114"/>
  <c r="K67" i="114"/>
  <c r="K81" i="114"/>
  <c r="K90" i="114"/>
  <c r="K99" i="114"/>
  <c r="K113" i="114"/>
  <c r="K117" i="114"/>
  <c r="K130" i="114"/>
  <c r="K134" i="114"/>
  <c r="K138" i="114"/>
  <c r="K142" i="114"/>
  <c r="K146" i="114"/>
  <c r="K150" i="114"/>
  <c r="I46" i="102"/>
  <c r="I46" i="136"/>
  <c r="K45" i="114"/>
  <c r="K54" i="114"/>
  <c r="K63" i="114"/>
  <c r="K77" i="114"/>
  <c r="K86" i="114"/>
  <c r="K95" i="114"/>
  <c r="K109" i="114"/>
  <c r="K97" i="114"/>
  <c r="K140" i="114"/>
  <c r="K83" i="114"/>
  <c r="K119" i="114"/>
  <c r="K106" i="114"/>
  <c r="K148" i="114"/>
  <c r="K136" i="114"/>
  <c r="K42" i="114"/>
  <c r="K115" i="114"/>
  <c r="K65" i="114"/>
  <c r="K144" i="114"/>
  <c r="K51" i="114"/>
  <c r="K132" i="114"/>
  <c r="K74" i="114"/>
  <c r="K152" i="114"/>
  <c r="K122" i="114"/>
  <c r="K123" i="114"/>
  <c r="K121" i="114"/>
  <c r="K120" i="114"/>
  <c r="K126" i="114"/>
  <c r="K128" i="114"/>
  <c r="K125" i="114"/>
  <c r="K124" i="114"/>
  <c r="K127" i="114"/>
  <c r="K37" i="114"/>
  <c r="K20" i="114"/>
  <c r="K16" i="114"/>
  <c r="K22" i="114"/>
  <c r="K25" i="114"/>
  <c r="K29" i="114"/>
  <c r="K19" i="114"/>
  <c r="K12" i="114"/>
  <c r="K14" i="114"/>
  <c r="K17" i="114"/>
  <c r="K21" i="114"/>
  <c r="K36" i="114"/>
  <c r="K32" i="114"/>
  <c r="K38" i="114"/>
  <c r="K13" i="114"/>
  <c r="K28" i="114"/>
  <c r="K24" i="114"/>
  <c r="K30" i="114"/>
  <c r="K33" i="114"/>
  <c r="L12" i="103"/>
  <c r="M53" i="116"/>
  <c r="M18" i="116" s="1"/>
  <c r="G47" i="145"/>
  <c r="P171" i="152"/>
  <c r="P173" i="152" s="1"/>
  <c r="K36" i="145"/>
  <c r="F91" i="145"/>
  <c r="H29" i="103"/>
  <c r="H64" i="145"/>
  <c r="K14" i="145"/>
  <c r="K46" i="145"/>
  <c r="J19" i="145"/>
  <c r="H12" i="103"/>
  <c r="E32" i="145"/>
  <c r="H18" i="102"/>
  <c r="H32" i="137"/>
  <c r="H46" i="138"/>
  <c r="H19" i="102"/>
  <c r="H11" i="102"/>
  <c r="H12" i="102"/>
  <c r="H16" i="102"/>
  <c r="H13" i="102"/>
  <c r="H17" i="102"/>
  <c r="H14" i="102"/>
  <c r="H15" i="102"/>
  <c r="A91" i="115"/>
  <c r="I96" i="145"/>
  <c r="K56" i="132"/>
  <c r="G49" i="145"/>
  <c r="K39" i="145"/>
  <c r="F94" i="145"/>
  <c r="F19" i="145"/>
  <c r="I41" i="145"/>
  <c r="G41" i="145"/>
  <c r="F39" i="145"/>
  <c r="K94" i="145"/>
  <c r="G27" i="145"/>
  <c r="H17" i="145"/>
  <c r="G91" i="145"/>
  <c r="E41" i="145"/>
  <c r="H56" i="132"/>
  <c r="J60" i="145"/>
  <c r="E70" i="134"/>
  <c r="E69" i="134"/>
  <c r="I56" i="132"/>
  <c r="H96" i="145"/>
  <c r="G60" i="145"/>
  <c r="K20" i="116"/>
  <c r="K14" i="116"/>
  <c r="K15" i="116"/>
  <c r="H39" i="145"/>
  <c r="G56" i="132"/>
  <c r="G28" i="145"/>
  <c r="K28" i="145"/>
  <c r="K27" i="145"/>
  <c r="J62" i="145"/>
  <c r="I64" i="145"/>
  <c r="H86" i="145"/>
  <c r="E92" i="145"/>
  <c r="E96" i="145"/>
  <c r="G17" i="145"/>
  <c r="J81" i="145"/>
  <c r="G64" i="145"/>
  <c r="H47" i="145"/>
  <c r="J56" i="132"/>
  <c r="F96" i="145"/>
  <c r="J96" i="145"/>
  <c r="H27" i="145"/>
  <c r="J59" i="145"/>
  <c r="I59" i="145"/>
  <c r="H82" i="145"/>
  <c r="E17" i="145"/>
  <c r="H59" i="145"/>
  <c r="G19" i="145"/>
  <c r="J86" i="145"/>
  <c r="H91" i="145"/>
  <c r="G62" i="145"/>
  <c r="K64" i="145"/>
  <c r="K96" i="145"/>
  <c r="H49" i="145"/>
  <c r="F59" i="145"/>
  <c r="G96" i="145"/>
  <c r="I92" i="145"/>
  <c r="I91" i="145"/>
  <c r="J91" i="145"/>
  <c r="I62" i="145"/>
  <c r="J27" i="145"/>
  <c r="F28" i="145"/>
  <c r="F30" i="145"/>
  <c r="G14" i="145"/>
  <c r="H94" i="145"/>
  <c r="K62" i="145"/>
  <c r="F64" i="145"/>
  <c r="N21" i="113" a="1"/>
  <c r="N21" i="113" s="1"/>
  <c r="N29" i="113" a="1"/>
  <c r="N29" i="113" s="1"/>
  <c r="N16" i="113" a="1"/>
  <c r="N16" i="113" s="1"/>
  <c r="M19" i="116" l="1"/>
  <c r="M20" i="116"/>
  <c r="M14" i="116"/>
  <c r="L19" i="116"/>
  <c r="I14" i="116"/>
  <c r="I17" i="116"/>
  <c r="N27" i="113" a="1"/>
  <c r="N27" i="113" s="1"/>
  <c r="M8" i="113"/>
  <c r="I22" i="113" s="1" a="1"/>
  <c r="I22" i="113" s="1"/>
  <c r="N20" i="4"/>
  <c r="M15" i="113" s="1"/>
  <c r="O18" i="4"/>
  <c r="P15" i="4"/>
  <c r="P16" i="4" s="1"/>
  <c r="L16" i="116"/>
  <c r="L12" i="116"/>
  <c r="M17" i="116"/>
  <c r="M16" i="116"/>
  <c r="L18" i="116"/>
  <c r="N30" i="113" a="1"/>
  <c r="N30" i="113" s="1"/>
  <c r="J15" i="116"/>
  <c r="I13" i="116"/>
  <c r="I20" i="116"/>
  <c r="M15" i="116"/>
  <c r="H20" i="136"/>
  <c r="M12" i="116"/>
  <c r="I18" i="116"/>
  <c r="J13" i="116"/>
  <c r="J20" i="116"/>
  <c r="J18" i="116"/>
  <c r="I16" i="116"/>
  <c r="J19" i="116"/>
  <c r="J14" i="116"/>
  <c r="J12" i="116"/>
  <c r="I12" i="116"/>
  <c r="I19" i="116"/>
  <c r="J17" i="116"/>
  <c r="M13" i="116"/>
  <c r="H12" i="137"/>
  <c r="H11" i="137"/>
  <c r="M19" i="105"/>
  <c r="M23" i="105" s="1"/>
  <c r="K13" i="116"/>
  <c r="L17" i="116"/>
  <c r="K12" i="116"/>
  <c r="L15" i="116"/>
  <c r="N16" i="105"/>
  <c r="N14" i="105"/>
  <c r="N15" i="105"/>
  <c r="K181" i="114"/>
  <c r="K182" i="114" s="1"/>
  <c r="G20" i="138"/>
  <c r="K19" i="116"/>
  <c r="L14" i="116"/>
  <c r="G22" i="138"/>
  <c r="G13" i="137"/>
  <c r="H22" i="102"/>
  <c r="K16" i="116"/>
  <c r="K18" i="116"/>
  <c r="L13" i="116"/>
  <c r="H20" i="102"/>
  <c r="H15" i="138"/>
  <c r="H19" i="138"/>
  <c r="H12" i="138"/>
  <c r="H16" i="138"/>
  <c r="H17" i="138"/>
  <c r="H14" i="138"/>
  <c r="H13" i="138"/>
  <c r="H18" i="138"/>
  <c r="H11" i="138"/>
  <c r="I46" i="138"/>
  <c r="I32" i="137"/>
  <c r="I13" i="102"/>
  <c r="I18" i="102"/>
  <c r="I12" i="102"/>
  <c r="I16" i="102"/>
  <c r="I14" i="102"/>
  <c r="I17" i="102"/>
  <c r="I15" i="102"/>
  <c r="I19" i="102"/>
  <c r="I11" i="102"/>
  <c r="M375" i="114"/>
  <c r="L14" i="114"/>
  <c r="L22" i="114"/>
  <c r="L30" i="114"/>
  <c r="L38" i="114"/>
  <c r="L13" i="114"/>
  <c r="L21" i="114"/>
  <c r="L29" i="114"/>
  <c r="L37" i="114"/>
  <c r="L18" i="114"/>
  <c r="L34" i="114"/>
  <c r="L26" i="114"/>
  <c r="J46" i="136"/>
  <c r="J46" i="102"/>
  <c r="L39" i="114"/>
  <c r="L43" i="114"/>
  <c r="L47" i="114"/>
  <c r="L51" i="114"/>
  <c r="L55" i="114"/>
  <c r="L59" i="114"/>
  <c r="L63" i="114"/>
  <c r="L67" i="114"/>
  <c r="L71" i="114"/>
  <c r="L75" i="114"/>
  <c r="L79" i="114"/>
  <c r="L83" i="114"/>
  <c r="L87" i="114"/>
  <c r="L91" i="114"/>
  <c r="L95" i="114"/>
  <c r="L99" i="114"/>
  <c r="L103" i="114"/>
  <c r="L107" i="114"/>
  <c r="L111" i="114"/>
  <c r="L115" i="114"/>
  <c r="L119" i="114"/>
  <c r="L132" i="114"/>
  <c r="L136" i="114"/>
  <c r="L140" i="114"/>
  <c r="L144" i="114"/>
  <c r="L148" i="114"/>
  <c r="L152" i="114"/>
  <c r="L41" i="114"/>
  <c r="L45" i="114"/>
  <c r="L49" i="114"/>
  <c r="L53" i="114"/>
  <c r="L57" i="114"/>
  <c r="L61" i="114"/>
  <c r="L65" i="114"/>
  <c r="L69" i="114"/>
  <c r="L73" i="114"/>
  <c r="L77" i="114"/>
  <c r="L81" i="114"/>
  <c r="L85" i="114"/>
  <c r="L44" i="114"/>
  <c r="L60" i="114"/>
  <c r="L76" i="114"/>
  <c r="L96" i="114"/>
  <c r="L105" i="114"/>
  <c r="L114" i="114"/>
  <c r="L137" i="114"/>
  <c r="L146" i="114"/>
  <c r="L50" i="114"/>
  <c r="L66" i="114"/>
  <c r="L82" i="114"/>
  <c r="L92" i="114"/>
  <c r="L101" i="114"/>
  <c r="L110" i="114"/>
  <c r="L133" i="114"/>
  <c r="L142" i="114"/>
  <c r="L151" i="114"/>
  <c r="L46" i="114"/>
  <c r="L62" i="114"/>
  <c r="L78" i="114"/>
  <c r="L93" i="114"/>
  <c r="L102" i="114"/>
  <c r="L116" i="114"/>
  <c r="L134" i="114"/>
  <c r="L143" i="114"/>
  <c r="L52" i="114"/>
  <c r="L68" i="114"/>
  <c r="L84" i="114"/>
  <c r="L89" i="114"/>
  <c r="L98" i="114"/>
  <c r="L112" i="114"/>
  <c r="L130" i="114"/>
  <c r="L139" i="114"/>
  <c r="L153" i="114"/>
  <c r="L42" i="114"/>
  <c r="L58" i="114"/>
  <c r="L74" i="114"/>
  <c r="L94" i="114"/>
  <c r="L108" i="114"/>
  <c r="L117" i="114"/>
  <c r="L135" i="114"/>
  <c r="L149" i="114"/>
  <c r="L48" i="114"/>
  <c r="L64" i="114"/>
  <c r="L80" i="114"/>
  <c r="L90" i="114"/>
  <c r="L104" i="114"/>
  <c r="L113" i="114"/>
  <c r="L131" i="114"/>
  <c r="L145" i="114"/>
  <c r="L54" i="114"/>
  <c r="L70" i="114"/>
  <c r="L86" i="114"/>
  <c r="L100" i="114"/>
  <c r="L109" i="114"/>
  <c r="L118" i="114"/>
  <c r="L141" i="114"/>
  <c r="L150" i="114"/>
  <c r="L106" i="114"/>
  <c r="L40" i="114"/>
  <c r="L138" i="114"/>
  <c r="L56" i="114"/>
  <c r="L72" i="114"/>
  <c r="L147" i="114"/>
  <c r="L88" i="114"/>
  <c r="L97" i="114"/>
  <c r="L129" i="114"/>
  <c r="L122" i="114"/>
  <c r="L124" i="114"/>
  <c r="L120" i="114"/>
  <c r="L128" i="114"/>
  <c r="L121" i="114"/>
  <c r="L125" i="114"/>
  <c r="L126" i="114"/>
  <c r="L127" i="114"/>
  <c r="L123" i="114"/>
  <c r="L23" i="114"/>
  <c r="L19" i="114"/>
  <c r="L25" i="114"/>
  <c r="L28" i="114"/>
  <c r="L31" i="114"/>
  <c r="L33" i="114"/>
  <c r="L32" i="114"/>
  <c r="L15" i="114"/>
  <c r="L17" i="114"/>
  <c r="L36" i="114"/>
  <c r="L24" i="114"/>
  <c r="L35" i="114"/>
  <c r="L27" i="114"/>
  <c r="L20" i="114"/>
  <c r="L16" i="114"/>
  <c r="L12" i="114"/>
  <c r="I13" i="136"/>
  <c r="I16" i="136"/>
  <c r="I18" i="136"/>
  <c r="I17" i="136"/>
  <c r="I11" i="136"/>
  <c r="I15" i="136"/>
  <c r="I19" i="136"/>
  <c r="I14" i="136"/>
  <c r="I12" i="136"/>
  <c r="J22" i="113" l="1" a="1"/>
  <c r="J22" i="113" s="1"/>
  <c r="P18" i="4"/>
  <c r="Q15" i="4"/>
  <c r="Q16" i="4" s="1"/>
  <c r="N22" i="113" a="1"/>
  <c r="N22" i="113" s="1"/>
  <c r="N8" i="113"/>
  <c r="O20" i="4"/>
  <c r="K22" i="113" a="1"/>
  <c r="K22" i="113" s="1"/>
  <c r="L22" i="113" a="1"/>
  <c r="L22" i="113" s="1"/>
  <c r="M22" i="113" a="1"/>
  <c r="M22" i="113" s="1"/>
  <c r="K52" i="116"/>
  <c r="J52" i="116"/>
  <c r="M52" i="116"/>
  <c r="I52" i="116"/>
  <c r="L52" i="116"/>
  <c r="I22" i="102"/>
  <c r="L181" i="114"/>
  <c r="L182" i="114" s="1"/>
  <c r="M40" i="114"/>
  <c r="M44" i="114"/>
  <c r="K46" i="136"/>
  <c r="M41" i="114"/>
  <c r="K46" i="102"/>
  <c r="M47" i="114"/>
  <c r="M51" i="114"/>
  <c r="M55" i="114"/>
  <c r="M59" i="114"/>
  <c r="M63" i="114"/>
  <c r="M67" i="114"/>
  <c r="M71" i="114"/>
  <c r="M75" i="114"/>
  <c r="M79" i="114"/>
  <c r="M83" i="114"/>
  <c r="M87" i="114"/>
  <c r="M91" i="114"/>
  <c r="M95" i="114"/>
  <c r="M99" i="114"/>
  <c r="M103" i="114"/>
  <c r="M107" i="114"/>
  <c r="M111" i="114"/>
  <c r="M115" i="114"/>
  <c r="M119" i="114"/>
  <c r="M132" i="114"/>
  <c r="M136" i="114"/>
  <c r="M140" i="114"/>
  <c r="M144" i="114"/>
  <c r="M148" i="114"/>
  <c r="M152" i="114"/>
  <c r="M43" i="114"/>
  <c r="M45" i="114"/>
  <c r="M49" i="114"/>
  <c r="M53" i="114"/>
  <c r="M57" i="114"/>
  <c r="M61" i="114"/>
  <c r="M65" i="114"/>
  <c r="M69" i="114"/>
  <c r="M73" i="114"/>
  <c r="M77" i="114"/>
  <c r="M81" i="114"/>
  <c r="M85" i="114"/>
  <c r="M89" i="114"/>
  <c r="M93" i="114"/>
  <c r="M97" i="114"/>
  <c r="M101" i="114"/>
  <c r="M105" i="114"/>
  <c r="M109" i="114"/>
  <c r="M113" i="114"/>
  <c r="M117" i="114"/>
  <c r="M130" i="114"/>
  <c r="M134" i="114"/>
  <c r="M138" i="114"/>
  <c r="M142" i="114"/>
  <c r="M146" i="114"/>
  <c r="M150" i="114"/>
  <c r="M39" i="114"/>
  <c r="M56" i="114"/>
  <c r="M72" i="114"/>
  <c r="M88" i="114"/>
  <c r="M104" i="114"/>
  <c r="M129" i="114"/>
  <c r="M145" i="114"/>
  <c r="M46" i="114"/>
  <c r="M62" i="114"/>
  <c r="M78" i="114"/>
  <c r="M94" i="114"/>
  <c r="M110" i="114"/>
  <c r="M135" i="114"/>
  <c r="M151" i="114"/>
  <c r="M52" i="114"/>
  <c r="M68" i="114"/>
  <c r="M84" i="114"/>
  <c r="M100" i="114"/>
  <c r="M116" i="114"/>
  <c r="M141" i="114"/>
  <c r="M58" i="114"/>
  <c r="M74" i="114"/>
  <c r="M90" i="114"/>
  <c r="M106" i="114"/>
  <c r="M131" i="114"/>
  <c r="M147" i="114"/>
  <c r="M42" i="114"/>
  <c r="M48" i="114"/>
  <c r="M64" i="114"/>
  <c r="M80" i="114"/>
  <c r="M96" i="114"/>
  <c r="M112" i="114"/>
  <c r="M137" i="114"/>
  <c r="M153" i="114"/>
  <c r="M54" i="114"/>
  <c r="M70" i="114"/>
  <c r="M86" i="114"/>
  <c r="M102" i="114"/>
  <c r="M118" i="114"/>
  <c r="M143" i="114"/>
  <c r="M60" i="114"/>
  <c r="M76" i="114"/>
  <c r="M92" i="114"/>
  <c r="M108" i="114"/>
  <c r="M133" i="114"/>
  <c r="M149" i="114"/>
  <c r="M50" i="114"/>
  <c r="M66" i="114"/>
  <c r="M82" i="114"/>
  <c r="M98" i="114"/>
  <c r="M114" i="114"/>
  <c r="M139" i="114"/>
  <c r="M121" i="114"/>
  <c r="M128" i="114"/>
  <c r="M122" i="114"/>
  <c r="M120" i="114"/>
  <c r="M124" i="114"/>
  <c r="M123" i="114"/>
  <c r="M125" i="114"/>
  <c r="M126" i="114"/>
  <c r="M127" i="114"/>
  <c r="M15" i="114"/>
  <c r="M25" i="114"/>
  <c r="M35" i="114"/>
  <c r="M21" i="114"/>
  <c r="M23" i="114"/>
  <c r="M33" i="114"/>
  <c r="M16" i="114"/>
  <c r="M37" i="114"/>
  <c r="M34" i="114"/>
  <c r="M31" i="114"/>
  <c r="M14" i="114"/>
  <c r="M24" i="114"/>
  <c r="M13" i="114"/>
  <c r="M12" i="114"/>
  <c r="M22" i="114"/>
  <c r="M32" i="114"/>
  <c r="M36" i="114"/>
  <c r="M20" i="114"/>
  <c r="M30" i="114"/>
  <c r="M18" i="114"/>
  <c r="M28" i="114"/>
  <c r="M38" i="114"/>
  <c r="M26" i="114"/>
  <c r="M19" i="114"/>
  <c r="M17" i="114"/>
  <c r="M27" i="114"/>
  <c r="M29" i="114"/>
  <c r="I20" i="102"/>
  <c r="I20" i="136"/>
  <c r="J15" i="102"/>
  <c r="J46" i="138"/>
  <c r="J32" i="137"/>
  <c r="J19" i="102"/>
  <c r="J12" i="102"/>
  <c r="J16" i="102"/>
  <c r="J11" i="102"/>
  <c r="J13" i="102"/>
  <c r="J17" i="102"/>
  <c r="J14" i="102"/>
  <c r="J18" i="102"/>
  <c r="I12" i="137"/>
  <c r="I11" i="137"/>
  <c r="N19" i="105"/>
  <c r="N23" i="105" s="1"/>
  <c r="H13" i="137"/>
  <c r="H22" i="138"/>
  <c r="J17" i="136"/>
  <c r="J16" i="136"/>
  <c r="J12" i="136"/>
  <c r="J18" i="136"/>
  <c r="J11" i="136"/>
  <c r="J14" i="136"/>
  <c r="J15" i="136"/>
  <c r="J19" i="136"/>
  <c r="J13" i="136"/>
  <c r="I18" i="138"/>
  <c r="I14" i="138"/>
  <c r="I19" i="138"/>
  <c r="I11" i="138"/>
  <c r="I16" i="138"/>
  <c r="I17" i="138"/>
  <c r="I15" i="138"/>
  <c r="I13" i="138"/>
  <c r="I12" i="138"/>
  <c r="H20" i="138"/>
  <c r="P20" i="4" l="1"/>
  <c r="O8" i="113"/>
  <c r="J43" i="152"/>
  <c r="J71" i="151"/>
  <c r="J177" i="152"/>
  <c r="J37" i="151"/>
  <c r="J8" i="151"/>
  <c r="J83" i="152"/>
  <c r="J120" i="152"/>
  <c r="J28" i="151"/>
  <c r="N15" i="113"/>
  <c r="J8" i="152"/>
  <c r="J214" i="152"/>
  <c r="AA20" i="4"/>
  <c r="Q18" i="4"/>
  <c r="R15" i="4"/>
  <c r="R16" i="4" s="1"/>
  <c r="G193" i="114"/>
  <c r="G194" i="114"/>
  <c r="G190" i="114"/>
  <c r="G192" i="114"/>
  <c r="I192" i="114" s="1"/>
  <c r="A192" i="114" s="1"/>
  <c r="G189" i="114"/>
  <c r="G187" i="114"/>
  <c r="I20" i="138"/>
  <c r="J20" i="136"/>
  <c r="K32" i="137"/>
  <c r="K15" i="102"/>
  <c r="K11" i="102"/>
  <c r="K46" i="138"/>
  <c r="K16" i="102"/>
  <c r="K12" i="102"/>
  <c r="K18" i="102"/>
  <c r="K17" i="102"/>
  <c r="K13" i="102"/>
  <c r="K14" i="102"/>
  <c r="K19" i="102"/>
  <c r="G188" i="114"/>
  <c r="G191" i="114"/>
  <c r="I13" i="137"/>
  <c r="I22" i="138"/>
  <c r="G185" i="114"/>
  <c r="M181" i="114"/>
  <c r="M182" i="114" s="1"/>
  <c r="A182" i="114" s="1"/>
  <c r="G184" i="114"/>
  <c r="K16" i="136"/>
  <c r="K13" i="136"/>
  <c r="K17" i="136"/>
  <c r="K12" i="136"/>
  <c r="K11" i="136"/>
  <c r="K15" i="136"/>
  <c r="K19" i="136"/>
  <c r="K18" i="136"/>
  <c r="K14" i="136"/>
  <c r="J22" i="102"/>
  <c r="J14" i="138"/>
  <c r="J11" i="138"/>
  <c r="J19" i="138"/>
  <c r="J15" i="138"/>
  <c r="J18" i="138"/>
  <c r="J16" i="138"/>
  <c r="J17" i="138"/>
  <c r="J13" i="138"/>
  <c r="J12" i="138"/>
  <c r="J11" i="137"/>
  <c r="J12" i="137"/>
  <c r="J20" i="102"/>
  <c r="S15" i="4" l="1"/>
  <c r="S16" i="4" s="1"/>
  <c r="R18" i="4"/>
  <c r="K177" i="152"/>
  <c r="K8" i="151"/>
  <c r="O15" i="113"/>
  <c r="K83" i="152"/>
  <c r="K28" i="151"/>
  <c r="K43" i="152"/>
  <c r="K8" i="152"/>
  <c r="K71" i="151"/>
  <c r="K120" i="152"/>
  <c r="K37" i="151"/>
  <c r="K214" i="152"/>
  <c r="P8" i="113"/>
  <c r="Q20" i="4"/>
  <c r="K22" i="102"/>
  <c r="K18" i="138"/>
  <c r="K11" i="138"/>
  <c r="K15" i="138"/>
  <c r="K19" i="138"/>
  <c r="K13" i="138"/>
  <c r="K16" i="138"/>
  <c r="K12" i="138"/>
  <c r="K14" i="138"/>
  <c r="K17" i="138"/>
  <c r="G195" i="114"/>
  <c r="K11" i="137"/>
  <c r="K12" i="137"/>
  <c r="K20" i="136"/>
  <c r="J20" i="138"/>
  <c r="K20" i="102"/>
  <c r="J13" i="137"/>
  <c r="J22" i="138"/>
  <c r="L120" i="152" l="1"/>
  <c r="L177" i="152"/>
  <c r="L214" i="152"/>
  <c r="L8" i="151"/>
  <c r="L71" i="151"/>
  <c r="L43" i="152"/>
  <c r="L83" i="152"/>
  <c r="L37" i="151"/>
  <c r="L28" i="151"/>
  <c r="L8" i="152"/>
  <c r="P15" i="113"/>
  <c r="Q8" i="113"/>
  <c r="R20" i="4"/>
  <c r="T15" i="4"/>
  <c r="T16" i="4" s="1"/>
  <c r="S18" i="4"/>
  <c r="K20" i="138"/>
  <c r="K13" i="137"/>
  <c r="K22" i="138"/>
  <c r="U15" i="4" l="1"/>
  <c r="U16" i="4" s="1"/>
  <c r="T18" i="4"/>
  <c r="M8" i="151"/>
  <c r="M120" i="152"/>
  <c r="Q15" i="113"/>
  <c r="M83" i="152"/>
  <c r="M214" i="152"/>
  <c r="M71" i="151"/>
  <c r="M28" i="151"/>
  <c r="M43" i="152"/>
  <c r="M8" i="152"/>
  <c r="M37" i="151"/>
  <c r="M177" i="152"/>
  <c r="R8" i="113"/>
  <c r="S20" i="4"/>
  <c r="N71" i="151" l="1"/>
  <c r="N83" i="152"/>
  <c r="N37" i="151"/>
  <c r="N28" i="151"/>
  <c r="R15" i="113"/>
  <c r="N8" i="152"/>
  <c r="F32" i="149"/>
  <c r="N214" i="152"/>
  <c r="N177" i="152"/>
  <c r="N43" i="152"/>
  <c r="N8" i="151"/>
  <c r="N120" i="152"/>
  <c r="U18" i="4"/>
  <c r="V15" i="4"/>
  <c r="V16" i="4" s="1"/>
  <c r="S8" i="113"/>
  <c r="T20" i="4"/>
  <c r="M65" i="117"/>
  <c r="M51" i="117"/>
  <c r="M58" i="117"/>
  <c r="M71" i="117"/>
  <c r="M78" i="117"/>
  <c r="M37" i="117"/>
  <c r="M92" i="117"/>
  <c r="M44" i="117"/>
  <c r="M85" i="117"/>
  <c r="V18" i="4" l="1"/>
  <c r="W15" i="4"/>
  <c r="W16" i="4" s="1"/>
  <c r="O83" i="152"/>
  <c r="O214" i="152"/>
  <c r="O28" i="151"/>
  <c r="O43" i="152"/>
  <c r="S15" i="113"/>
  <c r="O8" i="152"/>
  <c r="O71" i="151"/>
  <c r="G32" i="149"/>
  <c r="O37" i="151"/>
  <c r="O177" i="152"/>
  <c r="O8" i="151"/>
  <c r="O120" i="152"/>
  <c r="AB20" i="4"/>
  <c r="T8" i="113"/>
  <c r="U20" i="4"/>
  <c r="M30" i="117"/>
  <c r="M136" i="117" s="1"/>
  <c r="P28" i="151" l="1"/>
  <c r="P37" i="151"/>
  <c r="H32" i="149"/>
  <c r="P8" i="152"/>
  <c r="P120" i="152"/>
  <c r="T15" i="113"/>
  <c r="P177" i="152"/>
  <c r="P8" i="151"/>
  <c r="P214" i="152"/>
  <c r="P71" i="151"/>
  <c r="P83" i="152"/>
  <c r="P43" i="152"/>
  <c r="U8" i="113"/>
  <c r="V20" i="4"/>
  <c r="X15" i="4"/>
  <c r="X16" i="4" s="1"/>
  <c r="W18" i="4"/>
  <c r="M18" i="117"/>
  <c r="Q8" i="152" l="1"/>
  <c r="U15" i="113"/>
  <c r="I32" i="149"/>
  <c r="Q177" i="152"/>
  <c r="Q120" i="152"/>
  <c r="Q214" i="152"/>
  <c r="Q8" i="151"/>
  <c r="Q43" i="152"/>
  <c r="Q83" i="152"/>
  <c r="Q71" i="151"/>
  <c r="Q28" i="151"/>
  <c r="Q37" i="151"/>
  <c r="V8" i="113"/>
  <c r="W20" i="4"/>
  <c r="X18" i="4"/>
  <c r="Y15" i="4"/>
  <c r="Y16" i="4" s="1"/>
  <c r="Y18" i="4" s="1"/>
  <c r="R120" i="152" l="1"/>
  <c r="R214" i="152"/>
  <c r="R177" i="152"/>
  <c r="R71" i="151"/>
  <c r="R37" i="151"/>
  <c r="R8" i="151"/>
  <c r="R43" i="152"/>
  <c r="R83" i="152"/>
  <c r="V15" i="113"/>
  <c r="R28" i="151"/>
  <c r="J32" i="149"/>
  <c r="R8" i="152"/>
  <c r="W8" i="113"/>
  <c r="X20" i="4"/>
  <c r="Y20" i="4"/>
  <c r="X8" i="113"/>
  <c r="S120" i="152" l="1"/>
  <c r="S177" i="152"/>
  <c r="S214" i="152"/>
  <c r="S8" i="151"/>
  <c r="S43" i="152"/>
  <c r="S71" i="151"/>
  <c r="S37" i="151"/>
  <c r="S83" i="152"/>
  <c r="S28" i="151"/>
  <c r="W15" i="113"/>
  <c r="S8" i="152"/>
  <c r="K32" i="149"/>
  <c r="T177" i="152"/>
  <c r="L32" i="149"/>
  <c r="T214" i="152"/>
  <c r="T8" i="151"/>
  <c r="T83" i="152"/>
  <c r="T120" i="152"/>
  <c r="T28" i="151"/>
  <c r="T8" i="152"/>
  <c r="T43" i="152"/>
  <c r="T71" i="151"/>
  <c r="T37" i="151"/>
  <c r="X15" i="113"/>
  <c r="U85" i="117" l="1"/>
  <c r="V85" i="117"/>
  <c r="U18" i="117" l="1"/>
  <c r="U92" i="117"/>
  <c r="U136" i="117" s="1"/>
  <c r="U137" i="117" l="1"/>
  <c r="V92" i="117" l="1"/>
  <c r="V136" i="117" s="1"/>
  <c r="V18" i="117"/>
  <c r="V137" i="117" l="1"/>
  <c r="W78" i="117" l="1"/>
  <c r="W85" i="117"/>
  <c r="W92" i="117"/>
  <c r="W18" i="117"/>
  <c r="W136" i="117" l="1"/>
  <c r="W137" i="117" l="1"/>
  <c r="X92" i="117" l="1"/>
  <c r="X85" i="117"/>
  <c r="X18" i="117"/>
  <c r="X78" i="117"/>
  <c r="X136" i="117" l="1"/>
  <c r="X137" i="117" l="1"/>
  <c r="Y92" i="117" l="1"/>
  <c r="Y18" i="117"/>
  <c r="Y78" i="117"/>
  <c r="Y85" i="117"/>
  <c r="Y136" i="117" l="1"/>
  <c r="Y137" i="117"/>
  <c r="Z92" i="117" l="1"/>
  <c r="Z85" i="117"/>
  <c r="Z78" i="117"/>
  <c r="Z136" i="117" s="1"/>
  <c r="Z18" i="117"/>
  <c r="Z137" i="117" l="1"/>
  <c r="AA92" i="117" l="1"/>
  <c r="AA18" i="117"/>
  <c r="AA85" i="117"/>
  <c r="AA78" i="117"/>
  <c r="AA136" i="117" l="1"/>
  <c r="AA137" i="117" l="1"/>
  <c r="E71" i="117" l="1"/>
  <c r="E65" i="117"/>
  <c r="E44" i="117"/>
  <c r="E58" i="117"/>
  <c r="E51" i="117"/>
  <c r="E78" i="117"/>
  <c r="E92" i="117"/>
  <c r="E37" i="117"/>
  <c r="E18" i="117"/>
  <c r="E85" i="117"/>
  <c r="E30" i="117"/>
  <c r="M137" i="117"/>
  <c r="E136" i="117" l="1"/>
  <c r="E137" i="117"/>
  <c r="N18" i="117" l="1"/>
  <c r="N58" i="117" l="1"/>
  <c r="N37" i="117"/>
  <c r="N30" i="117"/>
  <c r="N78" i="117"/>
  <c r="N51" i="117"/>
  <c r="N92" i="117"/>
  <c r="N44" i="117"/>
  <c r="N71" i="117"/>
  <c r="N85" i="117"/>
  <c r="N65" i="117"/>
  <c r="N136" i="117" l="1"/>
  <c r="F71" i="117" l="1"/>
  <c r="N137" i="117"/>
  <c r="F58" i="117" l="1"/>
  <c r="F18" i="117"/>
  <c r="F30" i="117"/>
  <c r="F78" i="117"/>
  <c r="F37" i="117"/>
  <c r="F51" i="117"/>
  <c r="F92" i="117"/>
  <c r="F65" i="117"/>
  <c r="F44" i="117"/>
  <c r="F85" i="117"/>
  <c r="F136" i="117" l="1"/>
  <c r="F137" i="117"/>
  <c r="O71" i="117" l="1"/>
  <c r="O30" i="117"/>
  <c r="O51" i="117"/>
  <c r="O85" i="117"/>
  <c r="O37" i="117"/>
  <c r="O78" i="117"/>
  <c r="O58" i="117"/>
  <c r="O92" i="117"/>
  <c r="G30" i="117" l="1"/>
  <c r="G18" i="117"/>
  <c r="G65" i="117"/>
  <c r="G51" i="117"/>
  <c r="G71" i="117"/>
  <c r="G85" i="117"/>
  <c r="G92" i="117"/>
  <c r="G78" i="117"/>
  <c r="G44" i="117"/>
  <c r="G58" i="117"/>
  <c r="G37" i="117"/>
  <c r="O18" i="117"/>
  <c r="O44" i="117"/>
  <c r="G136" i="117" l="1"/>
  <c r="O65" i="117"/>
  <c r="O136" i="117" s="1"/>
  <c r="O137" i="117" s="1"/>
  <c r="G137" i="117" l="1"/>
  <c r="P85" i="117" l="1"/>
  <c r="P37" i="117"/>
  <c r="P58" i="117"/>
  <c r="P44" i="117"/>
  <c r="P51" i="117"/>
  <c r="P65" i="117"/>
  <c r="P30" i="117"/>
  <c r="P71" i="117"/>
  <c r="P92" i="117"/>
  <c r="P78" i="117"/>
  <c r="P18" i="117"/>
  <c r="P136" i="117" l="1"/>
  <c r="H65" i="117"/>
  <c r="H71" i="117"/>
  <c r="H51" i="117"/>
  <c r="H85" i="117"/>
  <c r="H78" i="117"/>
  <c r="H58" i="117"/>
  <c r="H37" i="117"/>
  <c r="H92" i="117"/>
  <c r="H44" i="117"/>
  <c r="H18" i="117"/>
  <c r="P137" i="117"/>
  <c r="H30" i="117" l="1"/>
  <c r="H136" i="117" s="1"/>
  <c r="H137" i="117"/>
  <c r="Q51" i="117" l="1"/>
  <c r="Q58" i="117"/>
  <c r="Q78" i="117"/>
  <c r="Q71" i="117"/>
  <c r="Q37" i="117"/>
  <c r="Q92" i="117"/>
  <c r="Q44" i="117"/>
  <c r="Q18" i="117"/>
  <c r="Q30" i="117"/>
  <c r="Q85" i="117"/>
  <c r="Q65" i="117"/>
  <c r="I44" i="117" l="1"/>
  <c r="I37" i="117"/>
  <c r="I51" i="117"/>
  <c r="I92" i="117"/>
  <c r="I85" i="117"/>
  <c r="I71" i="117"/>
  <c r="I30" i="117"/>
  <c r="I58" i="117"/>
  <c r="I78" i="117"/>
  <c r="I65" i="117"/>
  <c r="I18" i="117"/>
  <c r="Q136" i="117"/>
  <c r="Q137" i="117"/>
  <c r="I136" i="117" l="1"/>
  <c r="R37" i="117" l="1"/>
  <c r="R92" i="117"/>
  <c r="R85" i="117"/>
  <c r="R51" i="117"/>
  <c r="R65" i="117"/>
  <c r="R78" i="117"/>
  <c r="R58" i="117"/>
  <c r="R44" i="117"/>
  <c r="R18" i="117"/>
  <c r="R71" i="117"/>
  <c r="R30" i="117"/>
  <c r="I137" i="117"/>
  <c r="J65" i="117" l="1"/>
  <c r="J85" i="117"/>
  <c r="J37" i="117"/>
  <c r="J71" i="117"/>
  <c r="J78" i="117"/>
  <c r="J51" i="117"/>
  <c r="J18" i="117"/>
  <c r="J58" i="117"/>
  <c r="J92" i="117"/>
  <c r="J44" i="117"/>
  <c r="J30" i="117"/>
  <c r="R136" i="117"/>
  <c r="R137" i="117"/>
  <c r="J136" i="117" l="1"/>
  <c r="S18" i="117"/>
  <c r="J137" i="117"/>
  <c r="S44" i="117" l="1"/>
  <c r="S51" i="117"/>
  <c r="S58" i="117"/>
  <c r="S65" i="117"/>
  <c r="S92" i="117"/>
  <c r="S78" i="117"/>
  <c r="S30" i="117"/>
  <c r="S71" i="117"/>
  <c r="S85" i="117"/>
  <c r="S37" i="117"/>
  <c r="K18" i="117"/>
  <c r="K65" i="117" l="1"/>
  <c r="K71" i="117"/>
  <c r="K37" i="117"/>
  <c r="K58" i="117"/>
  <c r="K92" i="117"/>
  <c r="K51" i="117"/>
  <c r="K85" i="117"/>
  <c r="K44" i="117"/>
  <c r="K78" i="117"/>
  <c r="K30" i="117"/>
  <c r="S136" i="117"/>
  <c r="S137" i="117"/>
  <c r="K136" i="117" l="1"/>
  <c r="K137" i="117"/>
  <c r="A137" i="117" s="1"/>
  <c r="A1" i="117" s="1"/>
  <c r="H68" i="25" s="1"/>
  <c r="G11" i="127" l="1"/>
  <c r="H11" i="127" s="1"/>
  <c r="G15" i="127"/>
  <c r="H15" i="127" s="1"/>
  <c r="G22" i="127"/>
  <c r="H22" i="127" s="1"/>
  <c r="G12" i="127"/>
  <c r="H12" i="127" s="1"/>
  <c r="H10" i="127"/>
  <c r="G19" i="127"/>
  <c r="H19" i="127" s="1"/>
  <c r="G23" i="127"/>
  <c r="H23" i="127" s="1"/>
  <c r="G20" i="127"/>
  <c r="H20" i="127" s="1"/>
  <c r="G13" i="127"/>
  <c r="H13" i="127" s="1"/>
  <c r="G16" i="127"/>
  <c r="H16" i="127" s="1"/>
  <c r="G27" i="127"/>
  <c r="H27" i="127" s="1"/>
  <c r="G26" i="127"/>
  <c r="H26" i="127" s="1"/>
  <c r="G14" i="127"/>
  <c r="H14" i="127" s="1"/>
  <c r="G18" i="127"/>
  <c r="H18" i="127" s="1"/>
  <c r="G24" i="127"/>
  <c r="H24" i="127" s="1"/>
  <c r="G17" i="127"/>
  <c r="H17" i="127" s="1"/>
  <c r="G28" i="127"/>
  <c r="H28" i="127" s="1"/>
  <c r="G21" i="127"/>
  <c r="H21" i="127" s="1"/>
  <c r="G29" i="127"/>
  <c r="H29" i="127" s="1"/>
  <c r="G25" i="127"/>
  <c r="H25" i="127" s="1"/>
  <c r="K39" i="140" l="1"/>
  <c r="K41" i="140" s="1"/>
  <c r="I39" i="140"/>
  <c r="I41" i="140" s="1"/>
  <c r="L39" i="140"/>
  <c r="L41" i="140" s="1"/>
  <c r="M39" i="140"/>
  <c r="M41" i="140" s="1"/>
  <c r="J39" i="140"/>
  <c r="J41" i="140" s="1"/>
  <c r="A41" i="140" l="1"/>
  <c r="G56" i="118" l="1"/>
  <c r="G57" i="118"/>
  <c r="E56" i="118"/>
  <c r="E57" i="118"/>
  <c r="I56" i="118"/>
  <c r="I57" i="118"/>
  <c r="D57" i="118"/>
  <c r="D56" i="118"/>
  <c r="F56" i="118"/>
  <c r="F57" i="118"/>
  <c r="H56" i="118"/>
  <c r="H57" i="118"/>
  <c r="H59" i="118" l="1"/>
  <c r="H60" i="118"/>
  <c r="E60" i="118"/>
  <c r="E59" i="118"/>
  <c r="E76" i="118" s="1"/>
  <c r="F60" i="118"/>
  <c r="F59" i="118"/>
  <c r="I60" i="118"/>
  <c r="J60" i="118"/>
  <c r="J59" i="118"/>
  <c r="I59" i="118"/>
  <c r="G60" i="118"/>
  <c r="E67" i="118"/>
  <c r="G59" i="118"/>
  <c r="E70" i="118" l="1"/>
  <c r="E71" i="118" s="1"/>
  <c r="E79" i="118"/>
  <c r="F79" i="118" s="1"/>
  <c r="G79" i="118" s="1"/>
  <c r="H79" i="118" s="1"/>
  <c r="I79" i="118" s="1"/>
  <c r="J79" i="118" s="1"/>
  <c r="F76" i="118"/>
  <c r="E77" i="118"/>
  <c r="F67" i="118"/>
  <c r="E68" i="118"/>
  <c r="F70" i="118" l="1"/>
  <c r="F71" i="118" s="1"/>
  <c r="G76" i="118"/>
  <c r="F77" i="118"/>
  <c r="E80" i="118"/>
  <c r="G70" i="118"/>
  <c r="H70" i="118" s="1"/>
  <c r="H71" i="118" s="1"/>
  <c r="F80" i="118"/>
  <c r="F68" i="118"/>
  <c r="G67" i="118"/>
  <c r="H76" i="118" l="1"/>
  <c r="G77" i="118"/>
  <c r="I70" i="118"/>
  <c r="J70" i="118" s="1"/>
  <c r="G71" i="118"/>
  <c r="G80" i="118"/>
  <c r="H67" i="118"/>
  <c r="G68" i="118"/>
  <c r="I76" i="118" l="1"/>
  <c r="H77" i="118"/>
  <c r="I71" i="118"/>
  <c r="K71" i="118" s="1"/>
  <c r="L71" i="118" s="1"/>
  <c r="K70" i="118"/>
  <c r="H80" i="118"/>
  <c r="K79" i="118"/>
  <c r="H68" i="118"/>
  <c r="I67" i="118"/>
  <c r="I77" i="118" l="1"/>
  <c r="K77" i="118" s="1"/>
  <c r="L77" i="118" s="1"/>
  <c r="J76" i="118"/>
  <c r="K76" i="118"/>
  <c r="J71" i="118"/>
  <c r="I68" i="118"/>
  <c r="J68" i="118" s="1"/>
  <c r="K67" i="118"/>
  <c r="J67" i="118"/>
  <c r="I80" i="118"/>
  <c r="J77" i="118" l="1"/>
  <c r="J80" i="118"/>
  <c r="K80" i="118"/>
  <c r="L80" i="118" s="1"/>
  <c r="K68" i="118"/>
  <c r="L68" i="118" s="1"/>
  <c r="E25" i="108" l="1"/>
  <c r="F25" i="108"/>
  <c r="A32" i="129" l="1"/>
  <c r="Q14" i="127" l="1"/>
  <c r="Q12" i="127"/>
  <c r="Q13" i="127" l="1"/>
  <c r="Q11" i="127"/>
  <c r="Q10" i="127"/>
  <c r="L31" i="127"/>
  <c r="L33" i="127" s="1"/>
  <c r="M31" i="127"/>
  <c r="M33" i="127" s="1"/>
  <c r="P31" i="127"/>
  <c r="P33" i="127" s="1"/>
  <c r="O31" i="127"/>
  <c r="O33" i="127" s="1"/>
  <c r="N31" i="127"/>
  <c r="N33" i="127" s="1"/>
  <c r="A33" i="127" l="1"/>
  <c r="A1" i="127" s="1"/>
  <c r="H93" i="25" s="1"/>
  <c r="A184" i="114" l="1"/>
  <c r="G60" i="129" l="1"/>
  <c r="K55" i="129"/>
  <c r="J55" i="129"/>
  <c r="I55" i="129"/>
  <c r="H55" i="129"/>
  <c r="G55" i="129"/>
  <c r="F55" i="129"/>
  <c r="K50" i="129"/>
  <c r="J50" i="129"/>
  <c r="H50" i="129"/>
  <c r="G50" i="129"/>
  <c r="F50" i="129"/>
  <c r="I40" i="129"/>
  <c r="H40" i="129" l="1"/>
  <c r="J40" i="129"/>
  <c r="G45" i="129"/>
  <c r="I50" i="129"/>
  <c r="K40" i="129"/>
  <c r="E55" i="129"/>
  <c r="A55" i="129" s="1"/>
  <c r="E40" i="129"/>
  <c r="F40" i="129"/>
  <c r="E50" i="129"/>
  <c r="G40" i="129"/>
  <c r="A50" i="129" l="1"/>
  <c r="A40" i="129"/>
  <c r="H118" i="129"/>
  <c r="K118" i="129"/>
  <c r="K82" i="129"/>
  <c r="J82" i="129"/>
  <c r="I82" i="129"/>
  <c r="H82" i="129"/>
  <c r="G82" i="129"/>
  <c r="F82" i="129"/>
  <c r="E82" i="129"/>
  <c r="K31" i="129"/>
  <c r="J31" i="129"/>
  <c r="I31" i="129"/>
  <c r="H31" i="129"/>
  <c r="G31" i="129"/>
  <c r="F31" i="129"/>
  <c r="E31" i="129"/>
  <c r="K104" i="129"/>
  <c r="J99" i="129"/>
  <c r="A82" i="129" l="1"/>
  <c r="A31" i="129"/>
  <c r="H104" i="129"/>
  <c r="I77" i="129"/>
  <c r="G72" i="129"/>
  <c r="H72" i="129"/>
  <c r="K111" i="129"/>
  <c r="G77" i="129"/>
  <c r="F72" i="129"/>
  <c r="K72" i="129"/>
  <c r="F77" i="129"/>
  <c r="I99" i="129"/>
  <c r="E111" i="129"/>
  <c r="J104" i="129"/>
  <c r="E99" i="129"/>
  <c r="G118" i="129"/>
  <c r="F111" i="129"/>
  <c r="E77" i="129"/>
  <c r="J77" i="129"/>
  <c r="G104" i="129"/>
  <c r="H99" i="129"/>
  <c r="G111" i="129"/>
  <c r="E72" i="129"/>
  <c r="I72" i="129"/>
  <c r="J118" i="129"/>
  <c r="H111" i="129"/>
  <c r="G99" i="129"/>
  <c r="I104" i="129"/>
  <c r="J72" i="129"/>
  <c r="E104" i="129"/>
  <c r="I111" i="129"/>
  <c r="F104" i="129"/>
  <c r="G87" i="129"/>
  <c r="K77" i="129"/>
  <c r="K99" i="129"/>
  <c r="H77" i="129"/>
  <c r="F99" i="129"/>
  <c r="I118" i="129"/>
  <c r="J111" i="129"/>
  <c r="E33" i="129"/>
  <c r="G65" i="129"/>
  <c r="F29" i="106"/>
  <c r="G29" i="106"/>
  <c r="I33" i="129"/>
  <c r="H33" i="129" l="1"/>
  <c r="A77" i="129"/>
  <c r="J33" i="129"/>
  <c r="K33" i="129"/>
  <c r="A111" i="129"/>
  <c r="H72" i="25" s="1"/>
  <c r="A104" i="129"/>
  <c r="A72" i="129"/>
  <c r="G33" i="129"/>
  <c r="F33" i="129"/>
  <c r="A118" i="129"/>
  <c r="A99" i="129"/>
  <c r="H87" i="129"/>
  <c r="H60" i="129"/>
  <c r="H45" i="129"/>
  <c r="I87" i="129"/>
  <c r="I60" i="129"/>
  <c r="K60" i="129"/>
  <c r="K87" i="129"/>
  <c r="J87" i="129"/>
  <c r="J60" i="129"/>
  <c r="A33" i="129" l="1"/>
  <c r="K65" i="129"/>
  <c r="J45" i="129"/>
  <c r="I65" i="129"/>
  <c r="J65" i="129"/>
  <c r="H65" i="129"/>
  <c r="I45" i="129"/>
  <c r="K45" i="129"/>
  <c r="E87" i="129"/>
  <c r="E60" i="129"/>
  <c r="F87" i="129"/>
  <c r="F60" i="129"/>
  <c r="A65" i="129" l="1"/>
  <c r="F45" i="129"/>
  <c r="A60" i="129"/>
  <c r="E45" i="129"/>
  <c r="A87" i="129"/>
  <c r="A45" i="129" l="1"/>
  <c r="K25" i="108" l="1"/>
  <c r="J25" i="108"/>
  <c r="I25" i="108"/>
  <c r="H25" i="108"/>
  <c r="G21" i="101" l="1"/>
  <c r="H92" i="129"/>
  <c r="J21" i="101"/>
  <c r="E21" i="101"/>
  <c r="I60" i="116"/>
  <c r="M60" i="116"/>
  <c r="J60" i="116"/>
  <c r="L60" i="116"/>
  <c r="K60" i="116"/>
  <c r="G60" i="116"/>
  <c r="H60" i="116"/>
  <c r="K21" i="101"/>
  <c r="H21" i="101"/>
  <c r="E92" i="129"/>
  <c r="J92" i="129"/>
  <c r="G92" i="129"/>
  <c r="I92" i="129"/>
  <c r="F92" i="129"/>
  <c r="K92" i="129"/>
  <c r="I29" i="106"/>
  <c r="F23" i="135"/>
  <c r="K29" i="106"/>
  <c r="I23" i="135"/>
  <c r="G25" i="108"/>
  <c r="A25" i="108" s="1"/>
  <c r="A1" i="108" s="1"/>
  <c r="H62" i="25" s="1"/>
  <c r="L29" i="106"/>
  <c r="J29" i="106"/>
  <c r="H29" i="106"/>
  <c r="H23" i="135"/>
  <c r="E23" i="135"/>
  <c r="G23" i="135"/>
  <c r="J23" i="135"/>
  <c r="K23" i="135"/>
  <c r="G17" i="149"/>
  <c r="A29" i="106" l="1"/>
  <c r="A1" i="106" s="1"/>
  <c r="H58" i="25" s="1"/>
  <c r="F21" i="101"/>
  <c r="I21" i="101"/>
  <c r="A21" i="101" s="1"/>
  <c r="A1" i="101" s="1"/>
  <c r="H29" i="25" s="1"/>
  <c r="K34" i="140"/>
  <c r="L34" i="140"/>
  <c r="A60" i="116"/>
  <c r="H46" i="25" s="1"/>
  <c r="F17" i="149"/>
  <c r="J17" i="149"/>
  <c r="A23" i="135"/>
  <c r="A1" i="135" s="1"/>
  <c r="H28" i="25" s="1"/>
  <c r="A92" i="129"/>
  <c r="M34" i="140"/>
  <c r="H17" i="149"/>
  <c r="I34" i="140"/>
  <c r="I17" i="149"/>
  <c r="J52" i="120"/>
  <c r="K52" i="120"/>
  <c r="J34" i="140"/>
  <c r="H52" i="120"/>
  <c r="G34" i="140"/>
  <c r="I52" i="120"/>
  <c r="H34" i="140"/>
  <c r="F24" i="102"/>
  <c r="E17" i="137"/>
  <c r="E24" i="136"/>
  <c r="E24" i="138"/>
  <c r="G36" i="125"/>
  <c r="J32" i="139" l="1"/>
  <c r="A34" i="140"/>
  <c r="A1" i="140" s="1"/>
  <c r="H43" i="25" s="1"/>
  <c r="K17" i="149"/>
  <c r="H36" i="125"/>
  <c r="L17" i="149"/>
  <c r="A17" i="149" s="1"/>
  <c r="A1" i="149" s="1"/>
  <c r="H101" i="25" s="1"/>
  <c r="E24" i="102"/>
  <c r="I36" i="125"/>
  <c r="I32" i="139"/>
  <c r="L36" i="125"/>
  <c r="G52" i="120"/>
  <c r="G32" i="139"/>
  <c r="H23" i="142"/>
  <c r="I23" i="142"/>
  <c r="G23" i="142"/>
  <c r="J23" i="142"/>
  <c r="F17" i="137"/>
  <c r="K23" i="142"/>
  <c r="K36" i="125" l="1"/>
  <c r="M36" i="125"/>
  <c r="H32" i="139"/>
  <c r="F24" i="136"/>
  <c r="L32" i="139"/>
  <c r="G24" i="102"/>
  <c r="K32" i="139"/>
  <c r="M32" i="139"/>
  <c r="G24" i="136"/>
  <c r="F24" i="138"/>
  <c r="J36" i="125"/>
  <c r="E26" i="100"/>
  <c r="E27" i="100" s="1"/>
  <c r="H34" i="141"/>
  <c r="J34" i="141"/>
  <c r="G34" i="141"/>
  <c r="I34" i="141"/>
  <c r="K34" i="141"/>
  <c r="G26" i="100"/>
  <c r="G27" i="100" s="1"/>
  <c r="G17" i="137"/>
  <c r="A36" i="125" l="1"/>
  <c r="A1" i="125" s="1"/>
  <c r="H49" i="25" s="1"/>
  <c r="A32" i="139"/>
  <c r="A1" i="139" s="1"/>
  <c r="H42" i="25" s="1"/>
  <c r="H24" i="102"/>
  <c r="H24" i="136"/>
  <c r="G24" i="138"/>
  <c r="F26" i="100"/>
  <c r="F27" i="100" s="1"/>
  <c r="H26" i="100"/>
  <c r="H27" i="100" s="1"/>
  <c r="K55" i="116" l="1"/>
  <c r="H17" i="137"/>
  <c r="H24" i="138"/>
  <c r="I55" i="116"/>
  <c r="J55" i="116"/>
  <c r="M55" i="116"/>
  <c r="L55" i="116"/>
  <c r="I24" i="136"/>
  <c r="I24" i="102"/>
  <c r="I26" i="100"/>
  <c r="I27" i="100" s="1"/>
  <c r="I24" i="138" l="1"/>
  <c r="J24" i="136"/>
  <c r="J24" i="102"/>
  <c r="I17" i="137"/>
  <c r="J26" i="100"/>
  <c r="J27" i="100" s="1"/>
  <c r="K24" i="102"/>
  <c r="A24" i="102" l="1"/>
  <c r="A1" i="102" s="1"/>
  <c r="H35" i="25" s="1"/>
  <c r="J17" i="137"/>
  <c r="K24" i="136"/>
  <c r="A24" i="136" s="1"/>
  <c r="A1" i="136" s="1"/>
  <c r="H36" i="25" s="1"/>
  <c r="J24" i="138"/>
  <c r="K26" i="100"/>
  <c r="K27" i="100" s="1"/>
  <c r="A27" i="100" s="1"/>
  <c r="A1" i="100" s="1"/>
  <c r="H22" i="25" s="1"/>
  <c r="K17" i="137" l="1"/>
  <c r="A17" i="137" s="1"/>
  <c r="A1" i="137" s="1"/>
  <c r="H37" i="25" s="1"/>
  <c r="K24" i="138"/>
  <c r="A24" i="138" s="1"/>
  <c r="A1" i="138" s="1"/>
  <c r="H38" i="25" s="1"/>
  <c r="F22" i="134" l="1"/>
  <c r="E22" i="134"/>
  <c r="G22" i="134" l="1"/>
  <c r="H22" i="134" l="1"/>
  <c r="I22" i="134" l="1"/>
  <c r="J22" i="134" l="1"/>
  <c r="K22" i="134"/>
  <c r="L125" i="129" l="1"/>
  <c r="G125" i="129"/>
  <c r="N125" i="129"/>
  <c r="H125" i="129"/>
  <c r="O125" i="129"/>
  <c r="K125" i="129"/>
  <c r="J125" i="129"/>
  <c r="I125" i="129"/>
  <c r="M125" i="129"/>
  <c r="Y125" i="129" l="1"/>
  <c r="Z125" i="129"/>
  <c r="U125" i="129"/>
  <c r="Q125" i="129"/>
  <c r="S125" i="129"/>
  <c r="P125" i="129" l="1"/>
  <c r="W125" i="129"/>
  <c r="X125" i="129"/>
  <c r="T125" i="129"/>
  <c r="R125" i="129" l="1"/>
  <c r="V125" i="129"/>
  <c r="A125" i="129" l="1"/>
  <c r="E18" i="130" l="1"/>
  <c r="E25" i="109"/>
  <c r="E20" i="130" l="1"/>
  <c r="E22" i="130" s="1"/>
  <c r="E29" i="109"/>
  <c r="F18" i="130"/>
  <c r="F25" i="109"/>
  <c r="F20" i="130" l="1"/>
  <c r="F22" i="130" s="1"/>
  <c r="F29" i="109"/>
  <c r="G25" i="109" l="1"/>
  <c r="G20" i="130" l="1"/>
  <c r="G29" i="109"/>
  <c r="G18" i="130"/>
  <c r="G22" i="130" l="1"/>
  <c r="I18" i="130"/>
  <c r="H25" i="109"/>
  <c r="H18" i="130"/>
  <c r="H20" i="130" l="1"/>
  <c r="H22" i="130" s="1"/>
  <c r="H29" i="109"/>
  <c r="I25" i="109"/>
  <c r="J25" i="109"/>
  <c r="J18" i="130" l="1"/>
  <c r="J20" i="130"/>
  <c r="J29" i="109"/>
  <c r="I20" i="130"/>
  <c r="I22" i="130" s="1"/>
  <c r="I29" i="109"/>
  <c r="J22" i="130" l="1"/>
  <c r="K18" i="130"/>
  <c r="K25" i="109"/>
  <c r="K20" i="130" l="1"/>
  <c r="K22" i="130" s="1"/>
  <c r="K29" i="109"/>
  <c r="F11" i="144" l="1"/>
  <c r="G11" i="144"/>
  <c r="H11" i="144"/>
  <c r="I11" i="144"/>
  <c r="E11" i="144" l="1"/>
  <c r="O11" i="113"/>
  <c r="O27" i="113" l="1" a="1"/>
  <c r="O27" i="113" s="1"/>
  <c r="O16" i="113" a="1"/>
  <c r="O16" i="113" s="1"/>
  <c r="O21" i="113" a="1"/>
  <c r="O21" i="113" s="1"/>
  <c r="O29" i="113" a="1"/>
  <c r="O29" i="113" s="1"/>
  <c r="O22" i="113" a="1"/>
  <c r="O22" i="113" s="1"/>
  <c r="P11" i="113"/>
  <c r="O30" i="113" a="1"/>
  <c r="O30" i="113" s="1"/>
  <c r="O28" i="113" a="1"/>
  <c r="O28" i="113" s="1"/>
  <c r="Q11" i="113" l="1"/>
  <c r="P29" i="113" a="1"/>
  <c r="P29" i="113" s="1"/>
  <c r="P25" i="113" a="1"/>
  <c r="P25" i="113" s="1"/>
  <c r="P21" i="113" a="1"/>
  <c r="P21" i="113" s="1"/>
  <c r="P30" i="113" a="1"/>
  <c r="P30" i="113" s="1"/>
  <c r="P28" i="113" a="1"/>
  <c r="P28" i="113" s="1"/>
  <c r="P16" i="113" a="1"/>
  <c r="P16" i="113" s="1"/>
  <c r="P27" i="113" a="1"/>
  <c r="P27" i="113" s="1"/>
  <c r="P22" i="113" a="1"/>
  <c r="P22" i="113" s="1"/>
  <c r="N25" i="113" l="1" a="1"/>
  <c r="N25" i="113" s="1"/>
  <c r="M26" i="113" a="1"/>
  <c r="M26" i="113" s="1"/>
  <c r="I25" i="113" a="1"/>
  <c r="I25" i="113" s="1"/>
  <c r="M25" i="113" a="1"/>
  <c r="M25" i="113" s="1"/>
  <c r="I26" i="113" a="1"/>
  <c r="I26" i="113" s="1"/>
  <c r="L25" i="113" a="1"/>
  <c r="L25" i="113" s="1"/>
  <c r="J26" i="113" a="1"/>
  <c r="J26" i="113" s="1"/>
  <c r="K25" i="113" a="1"/>
  <c r="K25" i="113" s="1"/>
  <c r="Q21" i="113" a="1"/>
  <c r="Q21" i="113" s="1"/>
  <c r="N26" i="113" a="1"/>
  <c r="N26" i="113" s="1"/>
  <c r="Q29" i="113" a="1"/>
  <c r="Q29" i="113" s="1"/>
  <c r="Q26" i="113" a="1"/>
  <c r="Q26" i="113" s="1"/>
  <c r="Q28" i="113" a="1"/>
  <c r="Q28" i="113" s="1"/>
  <c r="L26" i="113" a="1"/>
  <c r="L26" i="113" s="1"/>
  <c r="Q22" i="113" a="1"/>
  <c r="Q22" i="113" s="1"/>
  <c r="K26" i="113" a="1"/>
  <c r="K26" i="113" s="1"/>
  <c r="Q16" i="113" a="1"/>
  <c r="Q16" i="113" s="1"/>
  <c r="R11" i="113"/>
  <c r="Q27" i="113" a="1"/>
  <c r="Q27" i="113" s="1"/>
  <c r="P26" i="113" a="1"/>
  <c r="P26" i="113" s="1"/>
  <c r="O26" i="113" a="1"/>
  <c r="O26" i="113" s="1"/>
  <c r="Q25" i="113" a="1"/>
  <c r="Q25" i="113" s="1"/>
  <c r="Q30" i="113" a="1"/>
  <c r="Q30" i="113" s="1"/>
  <c r="J25" i="113" a="1"/>
  <c r="J25" i="113" s="1"/>
  <c r="Q23" i="113" a="1"/>
  <c r="Q23" i="113" s="1"/>
  <c r="R26" i="113" a="1"/>
  <c r="R26" i="113" s="1"/>
  <c r="O25" i="113" a="1"/>
  <c r="O25" i="113" s="1"/>
  <c r="S11" i="113" l="1"/>
  <c r="N42" i="151"/>
  <c r="N76" i="151" s="1"/>
  <c r="R28" i="113" a="1"/>
  <c r="R28" i="113" s="1"/>
  <c r="N43" i="151"/>
  <c r="N77" i="151" s="1"/>
  <c r="N39" i="151"/>
  <c r="N57" i="151"/>
  <c r="N91" i="151" s="1"/>
  <c r="L23" i="113" a="1"/>
  <c r="L23" i="113" s="1"/>
  <c r="R21" i="113" a="1"/>
  <c r="R21" i="113" s="1"/>
  <c r="N23" i="113" a="1"/>
  <c r="N23" i="113" s="1"/>
  <c r="N41" i="151"/>
  <c r="N75" i="151" s="1"/>
  <c r="N53" i="151"/>
  <c r="M23" i="113" a="1"/>
  <c r="M23" i="113" s="1"/>
  <c r="R30" i="113" a="1"/>
  <c r="R30" i="113" s="1"/>
  <c r="N56" i="151"/>
  <c r="N90" i="151" s="1"/>
  <c r="N44" i="151"/>
  <c r="N78" i="151" s="1"/>
  <c r="R27" i="113" a="1"/>
  <c r="R27" i="113" s="1"/>
  <c r="N49" i="151"/>
  <c r="N83" i="151" s="1"/>
  <c r="N48" i="151"/>
  <c r="N82" i="151" s="1"/>
  <c r="R23" i="113" a="1"/>
  <c r="R23" i="113" s="1"/>
  <c r="N52" i="151"/>
  <c r="N86" i="151" s="1"/>
  <c r="N45" i="151"/>
  <c r="N79" i="151" s="1"/>
  <c r="R16" i="113" a="1"/>
  <c r="R16" i="113" s="1"/>
  <c r="K23" i="113" a="1"/>
  <c r="K23" i="113" s="1"/>
  <c r="R29" i="113" a="1"/>
  <c r="R29" i="113" s="1"/>
  <c r="R22" i="113" a="1"/>
  <c r="R22" i="113" s="1"/>
  <c r="N50" i="151"/>
  <c r="N84" i="151" s="1"/>
  <c r="R25" i="113" a="1"/>
  <c r="R25" i="113" s="1"/>
  <c r="N51" i="151"/>
  <c r="N85" i="151" s="1"/>
  <c r="N47" i="151"/>
  <c r="N81" i="151" s="1"/>
  <c r="I23" i="113" a="1"/>
  <c r="I23" i="113" s="1"/>
  <c r="N46" i="151"/>
  <c r="N80" i="151" s="1"/>
  <c r="N40" i="151"/>
  <c r="N74" i="151" s="1"/>
  <c r="J23" i="113" a="1"/>
  <c r="J23" i="113" s="1"/>
  <c r="N55" i="151"/>
  <c r="N89" i="151" s="1"/>
  <c r="N54" i="151"/>
  <c r="N88" i="151" s="1"/>
  <c r="O23" i="113" a="1"/>
  <c r="O23" i="113" s="1"/>
  <c r="P23" i="113" a="1"/>
  <c r="P23" i="113" s="1"/>
  <c r="N141" i="152"/>
  <c r="N235" i="152" s="1"/>
  <c r="O123" i="152"/>
  <c r="O217" i="152" s="1"/>
  <c r="N140" i="152"/>
  <c r="N234" i="152" s="1"/>
  <c r="N123" i="152"/>
  <c r="N217" i="152" s="1"/>
  <c r="N148" i="152"/>
  <c r="N242" i="152" s="1"/>
  <c r="O128" i="152"/>
  <c r="O222" i="152" s="1"/>
  <c r="N147" i="152"/>
  <c r="N241" i="152" s="1"/>
  <c r="N150" i="152"/>
  <c r="N244" i="152" s="1"/>
  <c r="N122" i="152"/>
  <c r="N126" i="152"/>
  <c r="N220" i="152" s="1"/>
  <c r="O144" i="152"/>
  <c r="O238" i="152" s="1"/>
  <c r="O143" i="152"/>
  <c r="O237" i="152" s="1"/>
  <c r="O139" i="152"/>
  <c r="O233" i="152" s="1"/>
  <c r="N149" i="152"/>
  <c r="N243" i="152" s="1"/>
  <c r="O140" i="152"/>
  <c r="O234" i="152" s="1"/>
  <c r="O141" i="152"/>
  <c r="O235" i="152" s="1"/>
  <c r="O148" i="152"/>
  <c r="O242" i="152" s="1"/>
  <c r="O122" i="152"/>
  <c r="O149" i="152"/>
  <c r="O243" i="152" s="1"/>
  <c r="O129" i="152"/>
  <c r="O223" i="152" s="1"/>
  <c r="O126" i="152"/>
  <c r="O220" i="152" s="1"/>
  <c r="O124" i="152"/>
  <c r="O218" i="152" s="1"/>
  <c r="O146" i="152"/>
  <c r="O240" i="152" s="1"/>
  <c r="N127" i="152"/>
  <c r="N221" i="152" s="1"/>
  <c r="O132" i="152"/>
  <c r="O226" i="152" s="1"/>
  <c r="N152" i="152"/>
  <c r="N246" i="152" s="1"/>
  <c r="O134" i="152"/>
  <c r="O228" i="152" s="1"/>
  <c r="O145" i="152"/>
  <c r="O133" i="152"/>
  <c r="O227" i="152" s="1"/>
  <c r="O125" i="152"/>
  <c r="N153" i="152"/>
  <c r="O152" i="152"/>
  <c r="O246" i="152" s="1"/>
  <c r="N142" i="152"/>
  <c r="N236" i="152" s="1"/>
  <c r="O130" i="152"/>
  <c r="O224" i="152" s="1"/>
  <c r="N143" i="152"/>
  <c r="N237" i="152" s="1"/>
  <c r="N133" i="152"/>
  <c r="N227" i="152" s="1"/>
  <c r="O142" i="152"/>
  <c r="O236" i="152" s="1"/>
  <c r="N151" i="152"/>
  <c r="N137" i="152"/>
  <c r="N231" i="152" s="1"/>
  <c r="N125" i="152"/>
  <c r="N130" i="152"/>
  <c r="N224" i="152" s="1"/>
  <c r="O135" i="152"/>
  <c r="O131" i="152"/>
  <c r="O225" i="152" s="1"/>
  <c r="O150" i="152"/>
  <c r="O244" i="152" s="1"/>
  <c r="N146" i="152"/>
  <c r="N240" i="152" s="1"/>
  <c r="N128" i="152"/>
  <c r="N222" i="152" s="1"/>
  <c r="O151" i="152"/>
  <c r="N134" i="152"/>
  <c r="N228" i="152" s="1"/>
  <c r="N145" i="152"/>
  <c r="O136" i="152"/>
  <c r="N136" i="152"/>
  <c r="N144" i="152"/>
  <c r="N238" i="152" s="1"/>
  <c r="O147" i="152"/>
  <c r="O241" i="152" s="1"/>
  <c r="N132" i="152"/>
  <c r="N226" i="152" s="1"/>
  <c r="O137" i="152"/>
  <c r="O231" i="152" s="1"/>
  <c r="O138" i="152"/>
  <c r="O232" i="152" s="1"/>
  <c r="N135" i="152"/>
  <c r="O153" i="152"/>
  <c r="N124" i="152"/>
  <c r="N218" i="152" s="1"/>
  <c r="N131" i="152"/>
  <c r="N225" i="152" s="1"/>
  <c r="O127" i="152"/>
  <c r="O221" i="152" s="1"/>
  <c r="N138" i="152"/>
  <c r="N232" i="152" s="1"/>
  <c r="N129" i="152"/>
  <c r="N223" i="152" s="1"/>
  <c r="N139" i="152"/>
  <c r="N233" i="152" s="1"/>
  <c r="O161" i="152" l="1"/>
  <c r="O230" i="152"/>
  <c r="N161" i="152"/>
  <c r="N230" i="152"/>
  <c r="O166" i="152"/>
  <c r="O247" i="152"/>
  <c r="N229" i="152"/>
  <c r="N167" i="152"/>
  <c r="N239" i="152"/>
  <c r="N168" i="152"/>
  <c r="N164" i="152"/>
  <c r="N216" i="152"/>
  <c r="N155" i="152"/>
  <c r="N160" i="152"/>
  <c r="O229" i="152"/>
  <c r="O167" i="152"/>
  <c r="N219" i="152"/>
  <c r="N165" i="152"/>
  <c r="N73" i="151"/>
  <c r="N59" i="151"/>
  <c r="N64" i="151"/>
  <c r="O169" i="152"/>
  <c r="O245" i="152"/>
  <c r="N166" i="152"/>
  <c r="N247" i="152"/>
  <c r="N169" i="152"/>
  <c r="N245" i="152"/>
  <c r="O219" i="152"/>
  <c r="O165" i="152"/>
  <c r="N87" i="151"/>
  <c r="N65" i="151"/>
  <c r="O216" i="152"/>
  <c r="O164" i="152"/>
  <c r="O155" i="152"/>
  <c r="O160" i="152"/>
  <c r="O168" i="152"/>
  <c r="O239" i="152"/>
  <c r="N24" i="113" a="1"/>
  <c r="N24" i="113" s="1"/>
  <c r="K20" i="113" a="1"/>
  <c r="K20" i="113" s="1"/>
  <c r="R19" i="113" a="1"/>
  <c r="R19" i="113" s="1"/>
  <c r="O18" i="113" a="1"/>
  <c r="O18" i="113" s="1"/>
  <c r="I20" i="113" a="1"/>
  <c r="I20" i="113" s="1"/>
  <c r="O44" i="151"/>
  <c r="O78" i="151" s="1"/>
  <c r="P17" i="113" a="1"/>
  <c r="P17" i="113" s="1"/>
  <c r="S30" i="113" a="1"/>
  <c r="S30" i="113" s="1"/>
  <c r="N19" i="113" a="1"/>
  <c r="N19" i="113" s="1"/>
  <c r="N18" i="113" a="1"/>
  <c r="N18" i="113" s="1"/>
  <c r="S17" i="113" a="1"/>
  <c r="S17" i="113" s="1"/>
  <c r="O29" i="152" s="1" a="1"/>
  <c r="O29" i="152" s="1"/>
  <c r="O50" i="151"/>
  <c r="O84" i="151" s="1"/>
  <c r="S22" i="113" a="1"/>
  <c r="S22" i="113" s="1"/>
  <c r="O45" i="151"/>
  <c r="O79" i="151" s="1"/>
  <c r="M24" i="113" a="1"/>
  <c r="M24" i="113" s="1"/>
  <c r="S23" i="113" a="1"/>
  <c r="S23" i="113" s="1"/>
  <c r="O57" i="151"/>
  <c r="O91" i="151" s="1"/>
  <c r="K19" i="113" a="1"/>
  <c r="K19" i="113" s="1"/>
  <c r="O52" i="151"/>
  <c r="O86" i="151" s="1"/>
  <c r="X20" i="113" a="1"/>
  <c r="X20" i="113" s="1"/>
  <c r="T19" i="113" a="1"/>
  <c r="T19" i="113" s="1"/>
  <c r="O55" i="151"/>
  <c r="O89" i="151" s="1"/>
  <c r="R18" i="113" a="1"/>
  <c r="R18" i="113" s="1"/>
  <c r="M27" i="109" s="1"/>
  <c r="O19" i="113" a="1"/>
  <c r="O19" i="113" s="1"/>
  <c r="J18" i="113" a="1"/>
  <c r="J18" i="113" s="1"/>
  <c r="J24" i="113" a="1"/>
  <c r="J24" i="113" s="1"/>
  <c r="P20" i="113" a="1"/>
  <c r="P20" i="113" s="1"/>
  <c r="M18" i="113" a="1"/>
  <c r="M18" i="113" s="1"/>
  <c r="J20" i="113" a="1"/>
  <c r="J20" i="113" s="1"/>
  <c r="S19" i="113" a="1"/>
  <c r="S19" i="113" s="1"/>
  <c r="K18" i="113" a="1"/>
  <c r="K18" i="113" s="1"/>
  <c r="U20" i="113" a="1"/>
  <c r="U20" i="113" s="1"/>
  <c r="P24" i="113" a="1"/>
  <c r="P24" i="113" s="1"/>
  <c r="S24" i="113" a="1"/>
  <c r="S24" i="113" s="1"/>
  <c r="O43" i="151"/>
  <c r="O77" i="151" s="1"/>
  <c r="L18" i="113" a="1"/>
  <c r="L18" i="113" s="1"/>
  <c r="W20" i="113" a="1"/>
  <c r="W20" i="113" s="1"/>
  <c r="R24" i="113" a="1"/>
  <c r="R24" i="113" s="1"/>
  <c r="V19" i="113" a="1"/>
  <c r="V19" i="113" s="1"/>
  <c r="O17" i="113" a="1"/>
  <c r="O17" i="113" s="1"/>
  <c r="L19" i="113" a="1"/>
  <c r="L19" i="113" s="1"/>
  <c r="Q19" i="113" a="1"/>
  <c r="Q19" i="113" s="1"/>
  <c r="S21" i="113" a="1"/>
  <c r="S21" i="113" s="1"/>
  <c r="L17" i="113" a="1"/>
  <c r="L17" i="113" s="1"/>
  <c r="O46" i="151"/>
  <c r="O80" i="151" s="1"/>
  <c r="O24" i="113" a="1"/>
  <c r="O24" i="113" s="1"/>
  <c r="T20" i="113" a="1"/>
  <c r="T20" i="113" s="1"/>
  <c r="M17" i="113" a="1"/>
  <c r="M17" i="113" s="1"/>
  <c r="M19" i="113" a="1"/>
  <c r="M19" i="113" s="1"/>
  <c r="W24" i="113" a="1"/>
  <c r="W24" i="113" s="1"/>
  <c r="I18" i="113" a="1"/>
  <c r="I18" i="113" s="1"/>
  <c r="P19" i="113" a="1"/>
  <c r="P19" i="113" s="1"/>
  <c r="J19" i="113" a="1"/>
  <c r="J19" i="113" s="1"/>
  <c r="X24" i="113" a="1"/>
  <c r="X24" i="113" s="1"/>
  <c r="M20" i="113" a="1"/>
  <c r="M20" i="113" s="1"/>
  <c r="O42" i="151"/>
  <c r="O76" i="151" s="1"/>
  <c r="K24" i="113" a="1"/>
  <c r="K24" i="113" s="1"/>
  <c r="O40" i="151"/>
  <c r="O74" i="151" s="1"/>
  <c r="S16" i="113" a="1"/>
  <c r="S16" i="113" s="1"/>
  <c r="O51" i="151"/>
  <c r="O85" i="151" s="1"/>
  <c r="I19" i="113" a="1"/>
  <c r="I19" i="113" s="1"/>
  <c r="S25" i="113" a="1"/>
  <c r="S25" i="113" s="1"/>
  <c r="R17" i="113" a="1"/>
  <c r="R17" i="113" s="1"/>
  <c r="N17" i="152" s="1" a="1"/>
  <c r="N17" i="152" s="1"/>
  <c r="V20" i="113" a="1"/>
  <c r="V20" i="113" s="1"/>
  <c r="S28" i="113" a="1"/>
  <c r="S28" i="113" s="1"/>
  <c r="O49" i="151"/>
  <c r="O83" i="151" s="1"/>
  <c r="U19" i="113" a="1"/>
  <c r="U19" i="113" s="1"/>
  <c r="L20" i="113" a="1"/>
  <c r="L20" i="113" s="1"/>
  <c r="O41" i="151"/>
  <c r="O75" i="151" s="1"/>
  <c r="Q17" i="113" a="1"/>
  <c r="Q17" i="113" s="1"/>
  <c r="U24" i="113" a="1"/>
  <c r="U24" i="113" s="1"/>
  <c r="S29" i="113" a="1"/>
  <c r="S29" i="113" s="1"/>
  <c r="O53" i="151"/>
  <c r="W19" i="113" a="1"/>
  <c r="W19" i="113" s="1"/>
  <c r="J17" i="113" a="1"/>
  <c r="J17" i="113" s="1"/>
  <c r="O47" i="151"/>
  <c r="O81" i="151" s="1"/>
  <c r="S27" i="113" a="1"/>
  <c r="S27" i="113" s="1"/>
  <c r="Q20" i="113" a="1"/>
  <c r="Q20" i="113" s="1"/>
  <c r="N17" i="113" a="1"/>
  <c r="N17" i="113" s="1"/>
  <c r="O54" i="151"/>
  <c r="O88" i="151" s="1"/>
  <c r="O20" i="113" a="1"/>
  <c r="O20" i="113" s="1"/>
  <c r="O39" i="151"/>
  <c r="K17" i="113" a="1"/>
  <c r="K17" i="113" s="1"/>
  <c r="L24" i="113" a="1"/>
  <c r="L24" i="113" s="1"/>
  <c r="Q18" i="113" a="1"/>
  <c r="Q18" i="113" s="1"/>
  <c r="R20" i="113" a="1"/>
  <c r="R20" i="113" s="1"/>
  <c r="O56" i="151"/>
  <c r="O90" i="151" s="1"/>
  <c r="S18" i="113" a="1"/>
  <c r="S18" i="113" s="1"/>
  <c r="N27" i="109" s="1"/>
  <c r="I24" i="113" a="1"/>
  <c r="I24" i="113" s="1"/>
  <c r="T24" i="113" a="1"/>
  <c r="T24" i="113" s="1"/>
  <c r="X19" i="113" a="1"/>
  <c r="X19" i="113" s="1"/>
  <c r="Q24" i="113" a="1"/>
  <c r="Q24" i="113" s="1"/>
  <c r="N20" i="113" a="1"/>
  <c r="N20" i="113" s="1"/>
  <c r="I17" i="113" a="1"/>
  <c r="I17" i="113" s="1"/>
  <c r="V24" i="113" a="1"/>
  <c r="V24" i="113" s="1"/>
  <c r="O48" i="151"/>
  <c r="O82" i="151" s="1"/>
  <c r="S20" i="113" a="1"/>
  <c r="S20" i="113" s="1"/>
  <c r="P18" i="113" a="1"/>
  <c r="P18" i="113" s="1"/>
  <c r="S26" i="113" a="1"/>
  <c r="S26" i="113" s="1"/>
  <c r="O19" i="152" l="1" a="1"/>
  <c r="O19" i="152" s="1"/>
  <c r="O17" i="152" a="1"/>
  <c r="O17" i="152" s="1"/>
  <c r="N20" i="152" a="1"/>
  <c r="N20" i="152" s="1"/>
  <c r="O27" i="152" a="1"/>
  <c r="O27" i="152" s="1"/>
  <c r="F35" i="133" s="1"/>
  <c r="F12" i="133" s="1"/>
  <c r="N12" i="151"/>
  <c r="O31" i="152" a="1"/>
  <c r="O31" i="152" s="1"/>
  <c r="N13" i="151"/>
  <c r="N14" i="151"/>
  <c r="N23" i="151"/>
  <c r="N29" i="152" a="1"/>
  <c r="N29" i="152" s="1"/>
  <c r="O28" i="152" a="1"/>
  <c r="O28" i="152" s="1"/>
  <c r="N19" i="152" a="1"/>
  <c r="N19" i="152" s="1"/>
  <c r="N152" i="145"/>
  <c r="N197" i="145"/>
  <c r="O30" i="152" a="1"/>
  <c r="O30" i="152" s="1"/>
  <c r="G11" i="121"/>
  <c r="G28" i="121" s="1"/>
  <c r="F61" i="132"/>
  <c r="O10" i="152"/>
  <c r="O11" i="152"/>
  <c r="N21" i="109" s="1"/>
  <c r="O26" i="152" a="1"/>
  <c r="O26" i="152" s="1"/>
  <c r="N93" i="151"/>
  <c r="N10" i="151" s="1"/>
  <c r="N22" i="151" s="1"/>
  <c r="N28" i="152" a="1"/>
  <c r="N28" i="152" s="1"/>
  <c r="G49" i="133"/>
  <c r="H36" i="103"/>
  <c r="G13" i="131"/>
  <c r="I51" i="115"/>
  <c r="I14" i="115" s="1"/>
  <c r="G18" i="145" s="1"/>
  <c r="O12" i="131"/>
  <c r="I60" i="115"/>
  <c r="I23" i="115" s="1"/>
  <c r="O13" i="131"/>
  <c r="G15" i="131"/>
  <c r="I59" i="115"/>
  <c r="I22" i="115" s="1"/>
  <c r="G38" i="145" s="1"/>
  <c r="I50" i="115"/>
  <c r="I13" i="115" s="1"/>
  <c r="G20" i="145" s="1"/>
  <c r="I54" i="115"/>
  <c r="I17" i="115" s="1"/>
  <c r="I56" i="115"/>
  <c r="I19" i="115" s="1"/>
  <c r="G29" i="145" s="1"/>
  <c r="O16" i="131"/>
  <c r="H11" i="148"/>
  <c r="H19" i="103"/>
  <c r="I55" i="115"/>
  <c r="I18" i="115" s="1"/>
  <c r="H18" i="103"/>
  <c r="H35" i="103"/>
  <c r="I61" i="115"/>
  <c r="I24" i="115" s="1"/>
  <c r="H12" i="148"/>
  <c r="O15" i="131"/>
  <c r="I62" i="115"/>
  <c r="I25" i="115" s="1"/>
  <c r="I57" i="115"/>
  <c r="I20" i="115" s="1"/>
  <c r="I58" i="115"/>
  <c r="I21" i="115" s="1"/>
  <c r="G40" i="145" s="1"/>
  <c r="O14" i="131"/>
  <c r="G14" i="131"/>
  <c r="I52" i="115"/>
  <c r="I15" i="115" s="1"/>
  <c r="I53" i="115"/>
  <c r="I16" i="115" s="1"/>
  <c r="O73" i="151"/>
  <c r="O59" i="151"/>
  <c r="O64" i="151"/>
  <c r="O12" i="151" s="1"/>
  <c r="K35" i="103"/>
  <c r="L50" i="115"/>
  <c r="L13" i="115" s="1"/>
  <c r="J20" i="145" s="1"/>
  <c r="L57" i="115"/>
  <c r="L20" i="115" s="1"/>
  <c r="L62" i="115"/>
  <c r="L25" i="115" s="1"/>
  <c r="R14" i="131"/>
  <c r="J49" i="133"/>
  <c r="R13" i="131"/>
  <c r="L52" i="115"/>
  <c r="L15" i="115" s="1"/>
  <c r="L59" i="115"/>
  <c r="L22" i="115" s="1"/>
  <c r="J38" i="145" s="1"/>
  <c r="L56" i="115"/>
  <c r="L19" i="115" s="1"/>
  <c r="J29" i="145" s="1"/>
  <c r="L53" i="115"/>
  <c r="L16" i="115" s="1"/>
  <c r="L55" i="115"/>
  <c r="L18" i="115" s="1"/>
  <c r="K18" i="103"/>
  <c r="L54" i="115"/>
  <c r="L17" i="115" s="1"/>
  <c r="L51" i="115"/>
  <c r="L14" i="115" s="1"/>
  <c r="J18" i="145" s="1"/>
  <c r="R16" i="131"/>
  <c r="L61" i="115"/>
  <c r="L24" i="115" s="1"/>
  <c r="J14" i="131"/>
  <c r="K19" i="103"/>
  <c r="K11" i="148"/>
  <c r="R12" i="131"/>
  <c r="L58" i="115"/>
  <c r="L21" i="115" s="1"/>
  <c r="J40" i="145" s="1"/>
  <c r="L60" i="115"/>
  <c r="L23" i="115" s="1"/>
  <c r="J13" i="131"/>
  <c r="J17" i="131" s="1"/>
  <c r="J20" i="131" s="1"/>
  <c r="R15" i="131"/>
  <c r="J15" i="131"/>
  <c r="K36" i="103"/>
  <c r="K12" i="148"/>
  <c r="F49" i="133"/>
  <c r="N14" i="131"/>
  <c r="G18" i="103"/>
  <c r="G36" i="103"/>
  <c r="H55" i="115"/>
  <c r="H18" i="115" s="1"/>
  <c r="H61" i="115"/>
  <c r="H24" i="115" s="1"/>
  <c r="H60" i="115"/>
  <c r="H23" i="115" s="1"/>
  <c r="F13" i="131"/>
  <c r="N12" i="131"/>
  <c r="G12" i="148"/>
  <c r="F16" i="131"/>
  <c r="H52" i="115"/>
  <c r="H15" i="115" s="1"/>
  <c r="H56" i="115"/>
  <c r="H19" i="115" s="1"/>
  <c r="F29" i="145" s="1"/>
  <c r="F12" i="131"/>
  <c r="H59" i="115"/>
  <c r="H22" i="115" s="1"/>
  <c r="F38" i="145" s="1"/>
  <c r="N15" i="131"/>
  <c r="H50" i="115"/>
  <c r="H13" i="115" s="1"/>
  <c r="F20" i="145" s="1"/>
  <c r="H62" i="115"/>
  <c r="H25" i="115" s="1"/>
  <c r="F14" i="131"/>
  <c r="N16" i="131"/>
  <c r="H51" i="115"/>
  <c r="H14" i="115" s="1"/>
  <c r="F18" i="145" s="1"/>
  <c r="G19" i="103"/>
  <c r="H58" i="115"/>
  <c r="H21" i="115" s="1"/>
  <c r="F40" i="145" s="1"/>
  <c r="H57" i="115"/>
  <c r="H20" i="115" s="1"/>
  <c r="G11" i="148"/>
  <c r="H54" i="115"/>
  <c r="H17" i="115" s="1"/>
  <c r="N13" i="131"/>
  <c r="F15" i="131"/>
  <c r="H53" i="115"/>
  <c r="H16" i="115" s="1"/>
  <c r="G35" i="103"/>
  <c r="N27" i="152" a="1"/>
  <c r="N27" i="152" s="1"/>
  <c r="E35" i="133" s="1"/>
  <c r="E12" i="133" s="1"/>
  <c r="N249" i="152"/>
  <c r="O65" i="151"/>
  <c r="O17" i="151" s="1"/>
  <c r="O87" i="151"/>
  <c r="O171" i="152"/>
  <c r="O173" i="152" s="1"/>
  <c r="N18" i="152" a="1"/>
  <c r="N18" i="152" s="1"/>
  <c r="E36" i="134" s="1"/>
  <c r="N16" i="152" a="1"/>
  <c r="N16" i="152" s="1"/>
  <c r="E34" i="134" s="1"/>
  <c r="N17" i="109"/>
  <c r="N14" i="109"/>
  <c r="N20" i="109"/>
  <c r="N12" i="109"/>
  <c r="N19" i="109"/>
  <c r="N13" i="109"/>
  <c r="N15" i="109"/>
  <c r="N16" i="109"/>
  <c r="N18" i="109"/>
  <c r="O16" i="152" a="1"/>
  <c r="O16" i="152" s="1"/>
  <c r="F34" i="134" s="1"/>
  <c r="O249" i="152"/>
  <c r="N171" i="152"/>
  <c r="N173" i="152" s="1"/>
  <c r="K60" i="115"/>
  <c r="K23" i="115" s="1"/>
  <c r="I49" i="133"/>
  <c r="J36" i="103"/>
  <c r="I14" i="131"/>
  <c r="K54" i="115"/>
  <c r="K17" i="115" s="1"/>
  <c r="J18" i="103"/>
  <c r="I13" i="131"/>
  <c r="K52" i="115"/>
  <c r="K15" i="115" s="1"/>
  <c r="K51" i="115"/>
  <c r="K14" i="115" s="1"/>
  <c r="I18" i="145" s="1"/>
  <c r="K56" i="115"/>
  <c r="K19" i="115" s="1"/>
  <c r="I29" i="145" s="1"/>
  <c r="K50" i="115"/>
  <c r="K13" i="115" s="1"/>
  <c r="I20" i="145" s="1"/>
  <c r="J19" i="103"/>
  <c r="K53" i="115"/>
  <c r="K16" i="115" s="1"/>
  <c r="K58" i="115"/>
  <c r="K21" i="115" s="1"/>
  <c r="I40" i="145" s="1"/>
  <c r="K57" i="115"/>
  <c r="K20" i="115" s="1"/>
  <c r="Q14" i="131"/>
  <c r="K62" i="115"/>
  <c r="K25" i="115" s="1"/>
  <c r="J35" i="103"/>
  <c r="J12" i="148"/>
  <c r="I15" i="131"/>
  <c r="Q13" i="131"/>
  <c r="Q15" i="131"/>
  <c r="J11" i="148"/>
  <c r="K61" i="115"/>
  <c r="K24" i="115" s="1"/>
  <c r="Q12" i="131"/>
  <c r="K59" i="115"/>
  <c r="K22" i="115" s="1"/>
  <c r="I38" i="145" s="1"/>
  <c r="Q16" i="131"/>
  <c r="K55" i="115"/>
  <c r="K18" i="115" s="1"/>
  <c r="I18" i="103"/>
  <c r="J58" i="115"/>
  <c r="J21" i="115" s="1"/>
  <c r="H40" i="145" s="1"/>
  <c r="P16" i="131"/>
  <c r="P15" i="131"/>
  <c r="I19" i="103"/>
  <c r="J60" i="115"/>
  <c r="J23" i="115" s="1"/>
  <c r="I35" i="103"/>
  <c r="I11" i="148"/>
  <c r="J54" i="115"/>
  <c r="J17" i="115" s="1"/>
  <c r="P13" i="131"/>
  <c r="H14" i="131"/>
  <c r="J56" i="115"/>
  <c r="J19" i="115" s="1"/>
  <c r="H29" i="145" s="1"/>
  <c r="J61" i="115"/>
  <c r="J24" i="115" s="1"/>
  <c r="P14" i="131"/>
  <c r="J62" i="115"/>
  <c r="J25" i="115" s="1"/>
  <c r="I12" i="148"/>
  <c r="J57" i="115"/>
  <c r="J20" i="115" s="1"/>
  <c r="H15" i="131"/>
  <c r="J53" i="115"/>
  <c r="J16" i="115" s="1"/>
  <c r="H49" i="133"/>
  <c r="H13" i="131"/>
  <c r="J51" i="115"/>
  <c r="J14" i="115" s="1"/>
  <c r="H18" i="145" s="1"/>
  <c r="J55" i="115"/>
  <c r="J18" i="115" s="1"/>
  <c r="J50" i="115"/>
  <c r="J13" i="115" s="1"/>
  <c r="H20" i="145" s="1"/>
  <c r="J59" i="115"/>
  <c r="J22" i="115" s="1"/>
  <c r="H38" i="145" s="1"/>
  <c r="P12" i="131"/>
  <c r="J52" i="115"/>
  <c r="J15" i="115" s="1"/>
  <c r="I36" i="103"/>
  <c r="N15" i="152" a="1"/>
  <c r="N15" i="152" s="1"/>
  <c r="E33" i="134" s="1"/>
  <c r="E61" i="132"/>
  <c r="N10" i="152"/>
  <c r="N11" i="152"/>
  <c r="M21" i="109" s="1"/>
  <c r="F11" i="121"/>
  <c r="F28" i="121" s="1"/>
  <c r="M19" i="109"/>
  <c r="M18" i="109"/>
  <c r="M20" i="109"/>
  <c r="M17" i="109"/>
  <c r="M12" i="109"/>
  <c r="M13" i="109"/>
  <c r="M16" i="109"/>
  <c r="M14" i="109"/>
  <c r="M15" i="109"/>
  <c r="O20" i="152" a="1"/>
  <c r="O20" i="152" s="1"/>
  <c r="N17" i="151"/>
  <c r="N26" i="152" a="1"/>
  <c r="N26" i="152" s="1"/>
  <c r="M56" i="115"/>
  <c r="M19" i="115" s="1"/>
  <c r="K29" i="145" s="1"/>
  <c r="M50" i="115"/>
  <c r="M13" i="115" s="1"/>
  <c r="K20" i="145" s="1"/>
  <c r="M60" i="115"/>
  <c r="M23" i="115" s="1"/>
  <c r="M55" i="115"/>
  <c r="M18" i="115" s="1"/>
  <c r="M61" i="115"/>
  <c r="M24" i="115" s="1"/>
  <c r="M53" i="115"/>
  <c r="M16" i="115" s="1"/>
  <c r="L35" i="103"/>
  <c r="M58" i="115"/>
  <c r="M21" i="115" s="1"/>
  <c r="K40" i="145" s="1"/>
  <c r="L11" i="148"/>
  <c r="M51" i="115"/>
  <c r="M14" i="115" s="1"/>
  <c r="K18" i="145" s="1"/>
  <c r="M59" i="115"/>
  <c r="M22" i="115" s="1"/>
  <c r="K38" i="145" s="1"/>
  <c r="K13" i="131"/>
  <c r="S14" i="131"/>
  <c r="K14" i="131"/>
  <c r="S13" i="131"/>
  <c r="M52" i="115"/>
  <c r="M15" i="115" s="1"/>
  <c r="S16" i="131"/>
  <c r="S12" i="131"/>
  <c r="M57" i="115"/>
  <c r="M20" i="115" s="1"/>
  <c r="K49" i="133"/>
  <c r="L18" i="103"/>
  <c r="L36" i="103"/>
  <c r="S15" i="131"/>
  <c r="M54" i="115"/>
  <c r="M17" i="115" s="1"/>
  <c r="K15" i="131"/>
  <c r="M62" i="115"/>
  <c r="M25" i="115" s="1"/>
  <c r="L19" i="103"/>
  <c r="L12" i="148"/>
  <c r="F11" i="148"/>
  <c r="M15" i="131"/>
  <c r="G62" i="115"/>
  <c r="G25" i="115" s="1"/>
  <c r="E15" i="131"/>
  <c r="E16" i="131"/>
  <c r="G54" i="115"/>
  <c r="G17" i="115" s="1"/>
  <c r="G53" i="115"/>
  <c r="G16" i="115" s="1"/>
  <c r="M13" i="131"/>
  <c r="F36" i="103"/>
  <c r="F18" i="103"/>
  <c r="F35" i="103"/>
  <c r="M16" i="131"/>
  <c r="G60" i="115"/>
  <c r="G23" i="115" s="1"/>
  <c r="G61" i="115"/>
  <c r="G24" i="115" s="1"/>
  <c r="F12" i="148"/>
  <c r="E14" i="131"/>
  <c r="E13" i="131"/>
  <c r="G55" i="115"/>
  <c r="G18" i="115" s="1"/>
  <c r="M12" i="131"/>
  <c r="M17" i="131" s="1"/>
  <c r="M20" i="131" s="1"/>
  <c r="E49" i="133"/>
  <c r="G57" i="115"/>
  <c r="G20" i="115" s="1"/>
  <c r="G51" i="115"/>
  <c r="G14" i="115" s="1"/>
  <c r="E18" i="145" s="1"/>
  <c r="M14" i="131"/>
  <c r="G58" i="115"/>
  <c r="G21" i="115" s="1"/>
  <c r="E40" i="145" s="1"/>
  <c r="E12" i="131"/>
  <c r="G59" i="115"/>
  <c r="G22" i="115" s="1"/>
  <c r="E38" i="145" s="1"/>
  <c r="G50" i="115"/>
  <c r="G13" i="115" s="1"/>
  <c r="E20" i="145" s="1"/>
  <c r="F19" i="103"/>
  <c r="G52" i="115"/>
  <c r="G15" i="115" s="1"/>
  <c r="G56" i="115"/>
  <c r="G19" i="115" s="1"/>
  <c r="E29" i="145" s="1"/>
  <c r="O18" i="152" a="1"/>
  <c r="O18" i="152" s="1"/>
  <c r="O15" i="152" a="1"/>
  <c r="O15" i="152" s="1"/>
  <c r="N31" i="152" a="1"/>
  <c r="N31" i="152" s="1"/>
  <c r="N30" i="152" a="1"/>
  <c r="N30" i="152" s="1"/>
  <c r="F50" i="145" l="1"/>
  <c r="H31" i="145"/>
  <c r="I31" i="145"/>
  <c r="P17" i="131"/>
  <c r="P20" i="131" s="1"/>
  <c r="J31" i="145"/>
  <c r="J15" i="148"/>
  <c r="G15" i="148"/>
  <c r="H15" i="148"/>
  <c r="I15" i="148"/>
  <c r="L15" i="148"/>
  <c r="F15" i="148"/>
  <c r="E14" i="134"/>
  <c r="M22" i="109"/>
  <c r="M25" i="109" s="1"/>
  <c r="E51" i="133"/>
  <c r="G65" i="115"/>
  <c r="E50" i="133"/>
  <c r="E52" i="145"/>
  <c r="E102" i="145"/>
  <c r="F12" i="134"/>
  <c r="N15" i="142"/>
  <c r="N12" i="152"/>
  <c r="M24" i="109" s="1"/>
  <c r="F22" i="132"/>
  <c r="N17" i="131"/>
  <c r="N20" i="131" s="1"/>
  <c r="F50" i="133"/>
  <c r="H65" i="115"/>
  <c r="F51" i="133"/>
  <c r="R17" i="131"/>
  <c r="R20" i="131" s="1"/>
  <c r="J50" i="133"/>
  <c r="L65" i="115"/>
  <c r="J51" i="133"/>
  <c r="O93" i="151"/>
  <c r="O10" i="151" s="1"/>
  <c r="O22" i="151" s="1"/>
  <c r="G52" i="145"/>
  <c r="G102" i="145"/>
  <c r="O32" i="152"/>
  <c r="F34" i="133"/>
  <c r="E31" i="145"/>
  <c r="E34" i="133"/>
  <c r="N32" i="152"/>
  <c r="E55" i="132"/>
  <c r="E48" i="132"/>
  <c r="E54" i="132"/>
  <c r="E53" i="132"/>
  <c r="E16" i="132" s="1"/>
  <c r="E51" i="132"/>
  <c r="E49" i="132"/>
  <c r="E12" i="132" s="1"/>
  <c r="E52" i="132"/>
  <c r="E15" i="132" s="1"/>
  <c r="E50" i="132"/>
  <c r="E13" i="132" s="1"/>
  <c r="E54" i="120"/>
  <c r="J33" i="115"/>
  <c r="J37" i="115" s="1"/>
  <c r="J38" i="115" s="1"/>
  <c r="R64" i="115"/>
  <c r="J49" i="115"/>
  <c r="F102" i="145"/>
  <c r="F52" i="145"/>
  <c r="F108" i="145" s="1"/>
  <c r="Q64" i="115"/>
  <c r="I49" i="115"/>
  <c r="I33" i="115"/>
  <c r="I37" i="115" s="1"/>
  <c r="I38" i="115" s="1"/>
  <c r="N22" i="109"/>
  <c r="F101" i="145"/>
  <c r="F42" i="145"/>
  <c r="F43" i="145" s="1"/>
  <c r="E17" i="131"/>
  <c r="E20" i="131" s="1"/>
  <c r="N18" i="151"/>
  <c r="N20" i="151" s="1"/>
  <c r="N19" i="151"/>
  <c r="E37" i="133"/>
  <c r="E14" i="133" s="1"/>
  <c r="N24" i="151"/>
  <c r="E11" i="134"/>
  <c r="H17" i="131"/>
  <c r="H20" i="131" s="1"/>
  <c r="H102" i="145"/>
  <c r="H52" i="145"/>
  <c r="K33" i="115"/>
  <c r="K37" i="115" s="1"/>
  <c r="K38" i="115" s="1"/>
  <c r="K49" i="115"/>
  <c r="S64" i="115"/>
  <c r="E12" i="134"/>
  <c r="M15" i="142"/>
  <c r="F17" i="131"/>
  <c r="F20" i="131" s="1"/>
  <c r="J42" i="145"/>
  <c r="J107" i="145" s="1"/>
  <c r="J101" i="145"/>
  <c r="G33" i="145"/>
  <c r="G100" i="145"/>
  <c r="G50" i="145"/>
  <c r="G17" i="131"/>
  <c r="G20" i="131" s="1"/>
  <c r="F48" i="132"/>
  <c r="F49" i="132"/>
  <c r="F12" i="132" s="1"/>
  <c r="F55" i="132"/>
  <c r="F53" i="132"/>
  <c r="F16" i="132" s="1"/>
  <c r="F50" i="132"/>
  <c r="F13" i="132" s="1"/>
  <c r="F51" i="132"/>
  <c r="F52" i="132"/>
  <c r="F15" i="132" s="1"/>
  <c r="F54" i="132"/>
  <c r="F54" i="120"/>
  <c r="F33" i="134"/>
  <c r="O21" i="152"/>
  <c r="E22" i="132"/>
  <c r="H50" i="133"/>
  <c r="H51" i="133"/>
  <c r="J65" i="115"/>
  <c r="H50" i="145"/>
  <c r="H108" i="145" s="1"/>
  <c r="H113" i="145" s="1"/>
  <c r="Q17" i="131"/>
  <c r="Q20" i="131" s="1"/>
  <c r="I51" i="133"/>
  <c r="I50" i="133"/>
  <c r="K65" i="115"/>
  <c r="F31" i="145"/>
  <c r="F106" i="145" s="1"/>
  <c r="F111" i="145" s="1"/>
  <c r="J50" i="145"/>
  <c r="J43" i="145"/>
  <c r="O17" i="131"/>
  <c r="O20" i="131" s="1"/>
  <c r="G33" i="115"/>
  <c r="G37" i="115" s="1"/>
  <c r="G38" i="115" s="1"/>
  <c r="O64" i="115"/>
  <c r="G49" i="115"/>
  <c r="M65" i="115"/>
  <c r="K51" i="133"/>
  <c r="K50" i="133"/>
  <c r="K17" i="131"/>
  <c r="K20" i="131" s="1"/>
  <c r="K50" i="145"/>
  <c r="H33" i="145"/>
  <c r="H106" i="145" s="1"/>
  <c r="H100" i="145"/>
  <c r="I50" i="145"/>
  <c r="I102" i="145"/>
  <c r="I52" i="145"/>
  <c r="H33" i="115"/>
  <c r="H37" i="115" s="1"/>
  <c r="H38" i="115" s="1"/>
  <c r="P64" i="115"/>
  <c r="H49" i="115"/>
  <c r="F33" i="145"/>
  <c r="F100" i="145"/>
  <c r="J33" i="145"/>
  <c r="J106" i="145" s="1"/>
  <c r="J100" i="145"/>
  <c r="G51" i="133"/>
  <c r="G50" i="133"/>
  <c r="I65" i="115"/>
  <c r="K33" i="145"/>
  <c r="K100" i="145"/>
  <c r="K15" i="148"/>
  <c r="K42" i="145"/>
  <c r="K107" i="145" s="1"/>
  <c r="K101" i="145"/>
  <c r="K31" i="145"/>
  <c r="I42" i="145"/>
  <c r="I43" i="145" s="1"/>
  <c r="I101" i="145"/>
  <c r="I33" i="145"/>
  <c r="I106" i="145" s="1"/>
  <c r="I100" i="145"/>
  <c r="J102" i="145"/>
  <c r="J52" i="145"/>
  <c r="O14" i="151"/>
  <c r="O13" i="151"/>
  <c r="F36" i="134"/>
  <c r="O23" i="151"/>
  <c r="G31" i="145"/>
  <c r="H88" i="145"/>
  <c r="E88" i="145"/>
  <c r="G88" i="145"/>
  <c r="I88" i="145"/>
  <c r="J88" i="145"/>
  <c r="K88" i="145"/>
  <c r="F88" i="145"/>
  <c r="N15" i="151"/>
  <c r="E100" i="145"/>
  <c r="E33" i="145"/>
  <c r="E106" i="145" s="1"/>
  <c r="E101" i="145"/>
  <c r="E42" i="145"/>
  <c r="E43" i="145" s="1"/>
  <c r="E50" i="145"/>
  <c r="S17" i="131"/>
  <c r="S20" i="131" s="1"/>
  <c r="M33" i="115"/>
  <c r="M37" i="115" s="1"/>
  <c r="M38" i="115" s="1"/>
  <c r="U64" i="115"/>
  <c r="M49" i="115"/>
  <c r="K52" i="145"/>
  <c r="K102" i="145"/>
  <c r="H101" i="145"/>
  <c r="H42" i="145"/>
  <c r="H43" i="145" s="1"/>
  <c r="I17" i="131"/>
  <c r="I20" i="131" s="1"/>
  <c r="O12" i="152"/>
  <c r="N24" i="109" s="1"/>
  <c r="O24" i="151"/>
  <c r="O19" i="151"/>
  <c r="O18" i="151"/>
  <c r="F37" i="133"/>
  <c r="F14" i="133" s="1"/>
  <c r="L33" i="115"/>
  <c r="L37" i="115" s="1"/>
  <c r="L38" i="115" s="1"/>
  <c r="T64" i="115"/>
  <c r="L49" i="115"/>
  <c r="G42" i="145"/>
  <c r="G43" i="145" s="1"/>
  <c r="G101" i="145"/>
  <c r="N21" i="152"/>
  <c r="F113" i="145" l="1"/>
  <c r="O15" i="151"/>
  <c r="K112" i="145"/>
  <c r="N25" i="109"/>
  <c r="K106" i="145"/>
  <c r="K111" i="145" s="1"/>
  <c r="G108" i="145"/>
  <c r="G113" i="145" s="1"/>
  <c r="H107" i="145"/>
  <c r="H112" i="145" s="1"/>
  <c r="K108" i="145"/>
  <c r="J111" i="145"/>
  <c r="J112" i="145"/>
  <c r="M64" i="115"/>
  <c r="M66" i="115" s="1"/>
  <c r="M12" i="115"/>
  <c r="M41" i="115" s="1"/>
  <c r="G107" i="145"/>
  <c r="G112" i="145" s="1"/>
  <c r="F17" i="132"/>
  <c r="G12" i="103"/>
  <c r="N33" i="152"/>
  <c r="E38" i="133" s="1"/>
  <c r="E15" i="133" s="1"/>
  <c r="F16" i="103" s="1"/>
  <c r="N34" i="152"/>
  <c r="E39" i="133" s="1"/>
  <c r="E16" i="133" s="1"/>
  <c r="F33" i="103" s="1"/>
  <c r="N39" i="152"/>
  <c r="M16" i="142"/>
  <c r="M19" i="142"/>
  <c r="E11" i="133"/>
  <c r="I111" i="145"/>
  <c r="M29" i="109"/>
  <c r="M20" i="130"/>
  <c r="I108" i="145"/>
  <c r="I113" i="145" s="1"/>
  <c r="G64" i="115"/>
  <c r="G66" i="115" s="1"/>
  <c r="G12" i="115"/>
  <c r="F14" i="132"/>
  <c r="H53" i="116"/>
  <c r="F107" i="145"/>
  <c r="F112" i="145" s="1"/>
  <c r="F14" i="134"/>
  <c r="A15" i="148"/>
  <c r="A1" i="148" s="1"/>
  <c r="H100" i="25" s="1"/>
  <c r="G106" i="145"/>
  <c r="G111" i="145" s="1"/>
  <c r="K64" i="115"/>
  <c r="K66" i="115" s="1"/>
  <c r="K12" i="115"/>
  <c r="O13" i="152"/>
  <c r="O37" i="152" s="1"/>
  <c r="E14" i="132"/>
  <c r="G53" i="116"/>
  <c r="E107" i="145"/>
  <c r="E112" i="145" s="1"/>
  <c r="N22" i="152"/>
  <c r="E37" i="134" s="1"/>
  <c r="N23" i="152"/>
  <c r="E38" i="134" s="1"/>
  <c r="E16" i="134" s="1"/>
  <c r="F30" i="103" s="1"/>
  <c r="N38" i="152"/>
  <c r="O20" i="151"/>
  <c r="J64" i="115"/>
  <c r="J66" i="115" s="1"/>
  <c r="J12" i="115"/>
  <c r="F11" i="133"/>
  <c r="N13" i="152"/>
  <c r="N37" i="152" s="1"/>
  <c r="H12" i="115"/>
  <c r="H64" i="115"/>
  <c r="H66" i="115" s="1"/>
  <c r="O22" i="152"/>
  <c r="F37" i="134" s="1"/>
  <c r="F15" i="134" s="1"/>
  <c r="G13" i="103" s="1"/>
  <c r="O23" i="152"/>
  <c r="F38" i="134" s="1"/>
  <c r="F16" i="134" s="1"/>
  <c r="G30" i="103" s="1"/>
  <c r="O38" i="152"/>
  <c r="F18" i="132"/>
  <c r="G29" i="103"/>
  <c r="I107" i="145"/>
  <c r="I112" i="145" s="1"/>
  <c r="A112" i="145" s="1"/>
  <c r="I41" i="115"/>
  <c r="F12" i="103"/>
  <c r="E17" i="132"/>
  <c r="O33" i="152"/>
  <c r="F38" i="133" s="1"/>
  <c r="F15" i="133" s="1"/>
  <c r="G16" i="103" s="1"/>
  <c r="O34" i="152"/>
  <c r="F39" i="133" s="1"/>
  <c r="F16" i="133" s="1"/>
  <c r="G33" i="103" s="1"/>
  <c r="O39" i="152"/>
  <c r="N29" i="109"/>
  <c r="N20" i="130"/>
  <c r="K43" i="145"/>
  <c r="H111" i="145"/>
  <c r="F11" i="134"/>
  <c r="I64" i="115"/>
  <c r="I66" i="115" s="1"/>
  <c r="I12" i="115"/>
  <c r="J41" i="115"/>
  <c r="E11" i="132"/>
  <c r="E56" i="132"/>
  <c r="L64" i="115"/>
  <c r="L66" i="115" s="1"/>
  <c r="L12" i="115"/>
  <c r="K113" i="145"/>
  <c r="E111" i="145"/>
  <c r="J108" i="145"/>
  <c r="J113" i="145" s="1"/>
  <c r="F16" i="120"/>
  <c r="F19" i="120"/>
  <c r="F18" i="120"/>
  <c r="F15" i="120"/>
  <c r="F14" i="120"/>
  <c r="F17" i="120"/>
  <c r="F56" i="132"/>
  <c r="F11" i="132"/>
  <c r="F19" i="132" s="1"/>
  <c r="A20" i="131"/>
  <c r="A1" i="131" s="1"/>
  <c r="H65" i="25" s="1"/>
  <c r="E16" i="120"/>
  <c r="E17" i="120"/>
  <c r="E15" i="120"/>
  <c r="E18" i="120"/>
  <c r="E14" i="120"/>
  <c r="E19" i="120"/>
  <c r="E18" i="132"/>
  <c r="F29" i="103"/>
  <c r="E108" i="145"/>
  <c r="E113" i="145" s="1"/>
  <c r="F19" i="134" l="1"/>
  <c r="N24" i="152"/>
  <c r="F40" i="103"/>
  <c r="E19" i="132"/>
  <c r="A111" i="145"/>
  <c r="E54" i="133"/>
  <c r="E17" i="133"/>
  <c r="E20" i="133" s="1"/>
  <c r="E48" i="120"/>
  <c r="E14" i="142" s="1"/>
  <c r="F50" i="120"/>
  <c r="F27" i="141"/>
  <c r="F23" i="132"/>
  <c r="H41" i="115"/>
  <c r="F99" i="145"/>
  <c r="F103" i="145" s="1"/>
  <c r="F16" i="145"/>
  <c r="F105" i="145" s="1"/>
  <c r="K41" i="115"/>
  <c r="I99" i="145"/>
  <c r="I16" i="145"/>
  <c r="I105" i="145" s="1"/>
  <c r="G16" i="145"/>
  <c r="G105" i="145" s="1"/>
  <c r="G99" i="145"/>
  <c r="G40" i="103"/>
  <c r="E99" i="145"/>
  <c r="E103" i="145" s="1"/>
  <c r="E16" i="145"/>
  <c r="E105" i="145" s="1"/>
  <c r="F54" i="133"/>
  <c r="A66" i="115"/>
  <c r="G23" i="103"/>
  <c r="N13" i="130"/>
  <c r="N17" i="130"/>
  <c r="N16" i="130"/>
  <c r="N14" i="130"/>
  <c r="N15" i="130"/>
  <c r="N12" i="130"/>
  <c r="F48" i="120"/>
  <c r="J16" i="145"/>
  <c r="J105" i="145" s="1"/>
  <c r="J99" i="145"/>
  <c r="N16" i="142"/>
  <c r="F17" i="134"/>
  <c r="N19" i="142"/>
  <c r="O35" i="152"/>
  <c r="F17" i="133"/>
  <c r="E15" i="134"/>
  <c r="M14" i="142"/>
  <c r="E19" i="134"/>
  <c r="H18" i="116"/>
  <c r="H17" i="116"/>
  <c r="H12" i="116"/>
  <c r="H19" i="116"/>
  <c r="H15" i="116"/>
  <c r="H14" i="116"/>
  <c r="H13" i="116"/>
  <c r="H20" i="116"/>
  <c r="H16" i="116"/>
  <c r="H16" i="145"/>
  <c r="H105" i="145" s="1"/>
  <c r="H99" i="145"/>
  <c r="N14" i="142"/>
  <c r="M15" i="130"/>
  <c r="M12" i="130"/>
  <c r="M17" i="130"/>
  <c r="M14" i="130"/>
  <c r="M16" i="130"/>
  <c r="M13" i="130"/>
  <c r="A113" i="145"/>
  <c r="O24" i="152"/>
  <c r="G13" i="116"/>
  <c r="G16" i="116"/>
  <c r="G20" i="116"/>
  <c r="G14" i="116"/>
  <c r="G15" i="116"/>
  <c r="G17" i="116"/>
  <c r="G18" i="116"/>
  <c r="G12" i="116"/>
  <c r="G19" i="116"/>
  <c r="L41" i="115"/>
  <c r="K99" i="145"/>
  <c r="K16" i="145"/>
  <c r="K105" i="145" s="1"/>
  <c r="E23" i="132"/>
  <c r="E27" i="141"/>
  <c r="E50" i="120"/>
  <c r="G41" i="115"/>
  <c r="N35" i="152"/>
  <c r="H22" i="105" l="1"/>
  <c r="H23" i="105" s="1"/>
  <c r="H52" i="116"/>
  <c r="H55" i="116" s="1"/>
  <c r="A41" i="115"/>
  <c r="A1" i="115" s="1"/>
  <c r="H41" i="25" s="1"/>
  <c r="E21" i="142"/>
  <c r="E23" i="142" s="1"/>
  <c r="E52" i="120"/>
  <c r="I103" i="145"/>
  <c r="I110" i="145"/>
  <c r="E14" i="141"/>
  <c r="E15" i="141"/>
  <c r="E17" i="141"/>
  <c r="E13" i="141"/>
  <c r="E16" i="141"/>
  <c r="N21" i="142"/>
  <c r="N23" i="142" s="1"/>
  <c r="N50" i="120"/>
  <c r="N54" i="120"/>
  <c r="F23" i="134"/>
  <c r="H103" i="145"/>
  <c r="H110" i="145"/>
  <c r="A23" i="132"/>
  <c r="A1" i="132" s="1"/>
  <c r="H23" i="25" s="1"/>
  <c r="E110" i="145"/>
  <c r="F110" i="145"/>
  <c r="J103" i="145"/>
  <c r="J110" i="145"/>
  <c r="K103" i="145"/>
  <c r="K110" i="145"/>
  <c r="M18" i="130"/>
  <c r="M22" i="130" s="1"/>
  <c r="I22" i="105"/>
  <c r="I23" i="105" s="1"/>
  <c r="A23" i="105" s="1"/>
  <c r="A1" i="105" s="1"/>
  <c r="H54" i="25" s="1"/>
  <c r="F14" i="142"/>
  <c r="F13" i="103"/>
  <c r="F23" i="103" s="1"/>
  <c r="E17" i="134"/>
  <c r="G103" i="145"/>
  <c r="G110" i="145"/>
  <c r="N18" i="130"/>
  <c r="N22" i="130" s="1"/>
  <c r="F20" i="133"/>
  <c r="F15" i="141"/>
  <c r="F17" i="141"/>
  <c r="F16" i="141"/>
  <c r="F14" i="141"/>
  <c r="F13" i="141"/>
  <c r="G52" i="116"/>
  <c r="G55" i="116" s="1"/>
  <c r="F52" i="120"/>
  <c r="F21" i="142"/>
  <c r="A55" i="116" l="1"/>
  <c r="H45" i="25" s="1"/>
  <c r="F23" i="142"/>
  <c r="A110" i="145"/>
  <c r="A1" i="145" s="1"/>
  <c r="H39" i="25" s="1"/>
  <c r="E18" i="141"/>
  <c r="F18" i="141"/>
  <c r="N15" i="120"/>
  <c r="N16" i="120"/>
  <c r="N19" i="120"/>
  <c r="N14" i="120"/>
  <c r="N18" i="120"/>
  <c r="N17" i="120"/>
  <c r="E23" i="134"/>
  <c r="M21" i="142"/>
  <c r="M23" i="142" s="1"/>
  <c r="M54" i="120"/>
  <c r="M50" i="120"/>
  <c r="A1" i="116" l="1"/>
  <c r="N48" i="120"/>
  <c r="N52" i="120" s="1"/>
  <c r="M19" i="120"/>
  <c r="M14" i="120"/>
  <c r="M15" i="120"/>
  <c r="M17" i="120"/>
  <c r="M18" i="120"/>
  <c r="M16" i="120"/>
  <c r="F34" i="141"/>
  <c r="F28" i="141"/>
  <c r="E34" i="141"/>
  <c r="E28" i="141"/>
  <c r="A28" i="141" l="1"/>
  <c r="M48" i="120"/>
  <c r="M52" i="120" s="1"/>
  <c r="A34" i="141"/>
  <c r="A1" i="141" s="1"/>
  <c r="H52" i="25" s="1"/>
  <c r="E30" i="129" l="1"/>
  <c r="J30" i="129"/>
  <c r="H30" i="129"/>
  <c r="F30" i="129"/>
  <c r="K30" i="129"/>
  <c r="I30" i="129"/>
  <c r="G30" i="129"/>
  <c r="A30" i="129" l="1"/>
  <c r="A1" i="129" s="1"/>
  <c r="H128" i="25" s="1"/>
  <c r="M11" i="144" l="1"/>
  <c r="N11" i="144"/>
  <c r="L11" i="144"/>
  <c r="Q193" i="152" l="1"/>
  <c r="Q186" i="152"/>
  <c r="Q85" i="152"/>
  <c r="Q197" i="152"/>
  <c r="Q103" i="152"/>
  <c r="Q86" i="152"/>
  <c r="Q89" i="152"/>
  <c r="Q100" i="152"/>
  <c r="Q101" i="152"/>
  <c r="Q185" i="152"/>
  <c r="Q94" i="152"/>
  <c r="Q106" i="152"/>
  <c r="Q203" i="152"/>
  <c r="Q97" i="152"/>
  <c r="Q190" i="152"/>
  <c r="Q87" i="152"/>
  <c r="Q201" i="152"/>
  <c r="Q182" i="152"/>
  <c r="Q199" i="152"/>
  <c r="Q112" i="152"/>
  <c r="Q107" i="152"/>
  <c r="Q194" i="152"/>
  <c r="Q102" i="152"/>
  <c r="Q205" i="152"/>
  <c r="Q210" i="152"/>
  <c r="Q92" i="152"/>
  <c r="Q99" i="152"/>
  <c r="Q189" i="152"/>
  <c r="Q115" i="152"/>
  <c r="Q195" i="152"/>
  <c r="Q207" i="152"/>
  <c r="K11" i="144"/>
  <c r="Q196" i="152"/>
  <c r="Q113" i="152"/>
  <c r="Q184" i="152"/>
  <c r="Q209" i="152"/>
  <c r="Q108" i="152"/>
  <c r="Q93" i="152"/>
  <c r="Q111" i="152"/>
  <c r="Q206" i="152"/>
  <c r="Q95" i="152"/>
  <c r="Q204" i="152"/>
  <c r="Q104" i="152"/>
  <c r="Q114" i="152"/>
  <c r="Q180" i="152"/>
  <c r="Q109" i="152"/>
  <c r="Q181" i="152"/>
  <c r="Q187" i="152"/>
  <c r="Q200" i="152"/>
  <c r="Q183" i="152"/>
  <c r="Q191" i="152"/>
  <c r="Q179" i="152"/>
  <c r="Q202" i="152"/>
  <c r="Q188" i="152"/>
  <c r="Q198" i="152"/>
  <c r="Q96" i="152"/>
  <c r="Q192" i="152"/>
  <c r="Q105" i="152"/>
  <c r="Q116" i="152"/>
  <c r="Q98" i="152"/>
  <c r="Q90" i="152"/>
  <c r="Q110" i="152"/>
  <c r="Q91" i="152"/>
  <c r="Q88" i="152"/>
  <c r="Q208" i="152"/>
  <c r="J11" i="144"/>
  <c r="T11" i="113"/>
  <c r="Q243" i="152" l="1"/>
  <c r="R206" i="152"/>
  <c r="Q137" i="152"/>
  <c r="R100" i="152"/>
  <c r="Q148" i="152"/>
  <c r="R111" i="152"/>
  <c r="R207" i="152"/>
  <c r="Q244" i="152"/>
  <c r="Q139" i="152"/>
  <c r="R102" i="152"/>
  <c r="R190" i="152"/>
  <c r="Q227" i="152"/>
  <c r="R89" i="152"/>
  <c r="Q126" i="152"/>
  <c r="R88" i="152"/>
  <c r="Q125" i="152"/>
  <c r="R87" i="152"/>
  <c r="Q124" i="152"/>
  <c r="Q235" i="152"/>
  <c r="R198" i="152"/>
  <c r="Q147" i="152"/>
  <c r="R110" i="152"/>
  <c r="Q225" i="152"/>
  <c r="R188" i="152"/>
  <c r="R109" i="152"/>
  <c r="Q146" i="152"/>
  <c r="Q130" i="152"/>
  <c r="R93" i="152"/>
  <c r="Q232" i="152"/>
  <c r="R195" i="152"/>
  <c r="Q231" i="152"/>
  <c r="R194" i="152"/>
  <c r="R97" i="152"/>
  <c r="Q134" i="152"/>
  <c r="Q123" i="152"/>
  <c r="R86" i="152"/>
  <c r="R180" i="152"/>
  <c r="Q217" i="152"/>
  <c r="Q145" i="152"/>
  <c r="R108" i="152"/>
  <c r="R115" i="152"/>
  <c r="Q152" i="152"/>
  <c r="Q144" i="152"/>
  <c r="R107" i="152"/>
  <c r="Q240" i="152"/>
  <c r="R203" i="152"/>
  <c r="Q140" i="152"/>
  <c r="R103" i="152"/>
  <c r="Q135" i="152"/>
  <c r="R98" i="152"/>
  <c r="Q216" i="152"/>
  <c r="R179" i="152"/>
  <c r="Q151" i="152"/>
  <c r="Q169" i="152" s="1"/>
  <c r="R114" i="152"/>
  <c r="Q246" i="152"/>
  <c r="R209" i="152"/>
  <c r="Q226" i="152"/>
  <c r="R189" i="152"/>
  <c r="R112" i="152"/>
  <c r="Q149" i="152"/>
  <c r="Q143" i="152"/>
  <c r="R106" i="152"/>
  <c r="R197" i="152"/>
  <c r="Q234" i="152"/>
  <c r="Q224" i="152"/>
  <c r="R187" i="152"/>
  <c r="Q242" i="152"/>
  <c r="R205" i="152"/>
  <c r="T30" i="113" a="1"/>
  <c r="T30" i="113" s="1"/>
  <c r="P42" i="151"/>
  <c r="P76" i="151" s="1"/>
  <c r="T25" i="113" a="1"/>
  <c r="T25" i="113" s="1"/>
  <c r="P49" i="151"/>
  <c r="P83" i="151" s="1"/>
  <c r="T22" i="113" a="1"/>
  <c r="T22" i="113" s="1"/>
  <c r="T23" i="113" a="1"/>
  <c r="T23" i="113" s="1"/>
  <c r="P55" i="151"/>
  <c r="P89" i="151" s="1"/>
  <c r="P39" i="151"/>
  <c r="P56" i="151"/>
  <c r="P90" i="151" s="1"/>
  <c r="T28" i="113" a="1"/>
  <c r="T28" i="113" s="1"/>
  <c r="P52" i="151"/>
  <c r="P86" i="151" s="1"/>
  <c r="T27" i="113" a="1"/>
  <c r="T27" i="113" s="1"/>
  <c r="P57" i="151"/>
  <c r="P91" i="151" s="1"/>
  <c r="P40" i="151"/>
  <c r="P74" i="151" s="1"/>
  <c r="P41" i="151"/>
  <c r="P75" i="151" s="1"/>
  <c r="P51" i="151"/>
  <c r="P85" i="151" s="1"/>
  <c r="P53" i="151"/>
  <c r="P44" i="151"/>
  <c r="P78" i="151" s="1"/>
  <c r="P45" i="151"/>
  <c r="P79" i="151" s="1"/>
  <c r="P46" i="151"/>
  <c r="P80" i="151" s="1"/>
  <c r="P48" i="151"/>
  <c r="P82" i="151" s="1"/>
  <c r="P54" i="151"/>
  <c r="P88" i="151" s="1"/>
  <c r="U11" i="113"/>
  <c r="T29" i="113" a="1"/>
  <c r="T29" i="113" s="1"/>
  <c r="T16" i="113" a="1"/>
  <c r="T16" i="113" s="1"/>
  <c r="P43" i="151"/>
  <c r="P77" i="151" s="1"/>
  <c r="T21" i="113" a="1"/>
  <c r="T21" i="113" s="1"/>
  <c r="P50" i="151"/>
  <c r="P84" i="151" s="1"/>
  <c r="P47" i="151"/>
  <c r="P81" i="151" s="1"/>
  <c r="T26" i="113" a="1"/>
  <c r="T26" i="113" s="1"/>
  <c r="T17" i="113" a="1"/>
  <c r="T17" i="113" s="1"/>
  <c r="T18" i="113" a="1"/>
  <c r="T18" i="113" s="1"/>
  <c r="Q228" i="152"/>
  <c r="R191" i="152"/>
  <c r="Q141" i="152"/>
  <c r="R104" i="152"/>
  <c r="Q221" i="152"/>
  <c r="R184" i="152"/>
  <c r="R99" i="152"/>
  <c r="Q136" i="152"/>
  <c r="Q236" i="152"/>
  <c r="R199" i="152"/>
  <c r="R94" i="152"/>
  <c r="Q131" i="152"/>
  <c r="Q122" i="152"/>
  <c r="R85" i="152"/>
  <c r="Q133" i="152"/>
  <c r="R96" i="152"/>
  <c r="R91" i="152"/>
  <c r="Q128" i="152"/>
  <c r="R90" i="152"/>
  <c r="Q127" i="152"/>
  <c r="Q142" i="152"/>
  <c r="R105" i="152"/>
  <c r="R183" i="152"/>
  <c r="Q220" i="152"/>
  <c r="R204" i="152"/>
  <c r="Q241" i="152"/>
  <c r="Q150" i="152"/>
  <c r="R113" i="152"/>
  <c r="Q129" i="152"/>
  <c r="R92" i="152"/>
  <c r="Q219" i="152"/>
  <c r="R182" i="152"/>
  <c r="Q222" i="152"/>
  <c r="R185" i="152"/>
  <c r="Q223" i="152"/>
  <c r="R186" i="152"/>
  <c r="Q218" i="152"/>
  <c r="R181" i="152"/>
  <c r="R202" i="152"/>
  <c r="Q239" i="152"/>
  <c r="Q153" i="152"/>
  <c r="Q166" i="152" s="1"/>
  <c r="R116" i="152"/>
  <c r="R208" i="152"/>
  <c r="Q245" i="152"/>
  <c r="Q229" i="152"/>
  <c r="R192" i="152"/>
  <c r="R200" i="152"/>
  <c r="Q237" i="152"/>
  <c r="Q132" i="152"/>
  <c r="R95" i="152"/>
  <c r="Q233" i="152"/>
  <c r="R196" i="152"/>
  <c r="R210" i="152"/>
  <c r="Q247" i="152"/>
  <c r="Q238" i="152"/>
  <c r="R201" i="152"/>
  <c r="R101" i="152"/>
  <c r="Q138" i="152"/>
  <c r="R193" i="152"/>
  <c r="Q230" i="152"/>
  <c r="S209" i="152" l="1"/>
  <c r="R246" i="152"/>
  <c r="S103" i="152"/>
  <c r="R140" i="152"/>
  <c r="R145" i="152"/>
  <c r="S108" i="152"/>
  <c r="S194" i="152"/>
  <c r="R231" i="152"/>
  <c r="S188" i="152"/>
  <c r="R225" i="152"/>
  <c r="R132" i="152"/>
  <c r="S95" i="152"/>
  <c r="R127" i="152"/>
  <c r="S90" i="152"/>
  <c r="S94" i="152"/>
  <c r="R131" i="152"/>
  <c r="S197" i="152"/>
  <c r="R234" i="152"/>
  <c r="Q168" i="152"/>
  <c r="S88" i="152"/>
  <c r="R125" i="152"/>
  <c r="R244" i="152"/>
  <c r="S207" i="152"/>
  <c r="Q165" i="152"/>
  <c r="S101" i="152"/>
  <c r="R138" i="152"/>
  <c r="R153" i="152"/>
  <c r="R166" i="152" s="1"/>
  <c r="S116" i="152"/>
  <c r="S185" i="152"/>
  <c r="R222" i="152"/>
  <c r="R236" i="152"/>
  <c r="S199" i="152"/>
  <c r="S191" i="152"/>
  <c r="R228" i="152"/>
  <c r="R143" i="152"/>
  <c r="S106" i="152"/>
  <c r="S114" i="152"/>
  <c r="R151" i="152"/>
  <c r="R169" i="152" s="1"/>
  <c r="S203" i="152"/>
  <c r="R240" i="152"/>
  <c r="S195" i="152"/>
  <c r="R232" i="152"/>
  <c r="R147" i="152"/>
  <c r="S110" i="152"/>
  <c r="S111" i="152"/>
  <c r="R148" i="152"/>
  <c r="R230" i="152"/>
  <c r="S193" i="152"/>
  <c r="R223" i="152"/>
  <c r="S186" i="152"/>
  <c r="S104" i="152"/>
  <c r="R141" i="152"/>
  <c r="R237" i="152"/>
  <c r="S200" i="152"/>
  <c r="S182" i="152"/>
  <c r="R219" i="152"/>
  <c r="S96" i="152"/>
  <c r="R133" i="152"/>
  <c r="Q161" i="152"/>
  <c r="R20" i="127"/>
  <c r="R25" i="127"/>
  <c r="R29" i="127"/>
  <c r="R22" i="127"/>
  <c r="R10" i="127"/>
  <c r="R13" i="127"/>
  <c r="R15" i="127"/>
  <c r="R23" i="127"/>
  <c r="R24" i="127"/>
  <c r="R11" i="127"/>
  <c r="R21" i="127"/>
  <c r="R19" i="127"/>
  <c r="R18" i="127"/>
  <c r="R12" i="127"/>
  <c r="R14" i="127"/>
  <c r="R27" i="127"/>
  <c r="R16" i="127"/>
  <c r="R17" i="127"/>
  <c r="R28" i="127"/>
  <c r="R26" i="127"/>
  <c r="P59" i="151"/>
  <c r="P73" i="151"/>
  <c r="P64" i="151"/>
  <c r="P12" i="151" s="1"/>
  <c r="S205" i="152"/>
  <c r="R242" i="152"/>
  <c r="R216" i="152"/>
  <c r="S179" i="152"/>
  <c r="R144" i="152"/>
  <c r="S107" i="152"/>
  <c r="R123" i="152"/>
  <c r="S86" i="152"/>
  <c r="S93" i="152"/>
  <c r="R130" i="152"/>
  <c r="S198" i="152"/>
  <c r="R235" i="152"/>
  <c r="S100" i="152"/>
  <c r="R137" i="152"/>
  <c r="S180" i="152"/>
  <c r="R217" i="152"/>
  <c r="S89" i="152"/>
  <c r="R126" i="152"/>
  <c r="R229" i="152"/>
  <c r="S192" i="152"/>
  <c r="R239" i="152"/>
  <c r="S202" i="152"/>
  <c r="R220" i="152"/>
  <c r="S183" i="152"/>
  <c r="S99" i="152"/>
  <c r="R136" i="152"/>
  <c r="P15" i="152" a="1"/>
  <c r="P15" i="152" s="1"/>
  <c r="P29" i="152" a="1"/>
  <c r="P29" i="152" s="1"/>
  <c r="P10" i="152"/>
  <c r="P18" i="152" a="1"/>
  <c r="P18" i="152" s="1"/>
  <c r="P17" i="152" a="1"/>
  <c r="P17" i="152" s="1"/>
  <c r="P27" i="152" a="1"/>
  <c r="P27" i="152" s="1"/>
  <c r="G35" i="133" s="1"/>
  <c r="G12" i="133" s="1"/>
  <c r="P26" i="152" a="1"/>
  <c r="P26" i="152" s="1"/>
  <c r="H11" i="121"/>
  <c r="P30" i="152" a="1"/>
  <c r="P30" i="152" s="1"/>
  <c r="P11" i="152"/>
  <c r="O21" i="109" s="1"/>
  <c r="P16" i="152" a="1"/>
  <c r="P16" i="152" s="1"/>
  <c r="G34" i="134" s="1"/>
  <c r="P31" i="152" a="1"/>
  <c r="P31" i="152" s="1"/>
  <c r="P28" i="152" a="1"/>
  <c r="P28" i="152" s="1"/>
  <c r="P20" i="152" a="1"/>
  <c r="P20" i="152" s="1"/>
  <c r="P19" i="152" a="1"/>
  <c r="P19" i="152" s="1"/>
  <c r="Q54" i="151"/>
  <c r="Q88" i="151" s="1"/>
  <c r="Q40" i="151"/>
  <c r="Q74" i="151" s="1"/>
  <c r="U21" i="113" a="1"/>
  <c r="U21" i="113" s="1"/>
  <c r="U30" i="113" a="1"/>
  <c r="U30" i="113" s="1"/>
  <c r="U16" i="113" a="1"/>
  <c r="U16" i="113" s="1"/>
  <c r="Q53" i="151"/>
  <c r="Q45" i="151"/>
  <c r="Q79" i="151" s="1"/>
  <c r="Q57" i="151"/>
  <c r="Q91" i="151" s="1"/>
  <c r="Q43" i="151"/>
  <c r="Q77" i="151" s="1"/>
  <c r="Q46" i="151"/>
  <c r="Q80" i="151" s="1"/>
  <c r="U29" i="113" a="1"/>
  <c r="U29" i="113" s="1"/>
  <c r="Q47" i="151"/>
  <c r="Q81" i="151" s="1"/>
  <c r="Q48" i="151"/>
  <c r="Q82" i="151" s="1"/>
  <c r="Q55" i="151"/>
  <c r="Q89" i="151" s="1"/>
  <c r="Q51" i="151"/>
  <c r="Q85" i="151" s="1"/>
  <c r="U22" i="113" a="1"/>
  <c r="U22" i="113" s="1"/>
  <c r="Q41" i="151"/>
  <c r="Q75" i="151" s="1"/>
  <c r="Q50" i="151"/>
  <c r="Q84" i="151" s="1"/>
  <c r="U27" i="113" a="1"/>
  <c r="U27" i="113" s="1"/>
  <c r="U23" i="113" a="1"/>
  <c r="U23" i="113" s="1"/>
  <c r="Q44" i="151"/>
  <c r="Q78" i="151" s="1"/>
  <c r="Q49" i="151"/>
  <c r="Q83" i="151" s="1"/>
  <c r="U28" i="113" a="1"/>
  <c r="U28" i="113" s="1"/>
  <c r="Q42" i="151"/>
  <c r="Q76" i="151" s="1"/>
  <c r="V11" i="113"/>
  <c r="Q52" i="151"/>
  <c r="Q86" i="151" s="1"/>
  <c r="Q56" i="151"/>
  <c r="Q90" i="151" s="1"/>
  <c r="Q39" i="151"/>
  <c r="U25" i="113" a="1"/>
  <c r="U25" i="113" s="1"/>
  <c r="U26" i="113" a="1"/>
  <c r="U26" i="113" s="1"/>
  <c r="U18" i="113" a="1"/>
  <c r="U18" i="113" s="1"/>
  <c r="U17" i="113" a="1"/>
  <c r="U17" i="113" s="1"/>
  <c r="Q30" i="152" s="1" a="1"/>
  <c r="Q30" i="152" s="1"/>
  <c r="R149" i="152"/>
  <c r="S112" i="152"/>
  <c r="Q249" i="152"/>
  <c r="S190" i="152"/>
  <c r="R227" i="152"/>
  <c r="S201" i="152"/>
  <c r="R238" i="152"/>
  <c r="S204" i="152"/>
  <c r="R241" i="152"/>
  <c r="R128" i="152"/>
  <c r="S91" i="152"/>
  <c r="R247" i="152"/>
  <c r="S210" i="152"/>
  <c r="S181" i="152"/>
  <c r="R218" i="152"/>
  <c r="S92" i="152"/>
  <c r="R129" i="152"/>
  <c r="S105" i="152"/>
  <c r="R142" i="152"/>
  <c r="R122" i="152"/>
  <c r="S85" i="152"/>
  <c r="S184" i="152"/>
  <c r="R221" i="152"/>
  <c r="S187" i="152"/>
  <c r="R224" i="152"/>
  <c r="R226" i="152"/>
  <c r="S189" i="152"/>
  <c r="S98" i="152"/>
  <c r="R135" i="152"/>
  <c r="R139" i="152"/>
  <c r="S102" i="152"/>
  <c r="R243" i="152"/>
  <c r="S206" i="152"/>
  <c r="S208" i="152"/>
  <c r="R245" i="152"/>
  <c r="S113" i="152"/>
  <c r="R150" i="152"/>
  <c r="P87" i="151"/>
  <c r="P65" i="151"/>
  <c r="P17" i="151" s="1"/>
  <c r="S196" i="152"/>
  <c r="R233" i="152"/>
  <c r="Q164" i="152"/>
  <c r="Q155" i="152"/>
  <c r="Q160" i="152"/>
  <c r="Q17" i="152" a="1"/>
  <c r="Q17" i="152" s="1"/>
  <c r="Q18" i="152" a="1"/>
  <c r="Q18" i="152" s="1"/>
  <c r="Q27" i="152" a="1"/>
  <c r="Q27" i="152" s="1"/>
  <c r="H35" i="133" s="1"/>
  <c r="H12" i="133" s="1"/>
  <c r="Q167" i="152"/>
  <c r="S115" i="152"/>
  <c r="R152" i="152"/>
  <c r="S97" i="152"/>
  <c r="R134" i="152"/>
  <c r="R146" i="152"/>
  <c r="S109" i="152"/>
  <c r="S87" i="152"/>
  <c r="R124" i="152"/>
  <c r="R161" i="152" l="1"/>
  <c r="Q26" i="152" a="1"/>
  <c r="Q26" i="152" s="1"/>
  <c r="H34" i="133" s="1"/>
  <c r="Q31" i="152" a="1"/>
  <c r="Q31" i="152" s="1"/>
  <c r="Q20" i="152" a="1"/>
  <c r="Q20" i="152" s="1"/>
  <c r="Q29" i="152" a="1"/>
  <c r="Q29" i="152" s="1"/>
  <c r="Q19" i="152" a="1"/>
  <c r="Q19" i="152" s="1"/>
  <c r="Q15" i="152" a="1"/>
  <c r="Q15" i="152" s="1"/>
  <c r="Q28" i="152" a="1"/>
  <c r="Q28" i="152" s="1"/>
  <c r="S124" i="152"/>
  <c r="T87" i="152"/>
  <c r="T124" i="152" s="1"/>
  <c r="S243" i="152"/>
  <c r="T206" i="152"/>
  <c r="T243" i="152" s="1"/>
  <c r="R44" i="151"/>
  <c r="R78" i="151" s="1"/>
  <c r="R48" i="151"/>
  <c r="R82" i="151" s="1"/>
  <c r="R54" i="151"/>
  <c r="R88" i="151" s="1"/>
  <c r="W11" i="113"/>
  <c r="V16" i="113" a="1"/>
  <c r="V16" i="113" s="1"/>
  <c r="V30" i="113" a="1"/>
  <c r="V30" i="113" s="1"/>
  <c r="R49" i="151"/>
  <c r="R83" i="151" s="1"/>
  <c r="R47" i="151"/>
  <c r="R81" i="151" s="1"/>
  <c r="V25" i="113" a="1"/>
  <c r="V25" i="113" s="1"/>
  <c r="R52" i="151"/>
  <c r="R86" i="151" s="1"/>
  <c r="R43" i="151"/>
  <c r="R77" i="151" s="1"/>
  <c r="R53" i="151"/>
  <c r="R46" i="151"/>
  <c r="R80" i="151" s="1"/>
  <c r="R56" i="151"/>
  <c r="R90" i="151" s="1"/>
  <c r="V27" i="113" a="1"/>
  <c r="V27" i="113" s="1"/>
  <c r="R55" i="151"/>
  <c r="R89" i="151" s="1"/>
  <c r="V29" i="113" a="1"/>
  <c r="V29" i="113" s="1"/>
  <c r="R45" i="151"/>
  <c r="R79" i="151" s="1"/>
  <c r="V28" i="113" a="1"/>
  <c r="V28" i="113" s="1"/>
  <c r="R41" i="151"/>
  <c r="R75" i="151" s="1"/>
  <c r="R51" i="151"/>
  <c r="R85" i="151" s="1"/>
  <c r="R39" i="151"/>
  <c r="R57" i="151"/>
  <c r="R91" i="151" s="1"/>
  <c r="R50" i="151"/>
  <c r="R84" i="151" s="1"/>
  <c r="R40" i="151"/>
  <c r="R74" i="151" s="1"/>
  <c r="R42" i="151"/>
  <c r="R76" i="151" s="1"/>
  <c r="V22" i="113" a="1"/>
  <c r="V22" i="113" s="1"/>
  <c r="V21" i="113" a="1"/>
  <c r="V21" i="113" s="1"/>
  <c r="V23" i="113" a="1"/>
  <c r="V23" i="113" s="1"/>
  <c r="V26" i="113" a="1"/>
  <c r="V26" i="113" s="1"/>
  <c r="V17" i="113" a="1"/>
  <c r="V17" i="113" s="1"/>
  <c r="R28" i="152" s="1" a="1"/>
  <c r="R28" i="152" s="1"/>
  <c r="V18" i="113" a="1"/>
  <c r="V18" i="113" s="1"/>
  <c r="G33" i="134"/>
  <c r="P21" i="152"/>
  <c r="T179" i="152"/>
  <c r="T216" i="152" s="1"/>
  <c r="S216" i="152"/>
  <c r="S237" i="152"/>
  <c r="T200" i="152"/>
  <c r="T237" i="152" s="1"/>
  <c r="S244" i="152"/>
  <c r="T207" i="152"/>
  <c r="T244" i="152" s="1"/>
  <c r="T94" i="152"/>
  <c r="T131" i="152" s="1"/>
  <c r="S131" i="152"/>
  <c r="T194" i="152"/>
  <c r="T231" i="152" s="1"/>
  <c r="S231" i="152"/>
  <c r="T192" i="152"/>
  <c r="T229" i="152" s="1"/>
  <c r="S229" i="152"/>
  <c r="T100" i="152"/>
  <c r="T137" i="152" s="1"/>
  <c r="S137" i="152"/>
  <c r="S219" i="152"/>
  <c r="T182" i="152"/>
  <c r="T219" i="152" s="1"/>
  <c r="S240" i="152"/>
  <c r="T203" i="152"/>
  <c r="T240" i="152" s="1"/>
  <c r="S146" i="152"/>
  <c r="T109" i="152"/>
  <c r="T146" i="152" s="1"/>
  <c r="T187" i="152"/>
  <c r="T224" i="152" s="1"/>
  <c r="S224" i="152"/>
  <c r="S129" i="152"/>
  <c r="T92" i="152"/>
  <c r="T129" i="152" s="1"/>
  <c r="S241" i="152"/>
  <c r="T204" i="152"/>
  <c r="T241" i="152" s="1"/>
  <c r="Q16" i="152" a="1"/>
  <c r="Q16" i="152" s="1"/>
  <c r="H34" i="134" s="1"/>
  <c r="Q11" i="152"/>
  <c r="P21" i="109" s="1"/>
  <c r="I11" i="121"/>
  <c r="I28" i="121" s="1"/>
  <c r="Q10" i="152"/>
  <c r="P12" i="152"/>
  <c r="H28" i="121"/>
  <c r="S235" i="152"/>
  <c r="T198" i="152"/>
  <c r="T235" i="152" s="1"/>
  <c r="R249" i="152"/>
  <c r="S148" i="152"/>
  <c r="T111" i="152"/>
  <c r="T148" i="152" s="1"/>
  <c r="T114" i="152"/>
  <c r="T151" i="152" s="1"/>
  <c r="T169" i="152" s="1"/>
  <c r="S151" i="152"/>
  <c r="S169" i="152" s="1"/>
  <c r="S222" i="152"/>
  <c r="T185" i="152"/>
  <c r="T222" i="152" s="1"/>
  <c r="S127" i="152"/>
  <c r="T90" i="152"/>
  <c r="T127" i="152" s="1"/>
  <c r="S145" i="152"/>
  <c r="T108" i="152"/>
  <c r="T145" i="152" s="1"/>
  <c r="Q32" i="152"/>
  <c r="P19" i="151"/>
  <c r="P24" i="151"/>
  <c r="G37" i="133"/>
  <c r="G14" i="133" s="1"/>
  <c r="P18" i="151"/>
  <c r="S139" i="152"/>
  <c r="T102" i="152"/>
  <c r="T139" i="152" s="1"/>
  <c r="S26" i="127"/>
  <c r="S11" i="127"/>
  <c r="S29" i="127"/>
  <c r="S28" i="127"/>
  <c r="S13" i="127"/>
  <c r="S24" i="127"/>
  <c r="S18" i="127"/>
  <c r="S27" i="127"/>
  <c r="S15" i="127"/>
  <c r="S19" i="127"/>
  <c r="S16" i="127"/>
  <c r="S25" i="127"/>
  <c r="S12" i="127"/>
  <c r="S22" i="127"/>
  <c r="S14" i="127"/>
  <c r="S17" i="127"/>
  <c r="S10" i="127"/>
  <c r="S21" i="127"/>
  <c r="S23" i="127"/>
  <c r="S20" i="127"/>
  <c r="P32" i="152"/>
  <c r="G34" i="133"/>
  <c r="T99" i="152"/>
  <c r="T136" i="152" s="1"/>
  <c r="S136" i="152"/>
  <c r="T110" i="152"/>
  <c r="T147" i="152" s="1"/>
  <c r="S147" i="152"/>
  <c r="S143" i="152"/>
  <c r="T106" i="152"/>
  <c r="T143" i="152" s="1"/>
  <c r="S153" i="152"/>
  <c r="S166" i="152" s="1"/>
  <c r="T116" i="152"/>
  <c r="T153" i="152" s="1"/>
  <c r="T166" i="152" s="1"/>
  <c r="R165" i="152"/>
  <c r="R168" i="152"/>
  <c r="S221" i="152"/>
  <c r="T184" i="152"/>
  <c r="T221" i="152" s="1"/>
  <c r="S218" i="152"/>
  <c r="T181" i="152"/>
  <c r="T218" i="152" s="1"/>
  <c r="T201" i="152"/>
  <c r="T238" i="152" s="1"/>
  <c r="S238" i="152"/>
  <c r="Q87" i="151"/>
  <c r="Q65" i="151"/>
  <c r="Q17" i="151" s="1"/>
  <c r="S220" i="152"/>
  <c r="T183" i="152"/>
  <c r="T220" i="152" s="1"/>
  <c r="S126" i="152"/>
  <c r="T89" i="152"/>
  <c r="T126" i="152" s="1"/>
  <c r="S130" i="152"/>
  <c r="T93" i="152"/>
  <c r="T130" i="152" s="1"/>
  <c r="S242" i="152"/>
  <c r="T205" i="152"/>
  <c r="T242" i="152" s="1"/>
  <c r="T104" i="152"/>
  <c r="T141" i="152" s="1"/>
  <c r="S141" i="152"/>
  <c r="S125" i="152"/>
  <c r="T88" i="152"/>
  <c r="T125" i="152" s="1"/>
  <c r="T95" i="152"/>
  <c r="T132" i="152" s="1"/>
  <c r="S132" i="152"/>
  <c r="S134" i="152"/>
  <c r="T97" i="152"/>
  <c r="T134" i="152" s="1"/>
  <c r="H33" i="134"/>
  <c r="H11" i="133"/>
  <c r="R167" i="152"/>
  <c r="S122" i="152"/>
  <c r="T85" i="152"/>
  <c r="T122" i="152" s="1"/>
  <c r="S247" i="152"/>
  <c r="T210" i="152"/>
  <c r="T247" i="152" s="1"/>
  <c r="S123" i="152"/>
  <c r="T86" i="152"/>
  <c r="T123" i="152" s="1"/>
  <c r="P14" i="151"/>
  <c r="P23" i="151"/>
  <c r="P13" i="151"/>
  <c r="G36" i="134"/>
  <c r="S223" i="152"/>
  <c r="T186" i="152"/>
  <c r="T223" i="152" s="1"/>
  <c r="T103" i="152"/>
  <c r="T140" i="152" s="1"/>
  <c r="S140" i="152"/>
  <c r="S233" i="152"/>
  <c r="T196" i="152"/>
  <c r="T233" i="152" s="1"/>
  <c r="T208" i="152"/>
  <c r="T245" i="152" s="1"/>
  <c r="S245" i="152"/>
  <c r="S142" i="152"/>
  <c r="T105" i="152"/>
  <c r="T142" i="152" s="1"/>
  <c r="S149" i="152"/>
  <c r="T112" i="152"/>
  <c r="T149" i="152" s="1"/>
  <c r="Q171" i="152"/>
  <c r="Q173" i="152" s="1"/>
  <c r="S150" i="152"/>
  <c r="T113" i="152"/>
  <c r="T150" i="152" s="1"/>
  <c r="T98" i="152"/>
  <c r="T135" i="152" s="1"/>
  <c r="S135" i="152"/>
  <c r="R20" i="152" a="1"/>
  <c r="R20" i="152" s="1"/>
  <c r="R29" i="152" a="1"/>
  <c r="R29" i="152" s="1"/>
  <c r="R26" i="152" a="1"/>
  <c r="R26" i="152" s="1"/>
  <c r="R18" i="152" a="1"/>
  <c r="R18" i="152" s="1"/>
  <c r="R27" i="152" a="1"/>
  <c r="R27" i="152" s="1"/>
  <c r="I35" i="133" s="1"/>
  <c r="I12" i="133" s="1"/>
  <c r="R19" i="152" a="1"/>
  <c r="R19" i="152" s="1"/>
  <c r="R160" i="152"/>
  <c r="R15" i="152" a="1"/>
  <c r="R15" i="152" s="1"/>
  <c r="R155" i="152"/>
  <c r="R164" i="152"/>
  <c r="R171" i="152" s="1"/>
  <c r="R30" i="152" a="1"/>
  <c r="R30" i="152" s="1"/>
  <c r="S227" i="152"/>
  <c r="T190" i="152"/>
  <c r="T227" i="152" s="1"/>
  <c r="Q64" i="151"/>
  <c r="Q12" i="151" s="1"/>
  <c r="Q73" i="151"/>
  <c r="Q93" i="151" s="1"/>
  <c r="Q10" i="151" s="1"/>
  <c r="Q22" i="151" s="1"/>
  <c r="Q59" i="151"/>
  <c r="S239" i="152"/>
  <c r="T202" i="152"/>
  <c r="T239" i="152" s="1"/>
  <c r="T180" i="152"/>
  <c r="T217" i="152" s="1"/>
  <c r="S217" i="152"/>
  <c r="P93" i="151"/>
  <c r="P10" i="151" s="1"/>
  <c r="P22" i="151" s="1"/>
  <c r="S133" i="152"/>
  <c r="T96" i="152"/>
  <c r="T133" i="152" s="1"/>
  <c r="S232" i="152"/>
  <c r="T195" i="152"/>
  <c r="T232" i="152" s="1"/>
  <c r="T191" i="152"/>
  <c r="T228" i="152" s="1"/>
  <c r="S228" i="152"/>
  <c r="S138" i="152"/>
  <c r="T101" i="152"/>
  <c r="T138" i="152" s="1"/>
  <c r="T115" i="152"/>
  <c r="T152" i="152" s="1"/>
  <c r="S152" i="152"/>
  <c r="T189" i="152"/>
  <c r="T226" i="152" s="1"/>
  <c r="S226" i="152"/>
  <c r="T91" i="152"/>
  <c r="T128" i="152" s="1"/>
  <c r="S128" i="152"/>
  <c r="G12" i="134"/>
  <c r="O15" i="142"/>
  <c r="O22" i="109"/>
  <c r="P13" i="152"/>
  <c r="P37" i="152" s="1"/>
  <c r="S144" i="152"/>
  <c r="T107" i="152"/>
  <c r="T144" i="152" s="1"/>
  <c r="T193" i="152"/>
  <c r="T230" i="152" s="1"/>
  <c r="S230" i="152"/>
  <c r="S236" i="152"/>
  <c r="T199" i="152"/>
  <c r="T236" i="152" s="1"/>
  <c r="T197" i="152"/>
  <c r="T234" i="152" s="1"/>
  <c r="S234" i="152"/>
  <c r="T188" i="152"/>
  <c r="T225" i="152" s="1"/>
  <c r="S225" i="152"/>
  <c r="S246" i="152"/>
  <c r="T209" i="152"/>
  <c r="T246" i="152" s="1"/>
  <c r="T165" i="152" l="1"/>
  <c r="R31" i="152" a="1"/>
  <c r="R31" i="152" s="1"/>
  <c r="R32" i="152" s="1"/>
  <c r="R17" i="152" a="1"/>
  <c r="R17" i="152" s="1"/>
  <c r="R16" i="152" a="1"/>
  <c r="R16" i="152" s="1"/>
  <c r="I34" i="134" s="1"/>
  <c r="Q12" i="152"/>
  <c r="Q21" i="152"/>
  <c r="P20" i="151"/>
  <c r="I34" i="133"/>
  <c r="S165" i="152"/>
  <c r="T249" i="152"/>
  <c r="P33" i="152"/>
  <c r="G38" i="133" s="1"/>
  <c r="G15" i="133" s="1"/>
  <c r="H16" i="103" s="1"/>
  <c r="P34" i="152"/>
  <c r="G39" i="133" s="1"/>
  <c r="G16" i="133" s="1"/>
  <c r="H33" i="103" s="1"/>
  <c r="P39" i="152"/>
  <c r="R65" i="151"/>
  <c r="R17" i="151" s="1"/>
  <c r="R87" i="151"/>
  <c r="H36" i="134"/>
  <c r="Q13" i="151"/>
  <c r="Q23" i="151"/>
  <c r="Q14" i="151"/>
  <c r="Q38" i="152"/>
  <c r="Q23" i="152"/>
  <c r="Q22" i="152"/>
  <c r="Q24" i="152" s="1"/>
  <c r="P38" i="152"/>
  <c r="P22" i="152"/>
  <c r="P23" i="152"/>
  <c r="G38" i="134" s="1"/>
  <c r="G16" i="134" s="1"/>
  <c r="H30" i="103" s="1"/>
  <c r="I33" i="134"/>
  <c r="H11" i="134"/>
  <c r="Q39" i="152"/>
  <c r="Q33" i="152"/>
  <c r="Q34" i="152"/>
  <c r="O24" i="109"/>
  <c r="O25" i="109" s="1"/>
  <c r="G11" i="134"/>
  <c r="S249" i="152"/>
  <c r="S49" i="151"/>
  <c r="S83" i="151" s="1"/>
  <c r="S45" i="151"/>
  <c r="S79" i="151" s="1"/>
  <c r="S41" i="151"/>
  <c r="S75" i="151" s="1"/>
  <c r="S53" i="151"/>
  <c r="W29" i="113" a="1"/>
  <c r="W29" i="113" s="1"/>
  <c r="W27" i="113" a="1"/>
  <c r="W27" i="113" s="1"/>
  <c r="W25" i="113" a="1"/>
  <c r="W25" i="113" s="1"/>
  <c r="W22" i="113" a="1"/>
  <c r="W22" i="113" s="1"/>
  <c r="S40" i="151"/>
  <c r="S74" i="151" s="1"/>
  <c r="S50" i="151"/>
  <c r="S84" i="151" s="1"/>
  <c r="W30" i="113" a="1"/>
  <c r="W30" i="113" s="1"/>
  <c r="S47" i="151"/>
  <c r="S81" i="151" s="1"/>
  <c r="W23" i="113" a="1"/>
  <c r="W23" i="113" s="1"/>
  <c r="S48" i="151"/>
  <c r="S82" i="151" s="1"/>
  <c r="S46" i="151"/>
  <c r="S80" i="151" s="1"/>
  <c r="S52" i="151"/>
  <c r="S86" i="151" s="1"/>
  <c r="W28" i="113" a="1"/>
  <c r="W28" i="113" s="1"/>
  <c r="S42" i="151"/>
  <c r="S76" i="151" s="1"/>
  <c r="S51" i="151"/>
  <c r="S85" i="151" s="1"/>
  <c r="S44" i="151"/>
  <c r="S78" i="151" s="1"/>
  <c r="S55" i="151"/>
  <c r="S89" i="151" s="1"/>
  <c r="S54" i="151"/>
  <c r="S88" i="151" s="1"/>
  <c r="X11" i="113"/>
  <c r="S56" i="151"/>
  <c r="S90" i="151" s="1"/>
  <c r="S43" i="151"/>
  <c r="S77" i="151" s="1"/>
  <c r="S57" i="151"/>
  <c r="S91" i="151" s="1"/>
  <c r="S39" i="151"/>
  <c r="W21" i="113" a="1"/>
  <c r="W21" i="113" s="1"/>
  <c r="W16" i="113" a="1"/>
  <c r="W16" i="113" s="1"/>
  <c r="W26" i="113" a="1"/>
  <c r="W26" i="113" s="1"/>
  <c r="W17" i="113" a="1"/>
  <c r="W17" i="113" s="1"/>
  <c r="S26" i="152" s="1" a="1"/>
  <c r="S26" i="152" s="1"/>
  <c r="W18" i="113" a="1"/>
  <c r="W18" i="113" s="1"/>
  <c r="P24" i="109"/>
  <c r="S167" i="152"/>
  <c r="Q18" i="151"/>
  <c r="Q19" i="151"/>
  <c r="Q20" i="151" s="1"/>
  <c r="Q24" i="151"/>
  <c r="H37" i="133"/>
  <c r="T168" i="152"/>
  <c r="Q13" i="152"/>
  <c r="Q37" i="152" s="1"/>
  <c r="P22" i="109"/>
  <c r="T28" i="127"/>
  <c r="T26" i="127"/>
  <c r="T27" i="127"/>
  <c r="T14" i="127"/>
  <c r="T18" i="127"/>
  <c r="T22" i="127"/>
  <c r="T11" i="127"/>
  <c r="T13" i="127"/>
  <c r="T24" i="127"/>
  <c r="T29" i="127"/>
  <c r="T17" i="127"/>
  <c r="T21" i="127"/>
  <c r="T15" i="127"/>
  <c r="T16" i="127"/>
  <c r="T20" i="127"/>
  <c r="T25" i="127"/>
  <c r="T12" i="127"/>
  <c r="T10" i="127"/>
  <c r="T19" i="127"/>
  <c r="T23" i="127"/>
  <c r="T167" i="152"/>
  <c r="G14" i="134"/>
  <c r="T164" i="152"/>
  <c r="T155" i="152"/>
  <c r="T160" i="152"/>
  <c r="S161" i="152"/>
  <c r="S168" i="152"/>
  <c r="R10" i="152"/>
  <c r="J11" i="121"/>
  <c r="R11" i="152"/>
  <c r="Q21" i="109" s="1"/>
  <c r="R173" i="152"/>
  <c r="P15" i="151"/>
  <c r="G37" i="134"/>
  <c r="G15" i="134" s="1"/>
  <c r="H13" i="103" s="1"/>
  <c r="H23" i="103" s="1"/>
  <c r="S164" i="152"/>
  <c r="S16" i="152" a="1"/>
  <c r="S16" i="152" s="1"/>
  <c r="J34" i="134" s="1"/>
  <c r="S155" i="152"/>
  <c r="S27" i="152" a="1"/>
  <c r="S27" i="152" s="1"/>
  <c r="J35" i="133" s="1"/>
  <c r="J12" i="133" s="1"/>
  <c r="S160" i="152"/>
  <c r="S15" i="152" a="1"/>
  <c r="S15" i="152" s="1"/>
  <c r="S17" i="152" a="1"/>
  <c r="S17" i="152" s="1"/>
  <c r="S18" i="152" a="1"/>
  <c r="S18" i="152" s="1"/>
  <c r="S29" i="152" a="1"/>
  <c r="S29" i="152" s="1"/>
  <c r="S30" i="152" a="1"/>
  <c r="S30" i="152" s="1"/>
  <c r="S28" i="152" a="1"/>
  <c r="S28" i="152" s="1"/>
  <c r="S31" i="152" a="1"/>
  <c r="S31" i="152" s="1"/>
  <c r="S20" i="152" a="1"/>
  <c r="S20" i="152" s="1"/>
  <c r="S19" i="152" a="1"/>
  <c r="S19" i="152" s="1"/>
  <c r="T161" i="152"/>
  <c r="R64" i="151"/>
  <c r="R12" i="151" s="1"/>
  <c r="R59" i="151"/>
  <c r="R73" i="151"/>
  <c r="I12" i="134"/>
  <c r="Q15" i="142"/>
  <c r="G11" i="133"/>
  <c r="P15" i="142"/>
  <c r="H12" i="134"/>
  <c r="R93" i="151" l="1"/>
  <c r="R10" i="151" s="1"/>
  <c r="R22" i="151" s="1"/>
  <c r="R21" i="152"/>
  <c r="P24" i="152"/>
  <c r="G54" i="133"/>
  <c r="H40" i="103"/>
  <c r="H38" i="133"/>
  <c r="H15" i="133" s="1"/>
  <c r="I16" i="103" s="1"/>
  <c r="G17" i="133"/>
  <c r="G20" i="133" s="1"/>
  <c r="O20" i="130"/>
  <c r="O29" i="109"/>
  <c r="S87" i="151"/>
  <c r="S65" i="151"/>
  <c r="S17" i="151" s="1"/>
  <c r="Q35" i="152"/>
  <c r="Q15" i="151"/>
  <c r="S21" i="152"/>
  <c r="J33" i="134"/>
  <c r="I11" i="134"/>
  <c r="J28" i="121"/>
  <c r="S64" i="151"/>
  <c r="S12" i="151" s="1"/>
  <c r="S59" i="151"/>
  <c r="S73" i="151"/>
  <c r="H39" i="133"/>
  <c r="H16" i="133" s="1"/>
  <c r="I33" i="103" s="1"/>
  <c r="R12" i="152"/>
  <c r="Q24" i="109" s="1"/>
  <c r="Q22" i="109"/>
  <c r="R15" i="142"/>
  <c r="J12" i="134"/>
  <c r="T171" i="152"/>
  <c r="T173" i="152" s="1"/>
  <c r="P25" i="109"/>
  <c r="H14" i="134"/>
  <c r="R14" i="151"/>
  <c r="R23" i="151"/>
  <c r="R13" i="151"/>
  <c r="I36" i="134"/>
  <c r="S32" i="152"/>
  <c r="J34" i="133"/>
  <c r="S171" i="152"/>
  <c r="S173" i="152" s="1"/>
  <c r="O14" i="142"/>
  <c r="U29" i="127"/>
  <c r="U11" i="127"/>
  <c r="U22" i="127"/>
  <c r="U10" i="127"/>
  <c r="U17" i="127"/>
  <c r="U19" i="127"/>
  <c r="U23" i="127"/>
  <c r="U21" i="127"/>
  <c r="U15" i="127"/>
  <c r="U12" i="127"/>
  <c r="U18" i="127"/>
  <c r="U25" i="127"/>
  <c r="U27" i="127"/>
  <c r="U28" i="127"/>
  <c r="U24" i="127"/>
  <c r="U20" i="127"/>
  <c r="U16" i="127"/>
  <c r="U14" i="127"/>
  <c r="U26" i="127"/>
  <c r="U13" i="127"/>
  <c r="S10" i="152"/>
  <c r="K11" i="121"/>
  <c r="K28" i="121" s="1"/>
  <c r="S11" i="152"/>
  <c r="R21" i="109" s="1"/>
  <c r="T39" i="151"/>
  <c r="T44" i="151"/>
  <c r="T78" i="151" s="1"/>
  <c r="X23" i="113" a="1"/>
  <c r="X23" i="113" s="1"/>
  <c r="X27" i="113" a="1"/>
  <c r="X27" i="113" s="1"/>
  <c r="T43" i="151"/>
  <c r="T77" i="151" s="1"/>
  <c r="X29" i="113" a="1"/>
  <c r="X29" i="113" s="1"/>
  <c r="T45" i="151"/>
  <c r="T79" i="151" s="1"/>
  <c r="T42" i="151"/>
  <c r="T76" i="151" s="1"/>
  <c r="T53" i="151"/>
  <c r="T46" i="151"/>
  <c r="T80" i="151" s="1"/>
  <c r="T56" i="151"/>
  <c r="T90" i="151" s="1"/>
  <c r="T54" i="151"/>
  <c r="T88" i="151" s="1"/>
  <c r="X25" i="113" a="1"/>
  <c r="X25" i="113" s="1"/>
  <c r="T51" i="151"/>
  <c r="T85" i="151" s="1"/>
  <c r="T40" i="151"/>
  <c r="T74" i="151" s="1"/>
  <c r="T48" i="151"/>
  <c r="T82" i="151" s="1"/>
  <c r="X16" i="113" a="1"/>
  <c r="X16" i="113" s="1"/>
  <c r="T41" i="151"/>
  <c r="T75" i="151" s="1"/>
  <c r="T50" i="151"/>
  <c r="T84" i="151" s="1"/>
  <c r="X22" i="113" a="1"/>
  <c r="X22" i="113" s="1"/>
  <c r="X28" i="113" a="1"/>
  <c r="X28" i="113" s="1"/>
  <c r="T52" i="151"/>
  <c r="T86" i="151" s="1"/>
  <c r="T49" i="151"/>
  <c r="T83" i="151" s="1"/>
  <c r="X21" i="113" a="1"/>
  <c r="X21" i="113" s="1"/>
  <c r="T57" i="151"/>
  <c r="T91" i="151" s="1"/>
  <c r="X30" i="113" a="1"/>
  <c r="X30" i="113" s="1"/>
  <c r="T55" i="151"/>
  <c r="T89" i="151" s="1"/>
  <c r="T47" i="151"/>
  <c r="T81" i="151" s="1"/>
  <c r="X26" i="113" a="1"/>
  <c r="X26" i="113" s="1"/>
  <c r="X17" i="113" a="1"/>
  <c r="X17" i="113" s="1"/>
  <c r="X18" i="113" a="1"/>
  <c r="X18" i="113" s="1"/>
  <c r="G19" i="134"/>
  <c r="P16" i="142"/>
  <c r="P19" i="142"/>
  <c r="H37" i="134"/>
  <c r="H15" i="134" s="1"/>
  <c r="I13" i="103" s="1"/>
  <c r="I23" i="103" s="1"/>
  <c r="R18" i="151"/>
  <c r="R24" i="151"/>
  <c r="R19" i="151"/>
  <c r="I37" i="133"/>
  <c r="I14" i="133" s="1"/>
  <c r="R34" i="152"/>
  <c r="R33" i="152"/>
  <c r="R39" i="152"/>
  <c r="H14" i="133"/>
  <c r="O19" i="142"/>
  <c r="O16" i="142"/>
  <c r="G17" i="134"/>
  <c r="R23" i="152"/>
  <c r="I38" i="134" s="1"/>
  <c r="I16" i="134" s="1"/>
  <c r="J30" i="103" s="1"/>
  <c r="R22" i="152"/>
  <c r="R38" i="152"/>
  <c r="H38" i="134"/>
  <c r="H16" i="134" s="1"/>
  <c r="I30" i="103" s="1"/>
  <c r="P35" i="152"/>
  <c r="I11" i="133"/>
  <c r="S12" i="152" l="1"/>
  <c r="R15" i="151"/>
  <c r="R13" i="152"/>
  <c r="R37" i="152" s="1"/>
  <c r="I38" i="133"/>
  <c r="I39" i="133"/>
  <c r="I16" i="133" s="1"/>
  <c r="J33" i="103" s="1"/>
  <c r="J40" i="103" s="1"/>
  <c r="R20" i="151"/>
  <c r="R35" i="152"/>
  <c r="H17" i="134"/>
  <c r="P54" i="120" s="1"/>
  <c r="S93" i="151"/>
  <c r="S10" i="151" s="1"/>
  <c r="S22" i="151" s="1"/>
  <c r="S34" i="152"/>
  <c r="S33" i="152"/>
  <c r="S39" i="152"/>
  <c r="J11" i="134"/>
  <c r="I37" i="134"/>
  <c r="I15" i="134" s="1"/>
  <c r="J13" i="103" s="1"/>
  <c r="P20" i="130"/>
  <c r="P29" i="109"/>
  <c r="S38" i="152"/>
  <c r="S23" i="152"/>
  <c r="S22" i="152"/>
  <c r="I14" i="134"/>
  <c r="Q14" i="142"/>
  <c r="S13" i="151"/>
  <c r="S23" i="151"/>
  <c r="S14" i="151"/>
  <c r="J36" i="134"/>
  <c r="S19" i="151"/>
  <c r="S24" i="151"/>
  <c r="S18" i="151"/>
  <c r="S20" i="151" s="1"/>
  <c r="J37" i="133"/>
  <c r="J14" i="133" s="1"/>
  <c r="T73" i="151"/>
  <c r="T59" i="151"/>
  <c r="T64" i="151"/>
  <c r="T12" i="151" s="1"/>
  <c r="V20" i="127"/>
  <c r="W20" i="127" s="1"/>
  <c r="V25" i="127"/>
  <c r="W25" i="127" s="1"/>
  <c r="V17" i="127"/>
  <c r="W17" i="127" s="1"/>
  <c r="V28" i="127"/>
  <c r="W28" i="127" s="1"/>
  <c r="V18" i="127"/>
  <c r="W18" i="127" s="1"/>
  <c r="V24" i="127"/>
  <c r="W24" i="127" s="1"/>
  <c r="V22" i="127"/>
  <c r="W22" i="127" s="1"/>
  <c r="V13" i="127"/>
  <c r="W13" i="127" s="1"/>
  <c r="E13" i="127" s="1"/>
  <c r="V12" i="127"/>
  <c r="W12" i="127" s="1"/>
  <c r="E12" i="127" s="1"/>
  <c r="V11" i="127"/>
  <c r="W11" i="127" s="1"/>
  <c r="E11" i="127" s="1"/>
  <c r="V21" i="127"/>
  <c r="W21" i="127" s="1"/>
  <c r="V16" i="127"/>
  <c r="W16" i="127" s="1"/>
  <c r="V23" i="127"/>
  <c r="W23" i="127" s="1"/>
  <c r="V10" i="127"/>
  <c r="W10" i="127" s="1"/>
  <c r="E10" i="127" s="1"/>
  <c r="V19" i="127"/>
  <c r="W19" i="127" s="1"/>
  <c r="V26" i="127"/>
  <c r="W26" i="127" s="1"/>
  <c r="V14" i="127"/>
  <c r="W14" i="127" s="1"/>
  <c r="E14" i="127" s="1"/>
  <c r="V15" i="127"/>
  <c r="W15" i="127" s="1"/>
  <c r="V27" i="127"/>
  <c r="W27" i="127" s="1"/>
  <c r="V29" i="127"/>
  <c r="W29" i="127" s="1"/>
  <c r="I40" i="103"/>
  <c r="H54" i="133"/>
  <c r="T11" i="152"/>
  <c r="S21" i="109" s="1"/>
  <c r="L11" i="121"/>
  <c r="T10" i="152"/>
  <c r="T20" i="152" a="1"/>
  <c r="T20" i="152" s="1"/>
  <c r="T15" i="152" a="1"/>
  <c r="T15" i="152" s="1"/>
  <c r="T17" i="152" a="1"/>
  <c r="T17" i="152" s="1"/>
  <c r="T28" i="152" a="1"/>
  <c r="T28" i="152" s="1"/>
  <c r="T31" i="152" a="1"/>
  <c r="T31" i="152" s="1"/>
  <c r="T18" i="152" a="1"/>
  <c r="T18" i="152" s="1"/>
  <c r="T26" i="152" a="1"/>
  <c r="T26" i="152" s="1"/>
  <c r="T16" i="152" a="1"/>
  <c r="T16" i="152" s="1"/>
  <c r="K34" i="134" s="1"/>
  <c r="T27" i="152" a="1"/>
  <c r="T27" i="152" s="1"/>
  <c r="K35" i="133" s="1"/>
  <c r="K12" i="133" s="1"/>
  <c r="T30" i="152" a="1"/>
  <c r="T30" i="152" s="1"/>
  <c r="T29" i="152" a="1"/>
  <c r="T29" i="152" s="1"/>
  <c r="T19" i="152" a="1"/>
  <c r="T19" i="152" s="1"/>
  <c r="R22" i="109"/>
  <c r="S13" i="152"/>
  <c r="S37" i="152" s="1"/>
  <c r="Q25" i="109"/>
  <c r="Q16" i="142"/>
  <c r="Q19" i="142"/>
  <c r="O21" i="142"/>
  <c r="O23" i="142" s="1"/>
  <c r="O54" i="120"/>
  <c r="O50" i="120"/>
  <c r="G23" i="134"/>
  <c r="T65" i="151"/>
  <c r="T17" i="151" s="1"/>
  <c r="T87" i="151"/>
  <c r="R24" i="152"/>
  <c r="H17" i="133"/>
  <c r="H20" i="133" s="1"/>
  <c r="H19" i="134"/>
  <c r="H23" i="134" s="1"/>
  <c r="J11" i="133"/>
  <c r="P14" i="142"/>
  <c r="I19" i="134"/>
  <c r="O16" i="130"/>
  <c r="O13" i="130"/>
  <c r="O15" i="130"/>
  <c r="O12" i="130"/>
  <c r="O17" i="130"/>
  <c r="O14" i="130"/>
  <c r="J37" i="134" l="1"/>
  <c r="J15" i="134" s="1"/>
  <c r="K13" i="103" s="1"/>
  <c r="S35" i="152"/>
  <c r="J39" i="133"/>
  <c r="J16" i="133" s="1"/>
  <c r="K33" i="103" s="1"/>
  <c r="P21" i="142"/>
  <c r="P50" i="120"/>
  <c r="I15" i="133"/>
  <c r="I54" i="133"/>
  <c r="S15" i="151"/>
  <c r="I17" i="134"/>
  <c r="Q21" i="142" s="1"/>
  <c r="Q23" i="142" s="1"/>
  <c r="O18" i="130"/>
  <c r="O22" i="130" s="1"/>
  <c r="T12" i="152"/>
  <c r="T13" i="152" s="1"/>
  <c r="T37" i="152" s="1"/>
  <c r="A37" i="152" s="1"/>
  <c r="R24" i="109"/>
  <c r="R25" i="109" s="1"/>
  <c r="T21" i="152"/>
  <c r="K33" i="134"/>
  <c r="J38" i="134"/>
  <c r="J16" i="134" s="1"/>
  <c r="K30" i="103" s="1"/>
  <c r="K40" i="103" s="1"/>
  <c r="J38" i="133"/>
  <c r="Q20" i="130"/>
  <c r="Q29" i="109"/>
  <c r="T18" i="151"/>
  <c r="T24" i="151"/>
  <c r="A24" i="151" s="1"/>
  <c r="K37" i="133"/>
  <c r="K14" i="133" s="1"/>
  <c r="T19" i="151"/>
  <c r="T32" i="152"/>
  <c r="K34" i="133"/>
  <c r="L28" i="121"/>
  <c r="A28" i="121" s="1"/>
  <c r="A1" i="121" s="1"/>
  <c r="H95" i="25" s="1"/>
  <c r="M11" i="121"/>
  <c r="P17" i="130"/>
  <c r="P12" i="130"/>
  <c r="P14" i="130"/>
  <c r="P16" i="130"/>
  <c r="P15" i="130"/>
  <c r="P13" i="130"/>
  <c r="P23" i="142"/>
  <c r="S22" i="109"/>
  <c r="K36" i="134"/>
  <c r="T14" i="151"/>
  <c r="T13" i="151"/>
  <c r="T23" i="151"/>
  <c r="A23" i="151" s="1"/>
  <c r="S15" i="142"/>
  <c r="K12" i="134"/>
  <c r="O18" i="120"/>
  <c r="O14" i="120"/>
  <c r="O16" i="120"/>
  <c r="O15" i="120"/>
  <c r="O17" i="120"/>
  <c r="O19" i="120"/>
  <c r="T93" i="151"/>
  <c r="T10" i="151" s="1"/>
  <c r="T22" i="151" s="1"/>
  <c r="A22" i="151" s="1"/>
  <c r="J14" i="134"/>
  <c r="S24" i="152"/>
  <c r="R19" i="142"/>
  <c r="R16" i="142"/>
  <c r="P17" i="120"/>
  <c r="P19" i="120"/>
  <c r="P16" i="120"/>
  <c r="P18" i="120"/>
  <c r="P15" i="120"/>
  <c r="P14" i="120"/>
  <c r="T20" i="151" l="1"/>
  <c r="Q50" i="120"/>
  <c r="Q54" i="120"/>
  <c r="J17" i="134"/>
  <c r="R21" i="142" s="1"/>
  <c r="I23" i="134"/>
  <c r="A1" i="151"/>
  <c r="H19" i="25" s="1"/>
  <c r="R20" i="130"/>
  <c r="R16" i="130" s="1"/>
  <c r="R29" i="109"/>
  <c r="J16" i="103"/>
  <c r="J23" i="103" s="1"/>
  <c r="I17" i="133"/>
  <c r="I20" i="133" s="1"/>
  <c r="Q19" i="120"/>
  <c r="Q17" i="120"/>
  <c r="Q14" i="120"/>
  <c r="Q16" i="120"/>
  <c r="Q18" i="120"/>
  <c r="Q15" i="120"/>
  <c r="K11" i="134"/>
  <c r="T22" i="152"/>
  <c r="K37" i="134" s="1"/>
  <c r="K15" i="134" s="1"/>
  <c r="L13" i="103" s="1"/>
  <c r="T38" i="152"/>
  <c r="A38" i="152" s="1"/>
  <c r="T23" i="152"/>
  <c r="K38" i="134" s="1"/>
  <c r="K16" i="134" s="1"/>
  <c r="L30" i="103" s="1"/>
  <c r="T15" i="151"/>
  <c r="R17" i="130"/>
  <c r="J15" i="133"/>
  <c r="J54" i="133"/>
  <c r="O48" i="120"/>
  <c r="O52" i="120" s="1"/>
  <c r="S24" i="109"/>
  <c r="S25" i="109" s="1"/>
  <c r="T39" i="152"/>
  <c r="A39" i="152" s="1"/>
  <c r="T34" i="152"/>
  <c r="K39" i="133" s="1"/>
  <c r="K16" i="133" s="1"/>
  <c r="L33" i="103" s="1"/>
  <c r="T33" i="152"/>
  <c r="K38" i="133" s="1"/>
  <c r="K15" i="133" s="1"/>
  <c r="L16" i="103" s="1"/>
  <c r="P48" i="120"/>
  <c r="P52" i="120" s="1"/>
  <c r="R14" i="142"/>
  <c r="K14" i="134"/>
  <c r="P18" i="130"/>
  <c r="P22" i="130" s="1"/>
  <c r="K11" i="133"/>
  <c r="Q15" i="130"/>
  <c r="Q16" i="130"/>
  <c r="Q17" i="130"/>
  <c r="Q14" i="130"/>
  <c r="Q12" i="130"/>
  <c r="Q13" i="130"/>
  <c r="J19" i="134"/>
  <c r="J23" i="134" s="1"/>
  <c r="R50" i="120" l="1"/>
  <c r="R54" i="120"/>
  <c r="A1" i="152"/>
  <c r="H20" i="25" s="1"/>
  <c r="R13" i="130"/>
  <c r="R15" i="130"/>
  <c r="R12" i="130"/>
  <c r="R18" i="130" s="1"/>
  <c r="R22" i="130" s="1"/>
  <c r="R14" i="130"/>
  <c r="K54" i="133"/>
  <c r="T24" i="152"/>
  <c r="T35" i="152"/>
  <c r="K16" i="103"/>
  <c r="K23" i="103" s="1"/>
  <c r="J17" i="133"/>
  <c r="J20" i="133" s="1"/>
  <c r="L40" i="103"/>
  <c r="A40" i="103" s="1"/>
  <c r="H51" i="25" s="1"/>
  <c r="Q48" i="120"/>
  <c r="Q52" i="120" s="1"/>
  <c r="L23" i="103"/>
  <c r="S14" i="142"/>
  <c r="S16" i="142"/>
  <c r="K17" i="134"/>
  <c r="S19" i="142"/>
  <c r="K17" i="133"/>
  <c r="Q18" i="130"/>
  <c r="Q22" i="130" s="1"/>
  <c r="S20" i="130"/>
  <c r="S29" i="109"/>
  <c r="A29" i="109" s="1"/>
  <c r="A1" i="109" s="1"/>
  <c r="H63" i="25" s="1"/>
  <c r="K19" i="134"/>
  <c r="R18" i="120"/>
  <c r="R14" i="120"/>
  <c r="R19" i="120"/>
  <c r="R17" i="120"/>
  <c r="R16" i="120"/>
  <c r="R15" i="120"/>
  <c r="R23" i="142"/>
  <c r="K20" i="133" l="1"/>
  <c r="A20" i="133" s="1"/>
  <c r="A1" i="133" s="1"/>
  <c r="H24" i="25" s="1"/>
  <c r="A23" i="103"/>
  <c r="S54" i="120"/>
  <c r="S21" i="142"/>
  <c r="S23" i="142" s="1"/>
  <c r="A23" i="142" s="1"/>
  <c r="A1" i="142" s="1"/>
  <c r="H67" i="25" s="1"/>
  <c r="S50" i="120"/>
  <c r="K23" i="134"/>
  <c r="A23" i="134" s="1"/>
  <c r="A1" i="134" s="1"/>
  <c r="H25" i="25" s="1"/>
  <c r="S17" i="130"/>
  <c r="S12" i="130"/>
  <c r="S15" i="130"/>
  <c r="S16" i="130"/>
  <c r="S14" i="130"/>
  <c r="S13" i="130"/>
  <c r="H50" i="25"/>
  <c r="A1" i="103"/>
  <c r="R48" i="120"/>
  <c r="R52" i="120" s="1"/>
  <c r="S18" i="130" l="1"/>
  <c r="S22" i="130" s="1"/>
  <c r="A22" i="130" s="1"/>
  <c r="A1" i="130" s="1"/>
  <c r="H64" i="25" s="1"/>
  <c r="S15" i="120"/>
  <c r="S18" i="120"/>
  <c r="S17" i="120"/>
  <c r="S14" i="120"/>
  <c r="S16" i="120"/>
  <c r="S19" i="120"/>
  <c r="S48" i="120" l="1"/>
  <c r="S52" i="120" s="1"/>
  <c r="A52" i="120" s="1"/>
  <c r="A1" i="120" s="1"/>
  <c r="H66" i="25" s="1"/>
  <c r="I193" i="114" l="1"/>
  <c r="A193" i="114" s="1"/>
  <c r="I194" i="114"/>
  <c r="A194" i="114" s="1"/>
  <c r="I190" i="114"/>
  <c r="A190" i="114" s="1"/>
  <c r="I189" i="114"/>
  <c r="A189" i="114" s="1"/>
  <c r="I187" i="114"/>
  <c r="A187" i="114" s="1"/>
  <c r="I188" i="114"/>
  <c r="A188" i="114" s="1"/>
  <c r="I191" i="114"/>
  <c r="A191" i="114" s="1"/>
  <c r="I185" i="114" l="1"/>
  <c r="A185" i="114" s="1"/>
  <c r="A1" i="114" s="1"/>
  <c r="H30" i="25" s="1"/>
  <c r="H195" i="114"/>
  <c r="F41" i="155" l="1"/>
  <c r="F44" i="155" s="1"/>
  <c r="F22" i="155"/>
  <c r="F25" i="155" s="1"/>
  <c r="M22" i="155"/>
  <c r="M25" i="155" s="1"/>
  <c r="G22" i="155"/>
  <c r="G25" i="155" s="1"/>
  <c r="M60" i="155" l="1"/>
  <c r="M63" i="155" s="1"/>
  <c r="M41" i="155"/>
  <c r="M44" i="155" s="1"/>
  <c r="G60" i="155"/>
  <c r="G63" i="155" s="1"/>
  <c r="G41" i="155"/>
  <c r="G44" i="155" s="1"/>
  <c r="F60" i="155"/>
  <c r="F63" i="155" s="1"/>
  <c r="K22" i="155"/>
  <c r="K25" i="155" s="1"/>
  <c r="K41" i="155"/>
  <c r="K44" i="155" s="1"/>
  <c r="J41" i="155"/>
  <c r="J44" i="155" s="1"/>
  <c r="J22" i="155"/>
  <c r="J25" i="155" s="1"/>
  <c r="I22" i="155"/>
  <c r="I25" i="155" s="1"/>
  <c r="I41" i="155"/>
  <c r="I44" i="155" s="1"/>
  <c r="H22" i="155"/>
  <c r="H25" i="155" s="1"/>
  <c r="H41" i="155"/>
  <c r="H44" i="155" s="1"/>
  <c r="L22" i="155"/>
  <c r="L25" i="155" s="1"/>
  <c r="L41" i="155"/>
  <c r="L44" i="155" s="1"/>
  <c r="E22" i="155" l="1"/>
  <c r="E25" i="155" s="1"/>
  <c r="E41" i="155"/>
  <c r="E44" i="155" s="1"/>
  <c r="J60" i="155"/>
  <c r="J63" i="155" s="1"/>
  <c r="K60" i="155"/>
  <c r="K63" i="155" s="1"/>
  <c r="I60" i="155"/>
  <c r="I63" i="155" s="1"/>
  <c r="E60" i="155"/>
  <c r="E63" i="155" s="1"/>
  <c r="L60" i="155"/>
  <c r="L63" i="155" s="1"/>
  <c r="H60" i="155"/>
  <c r="H63" i="155" s="1"/>
  <c r="E51" i="154" l="1"/>
  <c r="E54" i="154" s="1"/>
  <c r="E35" i="153"/>
  <c r="E38" i="153" s="1"/>
  <c r="F75" i="154"/>
  <c r="F78" i="154" s="1"/>
  <c r="F51" i="153"/>
  <c r="F54" i="153" s="1"/>
  <c r="F19" i="153"/>
  <c r="F22" i="153" s="1"/>
  <c r="F27" i="154"/>
  <c r="F30" i="154" s="1"/>
  <c r="G19" i="153"/>
  <c r="G22" i="153" s="1"/>
  <c r="K19" i="153" l="1"/>
  <c r="K22" i="153" s="1"/>
  <c r="J19" i="153"/>
  <c r="J22" i="153" s="1"/>
  <c r="H19" i="153"/>
  <c r="H22" i="153" s="1"/>
  <c r="E19" i="153"/>
  <c r="E22" i="153" s="1"/>
  <c r="I19" i="153"/>
  <c r="I22" i="153" s="1"/>
  <c r="H75" i="154"/>
  <c r="H78" i="154" s="1"/>
  <c r="H51" i="153"/>
  <c r="H54" i="153" s="1"/>
  <c r="G75" i="154"/>
  <c r="G78" i="154" s="1"/>
  <c r="G51" i="153"/>
  <c r="G54" i="153" s="1"/>
  <c r="K51" i="154"/>
  <c r="K54" i="154" s="1"/>
  <c r="K35" i="153"/>
  <c r="K38" i="153" s="1"/>
  <c r="F51" i="154"/>
  <c r="F54" i="154" s="1"/>
  <c r="F35" i="153"/>
  <c r="F38" i="153" s="1"/>
  <c r="I75" i="154"/>
  <c r="I78" i="154" s="1"/>
  <c r="I51" i="153"/>
  <c r="I54" i="153" s="1"/>
  <c r="E75" i="154"/>
  <c r="E78" i="154" s="1"/>
  <c r="E51" i="153"/>
  <c r="E54" i="153" s="1"/>
  <c r="K75" i="154"/>
  <c r="K78" i="154" s="1"/>
  <c r="K51" i="153"/>
  <c r="K54" i="153" s="1"/>
  <c r="G51" i="154"/>
  <c r="G54" i="154" s="1"/>
  <c r="G35" i="153"/>
  <c r="G38" i="153" s="1"/>
  <c r="J75" i="154"/>
  <c r="J78" i="154" s="1"/>
  <c r="J51" i="153"/>
  <c r="J54" i="153" s="1"/>
  <c r="J51" i="154"/>
  <c r="J54" i="154" s="1"/>
  <c r="J35" i="153"/>
  <c r="J38" i="153" s="1"/>
  <c r="H51" i="154"/>
  <c r="H54" i="154" s="1"/>
  <c r="H35" i="153"/>
  <c r="H38" i="153" s="1"/>
  <c r="I51" i="154"/>
  <c r="I54" i="154" s="1"/>
  <c r="I35" i="153"/>
  <c r="I38" i="153" s="1"/>
  <c r="J27" i="154"/>
  <c r="J30" i="154" s="1"/>
  <c r="E27" i="154"/>
  <c r="E30" i="154" s="1"/>
  <c r="K27" i="154"/>
  <c r="K30" i="154" s="1"/>
  <c r="G27" i="154"/>
  <c r="G30" i="154" s="1"/>
  <c r="I27" i="154"/>
  <c r="I30" i="154" s="1"/>
  <c r="H27" i="154"/>
  <c r="H30" i="154" s="1"/>
  <c r="M19" i="153" l="1"/>
  <c r="M22" i="153" s="1"/>
  <c r="M51" i="154"/>
  <c r="M54" i="154" s="1"/>
  <c r="M35" i="153"/>
  <c r="M38" i="153" s="1"/>
  <c r="M75" i="154"/>
  <c r="M78" i="154" s="1"/>
  <c r="M51" i="153"/>
  <c r="M54" i="153" s="1"/>
  <c r="L51" i="153"/>
  <c r="L54" i="153" s="1"/>
  <c r="L35" i="153"/>
  <c r="L38" i="153" s="1"/>
  <c r="L51" i="154"/>
  <c r="L54" i="154" s="1"/>
  <c r="L75" i="154"/>
  <c r="L78" i="154" s="1"/>
  <c r="M27" i="154"/>
  <c r="M30" i="154" s="1"/>
  <c r="L19" i="153" l="1"/>
  <c r="L22" i="153" s="1"/>
  <c r="L27" i="154"/>
  <c r="L30" i="154" s="1"/>
  <c r="Z41" i="155" l="1"/>
  <c r="Z44" i="155" s="1"/>
  <c r="Z22" i="155"/>
  <c r="Z25" i="155" s="1"/>
  <c r="P41" i="155"/>
  <c r="P44" i="155" s="1"/>
  <c r="P22" i="155"/>
  <c r="P25" i="155" s="1"/>
  <c r="O22" i="155"/>
  <c r="O25" i="155" s="1"/>
  <c r="N22" i="155"/>
  <c r="N25" i="155" s="1"/>
  <c r="R41" i="155"/>
  <c r="R44" i="155" s="1"/>
  <c r="R22" i="155"/>
  <c r="R25" i="155" s="1"/>
  <c r="S22" i="155"/>
  <c r="S25" i="155" s="1"/>
  <c r="W22" i="155"/>
  <c r="W25" i="155" s="1"/>
  <c r="X22" i="155"/>
  <c r="X25" i="155" s="1"/>
  <c r="X41" i="155"/>
  <c r="X44" i="155" s="1"/>
  <c r="U22" i="155"/>
  <c r="U25" i="155" s="1"/>
  <c r="AA22" i="155"/>
  <c r="AA25" i="155" s="1"/>
  <c r="V22" i="155"/>
  <c r="V25" i="155" s="1"/>
  <c r="T22" i="155"/>
  <c r="T25" i="155" s="1"/>
  <c r="T41" i="155"/>
  <c r="T44" i="155" s="1"/>
  <c r="Y22" i="155"/>
  <c r="Y25" i="155" s="1"/>
  <c r="Y41" i="155"/>
  <c r="Y44" i="155" s="1"/>
  <c r="Q22" i="155"/>
  <c r="Q25" i="155" s="1"/>
  <c r="Q41" i="155"/>
  <c r="Q44" i="155" s="1"/>
  <c r="A25" i="155" l="1"/>
  <c r="U41" i="155"/>
  <c r="U44" i="155" s="1"/>
  <c r="O60" i="155"/>
  <c r="O63" i="155" s="1"/>
  <c r="O41" i="155"/>
  <c r="O44" i="155" s="1"/>
  <c r="Z60" i="155"/>
  <c r="Z63" i="155" s="1"/>
  <c r="U60" i="155"/>
  <c r="U63" i="155" s="1"/>
  <c r="R60" i="155"/>
  <c r="R63" i="155" s="1"/>
  <c r="V41" i="155"/>
  <c r="V44" i="155" s="1"/>
  <c r="W41" i="155"/>
  <c r="W44" i="155" s="1"/>
  <c r="V60" i="155"/>
  <c r="V63" i="155" s="1"/>
  <c r="Q60" i="155"/>
  <c r="Q63" i="155" s="1"/>
  <c r="X60" i="155"/>
  <c r="X63" i="155" s="1"/>
  <c r="N41" i="155"/>
  <c r="N44" i="155" s="1"/>
  <c r="T60" i="155"/>
  <c r="T63" i="155" s="1"/>
  <c r="AA41" i="155"/>
  <c r="AA44" i="155" s="1"/>
  <c r="S41" i="155"/>
  <c r="S44" i="155" s="1"/>
  <c r="P60" i="155"/>
  <c r="P63" i="155" s="1"/>
  <c r="AA60" i="155"/>
  <c r="AA63" i="155" s="1"/>
  <c r="S60" i="155"/>
  <c r="S63" i="155" s="1"/>
  <c r="N60" i="155"/>
  <c r="N63" i="155" s="1"/>
  <c r="W60" i="155"/>
  <c r="W63" i="155" s="1"/>
  <c r="Y60" i="155"/>
  <c r="Y63" i="155" s="1"/>
  <c r="A44" i="155" l="1"/>
  <c r="A63" i="155"/>
  <c r="A1" i="155" s="1"/>
  <c r="H99" i="25" s="1"/>
  <c r="U75" i="154"/>
  <c r="U78" i="154" s="1"/>
  <c r="Q75" i="154"/>
  <c r="Q78" i="154" s="1"/>
  <c r="S75" i="154"/>
  <c r="S78" i="154" s="1"/>
  <c r="N75" i="154"/>
  <c r="N78" i="154" s="1"/>
  <c r="AA75" i="154"/>
  <c r="AA78" i="154" s="1"/>
  <c r="W75" i="154"/>
  <c r="W78" i="154" s="1"/>
  <c r="Y75" i="154"/>
  <c r="Y78" i="154" s="1"/>
  <c r="Y51" i="153" l="1"/>
  <c r="Y54" i="153" s="1"/>
  <c r="S51" i="153"/>
  <c r="S54" i="153" s="1"/>
  <c r="N51" i="153"/>
  <c r="N54" i="153" s="1"/>
  <c r="AA51" i="153"/>
  <c r="AA54" i="153" s="1"/>
  <c r="W51" i="153"/>
  <c r="W54" i="153" s="1"/>
  <c r="Q51" i="153"/>
  <c r="Q54" i="153" s="1"/>
  <c r="U51" i="153"/>
  <c r="U54" i="153" s="1"/>
  <c r="S51" i="154"/>
  <c r="S54" i="154" s="1"/>
  <c r="R75" i="154"/>
  <c r="R78" i="154" s="1"/>
  <c r="AA35" i="153"/>
  <c r="AA38" i="153" s="1"/>
  <c r="S35" i="153"/>
  <c r="S38" i="153" s="1"/>
  <c r="Z51" i="154"/>
  <c r="Z54" i="154" s="1"/>
  <c r="AA51" i="154"/>
  <c r="AA54" i="154" s="1"/>
  <c r="V75" i="154"/>
  <c r="V78" i="154" s="1"/>
  <c r="X75" i="154"/>
  <c r="X78" i="154" s="1"/>
  <c r="Z35" i="153"/>
  <c r="Z38" i="153" s="1"/>
  <c r="V51" i="154"/>
  <c r="V54" i="154" s="1"/>
  <c r="T75" i="154"/>
  <c r="T78" i="154" s="1"/>
  <c r="R51" i="154"/>
  <c r="R54" i="154" s="1"/>
  <c r="X51" i="154"/>
  <c r="X54" i="154" s="1"/>
  <c r="P75" i="154"/>
  <c r="P78" i="154" s="1"/>
  <c r="O27" i="154"/>
  <c r="O30" i="154" s="1"/>
  <c r="W51" i="154"/>
  <c r="W54" i="154" s="1"/>
  <c r="O51" i="154"/>
  <c r="O54" i="154" s="1"/>
  <c r="N51" i="154"/>
  <c r="N54" i="154" s="1"/>
  <c r="X51" i="153"/>
  <c r="X54" i="153" s="1"/>
  <c r="Y51" i="154"/>
  <c r="Y54" i="154" s="1"/>
  <c r="U51" i="154"/>
  <c r="U54" i="154" s="1"/>
  <c r="Z75" i="154"/>
  <c r="Z78" i="154" s="1"/>
  <c r="Y27" i="154"/>
  <c r="Y30" i="154" s="1"/>
  <c r="O75" i="154"/>
  <c r="O78" i="154" s="1"/>
  <c r="U35" i="153"/>
  <c r="U38" i="153" s="1"/>
  <c r="X35" i="153" l="1"/>
  <c r="X38" i="153" s="1"/>
  <c r="T51" i="153"/>
  <c r="T54" i="153" s="1"/>
  <c r="V51" i="153"/>
  <c r="V54" i="153" s="1"/>
  <c r="A78" i="154"/>
  <c r="N35" i="153"/>
  <c r="N38" i="153" s="1"/>
  <c r="P51" i="153"/>
  <c r="P54" i="153" s="1"/>
  <c r="Z51" i="153"/>
  <c r="Z54" i="153" s="1"/>
  <c r="O35" i="153"/>
  <c r="O38" i="153" s="1"/>
  <c r="Q35" i="153"/>
  <c r="Q38" i="153" s="1"/>
  <c r="O51" i="153"/>
  <c r="O54" i="153" s="1"/>
  <c r="W35" i="153"/>
  <c r="W38" i="153" s="1"/>
  <c r="R51" i="153"/>
  <c r="R54" i="153" s="1"/>
  <c r="R35" i="153"/>
  <c r="R38" i="153" s="1"/>
  <c r="V35" i="153"/>
  <c r="V38" i="153" s="1"/>
  <c r="Y35" i="153"/>
  <c r="Y38" i="153" s="1"/>
  <c r="Q51" i="154"/>
  <c r="Q54" i="154" s="1"/>
  <c r="Q27" i="154"/>
  <c r="Q30" i="154" s="1"/>
  <c r="X19" i="153"/>
  <c r="X22" i="153" s="1"/>
  <c r="O19" i="153"/>
  <c r="O22" i="153" s="1"/>
  <c r="W19" i="153"/>
  <c r="W22" i="153" s="1"/>
  <c r="S19" i="153"/>
  <c r="S22" i="153" s="1"/>
  <c r="W27" i="154"/>
  <c r="W30" i="154" s="1"/>
  <c r="X27" i="154"/>
  <c r="X30" i="154" s="1"/>
  <c r="AA19" i="153"/>
  <c r="AA22" i="153" s="1"/>
  <c r="AA27" i="154"/>
  <c r="AA30" i="154" s="1"/>
  <c r="P51" i="154"/>
  <c r="P54" i="154" s="1"/>
  <c r="V27" i="154"/>
  <c r="V30" i="154" s="1"/>
  <c r="Y19" i="153"/>
  <c r="Y22" i="153" s="1"/>
  <c r="T51" i="154"/>
  <c r="T54" i="154" s="1"/>
  <c r="S27" i="154"/>
  <c r="S30" i="154" s="1"/>
  <c r="A54" i="153" l="1"/>
  <c r="A54" i="154"/>
  <c r="P35" i="153"/>
  <c r="P38" i="153" s="1"/>
  <c r="T35" i="153"/>
  <c r="T38" i="153" s="1"/>
  <c r="Q19" i="153"/>
  <c r="Q22" i="153" s="1"/>
  <c r="N27" i="154"/>
  <c r="N30" i="154" s="1"/>
  <c r="U19" i="153"/>
  <c r="U22" i="153" s="1"/>
  <c r="R27" i="154"/>
  <c r="R30" i="154" s="1"/>
  <c r="V19" i="153"/>
  <c r="V22" i="153" s="1"/>
  <c r="Z19" i="153"/>
  <c r="Z22" i="153" s="1"/>
  <c r="R19" i="153"/>
  <c r="R22" i="153" s="1"/>
  <c r="N19" i="153"/>
  <c r="N22" i="153" s="1"/>
  <c r="A38" i="153" l="1"/>
  <c r="T19" i="153"/>
  <c r="T22" i="153" s="1"/>
  <c r="U27" i="154"/>
  <c r="U30" i="154" s="1"/>
  <c r="P19" i="153"/>
  <c r="P22" i="153" s="1"/>
  <c r="Z27" i="154"/>
  <c r="Z30" i="154" s="1"/>
  <c r="A22" i="153" l="1"/>
  <c r="A1" i="153" s="1"/>
  <c r="H97" i="25" s="1"/>
  <c r="P27" i="154"/>
  <c r="P30" i="154" s="1"/>
  <c r="T27" i="154"/>
  <c r="T30" i="154" s="1"/>
  <c r="A30" i="154" l="1"/>
  <c r="A1" i="154" s="1"/>
  <c r="H98" i="25" s="1"/>
  <c r="H131" i="25" s="1"/>
  <c r="H8" i="25" s="1"/>
  <c r="H10" i="25" s="1"/>
  <c r="B3" i="151" s="1"/>
  <c r="B3" i="155" l="1"/>
  <c r="B3" i="117"/>
  <c r="B3" i="142"/>
  <c r="B3" i="145"/>
  <c r="B3" i="120"/>
  <c r="B3" i="102"/>
  <c r="B3" i="121"/>
  <c r="B3" i="114"/>
  <c r="B3" i="113"/>
  <c r="B3" i="101"/>
  <c r="B3" i="144"/>
  <c r="B3" i="137"/>
  <c r="B3" i="153"/>
  <c r="B2" i="25"/>
  <c r="B3" i="140"/>
  <c r="B3" i="134"/>
  <c r="B2" i="4"/>
  <c r="B3" i="127"/>
  <c r="B3" i="103"/>
  <c r="B3" i="106"/>
  <c r="B3" i="125"/>
  <c r="B3" i="105"/>
  <c r="B3" i="118"/>
  <c r="B3" i="147"/>
  <c r="B3" i="154"/>
  <c r="B3" i="131"/>
  <c r="B3" i="138"/>
  <c r="B3" i="141"/>
  <c r="B2" i="28"/>
  <c r="B3" i="115"/>
  <c r="B3" i="136"/>
  <c r="B3" i="135"/>
  <c r="B3" i="104"/>
  <c r="B3" i="116"/>
  <c r="B3" i="133"/>
  <c r="B3" i="130"/>
  <c r="B3" i="129"/>
  <c r="B3" i="146"/>
  <c r="B3" i="152"/>
  <c r="B3" i="108"/>
  <c r="B3" i="132"/>
  <c r="B3" i="100"/>
  <c r="B3" i="148"/>
  <c r="B3" i="139"/>
  <c r="B3" i="107"/>
  <c r="B3" i="150"/>
  <c r="B3" i="149"/>
  <c r="B3"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author>
  </authors>
  <commentList>
    <comment ref="G38" authorId="0" shapeId="0" xr:uid="{5281C490-2360-40D7-8340-8B5AB619D893}">
      <text>
        <r>
          <rPr>
            <b/>
            <sz val="9"/>
            <color indexed="81"/>
            <rFont val="Tahoma"/>
            <family val="2"/>
          </rPr>
          <t>PWC:</t>
        </r>
        <r>
          <rPr>
            <sz val="9"/>
            <color indexed="81"/>
            <rFont val="Tahoma"/>
            <family val="2"/>
          </rPr>
          <t xml:space="preserve">
=-SUMIF('[PWC - 2024-29 - Standardised Capex Model - SCS - 31 Jan 2023.xlsb]Input| Projects'!$F$10:$F$1009,"&lt;&gt;"&amp;'[PWC - 2024-29 - Standardised Capex Model - SCS - 31 Jan 2023.xlsb]Input| Setup'!$B$21,'[PWC - 2024-29 - Standardised Capex Model - SCS - 31 Jan 2023.xlsb]Calc| Project Costs'!AD$10:AD$1009)*10^3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s>
  <commentList>
    <comment ref="D16" authorId="0" shapeId="0" xr:uid="{74C5ED1B-CE9A-413B-8B6D-FC8928E75010}">
      <text>
        <r>
          <rPr>
            <b/>
            <sz val="9"/>
            <color indexed="81"/>
            <rFont val="Tahoma"/>
            <family val="2"/>
          </rPr>
          <t>PWC:</t>
        </r>
        <r>
          <rPr>
            <sz val="9"/>
            <color indexed="81"/>
            <rFont val="Tahoma"/>
            <family val="2"/>
          </rPr>
          <t xml:space="preserve">
includes half year WACC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<sst xmlns="http://schemas.openxmlformats.org/spreadsheetml/2006/main" count="4046" uniqueCount="1173">
  <si>
    <t>General Model Constant</t>
  </si>
  <si>
    <t>Name</t>
  </si>
  <si>
    <t>Mths_In_Mth</t>
  </si>
  <si>
    <t>Mths_In_Qtr</t>
  </si>
  <si>
    <t>Mths_In_Yr</t>
  </si>
  <si>
    <t>Ok</t>
  </si>
  <si>
    <t>Error</t>
  </si>
  <si>
    <t>Half</t>
  </si>
  <si>
    <t>Yes</t>
  </si>
  <si>
    <t>No</t>
  </si>
  <si>
    <t>Yes_No</t>
  </si>
  <si>
    <t>Days_In_Wk</t>
  </si>
  <si>
    <t>Assumptions</t>
  </si>
  <si>
    <t>Checks</t>
  </si>
  <si>
    <t>Input</t>
  </si>
  <si>
    <t>Output</t>
  </si>
  <si>
    <t>End</t>
  </si>
  <si>
    <t>Qtrs_In_Yr</t>
  </si>
  <si>
    <t>N/A</t>
  </si>
  <si>
    <t>NA</t>
  </si>
  <si>
    <t>Cells where inputs or outputs are not applicable</t>
  </si>
  <si>
    <t>Cells containing a hyperlink to another part of the workbook</t>
  </si>
  <si>
    <t>Cells containing a link from external workbooks</t>
  </si>
  <si>
    <t>Hyperlink</t>
  </si>
  <si>
    <t>Model Lookups</t>
  </si>
  <si>
    <t>Days_In_Yr</t>
  </si>
  <si>
    <t>Go to Cover Sheet</t>
  </si>
  <si>
    <t>Model Start Date</t>
  </si>
  <si>
    <t>Base Year</t>
  </si>
  <si>
    <t>Year</t>
  </si>
  <si>
    <t>Actual</t>
  </si>
  <si>
    <t>Forecast</t>
  </si>
  <si>
    <t>Source</t>
  </si>
  <si>
    <t>Unit</t>
  </si>
  <si>
    <t>Basis</t>
  </si>
  <si>
    <t>Timing</t>
  </si>
  <si>
    <t>Nominal</t>
  </si>
  <si>
    <t>LU_Basis</t>
  </si>
  <si>
    <t>Units</t>
  </si>
  <si>
    <t>Percent</t>
  </si>
  <si>
    <t>Dollars</t>
  </si>
  <si>
    <t>Factor</t>
  </si>
  <si>
    <t>$Millions</t>
  </si>
  <si>
    <t>$000's</t>
  </si>
  <si>
    <t>Millions</t>
  </si>
  <si>
    <t>Thousands</t>
  </si>
  <si>
    <t>LU_Units</t>
  </si>
  <si>
    <t>Not Applicable</t>
  </si>
  <si>
    <t>GWh</t>
  </si>
  <si>
    <t>MWh</t>
  </si>
  <si>
    <t>Number</t>
  </si>
  <si>
    <t>Km</t>
  </si>
  <si>
    <t>Kilometres</t>
  </si>
  <si>
    <t>Million</t>
  </si>
  <si>
    <t>Estimate</t>
  </si>
  <si>
    <t>End Period</t>
  </si>
  <si>
    <t>Mid Period</t>
  </si>
  <si>
    <t>Start Period</t>
  </si>
  <si>
    <t>Start_Period</t>
  </si>
  <si>
    <t>Mid_Period</t>
  </si>
  <si>
    <t>End_Period</t>
  </si>
  <si>
    <t>Timing_Adj</t>
  </si>
  <si>
    <t>Cash_Timing</t>
  </si>
  <si>
    <t>Opex</t>
  </si>
  <si>
    <t>Capex</t>
  </si>
  <si>
    <t>Step changes</t>
  </si>
  <si>
    <t>2.10.1 - NETWORK OVERHEADS EXPENDITURE</t>
  </si>
  <si>
    <t>2.10.2 - CORPORATE OVERHEADS EXPENDITURE</t>
  </si>
  <si>
    <t>Output - RIN template</t>
  </si>
  <si>
    <t>2021-22</t>
  </si>
  <si>
    <t>2022-23</t>
  </si>
  <si>
    <t>2023-24</t>
  </si>
  <si>
    <t>2024-25</t>
  </si>
  <si>
    <t>2025-26</t>
  </si>
  <si>
    <t>2026-27</t>
  </si>
  <si>
    <t>Replacement expenditure</t>
  </si>
  <si>
    <t>Connections</t>
  </si>
  <si>
    <t>Augmentation Expenditure</t>
  </si>
  <si>
    <t>Non-network</t>
  </si>
  <si>
    <t>Capitalised network overheads</t>
  </si>
  <si>
    <t>Capitalised corporate overheads</t>
  </si>
  <si>
    <t>Total</t>
  </si>
  <si>
    <t>2027-28</t>
  </si>
  <si>
    <t>Source Value</t>
  </si>
  <si>
    <t>Reconciliation Check</t>
  </si>
  <si>
    <t>OPEX</t>
  </si>
  <si>
    <t>CAPEX</t>
  </si>
  <si>
    <t>Negotiated Services</t>
  </si>
  <si>
    <t>Price changes
(% YoY real)
Current regulatory period</t>
  </si>
  <si>
    <t xml:space="preserve">Price changes
(%YoY real)
Forthcoming regulatory period </t>
  </si>
  <si>
    <t>Base year total opex, excluding category specific</t>
  </si>
  <si>
    <t>Increment from base year to final year</t>
  </si>
  <si>
    <t>Price growth</t>
  </si>
  <si>
    <t>Output growth</t>
  </si>
  <si>
    <t>Productivity growth</t>
  </si>
  <si>
    <t>Category specific</t>
  </si>
  <si>
    <t>Revenue from other Sources</t>
  </si>
  <si>
    <t>Input - Inflation</t>
  </si>
  <si>
    <t>Inputs - Inflation</t>
  </si>
  <si>
    <t>Item</t>
  </si>
  <si>
    <t>RBA MPS</t>
  </si>
  <si>
    <t>Unlagged Index: Real (EoP)-Nominal (EoP)</t>
  </si>
  <si>
    <t>Calculated</t>
  </si>
  <si>
    <t>Calculation - Inflation</t>
  </si>
  <si>
    <t>Profiles</t>
  </si>
  <si>
    <t>Convert From</t>
  </si>
  <si>
    <t>Convert From Timing</t>
  </si>
  <si>
    <t>Convert To</t>
  </si>
  <si>
    <t>Convert To Timing</t>
  </si>
  <si>
    <t>Labour</t>
  </si>
  <si>
    <t>Non Labour</t>
  </si>
  <si>
    <t>Forecast 
(Percent)</t>
  </si>
  <si>
    <t>Forecast 
(Factors)</t>
  </si>
  <si>
    <t>Actuals
($0s, Nominal)</t>
  </si>
  <si>
    <t>ASSET GROUP</t>
  </si>
  <si>
    <t>ASSET CATEGORY</t>
  </si>
  <si>
    <t>MOTOR VEHICLES</t>
  </si>
  <si>
    <t>BUILDINGS AND PROPERTY</t>
  </si>
  <si>
    <t>Total IT and communications</t>
  </si>
  <si>
    <t>Car</t>
  </si>
  <si>
    <t>Light commercial vehicle</t>
  </si>
  <si>
    <t>Elevated work platform (HCV)</t>
  </si>
  <si>
    <t>Heavy commercial vehicle</t>
  </si>
  <si>
    <t>Total buildings and property expenditure</t>
  </si>
  <si>
    <t>Other expenditure</t>
  </si>
  <si>
    <t>OTHER</t>
  </si>
  <si>
    <t>Opex Check</t>
  </si>
  <si>
    <t>3.3.1 - REGULATORY ASSET BASE VALUES</t>
  </si>
  <si>
    <t>For total asset base:</t>
  </si>
  <si>
    <t>Opening value</t>
  </si>
  <si>
    <t>Inflation addition</t>
  </si>
  <si>
    <t>Straight line depreciation</t>
  </si>
  <si>
    <t>Actual additions (recognised in RAB)</t>
  </si>
  <si>
    <t xml:space="preserve">Disposals </t>
  </si>
  <si>
    <t xml:space="preserve">Closing value </t>
  </si>
  <si>
    <t>3.3.2 - ASSET VALUE ROLL FORWARD</t>
  </si>
  <si>
    <t>For easements:</t>
  </si>
  <si>
    <t>3.3.3 - TOTAL DISAGGREGATED RAB ASSET VALUES</t>
  </si>
  <si>
    <t>3.3.4 - ASSET LIVES</t>
  </si>
  <si>
    <t>ESTIMATED SERVICE LIFE OF NEW ASSETS</t>
  </si>
  <si>
    <t>ESTIMATED RESIDUAL SERVICE LIFE</t>
  </si>
  <si>
    <t>Asset Life
(Years)</t>
  </si>
  <si>
    <t>7.6.1 - INDICATIVE IMPACT OF THE REGULATORY PROPOSAL ON THE AVERAGE ELECTRICITY BILLS</t>
  </si>
  <si>
    <t>7.6.1.1 - PARAMETERS BY TARIFF TYPE</t>
  </si>
  <si>
    <t>Single Rate Tariff</t>
  </si>
  <si>
    <t>A. ANNUAL USAGE PER CUSTOMER</t>
  </si>
  <si>
    <t>kWh</t>
  </si>
  <si>
    <t>Residential customer</t>
  </si>
  <si>
    <t>Small business customer</t>
  </si>
  <si>
    <t>Source:</t>
  </si>
  <si>
    <t>B. TYPICAL ANNUAL ELECTRICITY BILL</t>
  </si>
  <si>
    <t>Tariff description</t>
  </si>
  <si>
    <t>Proportion (%)</t>
  </si>
  <si>
    <t>Average</t>
  </si>
  <si>
    <t>Forecast smoothed revenues ($ nominal)</t>
  </si>
  <si>
    <t>$ nominal</t>
  </si>
  <si>
    <t>Forecast smoothed revenues ($ real)</t>
  </si>
  <si>
    <t>Energy delivered forecast (MWh)</t>
  </si>
  <si>
    <t>Annual price path ($ nominal)</t>
  </si>
  <si>
    <t>$/MWh, nominal</t>
  </si>
  <si>
    <t>Annual price path ($ real)</t>
  </si>
  <si>
    <t>Annual price path (per cent, nominal)</t>
  </si>
  <si>
    <t>per cent, nominal</t>
  </si>
  <si>
    <t>Annual price path (per cent, real)</t>
  </si>
  <si>
    <t>Annual average</t>
  </si>
  <si>
    <t>Annual impact on customer bill (%)</t>
  </si>
  <si>
    <t>Regulated tariff</t>
  </si>
  <si>
    <t>Annual change</t>
  </si>
  <si>
    <t>Small Business customer</t>
  </si>
  <si>
    <t>Workbook 1: Forecast RIN</t>
  </si>
  <si>
    <t>2019-20</t>
  </si>
  <si>
    <t>2018-19</t>
  </si>
  <si>
    <t>2020-21</t>
  </si>
  <si>
    <t>Reconciliation Check - Capex</t>
  </si>
  <si>
    <t>3.2.1 - OPEX CATEGORIES</t>
  </si>
  <si>
    <t>EXPENDITURE</t>
  </si>
  <si>
    <t xml:space="preserve">Total </t>
  </si>
  <si>
    <t xml:space="preserve">7.4.1 - TOTAL UNREGULATED REVENUE EARNED WITH SHARED ASSETS </t>
  </si>
  <si>
    <t>Name of shared asset unregulated service</t>
  </si>
  <si>
    <t>Description of shared assets used to provide the service</t>
  </si>
  <si>
    <t>Shared asset unregulated revenue  ($0's, nominal)</t>
  </si>
  <si>
    <t>2014-15</t>
  </si>
  <si>
    <t>2015-16</t>
  </si>
  <si>
    <t>2016-17</t>
  </si>
  <si>
    <t>2017-18</t>
  </si>
  <si>
    <t>2.6.1 - NON-NETWORK EXPENDITURE</t>
  </si>
  <si>
    <t>SERVICE SUBCATEGORY</t>
  </si>
  <si>
    <t>IT &amp; COMMUNICATIONS</t>
  </si>
  <si>
    <t xml:space="preserve">Elevated work platform (LCV)  </t>
  </si>
  <si>
    <t>RECURRENT</t>
  </si>
  <si>
    <t>NON-RECURRENT</t>
  </si>
  <si>
    <t>Step change</t>
  </si>
  <si>
    <t>Description</t>
  </si>
  <si>
    <t>Check</t>
  </si>
  <si>
    <t>7.4.2 - SHARED ASSET UNREGULATED SERVICES - APPORTIONMENT METHODOLOGY</t>
  </si>
  <si>
    <t>Name of shared asset unregulated service for which revenues were apportioned</t>
  </si>
  <si>
    <t>Apportionment methodology</t>
  </si>
  <si>
    <t>Input - Source Models</t>
  </si>
  <si>
    <t xml:space="preserve"> </t>
  </si>
  <si>
    <t>Calculation Value</t>
  </si>
  <si>
    <t>3.2.1 - Opex categories</t>
  </si>
  <si>
    <t>7.2.1 - PROPOSED CONTINGENT PROJECTS FOR THE FORTHCOMING REGULATORY CONTROL PERIOD</t>
  </si>
  <si>
    <t>Proposed contingent project name</t>
  </si>
  <si>
    <t>Proposed contingent capital expenditure 
($0's, nominal)</t>
  </si>
  <si>
    <t>Proposed trigger events</t>
  </si>
  <si>
    <t>Project ID</t>
  </si>
  <si>
    <t>FY25 ($Nominal)</t>
  </si>
  <si>
    <t>FY26 ($Nominal)</t>
  </si>
  <si>
    <t>FY27 ($Nominal)</t>
  </si>
  <si>
    <t>FY28 ($Nominal)</t>
  </si>
  <si>
    <t>Check - Source</t>
  </si>
  <si>
    <t>Value - Source</t>
  </si>
  <si>
    <t>Output measure</t>
  </si>
  <si>
    <t>Forecast (0's)</t>
  </si>
  <si>
    <t>TOPED01</t>
  </si>
  <si>
    <t>TPA01+TPA02</t>
  </si>
  <si>
    <t>Applying TOPSD0206 instead of TOPSD0204</t>
  </si>
  <si>
    <t>Forecast 
($0's. Nominal)</t>
  </si>
  <si>
    <t/>
  </si>
  <si>
    <t>Template</t>
  </si>
  <si>
    <t>Workbook 1</t>
  </si>
  <si>
    <t>2.2.1 - REPLACEMENT VOLUMES AND ASSET FAILURES BY ASSET CATEGORY</t>
  </si>
  <si>
    <t>5.4.1 - NON-COINCIDENT &amp; COINCIDENT MAXIMUM DEMAND</t>
  </si>
  <si>
    <t>Reconciliations</t>
  </si>
  <si>
    <t>EBSS</t>
  </si>
  <si>
    <t>STPIS</t>
  </si>
  <si>
    <t>Source Value - Opex Model</t>
  </si>
  <si>
    <t>Total opex</t>
  </si>
  <si>
    <t>Vegetation management</t>
  </si>
  <si>
    <t>Maintenance</t>
  </si>
  <si>
    <t>Network overheads</t>
  </si>
  <si>
    <t>Corporate overheads</t>
  </si>
  <si>
    <t>Other</t>
  </si>
  <si>
    <t>Energy throughput (GWh)</t>
  </si>
  <si>
    <t>Ratcheted Maximum Demand (MW)</t>
  </si>
  <si>
    <t>Customer numbers (#)</t>
  </si>
  <si>
    <t>Circuit Length (km)</t>
  </si>
  <si>
    <t>2.1.1 - STANDARD CONTROL SERVICES CAPEX</t>
  </si>
  <si>
    <t>Forecast 
($0's. real June 2024)</t>
  </si>
  <si>
    <t>Source Value - Capex Model</t>
  </si>
  <si>
    <t>2.1.2 - STANDARD CONTROL SERVICES OPEX BY CATEGORY</t>
  </si>
  <si>
    <t>Emergency response</t>
  </si>
  <si>
    <t>Metering</t>
  </si>
  <si>
    <t>2028-29</t>
  </si>
  <si>
    <t>Check Value - Real 2024</t>
  </si>
  <si>
    <t>Note: Includes other/balancing items</t>
  </si>
  <si>
    <t>2.1.3 - ALTERNATIVE CONTROL SERVICES CAPEX</t>
  </si>
  <si>
    <t>Public lighting</t>
  </si>
  <si>
    <t>Fee and quoted</t>
  </si>
  <si>
    <t>2.1.4 - ALTERNATIVE CONTROL SERVICES OPEX</t>
  </si>
  <si>
    <t>2.1.7 - STANDARD CONTROL SERVICES CAPCONS</t>
  </si>
  <si>
    <t>2.1.8 - STANDARD CONTROL SERVICES CAPITALISED OVERHEADS</t>
  </si>
  <si>
    <t>ACS Metering Capex Model - Network OH</t>
  </si>
  <si>
    <t>ACS Metering Capex Model - Corporate OH</t>
  </si>
  <si>
    <t>ACS FB + QS Model - Network OH</t>
  </si>
  <si>
    <t>ACS FB + QS Model - Corporate OH</t>
  </si>
  <si>
    <t>ACS FB + QS Model - Direct Connections</t>
  </si>
  <si>
    <t>Public Lighting Model - Direct</t>
  </si>
  <si>
    <t>Public Lighting Model - Network OH</t>
  </si>
  <si>
    <t>Public Lighting Model - Corporate OH</t>
  </si>
  <si>
    <t>ACS FB + QS Model - Direct Other FB + QS</t>
  </si>
  <si>
    <t>ACS Metering Capex Model - Direct Meters</t>
  </si>
  <si>
    <t>ACS Metering Capex Model - Direct Comms/IT/Other</t>
  </si>
  <si>
    <t>ACS Metering Capex Model - Meters Overheads</t>
  </si>
  <si>
    <t>ACS Metering Capex Model - Comms/IT/Other Overheads</t>
  </si>
  <si>
    <t>ACS Metering Capex Model - Total</t>
  </si>
  <si>
    <t>ACS Metering Capex Model - Total Above</t>
  </si>
  <si>
    <t>Source Value - ACS Metering Opex</t>
  </si>
  <si>
    <t>ACS Direct Opex</t>
  </si>
  <si>
    <t>ACS Network Overheads Opex</t>
  </si>
  <si>
    <t>ACS Corporate Overheads Opex</t>
  </si>
  <si>
    <t>ACS Direct Capex</t>
  </si>
  <si>
    <t>ACS Network Overheads Capex</t>
  </si>
  <si>
    <t>ACS Corporate Overheads Capex</t>
  </si>
  <si>
    <t>capcons (included in the above)</t>
  </si>
  <si>
    <t>2.2.1 - REPLACEMENT EXPENDITURE, VOLUMES AND ASSET FAILURES BY ASSET CATEGORY</t>
  </si>
  <si>
    <t>UNITS</t>
  </si>
  <si>
    <t>POLES BY: 
HIGHEST OPERATING VOLTAGE ; MATERIAL TYPE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</si>
  <si>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</si>
  <si>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</si>
  <si>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</si>
  <si>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</si>
  <si>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</si>
  <si>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</si>
  <si>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</si>
  <si>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</si>
  <si>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</si>
  <si>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</si>
  <si>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</si>
  <si>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</si>
  <si>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</si>
  <si>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</si>
  <si>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</si>
  <si>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</si>
  <si>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</si>
  <si>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</si>
  <si>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POLE TOP STRUCTURES BY: 
HIGHEST OPERATING VOLTAGE</t>
  </si>
  <si>
    <t>˂ = 1 kV</t>
  </si>
  <si>
    <t>&gt; 1 kV &amp; &lt; = 11 kV</t>
  </si>
  <si>
    <t>˃ 11 kV &amp; &lt; = 22 kV</t>
  </si>
  <si>
    <t>&gt; 22 kV &amp; &lt; = 66 kV</t>
  </si>
  <si>
    <t>&gt; 66 kV &amp; &lt; = 132 kV</t>
  </si>
  <si>
    <t>&gt; 132 kV</t>
  </si>
  <si>
    <t>STAKING WOODEN POLES BY: 
HIGHEST OPERATING VOLTAGE</t>
  </si>
  <si>
    <t>˂ = 1 Kv</t>
  </si>
  <si>
    <t>for year wooden pole staked</t>
  </si>
  <si>
    <t>OVERHEAD CONDUCTORS BY: 
Highest operating voltage; Number of phases (at HV)</t>
  </si>
  <si>
    <t>per km</t>
  </si>
  <si>
    <t>˃ 11 kV &amp; &lt; = 22 kV  ; SWER</t>
  </si>
  <si>
    <t>˃ 11 kV &amp; &lt; = 22 kV ; Single-Phase</t>
  </si>
  <si>
    <t>˃ 11 kV &amp; &lt; = 22 kV ; Multiple-Phase</t>
  </si>
  <si>
    <t>UNDERGROUND CABLES BY: 
Highest operating voltage</t>
  </si>
  <si>
    <t>&gt; 11 kV &amp; &lt; = 22 kV</t>
  </si>
  <si>
    <t>&gt; 22 kV &amp; &lt; = 33 kV</t>
  </si>
  <si>
    <t>&gt; 33 kV &amp; &lt; = 66 kV</t>
  </si>
  <si>
    <t>&gt;  132 kV</t>
  </si>
  <si>
    <t>SERVICE LINES BY: 
Connection voltage; Customer type; Connection complexity</t>
  </si>
  <si>
    <t>˂ = 11 kV ; Residential ; Simple Type</t>
  </si>
  <si>
    <t>per number of spans</t>
  </si>
  <si>
    <t>˂ = 11 kV ; Commercial &amp; Industrial ; Simple Type</t>
  </si>
  <si>
    <t>per number
 of spans</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</si>
  <si>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</si>
  <si>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</si>
  <si>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</si>
  <si>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</si>
  <si>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</si>
  <si>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</si>
  <si>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</si>
  <si>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</si>
  <si>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</si>
  <si>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</si>
  <si>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</si>
  <si>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</si>
  <si>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</si>
  <si>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TRANSFORMERS BY: 
Mounting type; Highest operating voltage; Ampere rating; Number of phases (at LV)</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</si>
  <si>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</si>
  <si>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</si>
  <si>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</si>
  <si>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</si>
  <si>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</si>
  <si>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</si>
  <si>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</si>
  <si>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</si>
  <si>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</si>
  <si>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</si>
  <si>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</si>
  <si>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</si>
  <si>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</si>
  <si>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</si>
  <si>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</si>
  <si>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</si>
  <si>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</si>
  <si>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</si>
  <si>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</si>
  <si>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</si>
  <si>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</si>
  <si>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</si>
  <si>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</si>
  <si>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</si>
  <si>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</si>
  <si>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</si>
  <si>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</si>
  <si>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</si>
  <si>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SWITCHGEAR BY: 
Highest operating voltage; Switch function</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</si>
  <si>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</si>
  <si>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</si>
  <si>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</si>
  <si>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</si>
  <si>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</si>
  <si>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</si>
  <si>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</si>
  <si>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</si>
  <si>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</si>
  <si>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</si>
  <si>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</si>
  <si>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</si>
  <si>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</si>
  <si>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PUBLIC LIGHTING BY: 
Asset type ; Lighting obligation</t>
  </si>
  <si>
    <t>Luminaires ;  Major Road</t>
  </si>
  <si>
    <t>Luminaires ;  Minor Road</t>
  </si>
  <si>
    <t>Brackets ; Major Road</t>
  </si>
  <si>
    <t>Brackets ; Minor Road</t>
  </si>
  <si>
    <t>Lamps ; Major Road</t>
  </si>
  <si>
    <t>Lamps ; Minor Road</t>
  </si>
  <si>
    <t>Poles / Columns ; Major Road</t>
  </si>
  <si>
    <t>Poles / Columns ; Minor Road</t>
  </si>
  <si>
    <t>SCADA, NETWORK CONTROL AND PROTECTION SYSTEMS BY: 
Function</t>
  </si>
  <si>
    <t>Field Devices</t>
  </si>
  <si>
    <t>Local Network Wiring Assets</t>
  </si>
  <si>
    <t>Communications Network Assets</t>
  </si>
  <si>
    <t>Master Station Assets</t>
  </si>
  <si>
    <t>Communications Site Infrastructure</t>
  </si>
  <si>
    <t>Communications Linear Assets</t>
  </si>
  <si>
    <t>AFLC</t>
  </si>
  <si>
    <t>OTHER BY: 
enter DNSP defined asset group here</t>
  </si>
  <si>
    <t>EXPENDITURE
($0's, real June 2022)</t>
  </si>
  <si>
    <t>Total Above</t>
  </si>
  <si>
    <t>Input - Network</t>
  </si>
  <si>
    <t>Repex - Escalated factor</t>
  </si>
  <si>
    <t>2.3.3 - AUGEX DATA - HV/LV FEEDERS AND DISTRIBUTION SUBSTATIONS</t>
  </si>
  <si>
    <t>HV Feeder Augmentations - Overhead Lines</t>
  </si>
  <si>
    <t>HV Feeder Augmentations - Underground Cables</t>
  </si>
  <si>
    <t>HV Feeder Non-Material Projects</t>
  </si>
  <si>
    <t>LV Feeder Augmentations - Overhead Lines</t>
  </si>
  <si>
    <t>LV Feeder Augmentations - Underground Cables</t>
  </si>
  <si>
    <t>LV Feeder Non-Material Projects</t>
  </si>
  <si>
    <t>Distribution Substation Augmentations - Pole Mounted</t>
  </si>
  <si>
    <t>Distribution Substation Augmentations - Ground Mounted</t>
  </si>
  <si>
    <t>Distribution Substation Augmentations - Indoor</t>
  </si>
  <si>
    <t>Forecast 
($0's. real June 2022)</t>
  </si>
  <si>
    <t>Augex - Direct Unescalated</t>
  </si>
  <si>
    <t>Augex - Direct escalated</t>
  </si>
  <si>
    <t>Augex - Escalated factor</t>
  </si>
  <si>
    <t>2.3.4 - AUGEX  - TOTAL EXPENDITURE</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</si>
  <si>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</si>
  <si>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</si>
  <si>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</si>
  <si>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</si>
  <si>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</si>
  <si>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</si>
  <si>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</si>
  <si>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</si>
  <si>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</si>
  <si>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2.3.5 - AUGEX - BY DRIVER</t>
  </si>
  <si>
    <t>"Greenfield" driven augex (network expansion capex)</t>
  </si>
  <si>
    <t>Reinforcement driven augex (augmentation of the existing network)</t>
  </si>
  <si>
    <t xml:space="preserve">2.3.6 - AUGEX - GREENFIELDS DRIVEN </t>
  </si>
  <si>
    <t>2.5.2 - COST METRICS BY CONNECTION CLASSIFICATION</t>
  </si>
  <si>
    <t>EXPENDITURE - ALL</t>
  </si>
  <si>
    <t>CONNECTION SUBCATEGORY</t>
  </si>
  <si>
    <t>CONNECTION CLASSICIATION</t>
  </si>
  <si>
    <t>EXPENDITURE 
($'0s,  real June 2024)</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</si>
  <si>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</si>
  <si>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</si>
  <si>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</si>
  <si>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</si>
  <si>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</si>
  <si>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</si>
  <si>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</si>
  <si>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</si>
  <si>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</si>
  <si>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</si>
  <si>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</si>
  <si>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</si>
  <si>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</si>
  <si>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</si>
  <si>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</si>
  <si>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t>
  </si>
  <si>
    <t>EXPENDITURE - STANDARD CONTROL SERVICES - CAPITAL CONTRIBUTIONS</t>
  </si>
  <si>
    <t>EXPENDITURE
($'0s, real June 2024)</t>
  </si>
  <si>
    <t>OTHER - DNSP nominated</t>
  </si>
  <si>
    <t>Opex Target</t>
  </si>
  <si>
    <t>Capex Check</t>
  </si>
  <si>
    <t>2.6.5 - INFORMATION &amp; COMMUNICATIONS TECHNOLOGY - CAPEX</t>
  </si>
  <si>
    <t>Standard Control Services</t>
  </si>
  <si>
    <t xml:space="preserve">Total  </t>
  </si>
  <si>
    <t>Alternative Control Services</t>
  </si>
  <si>
    <t>OTHER DISTRIBUTION SERVICES</t>
  </si>
  <si>
    <t>Unregulated Distribution Services</t>
  </si>
  <si>
    <t>Source Value - SCS Capex</t>
  </si>
  <si>
    <t>2.11.3 - LABOUR / NON-LABOUR EXPENDITURE SPLIT - STANDARD CONTROL SERVICES</t>
  </si>
  <si>
    <t>($0's, real June 2024)</t>
  </si>
  <si>
    <t>In-house labour expenditure</t>
  </si>
  <si>
    <t>Labour expenditure outsourced to related parties</t>
  </si>
  <si>
    <t>Labour expenditure outsourced to unrelated parties</t>
  </si>
  <si>
    <t>2.16.1 - STANDARD CONTROL SERVICES - OPEX BY DRIVER</t>
  </si>
  <si>
    <t>Forecast ($0's, real June 2024)</t>
  </si>
  <si>
    <t xml:space="preserve">2.17.1 - STEP CHANGES FOR STANDARD CONTROL SERVICES - FORECAST OPEX </t>
  </si>
  <si>
    <t>2.17.2 -   STEP CHANGES FOR STANDARD CONTROL SERVICES - FORECAST CAPEX</t>
  </si>
  <si>
    <t>2.17.5 - FORECAST CATEGORY SPECIFIC OPEX</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</si>
  <si>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</si>
  <si>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</si>
  <si>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</si>
  <si>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</si>
  <si>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</si>
  <si>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controlled load customer charges</t>
  </si>
  <si>
    <t>Revenue from unmetered supplies</t>
  </si>
  <si>
    <t>Revenue from Contracted Maximum Demand charges</t>
  </si>
  <si>
    <t>Revenue from Measured Maximum Demand charges</t>
  </si>
  <si>
    <t>Revenue from metering charges</t>
  </si>
  <si>
    <t>Revenue from connection charges</t>
  </si>
  <si>
    <t>Revenue from public lighting charges</t>
  </si>
  <si>
    <t>3.1.1 - REVENUE GROUPING BY CHARGEABLE QUANTITY</t>
  </si>
  <si>
    <t>Standard control services</t>
  </si>
  <si>
    <t>Alternative control services</t>
  </si>
  <si>
    <t xml:space="preserve">Revenue from residential Customers </t>
  </si>
  <si>
    <t xml:space="preserve">Revenue from Non residential customers not on demand tariffs </t>
  </si>
  <si>
    <t xml:space="preserve">Revenue from Non-residential low voltage demand tariff customers </t>
  </si>
  <si>
    <t xml:space="preserve">Revenue from Non-residential high voltage demand tariff customers </t>
  </si>
  <si>
    <t>Revenue from Other Customers</t>
  </si>
  <si>
    <t>3.1.2 - REVENUE GROUPING BY CUSTOMER TYPE OR CLASS</t>
  </si>
  <si>
    <t>3.1.3 - REVENUE (penalties) ALLOWED (deducted) THROUGH INCENTIVE SCHEMES</t>
  </si>
  <si>
    <t>F-Factor</t>
  </si>
  <si>
    <t>S-Factor True  up</t>
  </si>
  <si>
    <t>CURRENT OPEX CATEGORIES AND COST ALLOCATIONS</t>
  </si>
  <si>
    <t>3.2.2 - OPEX CONSISTENCY</t>
  </si>
  <si>
    <t>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</si>
  <si>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</si>
  <si>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</si>
  <si>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</si>
  <si>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</si>
  <si>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</si>
  <si>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</si>
  <si>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Network services</t>
  </si>
  <si>
    <t>Overhead network assets less than 33kV (wires and poles)</t>
  </si>
  <si>
    <t>Underground network assets less than 33kV (cables)</t>
  </si>
  <si>
    <t>Distribution substations including transformers</t>
  </si>
  <si>
    <t xml:space="preserve">Overhead network assets 33kV and above (wires and towers / poles etc) </t>
  </si>
  <si>
    <t>Underground network assets 33kV and above(cables, ducts etc)</t>
  </si>
  <si>
    <t>Zone substations and transformers</t>
  </si>
  <si>
    <t xml:space="preserve">Easements </t>
  </si>
  <si>
    <t>Meters</t>
  </si>
  <si>
    <t>“Other” assets with long lives</t>
  </si>
  <si>
    <t>“Other” assets with short lives</t>
  </si>
  <si>
    <t>For overhead network assets less than 33kV:</t>
  </si>
  <si>
    <t>For underground network assets less than 33kV:</t>
  </si>
  <si>
    <t>For distribution substations and transformers:</t>
  </si>
  <si>
    <t>For overhead network assets 33kV and above:</t>
  </si>
  <si>
    <t>For underground network assets 33kV and above:</t>
  </si>
  <si>
    <t>For meters:</t>
  </si>
  <si>
    <t>For “other” asset items with long lives:</t>
  </si>
  <si>
    <t>For “other” asset items with short lives:</t>
  </si>
  <si>
    <t>Actual - Direct Expenditure
($0's. Nominal)</t>
  </si>
  <si>
    <t>Actual - Network Overheads
($0's. Nominal)</t>
  </si>
  <si>
    <t>Actual - Corporate Overheads
($0's. Nominal)</t>
  </si>
  <si>
    <t>Non Motor Vehicle fleet costs</t>
  </si>
  <si>
    <t>Input - CA RIN</t>
  </si>
  <si>
    <t>EXPENDITURE
($'0s, Nominal)</t>
  </si>
  <si>
    <t>Shared asset unregulated revenue  ($0's, real June 2024)</t>
  </si>
  <si>
    <t>Total 
2024-25 to 2028-29</t>
  </si>
  <si>
    <t>Proposed MAR for 2024-25
($0's, nominal)</t>
  </si>
  <si>
    <t>5 per cent of the 2024-25 ($0's, nominal) MAR</t>
  </si>
  <si>
    <t>FY29 ($Nominal)</t>
  </si>
  <si>
    <t>FY25 to FY29 Total ($Nominal)</t>
  </si>
  <si>
    <t>Instructions</t>
  </si>
  <si>
    <r>
      <t xml:space="preserve">Australian Distribution Co. is required to populate all input cells (yellow) in table 7.6.1 presented below.
</t>
    </r>
    <r>
      <rPr>
        <b/>
        <sz val="10"/>
        <rFont val="Arial"/>
        <family val="2"/>
      </rPr>
      <t>Small business customer</t>
    </r>
    <r>
      <rPr>
        <sz val="10"/>
        <rFont val="Arial"/>
        <family val="2"/>
      </rPr>
      <t xml:space="preserve"> is a business customer that consumes &lt; 100 MWh p.a.</t>
    </r>
  </si>
  <si>
    <t>TOU Tariff</t>
  </si>
  <si>
    <t>C. DISTRIBUTION COSTS AS A PROPORTION OF A TYPICAL CUSTOMER'S ELECTRICITY BILL</t>
  </si>
  <si>
    <t>D. DISTRIBUTION BILL COMPONENT</t>
  </si>
  <si>
    <t>7.6.1.2 - INDICATIVE ANNUAL AVERAGE DISTRIBUTION PRICE IMPACT</t>
  </si>
  <si>
    <t>7.6.1.3 - DISTRIBUTION BILL COMPONENT</t>
  </si>
  <si>
    <t>Source Value - FB + QS Network OH</t>
  </si>
  <si>
    <t>Source Value - FB + QS Corporate OH</t>
  </si>
  <si>
    <t>EXPENDITURE
($0's, real June 2024)</t>
  </si>
  <si>
    <t>Capex Model - Repex - Direct Unescalated (Real 2024)</t>
  </si>
  <si>
    <t>Capex Model - Repex - Direct escalated (Real 2024)</t>
  </si>
  <si>
    <t>Capex Model - Augex - Direct Unescalated (Real 2024)</t>
  </si>
  <si>
    <t>Capex Model - Augex - Direct escalated (Real 2024)</t>
  </si>
  <si>
    <t>($0's, real June 2022)</t>
  </si>
  <si>
    <t>Forecast ($0's, real June 2022)</t>
  </si>
  <si>
    <t>Name of CPI series</t>
  </si>
  <si>
    <t>Series data</t>
  </si>
  <si>
    <t>Source Value - SCS Capex Model</t>
  </si>
  <si>
    <t>Note: Assumes PWC do not report public lighting</t>
  </si>
  <si>
    <t>Source Models - Target</t>
  </si>
  <si>
    <t>2.3.3 - AUGEX DATA - HV/LV FEEDERS AND DISTRIBUTION SUBSTATIONS - Cost Metrics</t>
  </si>
  <si>
    <t>2.5.3 - VOLUMES BY CONNECTION CLASSIFICATION</t>
  </si>
  <si>
    <t>2.5.1 - DESCRIPTOR METRICS</t>
  </si>
  <si>
    <t>VOLUMES AND EXPENDITURE - ALL</t>
  </si>
  <si>
    <t>DESCRIPTOR METRIC</t>
  </si>
  <si>
    <t>Unit of Measure</t>
  </si>
  <si>
    <t>VOLUMES and EXPENDITURE 
(0's, real June 2024)</t>
  </si>
  <si>
    <t>Underground connections</t>
  </si>
  <si>
    <t>0's</t>
  </si>
  <si>
    <t>Overhead connections</t>
  </si>
  <si>
    <t>Distribution substations installed</t>
  </si>
  <si>
    <t>MVA added</t>
  </si>
  <si>
    <t xml:space="preserve">Distribution substations installed </t>
  </si>
  <si>
    <t>total spend $0s</t>
  </si>
  <si>
    <t xml:space="preserve">Augmentation HV </t>
  </si>
  <si>
    <t>net circuit KM added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</si>
  <si>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</si>
  <si>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</si>
  <si>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</si>
  <si>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</si>
  <si>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</si>
  <si>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</si>
  <si>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$0's</t>
  </si>
  <si>
    <t>Cost per lot</t>
  </si>
  <si>
    <t>total spend $0's</t>
  </si>
  <si>
    <t>VOLUMES AND EXPENDITURE - STANDARD CONTROL SERVICES</t>
  </si>
  <si>
    <t>NEW CONNECTIONS - ALL</t>
  </si>
  <si>
    <t>VOLUMES  (0's)</t>
  </si>
  <si>
    <t>NEW CONNECTIONS - STANDARD CONTROL SERVICES</t>
  </si>
  <si>
    <t>EXISTING CONNECTIONS</t>
  </si>
  <si>
    <t>Total SCS Opex - Nominal</t>
  </si>
  <si>
    <t>Base Year Adjustments - Real 2024</t>
  </si>
  <si>
    <t>ACS FB + QS Model - Metering</t>
  </si>
  <si>
    <t>ACS FB + QS Model - Public Lighting</t>
  </si>
  <si>
    <t>Source Value - FB + QS Connection Opex</t>
  </si>
  <si>
    <t>Source Value - FB + QS Metering Opex</t>
  </si>
  <si>
    <t>Source Value - FB + QS Public Lighting Opex</t>
  </si>
  <si>
    <t>Calculated Value - ACS Metering Direct Opex</t>
  </si>
  <si>
    <t>Calculated Value - ACS Metering Network Overheads</t>
  </si>
  <si>
    <t>Calculated Value - ACS Metering Corporate Overheads</t>
  </si>
  <si>
    <t>Proportion of Total</t>
  </si>
  <si>
    <t>CPI Series</t>
  </si>
  <si>
    <t>2.10 - Overheads</t>
  </si>
  <si>
    <t>3.3 - Assets</t>
  </si>
  <si>
    <t>Workbook 2: Historical</t>
  </si>
  <si>
    <t>2.2.1 - Replacement Expenditure, Volumes And Asset Failures By Asset Category - Asset Replacements</t>
  </si>
  <si>
    <t>2.2.1 - Replacement Expenditure, Volumes And Asset Failures By Asset Category - Asset Failures</t>
  </si>
  <si>
    <t>3.4.1 - Energy Delivery</t>
  </si>
  <si>
    <t>3.4.3 - System Demand</t>
  </si>
  <si>
    <t>3.5.1 - Network Capacities Variables</t>
  </si>
  <si>
    <t>3.5.2 - Transformer Capacities Variables</t>
  </si>
  <si>
    <t>3.6.2 - Energy Not Supplied</t>
  </si>
  <si>
    <t>3.6.3 - System Losses</t>
  </si>
  <si>
    <t>3.6.4 - Capacity Utilisation</t>
  </si>
  <si>
    <t>3.7.1 - Density Factors</t>
  </si>
  <si>
    <t>3.7.2 - Terrain Factors</t>
  </si>
  <si>
    <t>3.7.3 - Service Area Factors</t>
  </si>
  <si>
    <t>5.4.1 - Non-Coincident &amp; Coincident Maximum Demand</t>
  </si>
  <si>
    <t>5.4.2 - Expected Unserved Energy</t>
  </si>
  <si>
    <t>6.2.4 - Distribution Customer Numbers</t>
  </si>
  <si>
    <t>6.2.5 - Customer Service</t>
  </si>
  <si>
    <t>7.1.1 - Plans, Policies, Procedures And Strategies</t>
  </si>
  <si>
    <t>7.3.1 - Obligations Or Requirements</t>
  </si>
  <si>
    <t>7.7.1 - Inputs To LRMC Calculation - Standard Control Services - Capex</t>
  </si>
  <si>
    <t>7.7.2 - Inputs To LRMC Calculation - Standard Control Services - Opex</t>
  </si>
  <si>
    <t>7.7.3 - Inputs To LRMC Calculation - Demand</t>
  </si>
  <si>
    <t>6.2.1 - Unplanned Minutes Off Supply (SAIDI)</t>
  </si>
  <si>
    <t>6.2.2 - Unplanned Interruptions To Supply (SAIFI)</t>
  </si>
  <si>
    <t>6.2.3 - Unplanned Momentary Interruptions To Supply (MAIFI)</t>
  </si>
  <si>
    <t>2.1.5 - Dual Function Assets Capex</t>
  </si>
  <si>
    <t>2.16.3 - Dual Function Assets - Opex By Driver</t>
  </si>
  <si>
    <t>2.1.6 - Dual Function Assets Opex By Category</t>
  </si>
  <si>
    <t>Check Status</t>
  </si>
  <si>
    <t>Workbook 1 - Forecast</t>
  </si>
  <si>
    <t>Workbook 2 - Historical</t>
  </si>
  <si>
    <t>2.5.1 - Descriptor Metrics - Volumes - All Services</t>
  </si>
  <si>
    <t>2.3.3 - Augex Data - HV/LV Feeders And Distribution Substations - Units Added</t>
  </si>
  <si>
    <t>2.3.3 - Augex Data - HV/LV Feeders And Distribution Substations - Units Upgraded</t>
  </si>
  <si>
    <t>2.6.2 - Annual Descriptor Metrics - Motor Vehicles</t>
  </si>
  <si>
    <t>2.6.2 - Annual Descriptor Metrics - IT &amp; Communications</t>
  </si>
  <si>
    <t>2.10.1 - Network Overheads Expenditure</t>
  </si>
  <si>
    <t>2.10.2 - Corporate Overheads Expenditure</t>
  </si>
  <si>
    <t>2.16.2 - Standard Control Services - Opex By Category</t>
  </si>
  <si>
    <t>2.16.4 - Dual Function Assets - Opex By Category</t>
  </si>
  <si>
    <t>2.17.3 - Step Changes For Dual Function Assets - Forecast Opex</t>
  </si>
  <si>
    <t>2.17.4 - Step Changes For Dual Function Assets - Forecast Capex</t>
  </si>
  <si>
    <t>3.3.1 - Asset Base Values</t>
  </si>
  <si>
    <t>3.3.2 - Asset Value Roll Forward</t>
  </si>
  <si>
    <t>3.3.3 - Total Disaggregated RAB Asset Value</t>
  </si>
  <si>
    <t>3.3.4 - Asset Lives</t>
  </si>
  <si>
    <t>4.1.2 - Public Lighting - Descriptor Metrics Annually</t>
  </si>
  <si>
    <t>4.1.3 - Public Lighting - Cost Metrics</t>
  </si>
  <si>
    <t xml:space="preserve">7.4.1 - Total Unregulated Revenue Earned With Shared Assets </t>
  </si>
  <si>
    <t>7.4.2 - Shared Asset Unregulated Services - Apportionment Methodology</t>
  </si>
  <si>
    <t>Input - CA RINs</t>
  </si>
  <si>
    <t>Actual / Forecast Inflation (%): End of Period, June to June, Unlagged</t>
  </si>
  <si>
    <t>Input - Power Services - Asset Management - Template</t>
  </si>
  <si>
    <t>Input - Power Services - Planning - Template</t>
  </si>
  <si>
    <t>Input - Finance - Template</t>
  </si>
  <si>
    <t>Input - Regulation - Template</t>
  </si>
  <si>
    <t>Metering - Direct</t>
  </si>
  <si>
    <t>Metering - Network OH</t>
  </si>
  <si>
    <t>Metering - Corporate OH</t>
  </si>
  <si>
    <t>% on Direct</t>
  </si>
  <si>
    <t>Opex - SCS - Overall Rate of Change</t>
  </si>
  <si>
    <t>4.2.1 - Meter types</t>
  </si>
  <si>
    <t>4.2.2 - Metering actions</t>
  </si>
  <si>
    <t>4.2.3b - Metering capex - Meter related costs</t>
  </si>
  <si>
    <t>4.2.3c -  Metering capex - Asset disposal - income from disposal of meters</t>
  </si>
  <si>
    <t>4.2.3d - Metering capex - Capital contributions</t>
  </si>
  <si>
    <t>4.2.6a - Meter population - end of year</t>
  </si>
  <si>
    <t>4.2.8 - Metering activities by meter type</t>
  </si>
  <si>
    <t>4.2.7 - Communications, IT  - Equipment</t>
  </si>
  <si>
    <t>4.2.8b - Communications project expenditure</t>
  </si>
  <si>
    <t>4.2.8c - IT project expenditure</t>
  </si>
  <si>
    <t>4.2.8c - Other projects expenditure</t>
  </si>
  <si>
    <t>4.2.9 - Equipment population - end of year</t>
  </si>
  <si>
    <t>Export services</t>
  </si>
  <si>
    <t>7.8.1 - Export services - opex</t>
  </si>
  <si>
    <t>7.8.2 - Export services - capex</t>
  </si>
  <si>
    <t>7.8.3 - Export volumes - Net metered volume of energy exported</t>
  </si>
  <si>
    <t>7.8.4.1 - Export volumes - customer numbers - Beginning of Period</t>
  </si>
  <si>
    <t>7.8.4.2 - Export volumes - customer numbers - End of Period</t>
  </si>
  <si>
    <t>Allocation</t>
  </si>
  <si>
    <t>FY22 Proportion</t>
  </si>
  <si>
    <t>Step change workings</t>
  </si>
  <si>
    <t>Trended base year</t>
  </si>
  <si>
    <t>Step Changes - Real 2024</t>
  </si>
  <si>
    <t>Expenditure  ($0's, real June 2024)</t>
  </si>
  <si>
    <t>Export service related overvoltage complaint management</t>
  </si>
  <si>
    <t>Other Opex</t>
  </si>
  <si>
    <t>ICT Capex</t>
  </si>
  <si>
    <t>Network monitoring Capex</t>
  </si>
  <si>
    <t>CBD</t>
  </si>
  <si>
    <t>Urban</t>
  </si>
  <si>
    <t>Short rural</t>
  </si>
  <si>
    <t>Long rural</t>
  </si>
  <si>
    <t>7.8.4 - Export volumes - customer numbers</t>
  </si>
  <si>
    <t>Customer numbers</t>
  </si>
  <si>
    <t>Expenditure  ($0's, real June 2022)</t>
  </si>
  <si>
    <t>Populated RIN template</t>
  </si>
  <si>
    <t>Total SCS Opex</t>
  </si>
  <si>
    <t>Proportion (3 Yr Avg)</t>
  </si>
  <si>
    <t>Opex Total Above</t>
  </si>
  <si>
    <t>Capex Total Above</t>
  </si>
  <si>
    <t>Target Value</t>
  </si>
  <si>
    <t>Project Name</t>
  </si>
  <si>
    <t>FY25 to FY29 Total (Real$2022)</t>
  </si>
  <si>
    <t>Input - Historical RIN data</t>
  </si>
  <si>
    <t>Proportion of residential connections</t>
  </si>
  <si>
    <t>VOLUMES and EXPENDITURE 
(0's, Nominal)</t>
  </si>
  <si>
    <t>MVA added per new connection</t>
  </si>
  <si>
    <t>Substations added per new connection</t>
  </si>
  <si>
    <t>circuit km added per new connection</t>
  </si>
  <si>
    <t>7 year average</t>
  </si>
  <si>
    <t>Proportion of commercial/industrial connections</t>
  </si>
  <si>
    <t>lots per connection</t>
  </si>
  <si>
    <t>avg cost in 2024 dollars</t>
  </si>
  <si>
    <t>Export Services Consistency</t>
  </si>
  <si>
    <t>Populated RIN template (excl Cap Cons)</t>
  </si>
  <si>
    <t>Capex Model Real 2022 to Real 2024</t>
  </si>
  <si>
    <t>Connections - Network OH</t>
  </si>
  <si>
    <t>Connections - Corporate OH</t>
  </si>
  <si>
    <t>Connections - Direct unescalated (Real 2022)</t>
  </si>
  <si>
    <t>Connections - Capex Model - Direct Unescalated</t>
  </si>
  <si>
    <t>Connections - Capex Model - Direct escalated</t>
  </si>
  <si>
    <t>Connections - Escalated factor</t>
  </si>
  <si>
    <t>Connections - Direct escalated (Real 2024)</t>
  </si>
  <si>
    <t>Note: Assumes average ACS overhead rate as no FY22 actuals exist</t>
  </si>
  <si>
    <t>Forecast rate of change, cumulative</t>
  </si>
  <si>
    <t>Cumulative Rate of Change Factor</t>
  </si>
  <si>
    <t>EXPENDITURE - ACS</t>
  </si>
  <si>
    <t>Value of Capital Contributions or Contributed Assets (included in the above)</t>
  </si>
  <si>
    <t>Reconciliation - 2.1.1</t>
  </si>
  <si>
    <t>Total (Excl capcons)</t>
  </si>
  <si>
    <t>Poles</t>
  </si>
  <si>
    <t>Pole Top Structures</t>
  </si>
  <si>
    <t>Staking Wooden Poles</t>
  </si>
  <si>
    <t>Overhead Conductors</t>
  </si>
  <si>
    <t>Underground Cables</t>
  </si>
  <si>
    <t>Service Lines</t>
  </si>
  <si>
    <t>Transformers</t>
  </si>
  <si>
    <t>Switchgear</t>
  </si>
  <si>
    <t>SCADA, network control and protection systems</t>
  </si>
  <si>
    <t>Total SCS Capex</t>
  </si>
  <si>
    <t>Opex Target (SCS Only)</t>
  </si>
  <si>
    <t>Capex Target (SCS Only)</t>
  </si>
  <si>
    <t>SCS Connections</t>
  </si>
  <si>
    <t>ACS Connections</t>
  </si>
  <si>
    <t>Cash Contributions</t>
  </si>
  <si>
    <t>Gifted Assets</t>
  </si>
  <si>
    <t>ACS Cash Contributions</t>
  </si>
  <si>
    <t>SCS Gifted Assets</t>
  </si>
  <si>
    <t>ACS Gifted Assets</t>
  </si>
  <si>
    <t>SCS Connections Capex (Excluding overheads, cash contributions and gifted assets)</t>
  </si>
  <si>
    <t>Note: Includes cash contributions and gifted assets but excludes equity funded undergrounding capex</t>
  </si>
  <si>
    <t>i. Beginning of period</t>
  </si>
  <si>
    <t>Volume (MWh)</t>
  </si>
  <si>
    <t>[Note: Email from AER on 10 November confirming this is not required]</t>
  </si>
  <si>
    <t>ii. End of period</t>
  </si>
  <si>
    <t>Staking of a wooden pole</t>
  </si>
  <si>
    <t>Alignment to Templates - Power Services - Planning</t>
  </si>
  <si>
    <t>Alignment to Templates - Power Services - Asset Management</t>
  </si>
  <si>
    <t>Alignment to Templates - Asset Management - Non Network</t>
  </si>
  <si>
    <t>Controllable non-labour expenditure</t>
  </si>
  <si>
    <t>Uncontrollable non-labour expenditure</t>
  </si>
  <si>
    <t>Alignment to Templates - Regulation</t>
  </si>
  <si>
    <t>3.4.1 - ENERGY DELIVERY</t>
  </si>
  <si>
    <t>3.4.3 - SYSTEM DEMAND</t>
  </si>
  <si>
    <t>Shared asset unregulated revenue  ($0's, Nominal)</t>
  </si>
  <si>
    <t>5.4.2 - EXPECTED UNSERVED ENERGY</t>
  </si>
  <si>
    <t>3.6 QUALITY OF SERVICE DATA</t>
  </si>
  <si>
    <t>3.6.2 - ENERGY NOT SUPPLIED</t>
  </si>
  <si>
    <t>3.7 OPERATING ENVIRONMENT FACTORS</t>
  </si>
  <si>
    <t>6.2 RELIABILITY AND CUSTOMER SERVICE PERFORMANCE</t>
  </si>
  <si>
    <t>Alignment to Templates - CXO</t>
  </si>
  <si>
    <t>6.2.5 - CUSTOMER SERVICE</t>
  </si>
  <si>
    <t>$ real, June 2024</t>
  </si>
  <si>
    <t>Total Adjusted Base Year</t>
  </si>
  <si>
    <t>Export Services</t>
  </si>
  <si>
    <t>Implied average escalation</t>
  </si>
  <si>
    <t>Direct escalated (Real 2024)</t>
  </si>
  <si>
    <t>Direct unescalated (Real 2024)</t>
  </si>
  <si>
    <t>Export Services - Direct unescalated (Real 2022)</t>
  </si>
  <si>
    <t>Input - ACS Metering - Step Changes</t>
  </si>
  <si>
    <t>ACS Metering Step Changes</t>
  </si>
  <si>
    <t>3.5 PHYSICAL ASSETS DATA (3.5.1.3 to 3.5.2)</t>
  </si>
  <si>
    <t>Note circuit length forecast aligned to opex model</t>
  </si>
  <si>
    <t>Note removed 3.6.4 because calculated within workbook 1</t>
  </si>
  <si>
    <t>Note removed 6.2.4 because balanced back to opex model</t>
  </si>
  <si>
    <t>7.8.3 and 7.8.4 - Export services - Volumes</t>
  </si>
  <si>
    <t>EXPORT VOLUMES</t>
  </si>
  <si>
    <t>Alignment to Templates - LRMC</t>
  </si>
  <si>
    <t>7.7.3 - INPUTS TO LRMC CALCULATION - DEMAND</t>
  </si>
  <si>
    <t>Model developer:</t>
  </si>
  <si>
    <t>Power and Water</t>
  </si>
  <si>
    <t>Purpose of the Model:</t>
  </si>
  <si>
    <t>The purpose of this model is to centralise inputs and perform calculations required to populate the Reset RIN as part of the 2024-29 determination.</t>
  </si>
  <si>
    <t>Model Legend:</t>
  </si>
  <si>
    <t>Cells containing assumptions intended to be manipulated by model users</t>
  </si>
  <si>
    <t>drop down</t>
  </si>
  <si>
    <t>Cells containing a drop down list for users to select inputs</t>
  </si>
  <si>
    <t>Cells containing input texts/numbers NOT intended to be changed by model users</t>
  </si>
  <si>
    <t>Cells containing formulae NOT intended to be changed by model users</t>
  </si>
  <si>
    <t>Heading 1</t>
  </si>
  <si>
    <t>Level 1 heading NOT intended to be changed by model users</t>
  </si>
  <si>
    <t>Heading 2</t>
  </si>
  <si>
    <t>Level 2 heading NOT intended to be changed by model users</t>
  </si>
  <si>
    <t>Cells representing there is an error in the nominated area of the workbook</t>
  </si>
  <si>
    <t>Cells representing there are no errors in the nominated area of the workbook</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</si>
  <si>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</si>
  <si>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</si>
  <si>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FY25 (Real$2024)</t>
  </si>
  <si>
    <t>FY26 (Real$2024)</t>
  </si>
  <si>
    <t>FY27 (Real$2024)</t>
  </si>
  <si>
    <t>FY28 (Real$2024)</t>
  </si>
  <si>
    <t>FY29 (Real$2024)</t>
  </si>
  <si>
    <t>Proposal Tables and Charts value</t>
  </si>
  <si>
    <t>Total 
2021-22 to 2028-29</t>
  </si>
  <si>
    <t>$ real , June 2024</t>
  </si>
  <si>
    <t>Note: Aligned to connections capex model, includes type 1 cash contributions and type 2 gifted in the current period but excludes type 2 equity funded undergrounding capex</t>
  </si>
  <si>
    <t>Note: No undergrounding equity funded contributions are included in these numbers because these projects have not been included in forecast</t>
  </si>
  <si>
    <t>Note: This table has not been adjusted for SCS step changes as all step changes have been allocated to either corporate or network overheads in table 2.1.2</t>
  </si>
  <si>
    <t>Note: The method below, allocating a dollar value to each element of the trend forecast, may differ to the approach the AER takes to calculate the individual impact of price, output and productivity factors</t>
  </si>
  <si>
    <t>Note: Other includes CESS and DMIA incentives sourced directly from the SCS PTRM</t>
  </si>
  <si>
    <t>Reconciliation Check (Total Gross Connections)</t>
  </si>
  <si>
    <t>Reconciliation Check (SCS New Connections)</t>
  </si>
  <si>
    <t>Reconciliation Check (Total New Connections)</t>
  </si>
  <si>
    <t>PWC SCS Connection expenditure (excluding overheads)</t>
  </si>
  <si>
    <t>SCS Cash Contributions (excluding overheads)</t>
  </si>
  <si>
    <t>SCS equity funded undergrounding</t>
  </si>
  <si>
    <t>PWC ACS Connection expenditure</t>
  </si>
  <si>
    <t>ACS equity funded undergrounding</t>
  </si>
  <si>
    <t>Removed because no longer treated as SCS</t>
  </si>
  <si>
    <t>Cash contributions</t>
  </si>
  <si>
    <t>Gifted assets</t>
  </si>
  <si>
    <t>Equity funded undergrounding</t>
  </si>
  <si>
    <t>Input - ACS - Workings</t>
  </si>
  <si>
    <t>ACS connection expenditure</t>
  </si>
  <si>
    <t>PWC connection expenditure (excluding overheads)</t>
  </si>
  <si>
    <t>SCS connection expenditure</t>
  </si>
  <si>
    <t>Input - SCS - Workings</t>
  </si>
  <si>
    <t>EXPENDITURE - SCS</t>
  </si>
  <si>
    <t>Note: Values in this table, other than network and corporate overheads, are direct costs and exclude debt raising costs (DRC)</t>
  </si>
  <si>
    <t>Note: Opex categories exclude debt raising costs (DRC)</t>
  </si>
  <si>
    <t>RFM / PTRM capital contributions</t>
  </si>
  <si>
    <t>less Augex capital contributions</t>
  </si>
  <si>
    <t>equals Connection capital contributions</t>
  </si>
  <si>
    <t>Less overheads</t>
  </si>
  <si>
    <t>6.2.3 (B) - Unplanned Momentary Interruptions To Supply (MAIFIe)</t>
  </si>
  <si>
    <t>Design related services</t>
  </si>
  <si>
    <t>Connection applications</t>
  </si>
  <si>
    <t>Access permits, oversights and facilitation</t>
  </si>
  <si>
    <t>Notices of arrangement and completion notices</t>
  </si>
  <si>
    <t>Network related property services</t>
  </si>
  <si>
    <t>Site establishment services</t>
  </si>
  <si>
    <t>Network safety services</t>
  </si>
  <si>
    <t>Network tariff change request</t>
  </si>
  <si>
    <t>Planned interruption - customer request</t>
  </si>
  <si>
    <t>Performance of a statutory right (access prevented)</t>
  </si>
  <si>
    <t>Provision of network related training to third parties</t>
  </si>
  <si>
    <t>Non-standard reporting services</t>
  </si>
  <si>
    <t>Services provided for retailer of last resort event</t>
  </si>
  <si>
    <t>Rectification of illegal connections service</t>
  </si>
  <si>
    <t>Network changes at customer or retailer's request</t>
  </si>
  <si>
    <t>Annual prepayment meter licensing fee</t>
  </si>
  <si>
    <t>[Spare 1]</t>
  </si>
  <si>
    <t>[Spare 2]</t>
  </si>
  <si>
    <t>[Spare 3]</t>
  </si>
  <si>
    <t>Row in FY19</t>
  </si>
  <si>
    <t>Row in FY20</t>
  </si>
  <si>
    <t>Row in FY21</t>
  </si>
  <si>
    <t>Quoted service category</t>
  </si>
  <si>
    <t>Expenditure Type</t>
  </si>
  <si>
    <t>Input | Volumes</t>
  </si>
  <si>
    <t>Input | Revenue</t>
  </si>
  <si>
    <t>Fee based service category</t>
  </si>
  <si>
    <t>Energisation</t>
  </si>
  <si>
    <t>De-energisation</t>
  </si>
  <si>
    <t>Re-energisation</t>
  </si>
  <si>
    <t>Temporary disconnection and reconnection - no physical dismantling</t>
  </si>
  <si>
    <t>Temporary disconnection and reconnection - physical dismantling</t>
  </si>
  <si>
    <t>Temporary disconnection and reconnection - no physical dismantling After hours</t>
  </si>
  <si>
    <t>Complex Disconnection</t>
  </si>
  <si>
    <t>Disconnection (and Final Read)</t>
  </si>
  <si>
    <t>Reconnection - After Hours</t>
  </si>
  <si>
    <t>Provision of three phase service</t>
  </si>
  <si>
    <t>Class 1 &amp; 2 PV service</t>
  </si>
  <si>
    <t>Class 3 PV Assessment</t>
  </si>
  <si>
    <t>Standard temporary builderâs connection</t>
  </si>
  <si>
    <t>Special meter test</t>
  </si>
  <si>
    <t>Exchange or replace meter - three phase</t>
  </si>
  <si>
    <t>Exchange or replace meter - single phase</t>
  </si>
  <si>
    <t>Exchange or replace meter - prepayment</t>
  </si>
  <si>
    <t>Relocation of meter</t>
  </si>
  <si>
    <t>Remove meter</t>
  </si>
  <si>
    <t>General meter inspection</t>
  </si>
  <si>
    <t>Special meter read - no appointment</t>
  </si>
  <si>
    <t>Special meter read - appointment</t>
  </si>
  <si>
    <t>Meter program change</t>
  </si>
  <si>
    <t>Prepayment Vending Charge</t>
  </si>
  <si>
    <t>Prepayment Meter Support Charge</t>
  </si>
  <si>
    <t>Historical data requests</t>
  </si>
  <si>
    <t>Standing data requests</t>
  </si>
  <si>
    <t>Customer transfers</t>
  </si>
  <si>
    <t>Installation of Minor Apparatus</t>
  </si>
  <si>
    <t>Wasted visit fee</t>
  </si>
  <si>
    <t>[Spare]</t>
  </si>
  <si>
    <t>Total from RIN table</t>
  </si>
  <si>
    <t>CA RIN 4.4.1</t>
  </si>
  <si>
    <t>CA RIN 4.3.1</t>
  </si>
  <si>
    <t>Connection Services</t>
  </si>
  <si>
    <t>De-energisation / Re-energisation</t>
  </si>
  <si>
    <t>Meter Servicing (Fee based)</t>
  </si>
  <si>
    <t>Non Standard Data Services</t>
  </si>
  <si>
    <t>Miscellaneous services</t>
  </si>
  <si>
    <t>Output | RIN Data</t>
  </si>
  <si>
    <t>Quoted services</t>
  </si>
  <si>
    <t>Revenue</t>
  </si>
  <si>
    <t>Real $2024</t>
  </si>
  <si>
    <t>Real $2019</t>
  </si>
  <si>
    <t>Real2019</t>
  </si>
  <si>
    <t>Real2024</t>
  </si>
  <si>
    <t>Direct Opex</t>
  </si>
  <si>
    <t>Direct Capex</t>
  </si>
  <si>
    <t>Input | FB + QS Model</t>
  </si>
  <si>
    <t>FB + QS Model</t>
  </si>
  <si>
    <t>Network Overheads</t>
  </si>
  <si>
    <t>Corporate Overheads</t>
  </si>
  <si>
    <t>Row in FY25</t>
  </si>
  <si>
    <t>Other FB services</t>
  </si>
  <si>
    <t>Check - Revenue</t>
  </si>
  <si>
    <t>Check - Opex</t>
  </si>
  <si>
    <t>Check - Capex</t>
  </si>
  <si>
    <t>Source Value - FB + QS Other Direct</t>
  </si>
  <si>
    <t>Proportion of FY22 Total</t>
  </si>
  <si>
    <t>Real 2024</t>
  </si>
  <si>
    <t>Fee based services</t>
  </si>
  <si>
    <t>Maximum Demand (MW)</t>
  </si>
  <si>
    <t>Tax recovery rate</t>
  </si>
  <si>
    <t>Quoted service margin</t>
  </si>
  <si>
    <t>Source Value (incl DRC)</t>
  </si>
  <si>
    <t>1 Phase Meters (including Prepayment)</t>
  </si>
  <si>
    <t>3 Phase Meters</t>
  </si>
  <si>
    <t>LV CT</t>
  </si>
  <si>
    <t>HV</t>
  </si>
  <si>
    <t>Total Volume</t>
  </si>
  <si>
    <t>Charges (Nominal, Dollars)</t>
  </si>
  <si>
    <t>ACS Metering Revenue (Nominal, Dollars)</t>
  </si>
  <si>
    <t>SCS Cash Contributions (excluding overheads) not included in 'WkB_1_2.5.2b'</t>
  </si>
  <si>
    <t>RIN template comparison</t>
  </si>
  <si>
    <t>Input - Fee Based Services Forecast</t>
  </si>
  <si>
    <t>Less ACS Metering overheads</t>
  </si>
  <si>
    <t>Equivalent RIN template value</t>
  </si>
  <si>
    <t>Debt raising costs</t>
  </si>
  <si>
    <t>◄ Includes debt raising costs</t>
  </si>
  <si>
    <t>X factor</t>
  </si>
  <si>
    <t>Inflation forecast (Dec 2022)</t>
  </si>
  <si>
    <t>◄ Metering charges for 2022-23 and 2023-24 linked to pricing proposal for 2022-23</t>
  </si>
  <si>
    <t>◄ Forecast to December 2022 sourced from RBA's November 2022 statement on monetary policy</t>
  </si>
  <si>
    <t>Note: FY22 actuals already include the higher labour rates forecast for quoted services so no further adjustment has been made</t>
  </si>
  <si>
    <t>WP Hardware Management</t>
  </si>
  <si>
    <t>WP Service Model</t>
  </si>
  <si>
    <t>WP Information Management including Data and Reporting PRG</t>
  </si>
  <si>
    <t>Field Device &amp; Telephony upgrade</t>
  </si>
  <si>
    <t>Integrated Communications (Including Mobile Telephony)</t>
  </si>
  <si>
    <t>Data Warehouse (Physical)</t>
  </si>
  <si>
    <t>Software Replacement</t>
  </si>
  <si>
    <t>Hardware Replacement</t>
  </si>
  <si>
    <t>Bespoke Applications</t>
  </si>
  <si>
    <t>ICT Minor Projects</t>
  </si>
  <si>
    <t>Infrastructure Management</t>
  </si>
  <si>
    <t>Customer Connectivity</t>
  </si>
  <si>
    <t>Maximo Technical Upgrade</t>
  </si>
  <si>
    <t>Cyber Security</t>
  </si>
  <si>
    <t xml:space="preserve">FMS Technical Upgrade </t>
  </si>
  <si>
    <t>Physical to Financials</t>
  </si>
  <si>
    <t>Asset Management</t>
  </si>
  <si>
    <t>OT Uplift</t>
  </si>
  <si>
    <t>Capability Uplift Meter to Cash Project</t>
  </si>
  <si>
    <t>SCADA Cyber Security Initiatives</t>
  </si>
  <si>
    <t>Customer Experience</t>
  </si>
  <si>
    <t>Service Delivery</t>
  </si>
  <si>
    <t>Capital Delivery</t>
  </si>
  <si>
    <t>Recurrent</t>
  </si>
  <si>
    <t>ICT1</t>
  </si>
  <si>
    <t>ICT2</t>
  </si>
  <si>
    <t>ICT3</t>
  </si>
  <si>
    <t>ICT4</t>
  </si>
  <si>
    <t>ICT5</t>
  </si>
  <si>
    <t>ICT6</t>
  </si>
  <si>
    <t>ICT7</t>
  </si>
  <si>
    <t>ICT8</t>
  </si>
  <si>
    <t>ICT9</t>
  </si>
  <si>
    <t>ICT10</t>
  </si>
  <si>
    <t>ICT11</t>
  </si>
  <si>
    <t>ICT12</t>
  </si>
  <si>
    <t>ICT14</t>
  </si>
  <si>
    <t>ICT15</t>
  </si>
  <si>
    <t>ICT16</t>
  </si>
  <si>
    <t>ICT17</t>
  </si>
  <si>
    <t>ICT18</t>
  </si>
  <si>
    <t>ICT19</t>
  </si>
  <si>
    <t>ICT20</t>
  </si>
  <si>
    <t>ICT21</t>
  </si>
  <si>
    <t>ICT22</t>
  </si>
  <si>
    <t>ICT23</t>
  </si>
  <si>
    <t>ICT24</t>
  </si>
  <si>
    <t>IT &amp; Communication</t>
  </si>
  <si>
    <t>Row match</t>
  </si>
  <si>
    <t>Input - EB RINs</t>
  </si>
  <si>
    <t>Not applicable - based on average customers and includes SCS + ACS customers</t>
  </si>
  <si>
    <t>7.7.1 - LRMC - capex</t>
  </si>
  <si>
    <t>2029-30</t>
  </si>
  <si>
    <t>2030-31</t>
  </si>
  <si>
    <t>2031-32</t>
  </si>
  <si>
    <t>2032-33</t>
  </si>
  <si>
    <t>2033-34</t>
  </si>
  <si>
    <t>2034-35</t>
  </si>
  <si>
    <t>2035-36</t>
  </si>
  <si>
    <t>2036-37</t>
  </si>
  <si>
    <t>2037-38</t>
  </si>
  <si>
    <t>2038-39</t>
  </si>
  <si>
    <t>2039-40</t>
  </si>
  <si>
    <t>2040-41</t>
  </si>
  <si>
    <t>2041-42</t>
  </si>
  <si>
    <t>7.7.1 - Inputs to LRMC calculation - Standard control services - Capex</t>
  </si>
  <si>
    <t>Total capex</t>
  </si>
  <si>
    <t>7.7.1.3 - Series C - Low voltage network</t>
  </si>
  <si>
    <t>7.7.1.2 - Series B - High voltage network</t>
  </si>
  <si>
    <t>7.7.1.1 - Series A - Sub-transmission network</t>
  </si>
  <si>
    <t>LRMC-Related Operating Expenditure</t>
  </si>
  <si>
    <t>7.7.2 - Inputs to LRMC calculation - Standard control services - Opex</t>
  </si>
  <si>
    <t>7.7.2.1 - Series A - Sub-transmission network</t>
  </si>
  <si>
    <t>7.7.2.2 - Series B - High voltage network</t>
  </si>
  <si>
    <t>7.7.2.3 - Series C - Low voltage network</t>
  </si>
  <si>
    <t>7.7.2 - LRMC - opex</t>
  </si>
  <si>
    <t>7.7.3 - LRMC - demand</t>
  </si>
  <si>
    <t>System Peak Demand (MW)</t>
  </si>
  <si>
    <t>Total demand</t>
  </si>
  <si>
    <t>Forecast (MW)</t>
  </si>
  <si>
    <t>7.7.3 - Inputs to LRMC calculation - Standard control services - Demand</t>
  </si>
  <si>
    <t>7.7.3.1 - Series A - Sub-transmission network</t>
  </si>
  <si>
    <t>7.7.3.2 - Series B - High voltage network</t>
  </si>
  <si>
    <t>7.7.3.3 - Series C - Low voltage network</t>
  </si>
  <si>
    <t>2042-43</t>
  </si>
  <si>
    <t>2043-44</t>
  </si>
  <si>
    <t>2044-45</t>
  </si>
  <si>
    <t>Source Value - Pricing Model / PTRM Smoothed Revenue</t>
  </si>
  <si>
    <t>PWC, SCS Pricing Model</t>
  </si>
  <si>
    <t>Table of contents</t>
  </si>
  <si>
    <t>Workbook 5: Bill impacts</t>
  </si>
  <si>
    <t>Model appendix</t>
  </si>
  <si>
    <t>Model title message</t>
  </si>
  <si>
    <t>Error message</t>
  </si>
  <si>
    <t>Alert message</t>
  </si>
  <si>
    <t>Model message</t>
  </si>
  <si>
    <t>Model checks</t>
  </si>
  <si>
    <t>Error checks</t>
  </si>
  <si>
    <t>Total errors</t>
  </si>
  <si>
    <t>Workbook administration</t>
  </si>
  <si>
    <t>Workbook 5 - Bill impact</t>
  </si>
  <si>
    <t>RIN Population Model - Power and Water Corporation</t>
  </si>
  <si>
    <t>Source: Email on 4 November titled 'IP08 forecast split into 2.1 RIN.xlsx'</t>
  </si>
  <si>
    <t>Inflation profiles</t>
  </si>
  <si>
    <t>Input - Quoted Services forecast</t>
  </si>
  <si>
    <t>Data required to populate Power and Water Corporation 2024-29 regulatory submission</t>
  </si>
  <si>
    <t>Input | Direct expenditure</t>
  </si>
  <si>
    <t>Expenditure type</t>
  </si>
  <si>
    <t>Total Direct expenditure</t>
  </si>
  <si>
    <t>Total revenue</t>
  </si>
  <si>
    <t>Output | RIN data</t>
  </si>
  <si>
    <t xml:space="preserve">Operating expenditure </t>
  </si>
  <si>
    <t xml:space="preserve">Capital expenditure </t>
  </si>
  <si>
    <t>Charge type</t>
  </si>
  <si>
    <t>Input | Fee - direct costs</t>
  </si>
  <si>
    <t>Total direct expenditure</t>
  </si>
  <si>
    <t>Input | Fee - total</t>
  </si>
  <si>
    <t>2.1.1 - Standard Control Services - Capex</t>
  </si>
  <si>
    <t>Note: Excludes type 2 cap cons i.e. no gifted assets or equity funded works included</t>
  </si>
  <si>
    <t>2.1.2 - Standard Control Services - Opex by category</t>
  </si>
  <si>
    <t>Calculation - Forecast opex split</t>
  </si>
  <si>
    <t>2.1.3 - Alternative Control Services - Capex</t>
  </si>
  <si>
    <t>Input - ACS models and sources</t>
  </si>
  <si>
    <t>Input - Finance template and previous CA RIN</t>
  </si>
  <si>
    <t>2.1.4 - Alternative Control Services - Opex</t>
  </si>
  <si>
    <t>Input - ACS models and sources (Real 2024)</t>
  </si>
  <si>
    <t>Input - Finance template</t>
  </si>
  <si>
    <t>2.1.7 - Standard Control Services - Capital contributions</t>
  </si>
  <si>
    <t>2.1.8 - Standard Control Services - Capitalised overheads</t>
  </si>
  <si>
    <t>2.2.1 - Replacement expenditure by asset category</t>
  </si>
  <si>
    <t>2.3.3 - Augex Data - HV/LV feeders and distribution substations - Cost metrics</t>
  </si>
  <si>
    <t>2.3.4 - Augex - Total expenditure</t>
  </si>
  <si>
    <t>2.3.5 - Augex - By driver</t>
  </si>
  <si>
    <t xml:space="preserve">2.3.6 - Augex - Greenfields driven </t>
  </si>
  <si>
    <t>2.5.1 - Descriptor metrics - Expenditure - All services</t>
  </si>
  <si>
    <t>2.5.2 - Cost metrics by connection classification - Expenditure - All services</t>
  </si>
  <si>
    <t>2.5.2 - Cost metrics by connection classification - Expenditure - Standard Control Services</t>
  </si>
  <si>
    <t>2.5.2 - Cost metrics by connection classification - Expenditure - Standard Control Services - Capital contributions</t>
  </si>
  <si>
    <t>2.5.3 - Volumes by connection classification</t>
  </si>
  <si>
    <t>2.6.1 - Non-Network expenditure</t>
  </si>
  <si>
    <t>2.6.5 - Information and communications technology - Capex - Recurrent and non recurrent</t>
  </si>
  <si>
    <t>Input - Capex model</t>
  </si>
  <si>
    <t>2.11.3 - Labour / Non-labour expenditure split - Standard Control Services</t>
  </si>
  <si>
    <t>2.14.2 - Forecast capex and opex price changes</t>
  </si>
  <si>
    <t>2.16.1 - Standard Control Services - Opex by driver</t>
  </si>
  <si>
    <t xml:space="preserve">2.17.1 - Step changes for Standard Control Services - Forecast opex </t>
  </si>
  <si>
    <t>2.17.2 - Step changes for Standard Control Services - Forecast capex</t>
  </si>
  <si>
    <t>2.17.5 - Forecast category specific opex</t>
  </si>
  <si>
    <t>3.1.1 - Revenue grouping by chargeable quantity</t>
  </si>
  <si>
    <t>Input - ACS Metering revenue</t>
  </si>
  <si>
    <t>3.1.2 - Revenue grouping by customer type or class</t>
  </si>
  <si>
    <t>3.1.3 - Revenue (penalties) allowed (deducted) through incentive schemes</t>
  </si>
  <si>
    <t>3.2.2 - Opex consistency</t>
  </si>
  <si>
    <t>7.2.1 - Proposed contingent projects for the forthcoming regulatory control period</t>
  </si>
  <si>
    <t>7.4 - Shared assets - Forecast</t>
  </si>
  <si>
    <t>Input - SCS capex model - Export services escalation</t>
  </si>
  <si>
    <t>7.4 - Shared assets - Historical</t>
  </si>
  <si>
    <t>7.6 - Indicative impact on distribution charges &amp; electricity bills</t>
  </si>
  <si>
    <t>Alignment to opex model</t>
  </si>
  <si>
    <t>Input - Opex model</t>
  </si>
  <si>
    <t>Checks - Output measure drivers</t>
  </si>
  <si>
    <t>Model lookups</t>
  </si>
  <si>
    <t>Model settings</t>
  </si>
  <si>
    <t>Periodicity inputs</t>
  </si>
  <si>
    <t>Time series headings</t>
  </si>
  <si>
    <t>Period start date</t>
  </si>
  <si>
    <t>Period end date</t>
  </si>
  <si>
    <t>Period counter</t>
  </si>
  <si>
    <t>Period type</t>
  </si>
  <si>
    <t>Regulatory year</t>
  </si>
  <si>
    <t>Cyber security</t>
  </si>
  <si>
    <t>Insurance</t>
  </si>
  <si>
    <t>Cloud migration</t>
  </si>
  <si>
    <t>Future Network</t>
  </si>
  <si>
    <t>Regulatory obligations</t>
  </si>
  <si>
    <t>OT capability uplift</t>
  </si>
  <si>
    <t>Renewable Energy Hub</t>
  </si>
  <si>
    <t>Unlocking existing large scale renewable generation on DKTL</t>
  </si>
  <si>
    <t>Holtze-Kowani land release</t>
  </si>
  <si>
    <t>Wishart ZSS</t>
  </si>
  <si>
    <t xml:space="preserve">Commercial development in Middle Arm </t>
  </si>
  <si>
    <t>Reduction in manual readings</t>
  </si>
  <si>
    <t>Reduction in special reads</t>
  </si>
  <si>
    <t>Increase in communication and software costs</t>
  </si>
  <si>
    <t>Buildings</t>
  </si>
  <si>
    <t>Instrument Transformers</t>
  </si>
  <si>
    <t>Metering Units</t>
  </si>
  <si>
    <t>Pillars</t>
  </si>
  <si>
    <t>Substation Auxiliary Plant</t>
  </si>
  <si>
    <t>Voltage Regulators</t>
  </si>
  <si>
    <t>Civil and Grounds</t>
  </si>
  <si>
    <t>Fire Systems</t>
  </si>
  <si>
    <t>Capacitor Banks</t>
  </si>
  <si>
    <t>Cable Tunnels</t>
  </si>
  <si>
    <t>Power Transformer Refurbishment</t>
  </si>
  <si>
    <t>Power Transformer Spares</t>
  </si>
  <si>
    <t>Pole Refurbishment</t>
  </si>
  <si>
    <t>Tower Refurbishment</t>
  </si>
  <si>
    <t>EDO Refurbishment</t>
  </si>
  <si>
    <t>Surge Arrestors</t>
  </si>
  <si>
    <t>Employee benefits expense</t>
  </si>
  <si>
    <t>Energy and materials</t>
  </si>
  <si>
    <t>External service agreements</t>
  </si>
  <si>
    <t>Other expenses</t>
  </si>
  <si>
    <t>Repairs and maintenance expense</t>
  </si>
  <si>
    <t>Inter-group sales</t>
  </si>
  <si>
    <t>Fibre optic cable</t>
  </si>
  <si>
    <t>Not applicable</t>
  </si>
  <si>
    <t>Shared Asset</t>
  </si>
  <si>
    <t>Fibre optic cable used for PWC's communications network is also used by a third party</t>
  </si>
  <si>
    <t>T1, T3a</t>
  </si>
  <si>
    <t>T2, T3b</t>
  </si>
  <si>
    <t xml:space="preserve">We have identified two triggers for the project:
1. A formal notification from a NTG Minister to Power and Water Corporation, advising that the NTG wishes to provide for a Renewable Energy Hub at a site near Darwin and advising the approximate required capacity and location of that hub; and 
2. The completion of a RIT-T by Power and Water that meets the following: 
a) Identifies a need to undertake shared transmission works to convey generation from a Renewable Energy Hub near Darwin within the regulatory period. 
b) Identifies a preferred option consistent with the RIT‐T guidelines that maximises the net economic benefit to all those who produce, consume and transport electricity.
c) Determines that the preferred option has a positive net economic benefit and/or is otherwise consistent with the National Electricity Objective at that time. </t>
  </si>
  <si>
    <t xml:space="preserve">We have identified two triggers for the project:
1. A formal notification from a NTG Minister to Power and Water Corporation, advising that it wishes to accommodate more renewable energy in an area that requires transport of generation on the DKTL and advising the approximate required additional capacity and location of that generation; and
2. the completion of a RIT-T by Power and Water that meets the following: 
a) Identifies a need to relieve transmission constraints on the DKTL within the next regulatory period, and 
b) Identifies a preferred option consistent with the RIT‐T guidelines that maximises the net economic benefit to all those who produce, consume and transport electricity in the NEM, and 
c) Determines that the preferred option has a positive net economic benefit and/or is otherwise consistent with the National Electricity Objective at that time. </t>
  </si>
  <si>
    <t>We have identified three triggers for the project:
1. An executed Connection Application and an approved HV Master Plan for Stage 3 of the land development in the Greater Holtze Area.
2. A Power and Water planning study demonstrating a likely material constraint in meeting the expected demand arising from Stage 3 of the land development. 
3. The completion of a Regulatory Investment Test for Distribution (RIT-D) by Power and Water that meets the following: 
a). Identifies a need to undertake augmentation distribution works in the next regulatory period to meet demand for standard control services arising from Stage 3 land release in the Greater Holtze Area, and
b). Identifies the preferred option consistent with the RIT‐D guidelines that maximises the net economic benefit to all those who produce, consume and transport electricity.</t>
  </si>
  <si>
    <t>We have identified two triggers for the project:
1. Committed customer connections in the Middle Arm Peninsula in Darwin that, in aggregate, exceeds the existing capacity (15 MVA) of the Weddell zone substation.
2. The completion of a regulatory investment test for distribution by Power and Water that meets the following:
a). Identifies a need to undertake augmentation distribution works to meet demand for standard control services arising from new customer connections in the Middle Arm Peninsula.
b). Identifies the preferred option consistent with the RIT‐D guidelines that maximise the net economic benefit to all those who produce, consume and transport electricity.</t>
  </si>
  <si>
    <t>[c-i-c]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</si>
</sst>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 #,##0_-;[Red]\(#,##0\)_-;_-* &quot;-&quot;??_-;_-@_-"/>
    <numFmt numFmtId="176" formatCode="_-* #,##0_-;\-* #,##0_-;_-* &quot;-&quot;??_-;_-@_-"/>
    <numFmt numFmtId="177" formatCode="0.0%"/>
    <numFmt numFmtId="178" formatCode="_(#,##0.00%_);\(#,##0.00%\);_(&quot;-&quot;_)"/>
    <numFmt numFmtId="179" formatCode="_(#,##0.0000_);\(#,##0.0000\);_(&quot;-&quot;_)"/>
    <numFmt numFmtId="180" formatCode="#,##0.0"/>
    <numFmt numFmtId="181" formatCode="#,###;[Red]\-#,###"/>
    <numFmt numFmtId="182" formatCode="_(&quot;$&quot;* #,##0.00_);_(&quot;$&quot;* \(#,##0.00\);_(&quot;$&quot;* &quot;-&quot;??_);_(@_)"/>
    <numFmt numFmtId="183" formatCode="#,##0.000_ ;[Red]\-#,##0.000\ "/>
    <numFmt numFmtId="184" formatCode="0_ ;[Red]\-0\ "/>
    <numFmt numFmtId="185" formatCode="_(&quot;$&quot;#,##0_);\(&quot;$&quot;#,##0\);_(&quot;-&quot;_)"/>
    <numFmt numFmtId="186" formatCode="&quot;$&quot;#,##0.00"/>
  </numFmts>
  <fonts count="91" x14ac:knownFonts="1">
    <font>
      <sz val="8"/>
      <color rgb="FFFF0066"/>
      <name val="Helvetic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1"/>
      <color theme="1"/>
      <name val="Helvetica"/>
      <family val="2"/>
    </font>
    <font>
      <b/>
      <sz val="12"/>
      <color theme="0"/>
      <name val="Helvetica"/>
      <family val="2"/>
    </font>
    <font>
      <sz val="10"/>
      <name val="Helvetica"/>
      <family val="2"/>
    </font>
    <font>
      <b/>
      <sz val="10"/>
      <name val="Helvetica"/>
      <family val="2"/>
    </font>
    <font>
      <sz val="8"/>
      <color theme="1"/>
      <name val="Arial"/>
      <family val="2"/>
    </font>
    <font>
      <sz val="8"/>
      <color rgb="FFFF0066"/>
      <name val="Helvetica"/>
      <family val="2"/>
    </font>
    <font>
      <sz val="10"/>
      <color rgb="FFFF0066"/>
      <name val="Calibri"/>
      <family val="2"/>
      <scheme val="minor"/>
    </font>
    <font>
      <b/>
      <sz val="16"/>
      <color theme="4"/>
      <name val="Calibri"/>
      <family val="2"/>
      <scheme val="minor"/>
    </font>
    <font>
      <b/>
      <sz val="10"/>
      <color theme="1"/>
      <name val="Calibri"/>
      <family val="2"/>
      <scheme val="minor"/>
    </font>
    <font>
      <b/>
      <sz val="10"/>
      <color theme="0"/>
      <name val="Calibri"/>
      <family val="2"/>
      <scheme val="minor"/>
    </font>
    <font>
      <b/>
      <sz val="14"/>
      <color theme="0"/>
      <name val="Calibri"/>
      <family val="2"/>
      <scheme val="minor"/>
    </font>
    <font>
      <b/>
      <sz val="14"/>
      <color theme="0"/>
      <name val="Arial"/>
      <family val="2"/>
    </font>
    <font>
      <b/>
      <sz val="10"/>
      <name val="Arial"/>
      <family val="2"/>
    </font>
    <font>
      <sz val="10"/>
      <name val="Arial"/>
      <family val="2"/>
    </font>
    <font>
      <sz val="11"/>
      <name val="Calibri"/>
      <family val="2"/>
      <scheme val="minor"/>
    </font>
    <font>
      <b/>
      <sz val="10"/>
      <color indexed="8"/>
      <name val="Arial"/>
      <family val="2"/>
    </font>
    <font>
      <b/>
      <sz val="12"/>
      <name val="Calibri"/>
      <family val="2"/>
      <scheme val="minor"/>
    </font>
    <font>
      <sz val="11"/>
      <name val="Arial"/>
      <family val="2"/>
    </font>
    <font>
      <b/>
      <sz val="12"/>
      <color rgb="FFFFFFFF"/>
      <name val="Calibri"/>
      <family val="2"/>
      <scheme val="minor"/>
    </font>
    <font>
      <b/>
      <sz val="14"/>
      <color rgb="FFFFFFFF"/>
      <name val="Calibri"/>
      <family val="2"/>
      <scheme val="minor"/>
    </font>
    <font>
      <sz val="10"/>
      <color indexed="9"/>
      <name val="Arial"/>
      <family val="2"/>
    </font>
    <font>
      <b/>
      <sz val="11"/>
      <name val="Arial"/>
      <family val="2"/>
    </font>
    <font>
      <b/>
      <sz val="11"/>
      <color theme="0"/>
      <name val="Arial"/>
      <family val="2"/>
    </font>
    <font>
      <b/>
      <sz val="10"/>
      <color theme="1"/>
      <name val="Arial"/>
      <family val="2"/>
    </font>
    <font>
      <b/>
      <sz val="11"/>
      <color indexed="8"/>
      <name val="Calibri"/>
      <family val="2"/>
    </font>
    <font>
      <b/>
      <sz val="12"/>
      <color theme="0"/>
      <name val="Calibri"/>
      <family val="2"/>
      <scheme val="minor"/>
    </font>
    <font>
      <b/>
      <sz val="12"/>
      <color theme="0"/>
      <name val="Arial"/>
      <family val="2"/>
    </font>
    <font>
      <b/>
      <sz val="11"/>
      <name val="Calibri"/>
      <family val="2"/>
      <scheme val="minor"/>
    </font>
    <font>
      <sz val="11"/>
      <color theme="1"/>
      <name val="Arial"/>
      <family val="2"/>
    </font>
    <font>
      <sz val="10"/>
      <color theme="1"/>
      <name val="Arial"/>
      <family val="2"/>
    </font>
    <font>
      <b/>
      <sz val="9"/>
      <color theme="1"/>
      <name val="Arial"/>
      <family val="2"/>
    </font>
    <font>
      <b/>
      <sz val="10"/>
      <color theme="0"/>
      <name val="Arial"/>
      <family val="2"/>
    </font>
    <font>
      <sz val="11"/>
      <color theme="1" tint="0.499984740745262"/>
      <name val="Arial"/>
      <family val="2"/>
    </font>
    <font>
      <i/>
      <sz val="11"/>
      <color theme="1"/>
      <name val="Arial"/>
      <family val="2"/>
    </font>
    <font>
      <sz val="18"/>
      <color theme="3"/>
      <name val="Arial"/>
      <family val="2"/>
    </font>
    <font>
      <b/>
      <sz val="11"/>
      <color theme="3"/>
      <name val="Arial"/>
      <family val="2"/>
    </font>
    <font>
      <sz val="10"/>
      <color theme="4"/>
      <name val="Arial"/>
      <family val="2"/>
    </font>
    <font>
      <u/>
      <sz val="10"/>
      <color theme="10"/>
      <name val="Arial"/>
      <family val="2"/>
    </font>
    <font>
      <b/>
      <sz val="10"/>
      <color theme="1"/>
      <name val="Helvetica"/>
    </font>
    <font>
      <b/>
      <sz val="12"/>
      <color indexed="8"/>
      <name val="Calibri"/>
      <family val="2"/>
    </font>
    <font>
      <b/>
      <sz val="9"/>
      <name val="Arial"/>
      <family val="2"/>
    </font>
    <font>
      <b/>
      <sz val="12"/>
      <name val="Arial"/>
      <family val="2"/>
    </font>
    <font>
      <sz val="10"/>
      <color rgb="FFFF0000"/>
      <name val="Arial"/>
      <family val="2"/>
    </font>
    <font>
      <sz val="10"/>
      <color theme="0" tint="-0.14999847407452621"/>
      <name val="Helvetica"/>
      <family val="2"/>
    </font>
    <font>
      <sz val="10"/>
      <color theme="7"/>
      <name val="Helvetica"/>
      <family val="2"/>
    </font>
    <font>
      <b/>
      <sz val="10"/>
      <color theme="7"/>
      <name val="Helvetica"/>
      <family val="2"/>
    </font>
    <font>
      <b/>
      <sz val="15"/>
      <color theme="7"/>
      <name val="Helvetica"/>
      <family val="2"/>
    </font>
    <font>
      <b/>
      <sz val="11"/>
      <color theme="0"/>
      <name val="Helvetica"/>
      <family val="2"/>
    </font>
    <font>
      <sz val="10"/>
      <color rgb="FFFF0000"/>
      <name val="Helvetica"/>
      <family val="2"/>
    </font>
    <font>
      <sz val="12"/>
      <name val="Arial"/>
      <family val="2"/>
    </font>
    <font>
      <b/>
      <sz val="14"/>
      <name val="Calibri"/>
      <family val="2"/>
      <scheme val="minor"/>
    </font>
    <font>
      <b/>
      <sz val="14"/>
      <color indexed="8"/>
      <name val="Calibri"/>
      <family val="2"/>
    </font>
    <font>
      <b/>
      <sz val="10"/>
      <name val="Calibri"/>
      <family val="2"/>
      <scheme val="minor"/>
    </font>
    <font>
      <b/>
      <sz val="10"/>
      <name val="Calibri"/>
      <family val="2"/>
    </font>
    <font>
      <sz val="11"/>
      <color rgb="FF000000"/>
      <name val="Calibri"/>
      <family val="2"/>
    </font>
    <font>
      <sz val="9"/>
      <color indexed="81"/>
      <name val="Tahoma"/>
      <family val="2"/>
    </font>
    <font>
      <b/>
      <sz val="9"/>
      <color indexed="81"/>
      <name val="Tahoma"/>
      <family val="2"/>
    </font>
  </fonts>
  <fills count="55">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2A3D6F"/>
        <bgColor indexed="64"/>
      </patternFill>
    </fill>
    <fill>
      <patternFill patternType="solid">
        <fgColor rgb="FF75842F"/>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0" tint="-0.14999847407452621"/>
        <bgColor indexed="64"/>
      </patternFill>
    </fill>
    <fill>
      <patternFill patternType="solid">
        <fgColor theme="0"/>
        <bgColor indexed="64"/>
      </patternFill>
    </fill>
    <fill>
      <patternFill patternType="solid">
        <fgColor rgb="FF000000"/>
        <bgColor rgb="FF000000"/>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1" tint="0.24994659260841701"/>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244062"/>
        <bgColor indexed="64"/>
      </patternFill>
    </fill>
    <fill>
      <patternFill patternType="solid">
        <fgColor rgb="FF366092"/>
        <bgColor indexed="64"/>
      </patternFill>
    </fill>
    <fill>
      <patternFill patternType="solid">
        <fgColor rgb="FF808080"/>
        <bgColor indexed="64"/>
      </patternFill>
    </fill>
    <fill>
      <patternFill patternType="solid">
        <fgColor rgb="FFFDE9D9"/>
        <bgColor indexed="64"/>
      </patternFill>
    </fill>
    <fill>
      <patternFill patternType="solid">
        <fgColor theme="0" tint="-0.34998626667073579"/>
        <bgColor indexed="64"/>
      </patternFill>
    </fill>
    <fill>
      <patternFill patternType="solid">
        <fgColor rgb="FFBFBFBF"/>
        <bgColor rgb="FF000000"/>
      </patternFill>
    </fill>
    <fill>
      <patternFill patternType="solid">
        <fgColor theme="3"/>
        <bgColor indexed="64"/>
      </patternFill>
    </fill>
    <fill>
      <patternFill patternType="solid">
        <fgColor theme="2"/>
        <bgColor indexed="64"/>
      </patternFill>
    </fill>
    <fill>
      <patternFill patternType="solid">
        <fgColor theme="7" tint="0.79998168889431442"/>
        <bgColor indexed="64"/>
      </patternFill>
    </fill>
    <fill>
      <patternFill patternType="solid">
        <fgColor rgb="FFB8CCE4"/>
        <bgColor indexed="64"/>
      </patternFill>
    </fill>
    <fill>
      <patternFill patternType="solid">
        <fgColor rgb="FF808080"/>
        <bgColor rgb="FF000000"/>
      </patternFill>
    </fill>
    <fill>
      <patternFill patternType="solid">
        <fgColor theme="0" tint="-0.34998626667073579"/>
        <bgColor rgb="FF000000"/>
      </patternFill>
    </fill>
    <fill>
      <patternFill patternType="solid">
        <fgColor rgb="FFFFFF99"/>
        <bgColor indexed="64"/>
      </patternFill>
    </fill>
    <fill>
      <patternFill patternType="solid">
        <fgColor rgb="FF92CEEF"/>
        <bgColor indexed="64"/>
      </patternFill>
    </fill>
    <fill>
      <patternFill patternType="solid">
        <fgColor rgb="FFCBD3EB"/>
        <bgColor indexed="64"/>
      </patternFill>
    </fill>
    <fill>
      <patternFill patternType="solid">
        <fgColor theme="3" tint="0.59999389629810485"/>
        <bgColor indexed="64"/>
      </patternFill>
    </fill>
    <fill>
      <patternFill patternType="solid">
        <fgColor theme="0"/>
        <bgColor rgb="FF000000"/>
      </patternFill>
    </fill>
    <fill>
      <patternFill patternType="solid">
        <fgColor rgb="FFC2D69B"/>
        <bgColor rgb="FFFFFFFF"/>
      </patternFill>
    </fill>
    <fill>
      <patternFill patternType="solid">
        <fgColor theme="0" tint="-0.249977111117893"/>
        <bgColor rgb="FF000000"/>
      </patternFill>
    </fill>
    <fill>
      <patternFill patternType="solid">
        <fgColor rgb="FFBBE2FF"/>
        <bgColor indexed="64"/>
      </patternFill>
    </fill>
    <fill>
      <patternFill patternType="solid">
        <fgColor rgb="FFFFFF00"/>
        <bgColor rgb="FF000000"/>
      </patternFill>
    </fill>
  </fills>
  <borders count="30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auto="1"/>
      </right>
      <top style="medium">
        <color auto="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indexed="64"/>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theme="0"/>
      </top>
      <bottom style="thin">
        <color theme="0"/>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top style="medium">
        <color indexed="64"/>
      </top>
      <bottom/>
      <diagonal/>
    </border>
    <border>
      <left style="medium">
        <color auto="1"/>
      </left>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indexed="64"/>
      </right>
      <top style="thin">
        <color theme="0" tint="-0.24994659260841701"/>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dotted">
        <color auto="1"/>
      </left>
      <right/>
      <top/>
      <bottom style="thin">
        <color auto="1"/>
      </bottom>
      <diagonal/>
    </border>
    <border>
      <left/>
      <right style="dotted">
        <color auto="1"/>
      </right>
      <top/>
      <bottom style="thin">
        <color auto="1"/>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thin">
        <color theme="0"/>
      </left>
      <right style="medium">
        <color indexed="64"/>
      </right>
      <top style="thin">
        <color theme="0"/>
      </top>
      <bottom style="thin">
        <color theme="0"/>
      </bottom>
      <diagonal/>
    </border>
    <border>
      <left style="medium">
        <color indexed="64"/>
      </left>
      <right/>
      <top/>
      <bottom style="medium">
        <color indexed="64"/>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top style="medium">
        <color indexed="64"/>
      </top>
      <bottom style="medium">
        <color indexed="64"/>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medium">
        <color auto="1"/>
      </left>
      <right style="thin">
        <color theme="0"/>
      </right>
      <top style="medium">
        <color auto="1"/>
      </top>
      <bottom style="thin">
        <color theme="0"/>
      </bottom>
      <diagonal/>
    </border>
    <border>
      <left style="medium">
        <color auto="1"/>
      </left>
      <right style="thin">
        <color theme="0"/>
      </right>
      <top style="thin">
        <color theme="0"/>
      </top>
      <bottom style="thin">
        <color theme="0"/>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indexed="64"/>
      </top>
      <bottom/>
      <diagonal/>
    </border>
    <border>
      <left style="medium">
        <color indexed="64"/>
      </left>
      <right/>
      <top style="thin">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style="medium">
        <color auto="1"/>
      </right>
      <top style="thin">
        <color theme="0" tint="-0.24994659260841701"/>
      </top>
      <bottom style="medium">
        <color indexed="64"/>
      </bottom>
      <diagonal/>
    </border>
    <border>
      <left style="thin">
        <color indexed="64"/>
      </left>
      <right/>
      <top style="thin">
        <color indexed="64"/>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indexed="64"/>
      </left>
      <right/>
      <top style="thin">
        <color theme="0" tint="-0.24994659260841701"/>
      </top>
      <bottom style="thin">
        <color indexed="64"/>
      </bottom>
      <diagonal/>
    </border>
    <border>
      <left style="thin">
        <color theme="0" tint="-0.24994659260841701"/>
      </left>
      <right style="medium">
        <color auto="1"/>
      </right>
      <top style="thin">
        <color theme="0" tint="-0.24994659260841701"/>
      </top>
      <bottom/>
      <diagonal/>
    </border>
    <border>
      <left/>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auto="1"/>
      </right>
      <top style="thin">
        <color indexed="64"/>
      </top>
      <bottom style="thin">
        <color indexed="64"/>
      </bottom>
      <diagonal/>
    </border>
    <border>
      <left/>
      <right style="thin">
        <color indexed="64"/>
      </right>
      <top style="thin">
        <color indexed="64"/>
      </top>
      <bottom style="thin">
        <color theme="0" tint="-0.24994659260841701"/>
      </bottom>
      <diagonal/>
    </border>
    <border>
      <left/>
      <right style="thin">
        <color auto="1"/>
      </right>
      <top style="thin">
        <color theme="0" tint="-0.24994659260841701"/>
      </top>
      <bottom style="thin">
        <color indexed="64"/>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medium">
        <color auto="1"/>
      </left>
      <right style="medium">
        <color indexed="64"/>
      </right>
      <top/>
      <bottom style="thin">
        <color theme="0" tint="-0.24994659260841701"/>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tint="-0.24994659260841701"/>
      </right>
      <top style="medium">
        <color indexed="64"/>
      </top>
      <bottom style="medium">
        <color indexed="64"/>
      </bottom>
      <diagonal/>
    </border>
    <border>
      <left style="thin">
        <color auto="1"/>
      </left>
      <right style="thin">
        <color theme="0" tint="-0.24994659260841701"/>
      </right>
      <top/>
      <bottom style="thin">
        <color theme="0" tint="-0.24994659260841701"/>
      </bottom>
      <diagonal/>
    </border>
    <border>
      <left/>
      <right style="medium">
        <color indexed="64"/>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medium">
        <color auto="1"/>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auto="1"/>
      </left>
      <right style="medium">
        <color indexed="64"/>
      </right>
      <top/>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medium">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theme="0" tint="-0.24994659260841701"/>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top style="medium">
        <color indexed="64"/>
      </top>
      <bottom style="thin">
        <color indexed="64"/>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thin">
        <color theme="0"/>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auto="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indexed="64"/>
      </right>
      <top style="thin">
        <color auto="1"/>
      </top>
      <bottom style="thin">
        <color theme="0" tint="-0.34998626667073579"/>
      </bottom>
      <diagonal/>
    </border>
    <border>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medium">
        <color indexed="64"/>
      </left>
      <right/>
      <top style="thin">
        <color rgb="FFA6A6A6"/>
      </top>
      <bottom style="thin">
        <color rgb="FFA6A6A6"/>
      </bottom>
      <diagonal/>
    </border>
    <border>
      <left style="thin">
        <color indexed="64"/>
      </left>
      <right/>
      <top style="thin">
        <color rgb="FFA6A6A6"/>
      </top>
      <bottom style="thin">
        <color rgb="FFA6A6A6"/>
      </bottom>
      <diagonal/>
    </border>
    <border>
      <left style="medium">
        <color indexed="64"/>
      </left>
      <right/>
      <top style="thin">
        <color rgb="FFA6A6A6"/>
      </top>
      <bottom style="medium">
        <color indexed="64"/>
      </bottom>
      <diagonal/>
    </border>
    <border>
      <left style="thin">
        <color indexed="64"/>
      </left>
      <right/>
      <top style="thin">
        <color rgb="FFA6A6A6"/>
      </top>
      <bottom style="medium">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top/>
      <bottom style="thin">
        <color rgb="FFA6A6A6"/>
      </bottom>
      <diagonal/>
    </border>
    <border>
      <left style="thin">
        <color indexed="64"/>
      </left>
      <right/>
      <top/>
      <bottom style="thin">
        <color rgb="FFA6A6A6"/>
      </bottom>
      <diagonal/>
    </border>
    <border>
      <left style="medium">
        <color indexed="64"/>
      </left>
      <right style="medium">
        <color indexed="64"/>
      </right>
      <top style="thin">
        <color indexed="64"/>
      </top>
      <bottom/>
      <diagonal/>
    </border>
    <border>
      <left style="medium">
        <color indexed="64"/>
      </left>
      <right style="medium">
        <color auto="1"/>
      </right>
      <top/>
      <bottom style="thin">
        <color auto="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auto="1"/>
      </left>
      <right/>
      <top style="thin">
        <color theme="0" tint="-0.24994659260841701"/>
      </top>
      <bottom style="medium">
        <color indexed="64"/>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24994659260841701"/>
      </right>
      <top style="medium">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auto="1"/>
      </left>
      <right style="thin">
        <color auto="1"/>
      </right>
      <top/>
      <bottom style="thin">
        <color theme="0" tint="-0.24994659260841701"/>
      </bottom>
      <diagonal/>
    </border>
    <border>
      <left/>
      <right style="medium">
        <color indexed="64"/>
      </right>
      <top style="thin">
        <color indexed="64"/>
      </top>
      <bottom style="thin">
        <color theme="0" tint="-0.24994659260841701"/>
      </bottom>
      <diagonal/>
    </border>
    <border>
      <left/>
      <right style="medium">
        <color auto="1"/>
      </right>
      <top style="thin">
        <color theme="0" tint="-0.24994659260841701"/>
      </top>
      <bottom style="medium">
        <color auto="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medium">
        <color indexed="64"/>
      </left>
      <right style="thin">
        <color indexed="64"/>
      </right>
      <top style="thin">
        <color theme="0" tint="-0.24994659260841701"/>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auto="1"/>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theme="0" tint="-0.24994659260841701"/>
      </right>
      <top style="medium">
        <color indexed="64"/>
      </top>
      <bottom style="thin">
        <color indexed="64"/>
      </bottom>
      <diagonal/>
    </border>
    <border>
      <left style="medium">
        <color indexed="64"/>
      </left>
      <right style="thin">
        <color theme="0" tint="-0.24994659260841701"/>
      </right>
      <top style="thin">
        <color theme="0" tint="-0.2499465926084170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auto="1"/>
      </top>
      <bottom/>
      <diagonal/>
    </border>
    <border>
      <left/>
      <right style="thin">
        <color theme="0" tint="-0.24994659260841701"/>
      </right>
      <top style="thin">
        <color indexed="64"/>
      </top>
      <bottom style="thin">
        <color indexed="64"/>
      </bottom>
      <diagonal/>
    </border>
    <border>
      <left/>
      <right style="thin">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medium">
        <color indexed="64"/>
      </bottom>
      <diagonal/>
    </border>
    <border>
      <left/>
      <right/>
      <top style="medium">
        <color auto="1"/>
      </top>
      <bottom style="thin">
        <color indexed="64"/>
      </bottom>
      <diagonal/>
    </border>
    <border>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medium">
        <color auto="1"/>
      </top>
      <bottom style="thin">
        <color rgb="FFA6A6A6"/>
      </bottom>
      <diagonal/>
    </border>
    <border>
      <left style="thin">
        <color theme="0" tint="-0.24994659260841701"/>
      </left>
      <right style="medium">
        <color indexed="64"/>
      </right>
      <top style="medium">
        <color auto="1"/>
      </top>
      <bottom style="thin">
        <color rgb="FFA6A6A6"/>
      </bottom>
      <diagonal/>
    </border>
    <border>
      <left style="medium">
        <color indexed="64"/>
      </left>
      <right style="thin">
        <color theme="0" tint="-0.24994659260841701"/>
      </right>
      <top style="thin">
        <color rgb="FFA6A6A6"/>
      </top>
      <bottom style="thin">
        <color rgb="FFA6A6A6"/>
      </bottom>
      <diagonal/>
    </border>
    <border>
      <left style="thin">
        <color theme="0" tint="-0.24994659260841701"/>
      </left>
      <right style="medium">
        <color indexed="64"/>
      </right>
      <top style="thin">
        <color rgb="FFA6A6A6"/>
      </top>
      <bottom style="thin">
        <color rgb="FFA6A6A6"/>
      </bottom>
      <diagonal/>
    </border>
    <border>
      <left style="medium">
        <color indexed="64"/>
      </left>
      <right style="thin">
        <color auto="1"/>
      </right>
      <top/>
      <bottom style="thin">
        <color auto="1"/>
      </bottom>
      <diagonal/>
    </border>
    <border>
      <left style="medium">
        <color indexed="64"/>
      </left>
      <right style="thin">
        <color theme="0" tint="-0.24994659260841701"/>
      </right>
      <top style="thin">
        <color rgb="FFA6A6A6"/>
      </top>
      <bottom style="thin">
        <color indexed="64"/>
      </bottom>
      <diagonal/>
    </border>
    <border>
      <left style="thin">
        <color theme="0" tint="-0.24994659260841701"/>
      </left>
      <right style="medium">
        <color auto="1"/>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rgb="FFA6A6A6"/>
      </bottom>
      <diagonal/>
    </border>
    <border>
      <left style="thin">
        <color theme="0" tint="-0.24994659260841701"/>
      </left>
      <right style="medium">
        <color indexed="64"/>
      </right>
      <top/>
      <bottom style="thin">
        <color rgb="FFA6A6A6"/>
      </bottom>
      <diagonal/>
    </border>
    <border>
      <left style="medium">
        <color indexed="64"/>
      </left>
      <right style="thin">
        <color theme="0" tint="-0.24994659260841701"/>
      </right>
      <top style="thin">
        <color rgb="FFA6A6A6"/>
      </top>
      <bottom style="medium">
        <color indexed="64"/>
      </bottom>
      <diagonal/>
    </border>
    <border>
      <left style="thin">
        <color theme="0" tint="-0.24994659260841701"/>
      </left>
      <right style="medium">
        <color indexed="64"/>
      </right>
      <top style="thin">
        <color rgb="FFA6A6A6"/>
      </top>
      <bottom style="medium">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auto="1"/>
      </right>
      <top style="medium">
        <color indexed="64"/>
      </top>
      <bottom/>
      <diagonal/>
    </border>
    <border>
      <left/>
      <right style="thin">
        <color indexed="64"/>
      </right>
      <top/>
      <bottom style="medium">
        <color auto="1"/>
      </bottom>
      <diagonal/>
    </border>
    <border>
      <left/>
      <right/>
      <top style="thin">
        <color theme="0" tint="-0.34998626667073579"/>
      </top>
      <bottom/>
      <diagonal/>
    </border>
    <border>
      <left style="thin">
        <color theme="0" tint="-0.34998626667073579"/>
      </left>
      <right style="thin">
        <color indexed="64"/>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tint="-0.24994659260841701"/>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BFBFBF"/>
      </right>
      <top style="medium">
        <color indexed="64"/>
      </top>
      <bottom style="thin">
        <color rgb="FFBFBFBF"/>
      </bottom>
      <diagonal/>
    </border>
    <border>
      <left style="medium">
        <color indexed="64"/>
      </left>
      <right style="thin">
        <color rgb="FFBFBFBF"/>
      </right>
      <top style="thin">
        <color rgb="FFBFBFBF"/>
      </top>
      <bottom style="thin">
        <color rgb="FFBFBFBF"/>
      </bottom>
      <diagonal/>
    </border>
    <border>
      <left style="medium">
        <color indexed="64"/>
      </left>
      <right style="thin">
        <color rgb="FFBFBFBF"/>
      </right>
      <top style="thin">
        <color rgb="FFBFBFBF"/>
      </top>
      <bottom style="medium">
        <color indexed="64"/>
      </bottom>
      <diagonal/>
    </border>
    <border>
      <left/>
      <right style="medium">
        <color indexed="64"/>
      </right>
      <top/>
      <bottom style="thin">
        <color indexed="64"/>
      </bottom>
      <diagonal/>
    </border>
    <border>
      <left style="medium">
        <color indexed="64"/>
      </left>
      <right style="thin">
        <color theme="0" tint="-0.24994659260841701"/>
      </right>
      <top/>
      <bottom style="medium">
        <color indexed="64"/>
      </bottom>
      <diagonal/>
    </border>
    <border>
      <left style="medium">
        <color indexed="64"/>
      </left>
      <right/>
      <top style="medium">
        <color indexed="64"/>
      </top>
      <bottom style="thin">
        <color indexed="64"/>
      </bottom>
      <diagonal/>
    </border>
    <border>
      <left/>
      <right style="thin">
        <color rgb="FFBFBFBF"/>
      </right>
      <top style="medium">
        <color auto="1"/>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diagonal/>
    </border>
    <border>
      <left/>
      <right style="thin">
        <color rgb="FFBFBFBF"/>
      </right>
      <top style="thin">
        <color rgb="FFBFBFBF"/>
      </top>
      <bottom/>
      <diagonal/>
    </border>
    <border>
      <left/>
      <right style="thin">
        <color rgb="FFBFBFBF"/>
      </right>
      <top style="thin">
        <color rgb="FFBFBFBF"/>
      </top>
      <bottom style="medium">
        <color indexed="64"/>
      </bottom>
      <diagonal/>
    </border>
    <border>
      <left/>
      <right style="dotted">
        <color auto="1"/>
      </right>
      <top style="thin">
        <color theme="0"/>
      </top>
      <bottom/>
      <diagonal/>
    </border>
    <border>
      <left style="dotted">
        <color auto="1"/>
      </left>
      <right/>
      <top style="thin">
        <color theme="0"/>
      </top>
      <bottom/>
      <diagonal/>
    </border>
    <border>
      <left style="thin">
        <color rgb="FFBFBFBF"/>
      </left>
      <right/>
      <top style="medium">
        <color auto="1"/>
      </top>
      <bottom style="thin">
        <color rgb="FFBFBFBF"/>
      </bottom>
      <diagonal/>
    </border>
    <border>
      <left style="thin">
        <color rgb="FFBFBFBF"/>
      </left>
      <right/>
      <top style="thin">
        <color rgb="FFBFBFBF"/>
      </top>
      <bottom style="thin">
        <color rgb="FFBFBFBF"/>
      </bottom>
      <diagonal/>
    </border>
    <border>
      <left style="medium">
        <color indexed="64"/>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hair">
        <color auto="1"/>
      </right>
      <top/>
      <bottom/>
      <diagonal/>
    </border>
    <border>
      <left style="medium">
        <color auto="1"/>
      </left>
      <right style="thin">
        <color theme="0" tint="-0.34998626667073579"/>
      </right>
      <top style="medium">
        <color auto="1"/>
      </top>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medium">
        <color theme="1"/>
      </left>
      <right style="thin">
        <color theme="0" tint="-0.24994659260841701"/>
      </right>
      <top style="medium">
        <color theme="1"/>
      </top>
      <bottom style="thin">
        <color theme="0" tint="-0.24994659260841701"/>
      </bottom>
      <diagonal/>
    </border>
    <border>
      <left style="thin">
        <color theme="0" tint="-0.24994659260841701"/>
      </left>
      <right style="medium">
        <color theme="1"/>
      </right>
      <top style="medium">
        <color theme="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medium">
        <color theme="1"/>
      </bottom>
      <diagonal/>
    </border>
    <border>
      <left style="thin">
        <color theme="0" tint="-0.24994659260841701"/>
      </left>
      <right style="medium">
        <color theme="1"/>
      </right>
      <top style="thin">
        <color theme="0" tint="-0.24994659260841701"/>
      </top>
      <bottom style="medium">
        <color theme="1"/>
      </bottom>
      <diagonal/>
    </border>
    <border>
      <left style="thin">
        <color theme="0" tint="-0.24994659260841701"/>
      </left>
      <right/>
      <top style="medium">
        <color indexed="64"/>
      </top>
      <bottom style="thin">
        <color theme="0" tint="-0.2499465926084170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theme="0" tint="-0.24994659260841701"/>
      </right>
      <top style="thin">
        <color auto="1"/>
      </top>
      <bottom/>
      <diagonal/>
    </border>
    <border>
      <left style="thin">
        <color theme="0" tint="-0.24994659260841701"/>
      </left>
      <right style="medium">
        <color theme="1"/>
      </right>
      <top style="thin">
        <color auto="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s>
  <cellStyleXfs count="139">
    <xf numFmtId="0" fontId="0" fillId="0" borderId="0"/>
    <xf numFmtId="168" fontId="8" fillId="0" borderId="0" applyFill="0" applyBorder="0" applyProtection="0">
      <alignment vertical="center"/>
    </xf>
    <xf numFmtId="0" fontId="12" fillId="0" borderId="0" applyNumberFormat="0" applyFill="0" applyBorder="0" applyAlignment="0" applyProtection="0"/>
    <xf numFmtId="0" fontId="35" fillId="40" borderId="0" applyBorder="0">
      <alignment horizontal="left" vertical="center"/>
    </xf>
    <xf numFmtId="0" fontId="7" fillId="3" borderId="0" applyProtection="0">
      <alignment vertical="center"/>
    </xf>
    <xf numFmtId="0" fontId="9" fillId="0" borderId="0" applyFill="0" applyProtection="0">
      <alignment vertical="center"/>
    </xf>
    <xf numFmtId="0" fontId="8" fillId="0" borderId="0" applyFill="0" applyBorder="0" applyProtection="0">
      <alignment vertical="center"/>
    </xf>
    <xf numFmtId="0" fontId="10" fillId="0" borderId="5" applyNumberFormat="0" applyFill="0" applyAlignment="0" applyProtection="0"/>
    <xf numFmtId="0" fontId="78" fillId="53" borderId="4">
      <alignment horizontal="left" vertical="center"/>
      <protection locked="0"/>
    </xf>
    <xf numFmtId="164" fontId="32" fillId="0" borderId="0" applyFill="0" applyBorder="0">
      <alignment horizontal="center" vertical="center"/>
    </xf>
    <xf numFmtId="164" fontId="33" fillId="2" borderId="4">
      <alignment horizontal="center" vertical="center"/>
      <protection locked="0"/>
    </xf>
    <xf numFmtId="170" fontId="32" fillId="0" borderId="0" applyFill="0" applyBorder="0">
      <alignment horizontal="center" vertical="center"/>
    </xf>
    <xf numFmtId="170" fontId="33" fillId="12" borderId="4">
      <alignment horizontal="center" vertical="center"/>
      <protection locked="0"/>
    </xf>
    <xf numFmtId="165" fontId="32" fillId="0" borderId="0" applyFill="0" applyBorder="0">
      <alignment horizontal="right" vertical="center"/>
    </xf>
    <xf numFmtId="165" fontId="78" fillId="42" borderId="4">
      <alignment horizontal="right" vertical="center"/>
      <protection locked="0"/>
    </xf>
    <xf numFmtId="167" fontId="32" fillId="0" borderId="0" applyFill="0" applyBorder="0">
      <alignment horizontal="right" vertical="center"/>
    </xf>
    <xf numFmtId="167" fontId="78" fillId="42" borderId="4">
      <alignment horizontal="right" vertical="center"/>
      <protection locked="0"/>
    </xf>
    <xf numFmtId="166" fontId="32" fillId="0" borderId="0" applyFill="0" applyBorder="0">
      <alignment horizontal="right" vertical="center"/>
    </xf>
    <xf numFmtId="166" fontId="33" fillId="12" borderId="4">
      <alignment horizontal="right" vertical="center"/>
      <protection locked="0"/>
    </xf>
    <xf numFmtId="168" fontId="78" fillId="53" borderId="4">
      <alignment horizontal="right" vertical="center"/>
      <protection locked="0"/>
    </xf>
    <xf numFmtId="0" fontId="80" fillId="0" borderId="0" applyFill="0" applyBorder="0">
      <alignment horizontal="left" vertical="center"/>
    </xf>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6" applyNumberFormat="0" applyAlignment="0" applyProtection="0"/>
    <xf numFmtId="0" fontId="17" fillId="9" borderId="7" applyNumberFormat="0" applyAlignment="0" applyProtection="0"/>
    <xf numFmtId="0" fontId="18" fillId="9" borderId="6" applyNumberFormat="0" applyAlignment="0" applyProtection="0"/>
    <xf numFmtId="0" fontId="19" fillId="0" borderId="8" applyNumberFormat="0" applyFill="0" applyAlignment="0" applyProtection="0"/>
    <xf numFmtId="0" fontId="20" fillId="10" borderId="9" applyNumberFormat="0" applyAlignment="0" applyProtection="0"/>
    <xf numFmtId="0" fontId="21" fillId="0" borderId="0" applyNumberFormat="0" applyFill="0" applyBorder="0" applyAlignment="0" applyProtection="0"/>
    <xf numFmtId="0" fontId="8" fillId="11" borderId="10" applyNumberFormat="0" applyFont="0" applyAlignment="0" applyProtection="0"/>
    <xf numFmtId="0" fontId="22" fillId="0" borderId="0" applyNumberFormat="0" applyFill="0" applyBorder="0" applyAlignment="0" applyProtection="0"/>
    <xf numFmtId="0" fontId="23" fillId="0" borderId="0" applyNumberFormat="0" applyFill="0" applyBorder="0">
      <alignment horizontal="left" vertical="center"/>
    </xf>
    <xf numFmtId="0" fontId="24" fillId="0" borderId="0" applyFill="0" applyBorder="0">
      <alignment vertical="center"/>
    </xf>
    <xf numFmtId="0" fontId="79" fillId="0" borderId="0" applyFill="0" applyBorder="0">
      <alignment horizontal="left" vertical="center"/>
    </xf>
    <xf numFmtId="0" fontId="37" fillId="0" borderId="0" applyFill="0" applyBorder="0">
      <alignment horizontal="left" vertical="center"/>
    </xf>
    <xf numFmtId="0" fontId="78" fillId="0" borderId="0" applyFill="0" applyBorder="0">
      <alignment horizontal="left" vertical="center"/>
    </xf>
    <xf numFmtId="0" fontId="32" fillId="0" borderId="0" applyFill="0" applyBorder="0">
      <alignment vertical="center"/>
    </xf>
    <xf numFmtId="0" fontId="81" fillId="41" borderId="0" applyBorder="0">
      <alignment horizontal="left" vertical="center"/>
    </xf>
    <xf numFmtId="0" fontId="34" fillId="15" borderId="0" applyBorder="0">
      <alignment horizontal="left" vertical="center"/>
    </xf>
    <xf numFmtId="171" fontId="32" fillId="0" borderId="0" applyFill="0" applyBorder="0">
      <alignment horizontal="right" vertical="center"/>
    </xf>
    <xf numFmtId="0" fontId="29" fillId="0" borderId="0">
      <alignment horizontal="right" vertical="center"/>
    </xf>
    <xf numFmtId="0" fontId="26" fillId="13" borderId="0">
      <alignment horizontal="left" indent="3"/>
    </xf>
    <xf numFmtId="0" fontId="26" fillId="14" borderId="0">
      <alignment horizontal="left" indent="3"/>
    </xf>
    <xf numFmtId="173" fontId="11" fillId="0" borderId="0">
      <alignment horizontal="center" vertical="center"/>
    </xf>
    <xf numFmtId="174" fontId="28" fillId="12" borderId="4">
      <alignment horizontal="center" vertical="center"/>
      <protection locked="0"/>
    </xf>
    <xf numFmtId="174" fontId="11" fillId="0" borderId="0"/>
    <xf numFmtId="165" fontId="78" fillId="0" borderId="0" applyFill="0" applyBorder="0">
      <alignment horizontal="right" vertical="center"/>
    </xf>
    <xf numFmtId="170" fontId="33" fillId="0" borderId="0" applyFill="0" applyBorder="0">
      <alignment horizontal="center" vertical="center"/>
    </xf>
    <xf numFmtId="171" fontId="33" fillId="0" borderId="0" applyFill="0" applyBorder="0">
      <alignment horizontal="right" vertical="center"/>
    </xf>
    <xf numFmtId="166" fontId="33" fillId="0" borderId="0" applyFill="0" applyBorder="0">
      <alignment horizontal="right" vertical="center"/>
    </xf>
    <xf numFmtId="167" fontId="33" fillId="0" borderId="0" applyFill="0" applyBorder="0">
      <alignment horizontal="right" vertical="center"/>
    </xf>
    <xf numFmtId="164" fontId="33" fillId="0" borderId="0" applyFill="0" applyBorder="0">
      <alignment horizontal="center" vertical="center"/>
    </xf>
    <xf numFmtId="0" fontId="33" fillId="16" borderId="4">
      <alignment horizontal="center" vertical="center"/>
      <protection locked="0"/>
    </xf>
    <xf numFmtId="0" fontId="11" fillId="17" borderId="0"/>
    <xf numFmtId="165" fontId="36" fillId="3" borderId="4">
      <alignment horizontal="right" vertical="center"/>
      <protection locked="0"/>
    </xf>
    <xf numFmtId="0" fontId="38" fillId="0" borderId="0"/>
    <xf numFmtId="0" fontId="39"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40" fillId="0" borderId="0"/>
    <xf numFmtId="0" fontId="20" fillId="19" borderId="0" applyBorder="0">
      <alignment horizontal="left" vertical="center"/>
    </xf>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1" fillId="0" borderId="0" applyFill="0" applyBorder="0">
      <alignment horizontal="left" vertical="center"/>
    </xf>
    <xf numFmtId="0" fontId="42" fillId="0" borderId="0" applyFill="0" applyBorder="0">
      <alignment horizontal="left" vertical="center"/>
    </xf>
    <xf numFmtId="0" fontId="43" fillId="18" borderId="0" applyBorder="0">
      <alignment horizontal="left" vertical="center"/>
    </xf>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5" fillId="40" borderId="0" applyBorder="0">
      <alignment horizontal="left" vertical="center"/>
    </xf>
    <xf numFmtId="9" fontId="39" fillId="0" borderId="0" applyFont="0" applyFill="0" applyBorder="0" applyAlignment="0" applyProtection="0"/>
    <xf numFmtId="175" fontId="48" fillId="23" borderId="28" applyBorder="0">
      <alignment horizontal="right"/>
      <protection locked="0"/>
    </xf>
    <xf numFmtId="176" fontId="49" fillId="3" borderId="36" applyBorder="0">
      <alignment horizontal="right" vertical="center"/>
    </xf>
    <xf numFmtId="0" fontId="47" fillId="0" borderId="0"/>
    <xf numFmtId="0" fontId="4" fillId="0" borderId="0"/>
    <xf numFmtId="0" fontId="47" fillId="0" borderId="0"/>
    <xf numFmtId="0" fontId="52" fillId="26" borderId="0">
      <alignment vertical="center"/>
      <protection locked="0"/>
    </xf>
    <xf numFmtId="0" fontId="56" fillId="30" borderId="43" applyBorder="0">
      <alignment vertical="center"/>
    </xf>
    <xf numFmtId="43" fontId="39" fillId="0" borderId="0" applyFont="0" applyFill="0" applyBorder="0" applyAlignment="0" applyProtection="0"/>
    <xf numFmtId="0" fontId="59" fillId="20" borderId="0">
      <alignment vertical="center"/>
      <protection locked="0"/>
    </xf>
    <xf numFmtId="0" fontId="63" fillId="0" borderId="0"/>
    <xf numFmtId="171" fontId="63" fillId="0" borderId="0" applyFill="0" applyBorder="0">
      <alignment vertical="center"/>
    </xf>
    <xf numFmtId="178" fontId="63" fillId="0" borderId="0" applyFill="0" applyBorder="0">
      <alignment vertical="center"/>
    </xf>
    <xf numFmtId="0" fontId="68" fillId="0" borderId="0" applyNumberFormat="0" applyFill="0" applyBorder="0" applyAlignment="0" applyProtection="0"/>
    <xf numFmtId="0" fontId="45" fillId="34" borderId="0" applyNumberFormat="0" applyBorder="0">
      <alignment vertical="center"/>
    </xf>
    <xf numFmtId="0" fontId="60" fillId="35" borderId="0" applyNumberFormat="0" applyBorder="0">
      <alignment vertical="center"/>
    </xf>
    <xf numFmtId="0" fontId="56" fillId="36" borderId="0" applyNumberFormat="0" applyBorder="0">
      <alignment vertical="center"/>
    </xf>
    <xf numFmtId="0" fontId="69" fillId="0" borderId="0" applyNumberFormat="0" applyFill="0" applyBorder="0">
      <alignment vertical="center"/>
    </xf>
    <xf numFmtId="0" fontId="47" fillId="0" borderId="0" applyFill="0" applyBorder="0">
      <alignment vertical="center"/>
    </xf>
    <xf numFmtId="0" fontId="47" fillId="37" borderId="135">
      <alignment vertical="center"/>
      <protection locked="0"/>
    </xf>
    <xf numFmtId="178" fontId="47" fillId="37" borderId="135">
      <alignment vertical="center"/>
      <protection locked="0"/>
    </xf>
    <xf numFmtId="171" fontId="63" fillId="37" borderId="135">
      <alignment vertical="center"/>
      <protection locked="0"/>
    </xf>
    <xf numFmtId="0" fontId="70" fillId="0" borderId="0" applyFill="0" applyBorder="0">
      <alignment vertical="center"/>
    </xf>
    <xf numFmtId="178" fontId="70" fillId="0" borderId="0" applyFill="0" applyBorder="0">
      <alignment vertical="center"/>
    </xf>
    <xf numFmtId="171" fontId="70" fillId="0" borderId="0" applyFill="0" applyBorder="0">
      <alignment vertical="center"/>
    </xf>
    <xf numFmtId="165" fontId="63" fillId="0" borderId="0" applyFill="0" applyBorder="0">
      <alignment vertical="center"/>
    </xf>
    <xf numFmtId="165" fontId="70" fillId="0" borderId="0" applyFill="0" applyBorder="0">
      <alignment vertical="center"/>
    </xf>
    <xf numFmtId="165" fontId="63" fillId="37" borderId="135">
      <alignment vertical="center"/>
      <protection locked="0"/>
    </xf>
    <xf numFmtId="170" fontId="63" fillId="0" borderId="0" applyFill="0" applyBorder="0">
      <alignment vertical="center"/>
    </xf>
    <xf numFmtId="170" fontId="70" fillId="0" borderId="0" applyFill="0" applyBorder="0">
      <alignment vertical="center"/>
    </xf>
    <xf numFmtId="170" fontId="63" fillId="37" borderId="135">
      <alignment vertical="center"/>
      <protection locked="0"/>
    </xf>
    <xf numFmtId="173" fontId="57" fillId="0" borderId="0">
      <alignment vertical="center"/>
    </xf>
    <xf numFmtId="0" fontId="71" fillId="0" borderId="0" applyNumberFormat="0" applyFill="0" applyBorder="0" applyAlignment="0" applyProtection="0"/>
    <xf numFmtId="0" fontId="23" fillId="0" borderId="0" applyNumberFormat="0" applyFill="0" applyBorder="0">
      <alignment horizontal="left" vertical="center"/>
    </xf>
    <xf numFmtId="165" fontId="78" fillId="42" borderId="4">
      <alignment horizontal="right" vertical="center"/>
      <protection locked="0"/>
    </xf>
    <xf numFmtId="0" fontId="47" fillId="0" borderId="0"/>
    <xf numFmtId="0" fontId="47" fillId="0" borderId="0" applyFill="0"/>
    <xf numFmtId="0" fontId="61" fillId="21" borderId="46">
      <alignment horizontal="center" vertical="center" wrapText="1"/>
    </xf>
    <xf numFmtId="0" fontId="61" fillId="22" borderId="140">
      <alignment horizontal="right" vertical="center" wrapText="1" indent="1"/>
    </xf>
    <xf numFmtId="0" fontId="61" fillId="21" borderId="140">
      <alignment horizontal="right" vertical="center" wrapText="1" indent="1"/>
    </xf>
    <xf numFmtId="0" fontId="20" fillId="20" borderId="0">
      <alignment vertical="center"/>
      <protection locked="0"/>
    </xf>
    <xf numFmtId="0" fontId="3" fillId="0" borderId="0"/>
    <xf numFmtId="0" fontId="47" fillId="0" borderId="0" applyFill="0"/>
    <xf numFmtId="0" fontId="46" fillId="39" borderId="43" applyBorder="0" applyProtection="0">
      <alignment vertical="center"/>
    </xf>
    <xf numFmtId="49" fontId="47" fillId="29" borderId="55" applyAlignment="0">
      <alignment horizontal="left" vertical="center" wrapText="1"/>
      <protection locked="0"/>
    </xf>
    <xf numFmtId="0" fontId="47" fillId="0" borderId="181">
      <alignment horizontal="left" vertical="center" wrapText="1" indent="1"/>
    </xf>
    <xf numFmtId="0" fontId="60" fillId="20" borderId="43">
      <alignment vertical="center"/>
    </xf>
    <xf numFmtId="182" fontId="2" fillId="0" borderId="0" applyFont="0" applyFill="0" applyBorder="0" applyAlignment="0" applyProtection="0"/>
    <xf numFmtId="0" fontId="60" fillId="44" borderId="43" applyBorder="0">
      <alignment vertical="center"/>
    </xf>
    <xf numFmtId="175" fontId="48" fillId="46" borderId="166" applyBorder="0">
      <alignment horizontal="right"/>
      <protection locked="0"/>
    </xf>
    <xf numFmtId="0" fontId="60" fillId="20" borderId="19" applyBorder="0">
      <alignment vertical="center"/>
    </xf>
    <xf numFmtId="0" fontId="47" fillId="0" borderId="0"/>
    <xf numFmtId="10" fontId="48" fillId="23" borderId="28" applyBorder="0">
      <alignment horizontal="right"/>
      <protection locked="0"/>
    </xf>
    <xf numFmtId="0" fontId="87" fillId="16" borderId="91" applyBorder="0">
      <alignment horizontal="right" vertical="center" wrapText="1" indent="1"/>
    </xf>
    <xf numFmtId="0" fontId="87" fillId="15" borderId="91" applyBorder="0">
      <alignment horizontal="right" vertical="center" wrapText="1" indent="1"/>
    </xf>
  </cellStyleXfs>
  <cellXfs count="1131">
    <xf numFmtId="0" fontId="0" fillId="0" borderId="0" xfId="0"/>
    <xf numFmtId="0" fontId="0" fillId="0" borderId="0" xfId="0" applyAlignment="1">
      <alignment horizontal="left"/>
    </xf>
    <xf numFmtId="0" fontId="35" fillId="40" borderId="0" xfId="3">
      <alignment horizontal="left" vertical="center"/>
    </xf>
    <xf numFmtId="0" fontId="80" fillId="0" borderId="0" xfId="20">
      <alignment horizontal="left" vertical="center"/>
    </xf>
    <xf numFmtId="0" fontId="79" fillId="0" borderId="0" xfId="34">
      <alignment horizontal="left" vertical="center"/>
    </xf>
    <xf numFmtId="0" fontId="78" fillId="0" borderId="0" xfId="36">
      <alignment horizontal="left" vertical="center"/>
    </xf>
    <xf numFmtId="0" fontId="32" fillId="0" borderId="0" xfId="37">
      <alignment vertical="center"/>
    </xf>
    <xf numFmtId="0" fontId="81" fillId="41" borderId="0" xfId="38">
      <alignment horizontal="left" vertical="center"/>
    </xf>
    <xf numFmtId="0" fontId="78" fillId="0" borderId="1" xfId="36" applyBorder="1" applyAlignment="1">
      <alignment horizontal="center" vertical="center"/>
    </xf>
    <xf numFmtId="0" fontId="25" fillId="0" borderId="0" xfId="37" applyFont="1">
      <alignment vertical="center"/>
    </xf>
    <xf numFmtId="0" fontId="78" fillId="0" borderId="0" xfId="36" applyAlignment="1">
      <alignment horizontal="right" vertical="center"/>
    </xf>
    <xf numFmtId="0" fontId="79" fillId="0" borderId="0" xfId="34" applyAlignment="1">
      <alignment horizontal="center" vertical="center"/>
    </xf>
    <xf numFmtId="0" fontId="0" fillId="0" borderId="0" xfId="0" applyAlignment="1">
      <alignment horizontal="center"/>
    </xf>
    <xf numFmtId="0" fontId="78" fillId="0" borderId="0" xfId="36" applyAlignment="1">
      <alignment horizontal="center" vertical="center"/>
    </xf>
    <xf numFmtId="4" fontId="0" fillId="0" borderId="0" xfId="0" applyNumberFormat="1"/>
    <xf numFmtId="172" fontId="0" fillId="0" borderId="0" xfId="0" applyNumberFormat="1"/>
    <xf numFmtId="0" fontId="30" fillId="0" borderId="0" xfId="37" applyFont="1">
      <alignment vertical="center"/>
    </xf>
    <xf numFmtId="169" fontId="32" fillId="0" borderId="0" xfId="13" applyNumberFormat="1">
      <alignment horizontal="right" vertical="center"/>
    </xf>
    <xf numFmtId="173" fontId="11" fillId="0" borderId="3" xfId="44" applyBorder="1" applyAlignment="1">
      <alignment horizontal="center"/>
    </xf>
    <xf numFmtId="0" fontId="32"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37" fillId="0" borderId="0" xfId="35" applyAlignment="1">
      <alignment horizontal="center" vertical="center"/>
    </xf>
    <xf numFmtId="0" fontId="26" fillId="40" borderId="0" xfId="3" applyFont="1" applyAlignment="1">
      <alignment horizontal="center" vertical="center"/>
    </xf>
    <xf numFmtId="0" fontId="27" fillId="41" borderId="0" xfId="38" applyFont="1" applyAlignment="1">
      <alignment horizontal="center" vertical="center"/>
    </xf>
    <xf numFmtId="0" fontId="0" fillId="0" borderId="16" xfId="0" applyBorder="1"/>
    <xf numFmtId="0" fontId="0" fillId="0" borderId="2" xfId="0" applyBorder="1"/>
    <xf numFmtId="0" fontId="0" fillId="0" borderId="13" xfId="0" applyBorder="1"/>
    <xf numFmtId="0" fontId="78" fillId="53" borderId="4" xfId="8" applyAlignment="1">
      <alignment horizontal="center" vertical="center"/>
      <protection locked="0"/>
    </xf>
    <xf numFmtId="0" fontId="79" fillId="0" borderId="0" xfId="34" applyAlignment="1">
      <alignment vertical="center"/>
    </xf>
    <xf numFmtId="0" fontId="31" fillId="0" borderId="0" xfId="3" applyFont="1" applyFill="1">
      <alignment horizontal="left" vertical="center"/>
    </xf>
    <xf numFmtId="0" fontId="23" fillId="0" borderId="0" xfId="32">
      <alignment horizontal="left" vertical="center"/>
    </xf>
    <xf numFmtId="0" fontId="23" fillId="0" borderId="0" xfId="32" applyAlignment="1">
      <alignment horizontal="center" vertical="center"/>
    </xf>
    <xf numFmtId="0" fontId="11" fillId="17" borderId="0" xfId="54"/>
    <xf numFmtId="0" fontId="33" fillId="16" borderId="4" xfId="53">
      <alignment horizontal="center" vertical="center"/>
      <protection locked="0"/>
    </xf>
    <xf numFmtId="165" fontId="78" fillId="3" borderId="4" xfId="14" applyFill="1">
      <alignment horizontal="right" vertical="center"/>
      <protection locked="0"/>
    </xf>
    <xf numFmtId="170" fontId="32" fillId="0" borderId="0" xfId="11" applyAlignment="1">
      <alignment horizontal="right" vertical="center"/>
    </xf>
    <xf numFmtId="0" fontId="37" fillId="0" borderId="0" xfId="35" applyAlignment="1">
      <alignment horizontal="right" vertical="center"/>
    </xf>
    <xf numFmtId="173" fontId="11" fillId="0" borderId="0" xfId="44">
      <alignment horizontal="center" vertical="center"/>
    </xf>
    <xf numFmtId="20" fontId="0" fillId="0" borderId="0" xfId="0" quotePrefix="1" applyNumberFormat="1"/>
    <xf numFmtId="170" fontId="32" fillId="0" borderId="17" xfId="11" applyBorder="1" applyAlignment="1">
      <alignment horizontal="right" vertical="center"/>
    </xf>
    <xf numFmtId="170" fontId="32" fillId="0" borderId="18" xfId="11" applyBorder="1" applyAlignment="1">
      <alignment horizontal="right" vertical="center"/>
    </xf>
    <xf numFmtId="0" fontId="39" fillId="0" borderId="0" xfId="57"/>
    <xf numFmtId="0" fontId="35" fillId="40" borderId="0" xfId="83">
      <alignment horizontal="left" vertical="center"/>
    </xf>
    <xf numFmtId="169" fontId="32" fillId="0" borderId="0" xfId="13" applyNumberFormat="1" applyAlignment="1">
      <alignment horizontal="center" vertical="center"/>
    </xf>
    <xf numFmtId="0" fontId="44" fillId="20" borderId="0" xfId="0" applyFont="1" applyFill="1" applyAlignment="1">
      <alignment vertical="center"/>
    </xf>
    <xf numFmtId="0" fontId="45" fillId="20" borderId="0" xfId="0" applyFont="1" applyFill="1"/>
    <xf numFmtId="0" fontId="47" fillId="0" borderId="27" xfId="0" applyFont="1" applyBorder="1" applyAlignment="1">
      <alignment horizontal="right" vertical="center" indent="1"/>
    </xf>
    <xf numFmtId="175" fontId="48" fillId="23" borderId="29" xfId="85" applyBorder="1">
      <alignment horizontal="right"/>
      <protection locked="0"/>
    </xf>
    <xf numFmtId="175" fontId="48" fillId="23" borderId="30" xfId="85" applyBorder="1">
      <alignment horizontal="right"/>
      <protection locked="0"/>
    </xf>
    <xf numFmtId="175" fontId="48" fillId="23" borderId="31" xfId="85" applyBorder="1">
      <alignment horizontal="right"/>
      <protection locked="0"/>
    </xf>
    <xf numFmtId="0" fontId="47" fillId="0" borderId="32" xfId="0" applyFont="1" applyBorder="1" applyAlignment="1">
      <alignment horizontal="right" vertical="center" indent="1"/>
    </xf>
    <xf numFmtId="175" fontId="48" fillId="23" borderId="33" xfId="85" applyBorder="1">
      <alignment horizontal="right"/>
      <protection locked="0"/>
    </xf>
    <xf numFmtId="175" fontId="48" fillId="23" borderId="34" xfId="85" applyBorder="1">
      <alignment horizontal="right"/>
      <protection locked="0"/>
    </xf>
    <xf numFmtId="175" fontId="48" fillId="23" borderId="35" xfId="85" applyBorder="1">
      <alignment horizontal="right"/>
      <protection locked="0"/>
    </xf>
    <xf numFmtId="176" fontId="49" fillId="3" borderId="37" xfId="86" applyBorder="1">
      <alignment horizontal="right" vertical="center"/>
    </xf>
    <xf numFmtId="176" fontId="49" fillId="3" borderId="36" xfId="86" applyBorder="1">
      <alignment horizontal="right" vertical="center"/>
    </xf>
    <xf numFmtId="176" fontId="49" fillId="3" borderId="38" xfId="86" applyBorder="1">
      <alignment horizontal="right" vertical="center"/>
    </xf>
    <xf numFmtId="165" fontId="78" fillId="42" borderId="4" xfId="14">
      <alignment horizontal="right" vertical="center"/>
      <protection locked="0"/>
    </xf>
    <xf numFmtId="173" fontId="11" fillId="0" borderId="0" xfId="44" applyAlignment="1">
      <alignment horizontal="right" vertical="center"/>
    </xf>
    <xf numFmtId="165" fontId="78" fillId="42" borderId="39" xfId="14" applyBorder="1">
      <alignment horizontal="right" vertical="center"/>
      <protection locked="0"/>
    </xf>
    <xf numFmtId="165" fontId="78" fillId="42" borderId="40" xfId="14" applyBorder="1">
      <alignment horizontal="right" vertical="center"/>
      <protection locked="0"/>
    </xf>
    <xf numFmtId="165" fontId="32" fillId="0" borderId="4" xfId="13" applyFill="1" applyBorder="1">
      <alignment horizontal="right" vertical="center"/>
    </xf>
    <xf numFmtId="0" fontId="53" fillId="26" borderId="0" xfId="90" applyFont="1" applyProtection="1">
      <alignment vertical="center"/>
    </xf>
    <xf numFmtId="0" fontId="0" fillId="27" borderId="36" xfId="0" applyFill="1" applyBorder="1" applyAlignment="1">
      <alignment horizontal="right" vertical="center" wrapText="1"/>
    </xf>
    <xf numFmtId="0" fontId="54" fillId="27" borderId="36" xfId="0" applyFont="1" applyFill="1" applyBorder="1" applyAlignment="1">
      <alignment horizontal="right" vertical="center" wrapText="1"/>
    </xf>
    <xf numFmtId="0" fontId="0" fillId="27" borderId="44" xfId="0" applyFill="1" applyBorder="1" applyAlignment="1">
      <alignment horizontal="right" vertical="center" wrapText="1"/>
    </xf>
    <xf numFmtId="0" fontId="47" fillId="28" borderId="45" xfId="0" applyFont="1" applyFill="1" applyBorder="1" applyAlignment="1" applyProtection="1">
      <alignment horizontal="left"/>
      <protection locked="0"/>
    </xf>
    <xf numFmtId="0" fontId="47" fillId="28" borderId="51" xfId="0" applyFont="1" applyFill="1" applyBorder="1" applyAlignment="1" applyProtection="1">
      <alignment horizontal="left"/>
      <protection locked="0"/>
    </xf>
    <xf numFmtId="177" fontId="47" fillId="29" borderId="52" xfId="84" applyNumberFormat="1" applyFont="1" applyFill="1" applyBorder="1" applyAlignment="1" applyProtection="1">
      <alignment horizontal="right" vertical="center"/>
      <protection locked="0"/>
    </xf>
    <xf numFmtId="177" fontId="47" fillId="29" borderId="53" xfId="84" applyNumberFormat="1" applyFont="1" applyFill="1" applyBorder="1" applyAlignment="1" applyProtection="1">
      <alignment horizontal="right" vertical="center"/>
      <protection locked="0"/>
    </xf>
    <xf numFmtId="177" fontId="47" fillId="29" borderId="54" xfId="84" applyNumberFormat="1" applyFont="1" applyFill="1" applyBorder="1" applyAlignment="1" applyProtection="1">
      <alignment horizontal="right" vertical="center"/>
      <protection locked="0"/>
    </xf>
    <xf numFmtId="177" fontId="47" fillId="29" borderId="55" xfId="84" applyNumberFormat="1" applyFont="1" applyFill="1" applyBorder="1" applyAlignment="1" applyProtection="1">
      <alignment horizontal="right" vertical="center"/>
      <protection locked="0"/>
    </xf>
    <xf numFmtId="0" fontId="47" fillId="28" borderId="56" xfId="0" applyFont="1" applyFill="1" applyBorder="1" applyAlignment="1" applyProtection="1">
      <alignment horizontal="left"/>
      <protection locked="0"/>
    </xf>
    <xf numFmtId="177" fontId="47" fillId="29" borderId="57" xfId="84" applyNumberFormat="1" applyFont="1" applyFill="1" applyBorder="1" applyAlignment="1" applyProtection="1">
      <alignment horizontal="right" vertical="center"/>
      <protection locked="0"/>
    </xf>
    <xf numFmtId="177" fontId="47" fillId="29" borderId="58" xfId="84" applyNumberFormat="1" applyFont="1" applyFill="1" applyBorder="1" applyAlignment="1" applyProtection="1">
      <alignment horizontal="right" vertical="center"/>
      <protection locked="0"/>
    </xf>
    <xf numFmtId="177" fontId="47" fillId="29" borderId="59" xfId="84" applyNumberFormat="1" applyFont="1" applyFill="1" applyBorder="1" applyAlignment="1" applyProtection="1">
      <alignment horizontal="right" vertical="center"/>
      <protection locked="0"/>
    </xf>
    <xf numFmtId="177" fontId="47" fillId="29" borderId="60" xfId="84" applyNumberFormat="1" applyFont="1" applyFill="1" applyBorder="1" applyAlignment="1" applyProtection="1">
      <alignment horizontal="right" vertical="center"/>
      <protection locked="0"/>
    </xf>
    <xf numFmtId="0" fontId="47" fillId="28" borderId="61" xfId="0" applyFont="1" applyFill="1" applyBorder="1" applyAlignment="1" applyProtection="1">
      <alignment horizontal="left"/>
      <protection locked="0"/>
    </xf>
    <xf numFmtId="177" fontId="47" fillId="29" borderId="42" xfId="84" applyNumberFormat="1" applyFont="1" applyFill="1" applyBorder="1" applyAlignment="1" applyProtection="1">
      <alignment horizontal="right" vertical="center"/>
      <protection locked="0"/>
    </xf>
    <xf numFmtId="177" fontId="47" fillId="29" borderId="62" xfId="84" applyNumberFormat="1" applyFont="1" applyFill="1" applyBorder="1" applyAlignment="1" applyProtection="1">
      <alignment horizontal="right" vertical="center"/>
      <protection locked="0"/>
    </xf>
    <xf numFmtId="177" fontId="47" fillId="29" borderId="63" xfId="84" applyNumberFormat="1" applyFont="1" applyFill="1" applyBorder="1" applyAlignment="1" applyProtection="1">
      <alignment horizontal="right" vertical="center"/>
      <protection locked="0"/>
    </xf>
    <xf numFmtId="177" fontId="47" fillId="29" borderId="64" xfId="84" applyNumberFormat="1" applyFont="1" applyFill="1" applyBorder="1" applyAlignment="1" applyProtection="1">
      <alignment horizontal="right" vertical="center"/>
      <protection locked="0"/>
    </xf>
    <xf numFmtId="0" fontId="47" fillId="0" borderId="66" xfId="0" applyFont="1" applyBorder="1" applyAlignment="1">
      <alignment horizontal="right" vertical="center" indent="1"/>
    </xf>
    <xf numFmtId="0" fontId="47" fillId="0" borderId="45" xfId="0" applyFont="1" applyBorder="1" applyAlignment="1">
      <alignment horizontal="right" vertical="center" indent="1"/>
    </xf>
    <xf numFmtId="0" fontId="47" fillId="0" borderId="51" xfId="0" applyFont="1" applyBorder="1" applyAlignment="1">
      <alignment horizontal="right" vertical="center" indent="1"/>
    </xf>
    <xf numFmtId="0" fontId="47" fillId="0" borderId="56" xfId="0" applyFont="1" applyBorder="1" applyAlignment="1">
      <alignment horizontal="right" vertical="center" indent="1"/>
    </xf>
    <xf numFmtId="0" fontId="47" fillId="0" borderId="61" xfId="0" applyFont="1" applyBorder="1" applyAlignment="1">
      <alignment horizontal="right" vertical="center" indent="1"/>
    </xf>
    <xf numFmtId="0" fontId="47" fillId="28" borderId="69" xfId="0" applyFont="1" applyFill="1" applyBorder="1" applyAlignment="1" applyProtection="1">
      <alignment horizontal="left" vertical="center"/>
      <protection locked="0"/>
    </xf>
    <xf numFmtId="0" fontId="47" fillId="28" borderId="70" xfId="0" applyFont="1" applyFill="1" applyBorder="1" applyAlignment="1" applyProtection="1">
      <alignment vertical="top" wrapText="1"/>
      <protection locked="0"/>
    </xf>
    <xf numFmtId="0" fontId="47" fillId="28" borderId="70" xfId="0" applyFont="1" applyFill="1" applyBorder="1" applyAlignment="1" applyProtection="1">
      <alignment horizontal="left" vertical="center"/>
      <protection locked="0"/>
    </xf>
    <xf numFmtId="0" fontId="47" fillId="28" borderId="71" xfId="0" applyFont="1" applyFill="1" applyBorder="1" applyAlignment="1" applyProtection="1">
      <alignment horizontal="left" vertical="center"/>
      <protection locked="0"/>
    </xf>
    <xf numFmtId="0" fontId="32" fillId="0" borderId="27" xfId="37" applyBorder="1">
      <alignment vertical="center"/>
    </xf>
    <xf numFmtId="0" fontId="32" fillId="0" borderId="32" xfId="37" applyBorder="1">
      <alignment vertical="center"/>
    </xf>
    <xf numFmtId="0" fontId="32" fillId="0" borderId="72" xfId="37" applyBorder="1">
      <alignment vertical="center"/>
    </xf>
    <xf numFmtId="175" fontId="48" fillId="23" borderId="73" xfId="85" applyBorder="1">
      <alignment horizontal="right"/>
      <protection locked="0"/>
    </xf>
    <xf numFmtId="175" fontId="48" fillId="23" borderId="74" xfId="85" applyBorder="1">
      <alignment horizontal="right"/>
      <protection locked="0"/>
    </xf>
    <xf numFmtId="175" fontId="48" fillId="23" borderId="75" xfId="85" applyBorder="1">
      <alignment horizontal="right"/>
      <protection locked="0"/>
    </xf>
    <xf numFmtId="175" fontId="48" fillId="23" borderId="76" xfId="85" applyBorder="1">
      <alignment horizontal="right"/>
      <protection locked="0"/>
    </xf>
    <xf numFmtId="0" fontId="56" fillId="30" borderId="43" xfId="91" applyBorder="1">
      <alignment vertical="center"/>
    </xf>
    <xf numFmtId="0" fontId="56" fillId="30" borderId="36" xfId="91" applyBorder="1">
      <alignment vertical="center"/>
    </xf>
    <xf numFmtId="0" fontId="37" fillId="0" borderId="2" xfId="35" applyBorder="1">
      <alignment horizontal="left" vertical="center"/>
    </xf>
    <xf numFmtId="0" fontId="37" fillId="0" borderId="2" xfId="35" applyBorder="1" applyAlignment="1">
      <alignment horizontal="center" vertical="center" wrapText="1"/>
    </xf>
    <xf numFmtId="0" fontId="37" fillId="0" borderId="77" xfId="35" applyBorder="1" applyAlignment="1">
      <alignment horizontal="center" vertical="center" wrapText="1"/>
    </xf>
    <xf numFmtId="0" fontId="37" fillId="0" borderId="78" xfId="35" applyBorder="1" applyAlignment="1">
      <alignment horizontal="center" vertical="center" wrapText="1"/>
    </xf>
    <xf numFmtId="169" fontId="78" fillId="0" borderId="0" xfId="47" applyNumberFormat="1" applyAlignment="1">
      <alignment horizontal="center" vertical="center"/>
    </xf>
    <xf numFmtId="0" fontId="32" fillId="0" borderId="0" xfId="37" applyFill="1" applyAlignment="1">
      <alignment horizontal="center" vertical="center"/>
    </xf>
    <xf numFmtId="178" fontId="78" fillId="42" borderId="4" xfId="16" applyNumberFormat="1" applyAlignment="1">
      <alignment horizontal="center" vertical="center"/>
      <protection locked="0"/>
    </xf>
    <xf numFmtId="179" fontId="32" fillId="0" borderId="0" xfId="13" applyNumberFormat="1" applyFill="1" applyAlignment="1">
      <alignment horizontal="center" vertical="center"/>
    </xf>
    <xf numFmtId="0" fontId="32" fillId="16" borderId="79" xfId="37" applyFill="1" applyBorder="1" applyAlignment="1">
      <alignment horizontal="center" vertical="center"/>
    </xf>
    <xf numFmtId="0" fontId="32" fillId="16" borderId="4" xfId="37" applyFill="1" applyBorder="1" applyAlignment="1">
      <alignment horizontal="center" vertical="center"/>
    </xf>
    <xf numFmtId="180" fontId="39" fillId="0" borderId="0" xfId="57" applyNumberFormat="1"/>
    <xf numFmtId="169" fontId="78" fillId="42" borderId="4" xfId="14" applyNumberFormat="1">
      <alignment horizontal="right" vertical="center"/>
      <protection locked="0"/>
    </xf>
    <xf numFmtId="169" fontId="78" fillId="42" borderId="39" xfId="14" applyNumberFormat="1" applyBorder="1">
      <alignment horizontal="right" vertical="center"/>
      <protection locked="0"/>
    </xf>
    <xf numFmtId="169" fontId="78" fillId="42" borderId="40" xfId="14" applyNumberFormat="1" applyBorder="1">
      <alignment horizontal="right" vertical="center"/>
      <protection locked="0"/>
    </xf>
    <xf numFmtId="169" fontId="32" fillId="0" borderId="4" xfId="13" applyNumberFormat="1" applyFill="1" applyBorder="1">
      <alignment horizontal="right" vertical="center"/>
    </xf>
    <xf numFmtId="169" fontId="32" fillId="0" borderId="39" xfId="13" applyNumberFormat="1" applyFill="1" applyBorder="1">
      <alignment horizontal="right" vertical="center"/>
    </xf>
    <xf numFmtId="169" fontId="32" fillId="0" borderId="40" xfId="13" applyNumberFormat="1" applyFill="1" applyBorder="1">
      <alignment horizontal="right" vertical="center"/>
    </xf>
    <xf numFmtId="0" fontId="46" fillId="27" borderId="43" xfId="0" applyFont="1" applyFill="1" applyBorder="1" applyAlignment="1">
      <alignment horizontal="left" vertical="center" wrapText="1"/>
    </xf>
    <xf numFmtId="10" fontId="47" fillId="29" borderId="46" xfId="84" applyNumberFormat="1" applyFont="1" applyFill="1" applyBorder="1" applyAlignment="1" applyProtection="1">
      <alignment horizontal="right" vertical="center"/>
      <protection locked="0"/>
    </xf>
    <xf numFmtId="10" fontId="47" fillId="29" borderId="47" xfId="84" applyNumberFormat="1" applyFont="1" applyFill="1" applyBorder="1" applyAlignment="1" applyProtection="1">
      <alignment horizontal="right" vertical="center"/>
      <protection locked="0"/>
    </xf>
    <xf numFmtId="10" fontId="47" fillId="29" borderId="48" xfId="84" applyNumberFormat="1" applyFont="1" applyFill="1" applyBorder="1" applyAlignment="1" applyProtection="1">
      <alignment horizontal="right" vertical="center"/>
      <protection locked="0"/>
    </xf>
    <xf numFmtId="10" fontId="47" fillId="29" borderId="49" xfId="84" applyNumberFormat="1" applyFont="1" applyFill="1" applyBorder="1" applyAlignment="1" applyProtection="1">
      <alignment horizontal="right" vertical="center"/>
      <protection locked="0"/>
    </xf>
    <xf numFmtId="10" fontId="47" fillId="29" borderId="50" xfId="84" applyNumberFormat="1" applyFont="1" applyFill="1" applyBorder="1" applyAlignment="1" applyProtection="1">
      <alignment horizontal="right" vertical="center"/>
      <protection locked="0"/>
    </xf>
    <xf numFmtId="10" fontId="47" fillId="29" borderId="52" xfId="84" applyNumberFormat="1" applyFont="1" applyFill="1" applyBorder="1" applyAlignment="1" applyProtection="1">
      <alignment horizontal="right" vertical="center"/>
      <protection locked="0"/>
    </xf>
    <xf numFmtId="10" fontId="47" fillId="29" borderId="53" xfId="84" applyNumberFormat="1" applyFont="1" applyFill="1" applyBorder="1" applyAlignment="1" applyProtection="1">
      <alignment horizontal="right" vertical="center"/>
      <protection locked="0"/>
    </xf>
    <xf numFmtId="10" fontId="47" fillId="29" borderId="54" xfId="84" applyNumberFormat="1" applyFont="1" applyFill="1" applyBorder="1" applyAlignment="1" applyProtection="1">
      <alignment horizontal="right" vertical="center"/>
      <protection locked="0"/>
    </xf>
    <xf numFmtId="10" fontId="47" fillId="29" borderId="55" xfId="84" applyNumberFormat="1" applyFont="1" applyFill="1" applyBorder="1" applyAlignment="1" applyProtection="1">
      <alignment horizontal="right" vertical="center"/>
      <protection locked="0"/>
    </xf>
    <xf numFmtId="0" fontId="47" fillId="0" borderId="81" xfId="0" applyFont="1" applyBorder="1" applyAlignment="1">
      <alignment horizontal="right" vertical="center" indent="1"/>
    </xf>
    <xf numFmtId="0" fontId="47" fillId="0" borderId="82" xfId="0" applyFont="1" applyBorder="1" applyAlignment="1">
      <alignment horizontal="right" vertical="center" indent="1"/>
    </xf>
    <xf numFmtId="0" fontId="47" fillId="0" borderId="83" xfId="0" applyFont="1" applyBorder="1" applyAlignment="1">
      <alignment horizontal="right" vertical="center" indent="1"/>
    </xf>
    <xf numFmtId="0" fontId="39" fillId="17" borderId="19" xfId="57" applyFill="1" applyBorder="1"/>
    <xf numFmtId="0" fontId="39" fillId="17" borderId="20" xfId="57" applyFill="1" applyBorder="1"/>
    <xf numFmtId="178" fontId="78" fillId="42" borderId="87" xfId="16" applyNumberFormat="1" applyBorder="1">
      <alignment horizontal="right" vertical="center"/>
      <protection locked="0"/>
    </xf>
    <xf numFmtId="178" fontId="78" fillId="42" borderId="88" xfId="16" applyNumberFormat="1" applyBorder="1">
      <alignment horizontal="right" vertical="center"/>
      <protection locked="0"/>
    </xf>
    <xf numFmtId="0" fontId="39" fillId="17" borderId="89" xfId="57" applyFill="1" applyBorder="1"/>
    <xf numFmtId="0" fontId="39" fillId="17" borderId="0" xfId="57" applyFill="1"/>
    <xf numFmtId="178" fontId="78" fillId="42" borderId="4" xfId="16" applyNumberFormat="1">
      <alignment horizontal="right" vertical="center"/>
      <protection locked="0"/>
    </xf>
    <xf numFmtId="178" fontId="78" fillId="42" borderId="90" xfId="16" applyNumberFormat="1" applyBorder="1">
      <alignment horizontal="right" vertical="center"/>
      <protection locked="0"/>
    </xf>
    <xf numFmtId="0" fontId="39" fillId="17" borderId="91" xfId="57" applyFill="1" applyBorder="1"/>
    <xf numFmtId="0" fontId="39" fillId="17" borderId="92" xfId="57" applyFill="1" applyBorder="1"/>
    <xf numFmtId="178" fontId="78" fillId="42" borderId="93" xfId="16" applyNumberFormat="1" applyBorder="1">
      <alignment horizontal="right" vertical="center"/>
      <protection locked="0"/>
    </xf>
    <xf numFmtId="178" fontId="78" fillId="42" borderId="94" xfId="16" applyNumberFormat="1" applyBorder="1">
      <alignment horizontal="right" vertical="center"/>
      <protection locked="0"/>
    </xf>
    <xf numFmtId="179" fontId="78" fillId="42" borderId="87" xfId="14" applyNumberFormat="1" applyBorder="1">
      <alignment horizontal="right" vertical="center"/>
      <protection locked="0"/>
    </xf>
    <xf numFmtId="179" fontId="32" fillId="0" borderId="20" xfId="13" applyNumberFormat="1" applyBorder="1">
      <alignment horizontal="right" vertical="center"/>
    </xf>
    <xf numFmtId="179" fontId="32" fillId="0" borderId="21" xfId="13" applyNumberFormat="1" applyBorder="1">
      <alignment horizontal="right" vertical="center"/>
    </xf>
    <xf numFmtId="179" fontId="78" fillId="42" borderId="4" xfId="14" applyNumberFormat="1">
      <alignment horizontal="right" vertical="center"/>
      <protection locked="0"/>
    </xf>
    <xf numFmtId="179" fontId="32" fillId="0" borderId="0" xfId="13" applyNumberFormat="1" applyBorder="1">
      <alignment horizontal="right" vertical="center"/>
    </xf>
    <xf numFmtId="179" fontId="32" fillId="0" borderId="95" xfId="13" applyNumberFormat="1" applyBorder="1">
      <alignment horizontal="right" vertical="center"/>
    </xf>
    <xf numFmtId="179" fontId="78" fillId="42" borderId="93" xfId="14" applyNumberFormat="1" applyBorder="1">
      <alignment horizontal="right" vertical="center"/>
      <protection locked="0"/>
    </xf>
    <xf numFmtId="179" fontId="32" fillId="0" borderId="92" xfId="13" applyNumberFormat="1" applyBorder="1">
      <alignment horizontal="right" vertical="center"/>
    </xf>
    <xf numFmtId="179" fontId="32" fillId="0" borderId="96" xfId="13" applyNumberFormat="1" applyBorder="1">
      <alignment horizontal="right" vertical="center"/>
    </xf>
    <xf numFmtId="167" fontId="32" fillId="0" borderId="97" xfId="15" applyBorder="1">
      <alignment horizontal="right" vertical="center"/>
    </xf>
    <xf numFmtId="167" fontId="32" fillId="0" borderId="98" xfId="15" applyBorder="1">
      <alignment horizontal="right" vertical="center"/>
    </xf>
    <xf numFmtId="176" fontId="49" fillId="3" borderId="43" xfId="86" applyBorder="1">
      <alignment horizontal="right" vertical="center"/>
    </xf>
    <xf numFmtId="175" fontId="48" fillId="23" borderId="69" xfId="85" applyBorder="1">
      <alignment horizontal="right"/>
      <protection locked="0"/>
    </xf>
    <xf numFmtId="175" fontId="48" fillId="23" borderId="70" xfId="85" applyBorder="1">
      <alignment horizontal="right"/>
      <protection locked="0"/>
    </xf>
    <xf numFmtId="175" fontId="48" fillId="23" borderId="100" xfId="85" applyBorder="1">
      <alignment horizontal="right"/>
      <protection locked="0"/>
    </xf>
    <xf numFmtId="175" fontId="48" fillId="23" borderId="101" xfId="85" applyBorder="1">
      <alignment horizontal="right"/>
      <protection locked="0"/>
    </xf>
    <xf numFmtId="175" fontId="48" fillId="23" borderId="102" xfId="85" applyBorder="1">
      <alignment horizontal="right"/>
      <protection locked="0"/>
    </xf>
    <xf numFmtId="169" fontId="78" fillId="42" borderId="103" xfId="14" applyNumberFormat="1" applyBorder="1">
      <alignment horizontal="right" vertical="center"/>
      <protection locked="0"/>
    </xf>
    <xf numFmtId="169" fontId="78" fillId="42" borderId="87" xfId="14" applyNumberFormat="1" applyBorder="1">
      <alignment horizontal="right" vertical="center"/>
      <protection locked="0"/>
    </xf>
    <xf numFmtId="169" fontId="78" fillId="42" borderId="104" xfId="14" applyNumberFormat="1" applyBorder="1">
      <alignment horizontal="right" vertical="center"/>
      <protection locked="0"/>
    </xf>
    <xf numFmtId="0" fontId="32" fillId="0" borderId="66" xfId="37" applyBorder="1">
      <alignment vertical="center"/>
    </xf>
    <xf numFmtId="0" fontId="32" fillId="0" borderId="61" xfId="37" applyBorder="1">
      <alignment vertical="center"/>
    </xf>
    <xf numFmtId="169" fontId="32" fillId="0" borderId="105" xfId="13" applyNumberFormat="1" applyFill="1" applyBorder="1">
      <alignment horizontal="right" vertical="center"/>
    </xf>
    <xf numFmtId="169" fontId="32" fillId="0" borderId="106" xfId="13" applyNumberFormat="1" applyFill="1" applyBorder="1">
      <alignment horizontal="right" vertical="center"/>
    </xf>
    <xf numFmtId="167" fontId="32" fillId="0" borderId="107" xfId="15" applyBorder="1">
      <alignment horizontal="right" vertical="center"/>
    </xf>
    <xf numFmtId="169" fontId="78" fillId="42" borderId="88" xfId="14" applyNumberFormat="1" applyBorder="1">
      <alignment horizontal="right" vertical="center"/>
      <protection locked="0"/>
    </xf>
    <xf numFmtId="169" fontId="78" fillId="42" borderId="90" xfId="14" applyNumberFormat="1" applyBorder="1">
      <alignment horizontal="right" vertical="center"/>
      <protection locked="0"/>
    </xf>
    <xf numFmtId="0" fontId="57" fillId="25" borderId="92" xfId="0" applyFont="1" applyFill="1" applyBorder="1" applyAlignment="1">
      <alignment horizontal="center"/>
    </xf>
    <xf numFmtId="0" fontId="57" fillId="25" borderId="96" xfId="0" applyFont="1" applyFill="1" applyBorder="1" applyAlignment="1">
      <alignment horizontal="center"/>
    </xf>
    <xf numFmtId="169" fontId="32" fillId="0" borderId="0" xfId="13" applyNumberFormat="1" applyFill="1" applyBorder="1">
      <alignment horizontal="right" vertical="center"/>
    </xf>
    <xf numFmtId="0" fontId="58" fillId="24" borderId="107" xfId="0" applyFont="1" applyFill="1" applyBorder="1" applyAlignment="1">
      <alignment horizontal="left" vertical="center" wrapText="1"/>
    </xf>
    <xf numFmtId="0" fontId="58" fillId="24" borderId="43" xfId="0" applyFont="1" applyFill="1" applyBorder="1" applyAlignment="1">
      <alignment horizontal="left" vertical="center" wrapText="1"/>
    </xf>
    <xf numFmtId="0" fontId="58" fillId="24" borderId="36" xfId="0" applyFont="1" applyFill="1" applyBorder="1" applyAlignment="1">
      <alignment horizontal="left" vertical="center" wrapText="1"/>
    </xf>
    <xf numFmtId="0" fontId="58" fillId="24" borderId="38" xfId="0" applyFont="1" applyFill="1" applyBorder="1" applyAlignment="1">
      <alignment horizontal="left" vertical="center" wrapText="1"/>
    </xf>
    <xf numFmtId="0" fontId="32" fillId="0" borderId="32" xfId="37" applyBorder="1" applyAlignment="1">
      <alignment horizontal="left" vertical="center" indent="1"/>
    </xf>
    <xf numFmtId="0" fontId="32" fillId="0" borderId="32" xfId="37" applyBorder="1" applyAlignment="1">
      <alignment horizontal="left" vertical="center"/>
    </xf>
    <xf numFmtId="0" fontId="32" fillId="0" borderId="72" xfId="37" applyBorder="1" applyAlignment="1">
      <alignment horizontal="left" vertical="center"/>
    </xf>
    <xf numFmtId="0" fontId="59" fillId="20" borderId="0" xfId="93">
      <alignment vertical="center"/>
      <protection locked="0"/>
    </xf>
    <xf numFmtId="0" fontId="46" fillId="25" borderId="0" xfId="57" applyFont="1" applyFill="1" applyAlignment="1">
      <alignment horizontal="left" vertical="center" wrapText="1"/>
    </xf>
    <xf numFmtId="0" fontId="0" fillId="0" borderId="38" xfId="0" applyBorder="1"/>
    <xf numFmtId="0" fontId="62" fillId="25" borderId="0" xfId="57" applyFont="1" applyFill="1" applyAlignment="1">
      <alignment horizontal="center" vertical="center"/>
    </xf>
    <xf numFmtId="0" fontId="62" fillId="25" borderId="0" xfId="57" applyFont="1" applyFill="1"/>
    <xf numFmtId="0" fontId="62" fillId="33" borderId="113" xfId="0" applyFont="1" applyFill="1" applyBorder="1"/>
    <xf numFmtId="0" fontId="42" fillId="33" borderId="3" xfId="0" applyFont="1" applyFill="1" applyBorder="1" applyAlignment="1">
      <alignment horizontal="center" vertical="center"/>
    </xf>
    <xf numFmtId="0" fontId="62" fillId="33" borderId="89" xfId="0" applyFont="1" applyFill="1" applyBorder="1"/>
    <xf numFmtId="0" fontId="42" fillId="33" borderId="0" xfId="0" applyFont="1" applyFill="1" applyAlignment="1">
      <alignment horizontal="center" vertical="center"/>
    </xf>
    <xf numFmtId="0" fontId="47" fillId="0" borderId="19" xfId="57" applyFont="1" applyBorder="1" applyAlignment="1">
      <alignment horizontal="left" vertical="center" wrapText="1"/>
    </xf>
    <xf numFmtId="0" fontId="63" fillId="0" borderId="89" xfId="57" applyFont="1" applyBorder="1" applyAlignment="1">
      <alignment wrapText="1"/>
    </xf>
    <xf numFmtId="0" fontId="0" fillId="0" borderId="43" xfId="0" applyBorder="1"/>
    <xf numFmtId="0" fontId="0" fillId="0" borderId="36" xfId="0" applyBorder="1"/>
    <xf numFmtId="0" fontId="47" fillId="25" borderId="114" xfId="57" applyFont="1" applyFill="1" applyBorder="1" applyAlignment="1">
      <alignment horizontal="left" vertical="center" wrapText="1"/>
    </xf>
    <xf numFmtId="0" fontId="63" fillId="0" borderId="61" xfId="57" applyFont="1" applyBorder="1" applyAlignment="1">
      <alignment wrapText="1"/>
    </xf>
    <xf numFmtId="0" fontId="0" fillId="0" borderId="92" xfId="0" applyBorder="1"/>
    <xf numFmtId="0" fontId="0" fillId="0" borderId="96" xfId="0" applyBorder="1"/>
    <xf numFmtId="49" fontId="47" fillId="0" borderId="21" xfId="57" applyNumberFormat="1" applyFont="1" applyBorder="1" applyAlignment="1">
      <alignment horizontal="left" vertical="center" wrapText="1"/>
    </xf>
    <xf numFmtId="0" fontId="63" fillId="0" borderId="91" xfId="57" applyFont="1" applyBorder="1" applyAlignment="1">
      <alignment wrapText="1"/>
    </xf>
    <xf numFmtId="49" fontId="63" fillId="0" borderId="96" xfId="57" applyNumberFormat="1" applyFont="1" applyBorder="1" applyAlignment="1">
      <alignment wrapText="1"/>
    </xf>
    <xf numFmtId="0" fontId="63" fillId="0" borderId="0" xfId="0" applyFont="1"/>
    <xf numFmtId="0" fontId="62" fillId="0" borderId="0" xfId="0" applyFont="1"/>
    <xf numFmtId="0" fontId="39" fillId="25" borderId="0" xfId="57" applyFill="1"/>
    <xf numFmtId="0" fontId="62" fillId="25" borderId="0" xfId="57" applyFont="1" applyFill="1" applyAlignment="1">
      <alignment vertical="center"/>
    </xf>
    <xf numFmtId="0" fontId="65" fillId="31" borderId="38" xfId="57" applyFont="1" applyFill="1" applyBorder="1" applyAlignment="1">
      <alignment horizontal="center" vertical="center"/>
    </xf>
    <xf numFmtId="0" fontId="62" fillId="0" borderId="41" xfId="57" applyFont="1" applyBorder="1"/>
    <xf numFmtId="0" fontId="66" fillId="0" borderId="68" xfId="57" applyFont="1" applyBorder="1"/>
    <xf numFmtId="0" fontId="65" fillId="32" borderId="118" xfId="57" applyFont="1" applyFill="1" applyBorder="1" applyAlignment="1" applyProtection="1">
      <alignment horizontal="right" vertical="center"/>
      <protection locked="0"/>
    </xf>
    <xf numFmtId="0" fontId="62" fillId="25" borderId="52" xfId="57" applyFont="1" applyFill="1" applyBorder="1"/>
    <xf numFmtId="0" fontId="66" fillId="25" borderId="54" xfId="57" applyFont="1" applyFill="1" applyBorder="1"/>
    <xf numFmtId="0" fontId="65" fillId="32" borderId="119" xfId="57" applyFont="1" applyFill="1" applyBorder="1" applyAlignment="1" applyProtection="1">
      <alignment horizontal="right" vertical="center"/>
      <protection locked="0"/>
    </xf>
    <xf numFmtId="0" fontId="62" fillId="24" borderId="52" xfId="57" applyFont="1" applyFill="1" applyBorder="1"/>
    <xf numFmtId="0" fontId="66" fillId="24" borderId="54" xfId="57" applyFont="1" applyFill="1" applyBorder="1"/>
    <xf numFmtId="176" fontId="63" fillId="24" borderId="54" xfId="57" applyNumberFormat="1" applyFont="1" applyFill="1" applyBorder="1"/>
    <xf numFmtId="176" fontId="46" fillId="24" borderId="55" xfId="57" applyNumberFormat="1" applyFont="1" applyFill="1" applyBorder="1" applyAlignment="1">
      <alignment horizontal="right" vertical="center"/>
    </xf>
    <xf numFmtId="176" fontId="46" fillId="24" borderId="120" xfId="57" applyNumberFormat="1" applyFont="1" applyFill="1" applyBorder="1" applyAlignment="1">
      <alignment horizontal="right" vertical="center"/>
    </xf>
    <xf numFmtId="0" fontId="65" fillId="32" borderId="119" xfId="57" applyFont="1" applyFill="1" applyBorder="1" applyAlignment="1">
      <alignment horizontal="right" vertical="center"/>
    </xf>
    <xf numFmtId="0" fontId="62" fillId="0" borderId="52" xfId="57" applyFont="1" applyBorder="1"/>
    <xf numFmtId="0" fontId="66" fillId="0" borderId="54" xfId="57" applyFont="1" applyBorder="1"/>
    <xf numFmtId="0" fontId="63" fillId="24" borderId="54" xfId="57" applyFont="1" applyFill="1" applyBorder="1"/>
    <xf numFmtId="0" fontId="46" fillId="24" borderId="55" xfId="57" applyFont="1" applyFill="1" applyBorder="1" applyAlignment="1">
      <alignment horizontal="right" vertical="center"/>
    </xf>
    <xf numFmtId="0" fontId="46" fillId="24" borderId="120" xfId="57" applyFont="1" applyFill="1" applyBorder="1" applyAlignment="1">
      <alignment horizontal="right" vertical="center"/>
    </xf>
    <xf numFmtId="0" fontId="63" fillId="0" borderId="54" xfId="57" applyFont="1" applyBorder="1"/>
    <xf numFmtId="177" fontId="47" fillId="0" borderId="55" xfId="84" applyNumberFormat="1" applyFont="1" applyFill="1" applyBorder="1" applyAlignment="1" applyProtection="1">
      <alignment vertical="center"/>
    </xf>
    <xf numFmtId="177" fontId="47" fillId="0" borderId="120" xfId="84" applyNumberFormat="1" applyFont="1" applyFill="1" applyBorder="1" applyAlignment="1" applyProtection="1">
      <alignment vertical="center"/>
    </xf>
    <xf numFmtId="177" fontId="65" fillId="31" borderId="119" xfId="84" applyNumberFormat="1" applyFont="1" applyFill="1" applyBorder="1" applyProtection="1"/>
    <xf numFmtId="0" fontId="62" fillId="25" borderId="0" xfId="57" quotePrefix="1" applyFont="1" applyFill="1"/>
    <xf numFmtId="0" fontId="62" fillId="0" borderId="42" xfId="57" applyFont="1" applyBorder="1"/>
    <xf numFmtId="0" fontId="66" fillId="25" borderId="63" xfId="57" applyFont="1" applyFill="1" applyBorder="1"/>
    <xf numFmtId="0" fontId="63" fillId="0" borderId="63" xfId="57" applyFont="1" applyBorder="1"/>
    <xf numFmtId="177" fontId="47" fillId="0" borderId="64" xfId="84" applyNumberFormat="1" applyFont="1" applyFill="1" applyBorder="1" applyAlignment="1" applyProtection="1">
      <alignment vertical="center"/>
    </xf>
    <xf numFmtId="177" fontId="47" fillId="0" borderId="121" xfId="84" applyNumberFormat="1" applyFont="1" applyFill="1" applyBorder="1" applyAlignment="1" applyProtection="1">
      <alignment vertical="center"/>
    </xf>
    <xf numFmtId="177" fontId="65" fillId="31" borderId="122" xfId="84" applyNumberFormat="1" applyFont="1" applyFill="1" applyBorder="1" applyProtection="1"/>
    <xf numFmtId="0" fontId="0" fillId="0" borderId="20" xfId="0" applyBorder="1"/>
    <xf numFmtId="177" fontId="62" fillId="0" borderId="123" xfId="57" applyNumberFormat="1" applyFont="1" applyBorder="1"/>
    <xf numFmtId="177" fontId="47" fillId="32" borderId="124" xfId="57" applyNumberFormat="1" applyFont="1" applyFill="1" applyBorder="1"/>
    <xf numFmtId="177" fontId="67" fillId="0" borderId="125" xfId="57" applyNumberFormat="1" applyFont="1" applyBorder="1"/>
    <xf numFmtId="177" fontId="47" fillId="0" borderId="126" xfId="57" applyNumberFormat="1" applyFont="1" applyBorder="1"/>
    <xf numFmtId="0" fontId="0" fillId="0" borderId="127" xfId="0" applyBorder="1"/>
    <xf numFmtId="0" fontId="56" fillId="31" borderId="129" xfId="57" applyFont="1" applyFill="1" applyBorder="1" applyAlignment="1">
      <alignment horizontal="center" vertical="center" wrapText="1"/>
    </xf>
    <xf numFmtId="0" fontId="56" fillId="31" borderId="130" xfId="57" applyFont="1" applyFill="1" applyBorder="1" applyAlignment="1">
      <alignment horizontal="center" vertical="center" wrapText="1"/>
    </xf>
    <xf numFmtId="177" fontId="62" fillId="0" borderId="131" xfId="57" applyNumberFormat="1" applyFont="1" applyBorder="1"/>
    <xf numFmtId="177" fontId="67" fillId="0" borderId="132" xfId="57" applyNumberFormat="1" applyFont="1" applyBorder="1"/>
    <xf numFmtId="177" fontId="62" fillId="0" borderId="133" xfId="57" applyNumberFormat="1" applyFont="1" applyBorder="1"/>
    <xf numFmtId="177" fontId="62" fillId="0" borderId="134" xfId="57" applyNumberFormat="1" applyFont="1" applyBorder="1"/>
    <xf numFmtId="173" fontId="57" fillId="0" borderId="0" xfId="115" applyAlignment="1">
      <alignment horizontal="center" vertical="center"/>
    </xf>
    <xf numFmtId="175" fontId="48" fillId="17" borderId="33" xfId="85" applyFill="1" applyBorder="1">
      <alignment horizontal="right"/>
      <protection locked="0"/>
    </xf>
    <xf numFmtId="175" fontId="48" fillId="17" borderId="35" xfId="85" applyFill="1" applyBorder="1">
      <alignment horizontal="right"/>
      <protection locked="0"/>
    </xf>
    <xf numFmtId="175" fontId="48" fillId="23" borderId="137" xfId="85" applyBorder="1">
      <alignment horizontal="right"/>
      <protection locked="0"/>
    </xf>
    <xf numFmtId="176" fontId="49" fillId="3" borderId="36" xfId="86" applyBorder="1" applyProtection="1">
      <alignment horizontal="right" vertical="center"/>
      <protection locked="0"/>
    </xf>
    <xf numFmtId="176" fontId="49" fillId="3" borderId="38" xfId="86" applyBorder="1" applyProtection="1">
      <alignment horizontal="right" vertical="center"/>
      <protection locked="0"/>
    </xf>
    <xf numFmtId="176" fontId="49" fillId="3" borderId="43" xfId="86" applyBorder="1" applyProtection="1">
      <alignment horizontal="right" vertical="center"/>
      <protection locked="0"/>
    </xf>
    <xf numFmtId="0" fontId="44" fillId="20" borderId="0" xfId="124" applyFont="1">
      <alignment vertical="center"/>
      <protection locked="0"/>
    </xf>
    <xf numFmtId="0" fontId="58" fillId="24" borderId="36" xfId="0" applyFont="1" applyFill="1" applyBorder="1" applyAlignment="1">
      <alignment vertical="center" wrapText="1"/>
    </xf>
    <xf numFmtId="0" fontId="58" fillId="24" borderId="38" xfId="0" applyFont="1" applyFill="1" applyBorder="1" applyAlignment="1">
      <alignment vertical="center" wrapText="1"/>
    </xf>
    <xf numFmtId="176" fontId="48" fillId="29" borderId="69" xfId="0" applyNumberFormat="1" applyFont="1" applyFill="1" applyBorder="1" applyAlignment="1" applyProtection="1">
      <alignment horizontal="right"/>
      <protection locked="0"/>
    </xf>
    <xf numFmtId="176" fontId="48" fillId="29" borderId="30" xfId="0" applyNumberFormat="1" applyFont="1" applyFill="1" applyBorder="1" applyAlignment="1" applyProtection="1">
      <alignment horizontal="right"/>
      <protection locked="0"/>
    </xf>
    <xf numFmtId="176" fontId="48" fillId="29" borderId="29" xfId="0" applyNumberFormat="1" applyFont="1" applyFill="1" applyBorder="1" applyAlignment="1" applyProtection="1">
      <alignment horizontal="right"/>
      <protection locked="0"/>
    </xf>
    <xf numFmtId="176" fontId="48" fillId="29" borderId="31" xfId="0" applyNumberFormat="1" applyFont="1" applyFill="1" applyBorder="1" applyAlignment="1" applyProtection="1">
      <alignment horizontal="right"/>
      <protection locked="0"/>
    </xf>
    <xf numFmtId="176" fontId="48" fillId="29" borderId="70" xfId="0" applyNumberFormat="1" applyFont="1" applyFill="1" applyBorder="1" applyAlignment="1" applyProtection="1">
      <alignment horizontal="right"/>
      <protection locked="0"/>
    </xf>
    <xf numFmtId="176" fontId="48" fillId="29" borderId="34" xfId="0" applyNumberFormat="1" applyFont="1" applyFill="1" applyBorder="1" applyAlignment="1" applyProtection="1">
      <alignment horizontal="right"/>
      <protection locked="0"/>
    </xf>
    <xf numFmtId="176" fontId="48" fillId="29" borderId="33" xfId="0" applyNumberFormat="1" applyFont="1" applyFill="1" applyBorder="1" applyAlignment="1" applyProtection="1">
      <alignment horizontal="right"/>
      <protection locked="0"/>
    </xf>
    <xf numFmtId="176" fontId="48" fillId="29" borderId="35" xfId="0" applyNumberFormat="1" applyFont="1" applyFill="1" applyBorder="1" applyAlignment="1" applyProtection="1">
      <alignment horizontal="right"/>
      <protection locked="0"/>
    </xf>
    <xf numFmtId="176" fontId="48" fillId="29" borderId="143" xfId="0" applyNumberFormat="1" applyFont="1" applyFill="1" applyBorder="1" applyAlignment="1" applyProtection="1">
      <alignment horizontal="right"/>
      <protection locked="0"/>
    </xf>
    <xf numFmtId="176" fontId="48" fillId="29" borderId="137" xfId="0" applyNumberFormat="1" applyFont="1" applyFill="1" applyBorder="1" applyAlignment="1" applyProtection="1">
      <alignment horizontal="right"/>
      <protection locked="0"/>
    </xf>
    <xf numFmtId="176" fontId="48" fillId="29" borderId="136" xfId="0" applyNumberFormat="1" applyFont="1" applyFill="1" applyBorder="1" applyAlignment="1" applyProtection="1">
      <alignment horizontal="right"/>
      <protection locked="0"/>
    </xf>
    <xf numFmtId="176" fontId="48" fillId="29" borderId="138" xfId="0" applyNumberFormat="1" applyFont="1" applyFill="1" applyBorder="1" applyAlignment="1" applyProtection="1">
      <alignment horizontal="right"/>
      <protection locked="0"/>
    </xf>
    <xf numFmtId="176" fontId="10" fillId="32" borderId="43" xfId="0" applyNumberFormat="1" applyFont="1" applyFill="1" applyBorder="1" applyAlignment="1">
      <alignment horizontal="right" vertical="center"/>
    </xf>
    <xf numFmtId="0" fontId="0" fillId="0" borderId="95" xfId="0" applyBorder="1"/>
    <xf numFmtId="0" fontId="48" fillId="29" borderId="109" xfId="0" applyFont="1" applyFill="1" applyBorder="1" applyAlignment="1" applyProtection="1">
      <alignment horizontal="right"/>
      <protection locked="0"/>
    </xf>
    <xf numFmtId="0" fontId="48" fillId="29" borderId="112" xfId="0" applyFont="1" applyFill="1" applyBorder="1" applyAlignment="1" applyProtection="1">
      <alignment horizontal="right"/>
      <protection locked="0"/>
    </xf>
    <xf numFmtId="0" fontId="74" fillId="24" borderId="38" xfId="0" applyFont="1" applyFill="1" applyBorder="1" applyAlignment="1">
      <alignment horizontal="center" vertical="center" wrapText="1"/>
    </xf>
    <xf numFmtId="49" fontId="47" fillId="29" borderId="69" xfId="0" applyNumberFormat="1" applyFont="1" applyFill="1" applyBorder="1" applyAlignment="1" applyProtection="1">
      <alignment horizontal="left" vertical="top" wrapText="1"/>
      <protection locked="0"/>
    </xf>
    <xf numFmtId="0" fontId="47" fillId="29" borderId="30" xfId="0" applyFont="1" applyFill="1" applyBorder="1" applyAlignment="1" applyProtection="1">
      <alignment horizontal="left" vertical="top" wrapText="1"/>
      <protection locked="0"/>
    </xf>
    <xf numFmtId="176" fontId="47" fillId="29" borderId="141" xfId="0" applyNumberFormat="1" applyFont="1" applyFill="1" applyBorder="1" applyAlignment="1" applyProtection="1">
      <alignment horizontal="right" vertical="center" wrapText="1"/>
      <protection locked="0"/>
    </xf>
    <xf numFmtId="176" fontId="47" fillId="29" borderId="142" xfId="0" applyNumberFormat="1" applyFont="1" applyFill="1" applyBorder="1" applyAlignment="1" applyProtection="1">
      <alignment horizontal="right" vertical="center" wrapText="1"/>
      <protection locked="0"/>
    </xf>
    <xf numFmtId="176" fontId="63" fillId="24" borderId="151" xfId="0" applyNumberFormat="1" applyFont="1" applyFill="1" applyBorder="1" applyAlignment="1" applyProtection="1">
      <alignment horizontal="right" vertical="center" wrapText="1"/>
      <protection locked="0"/>
    </xf>
    <xf numFmtId="0" fontId="47" fillId="29" borderId="70" xfId="0" applyFont="1" applyFill="1" applyBorder="1" applyAlignment="1" applyProtection="1">
      <alignment horizontal="left" vertical="top" wrapText="1"/>
      <protection locked="0"/>
    </xf>
    <xf numFmtId="0" fontId="47" fillId="29" borderId="34" xfId="0" applyFont="1" applyFill="1" applyBorder="1" applyAlignment="1" applyProtection="1">
      <alignment horizontal="left" vertical="top" wrapText="1"/>
      <protection locked="0"/>
    </xf>
    <xf numFmtId="176" fontId="47" fillId="29" borderId="33" xfId="0" applyNumberFormat="1" applyFont="1" applyFill="1" applyBorder="1" applyAlignment="1" applyProtection="1">
      <alignment horizontal="right" vertical="center" wrapText="1"/>
      <protection locked="0"/>
    </xf>
    <xf numFmtId="176" fontId="47" fillId="29" borderId="35" xfId="0" applyNumberFormat="1" applyFont="1" applyFill="1" applyBorder="1" applyAlignment="1" applyProtection="1">
      <alignment horizontal="right" vertical="center" wrapText="1"/>
      <protection locked="0"/>
    </xf>
    <xf numFmtId="176" fontId="63" fillId="24" borderId="106" xfId="0" applyNumberFormat="1" applyFont="1" applyFill="1" applyBorder="1" applyAlignment="1" applyProtection="1">
      <alignment horizontal="right" vertical="center" wrapText="1"/>
      <protection locked="0"/>
    </xf>
    <xf numFmtId="49" fontId="47" fillId="28" borderId="70" xfId="0" applyNumberFormat="1" applyFont="1" applyFill="1" applyBorder="1" applyAlignment="1" applyProtection="1">
      <alignment horizontal="left" vertical="top" wrapText="1"/>
      <protection locked="0"/>
    </xf>
    <xf numFmtId="49" fontId="47" fillId="28" borderId="34" xfId="0" applyNumberFormat="1" applyFont="1" applyFill="1" applyBorder="1" applyAlignment="1" applyProtection="1">
      <alignment horizontal="left" vertical="top" wrapText="1"/>
      <protection locked="0"/>
    </xf>
    <xf numFmtId="176" fontId="47" fillId="28" borderId="33" xfId="0" applyNumberFormat="1" applyFont="1" applyFill="1" applyBorder="1" applyAlignment="1" applyProtection="1">
      <alignment horizontal="right" vertical="center" wrapText="1"/>
      <protection locked="0"/>
    </xf>
    <xf numFmtId="176" fontId="47" fillId="28" borderId="35" xfId="0" applyNumberFormat="1" applyFont="1" applyFill="1" applyBorder="1" applyAlignment="1" applyProtection="1">
      <alignment horizontal="right" vertical="center" wrapText="1"/>
      <protection locked="0"/>
    </xf>
    <xf numFmtId="176" fontId="47" fillId="28" borderId="152" xfId="0" applyNumberFormat="1" applyFont="1" applyFill="1" applyBorder="1" applyAlignment="1" applyProtection="1">
      <alignment horizontal="right" vertical="center" wrapText="1"/>
      <protection locked="0"/>
    </xf>
    <xf numFmtId="176" fontId="47" fillId="28" borderId="153" xfId="0" applyNumberFormat="1" applyFont="1" applyFill="1" applyBorder="1" applyAlignment="1" applyProtection="1">
      <alignment horizontal="right" vertical="center" wrapText="1"/>
      <protection locked="0"/>
    </xf>
    <xf numFmtId="176" fontId="47" fillId="28" borderId="55" xfId="0" applyNumberFormat="1" applyFont="1" applyFill="1" applyBorder="1" applyAlignment="1" applyProtection="1">
      <alignment horizontal="right" vertical="center" wrapText="1"/>
      <protection locked="0"/>
    </xf>
    <xf numFmtId="176" fontId="47" fillId="28" borderId="53" xfId="0" applyNumberFormat="1" applyFont="1" applyFill="1" applyBorder="1" applyAlignment="1" applyProtection="1">
      <alignment horizontal="right" vertical="center" wrapText="1"/>
      <protection locked="0"/>
    </xf>
    <xf numFmtId="176" fontId="47" fillId="28" borderId="54" xfId="0" applyNumberFormat="1" applyFont="1" applyFill="1" applyBorder="1" applyAlignment="1" applyProtection="1">
      <alignment horizontal="right" vertical="center" wrapText="1"/>
      <protection locked="0"/>
    </xf>
    <xf numFmtId="176" fontId="47" fillId="28" borderId="85" xfId="0" applyNumberFormat="1" applyFont="1" applyFill="1" applyBorder="1" applyAlignment="1" applyProtection="1">
      <alignment horizontal="right" vertical="center" wrapText="1"/>
      <protection locked="0"/>
    </xf>
    <xf numFmtId="49" fontId="47" fillId="28" borderId="100" xfId="0" applyNumberFormat="1" applyFont="1" applyFill="1" applyBorder="1" applyAlignment="1" applyProtection="1">
      <alignment horizontal="left" vertical="top" wrapText="1"/>
      <protection locked="0"/>
    </xf>
    <xf numFmtId="49" fontId="47" fillId="28" borderId="101" xfId="0" applyNumberFormat="1" applyFont="1" applyFill="1" applyBorder="1" applyAlignment="1" applyProtection="1">
      <alignment horizontal="left" vertical="top" wrapText="1"/>
      <protection locked="0"/>
    </xf>
    <xf numFmtId="176" fontId="47" fillId="28" borderId="102" xfId="0" applyNumberFormat="1" applyFont="1" applyFill="1" applyBorder="1" applyAlignment="1" applyProtection="1">
      <alignment horizontal="right" vertical="center" wrapText="1"/>
      <protection locked="0"/>
    </xf>
    <xf numFmtId="176" fontId="47" fillId="28" borderId="75" xfId="0" applyNumberFormat="1" applyFont="1" applyFill="1" applyBorder="1" applyAlignment="1" applyProtection="1">
      <alignment horizontal="right" vertical="center" wrapText="1"/>
      <protection locked="0"/>
    </xf>
    <xf numFmtId="176" fontId="47" fillId="28" borderId="154" xfId="0" applyNumberFormat="1" applyFont="1" applyFill="1" applyBorder="1" applyAlignment="1" applyProtection="1">
      <alignment horizontal="right" vertical="center" wrapText="1"/>
      <protection locked="0"/>
    </xf>
    <xf numFmtId="176" fontId="47" fillId="28" borderId="155" xfId="0" applyNumberFormat="1" applyFont="1" applyFill="1" applyBorder="1" applyAlignment="1" applyProtection="1">
      <alignment horizontal="right" vertical="center" wrapText="1"/>
      <protection locked="0"/>
    </xf>
    <xf numFmtId="176" fontId="47" fillId="28" borderId="64" xfId="0" applyNumberFormat="1" applyFont="1" applyFill="1" applyBorder="1" applyAlignment="1" applyProtection="1">
      <alignment horizontal="right" vertical="center" wrapText="1"/>
      <protection locked="0"/>
    </xf>
    <xf numFmtId="176" fontId="47" fillId="28" borderId="62" xfId="0" applyNumberFormat="1" applyFont="1" applyFill="1" applyBorder="1" applyAlignment="1" applyProtection="1">
      <alignment horizontal="right" vertical="center" wrapText="1"/>
      <protection locked="0"/>
    </xf>
    <xf numFmtId="176" fontId="47" fillId="28" borderId="63" xfId="0" applyNumberFormat="1" applyFont="1" applyFill="1" applyBorder="1" applyAlignment="1" applyProtection="1">
      <alignment horizontal="right" vertical="center" wrapText="1"/>
      <protection locked="0"/>
    </xf>
    <xf numFmtId="176" fontId="47" fillId="28" borderId="86" xfId="0" applyNumberFormat="1" applyFont="1" applyFill="1" applyBorder="1" applyAlignment="1" applyProtection="1">
      <alignment horizontal="right" vertical="center" wrapText="1"/>
      <protection locked="0"/>
    </xf>
    <xf numFmtId="176" fontId="63" fillId="24" borderId="156" xfId="0" applyNumberFormat="1" applyFont="1" applyFill="1" applyBorder="1" applyAlignment="1" applyProtection="1">
      <alignment horizontal="right" vertical="center" wrapText="1"/>
      <protection locked="0"/>
    </xf>
    <xf numFmtId="0" fontId="42" fillId="25" borderId="92" xfId="0" applyFont="1" applyFill="1" applyBorder="1" applyAlignment="1">
      <alignment horizontal="center"/>
    </xf>
    <xf numFmtId="0" fontId="42" fillId="25" borderId="96" xfId="0" applyFont="1" applyFill="1" applyBorder="1" applyAlignment="1">
      <alignment horizontal="center" wrapText="1"/>
    </xf>
    <xf numFmtId="0" fontId="46" fillId="39" borderId="43" xfId="127" applyBorder="1">
      <alignment vertical="center"/>
    </xf>
    <xf numFmtId="0" fontId="46" fillId="39" borderId="36" xfId="127" applyBorder="1">
      <alignment vertical="center"/>
    </xf>
    <xf numFmtId="0" fontId="46" fillId="39" borderId="38" xfId="127" applyBorder="1">
      <alignment vertical="center"/>
    </xf>
    <xf numFmtId="175" fontId="48" fillId="23" borderId="41" xfId="85" applyBorder="1">
      <alignment horizontal="right"/>
      <protection locked="0"/>
    </xf>
    <xf numFmtId="175" fontId="48" fillId="23" borderId="67" xfId="85" applyBorder="1">
      <alignment horizontal="right"/>
      <protection locked="0"/>
    </xf>
    <xf numFmtId="175" fontId="48" fillId="23" borderId="84" xfId="85" applyBorder="1">
      <alignment horizontal="right"/>
      <protection locked="0"/>
    </xf>
    <xf numFmtId="175" fontId="48" fillId="23" borderId="52" xfId="85" applyBorder="1">
      <alignment horizontal="right"/>
      <protection locked="0"/>
    </xf>
    <xf numFmtId="175" fontId="48" fillId="23" borderId="55" xfId="85" applyBorder="1">
      <alignment horizontal="right"/>
      <protection locked="0"/>
    </xf>
    <xf numFmtId="175" fontId="48" fillId="23" borderId="85" xfId="85" applyBorder="1">
      <alignment horizontal="right"/>
      <protection locked="0"/>
    </xf>
    <xf numFmtId="175" fontId="48" fillId="23" borderId="42" xfId="85" applyBorder="1">
      <alignment horizontal="right"/>
      <protection locked="0"/>
    </xf>
    <xf numFmtId="175" fontId="48" fillId="23" borderId="64" xfId="85" applyBorder="1">
      <alignment horizontal="right"/>
      <protection locked="0"/>
    </xf>
    <xf numFmtId="175" fontId="48" fillId="23" borderId="86" xfId="85" applyBorder="1">
      <alignment horizontal="right"/>
      <protection locked="0"/>
    </xf>
    <xf numFmtId="0" fontId="46" fillId="39" borderId="92" xfId="127" applyBorder="1">
      <alignment vertical="center"/>
    </xf>
    <xf numFmtId="0" fontId="46" fillId="39" borderId="96" xfId="127" applyBorder="1">
      <alignment vertical="center"/>
    </xf>
    <xf numFmtId="4" fontId="47" fillId="28" borderId="69" xfId="0" applyNumberFormat="1" applyFont="1" applyFill="1" applyBorder="1" applyAlignment="1" applyProtection="1">
      <alignment vertical="top" wrapText="1"/>
      <protection locked="0"/>
    </xf>
    <xf numFmtId="4" fontId="47" fillId="28" borderId="70" xfId="0" applyNumberFormat="1" applyFont="1" applyFill="1" applyBorder="1" applyAlignment="1" applyProtection="1">
      <alignment vertical="top" wrapText="1"/>
      <protection locked="0"/>
    </xf>
    <xf numFmtId="4" fontId="47" fillId="28" borderId="143" xfId="0" applyNumberFormat="1" applyFont="1" applyFill="1" applyBorder="1" applyAlignment="1" applyProtection="1">
      <alignment vertical="top" wrapText="1"/>
      <protection locked="0"/>
    </xf>
    <xf numFmtId="0" fontId="60" fillId="20" borderId="43" xfId="130">
      <alignment vertical="center"/>
    </xf>
    <xf numFmtId="0" fontId="23" fillId="0" borderId="0" xfId="32" applyFill="1">
      <alignment horizontal="left" vertical="center"/>
    </xf>
    <xf numFmtId="0" fontId="57" fillId="25" borderId="92" xfId="0" applyFont="1" applyFill="1" applyBorder="1" applyAlignment="1">
      <alignment horizontal="left"/>
    </xf>
    <xf numFmtId="0" fontId="55" fillId="24" borderId="147" xfId="0" applyFont="1" applyFill="1" applyBorder="1" applyAlignment="1">
      <alignment horizontal="center" vertical="center" wrapText="1"/>
    </xf>
    <xf numFmtId="0" fontId="47" fillId="29" borderId="163" xfId="0" applyFont="1" applyFill="1" applyBorder="1" applyAlignment="1" applyProtection="1">
      <alignment horizontal="left" vertical="top" wrapText="1"/>
      <protection locked="0"/>
    </xf>
    <xf numFmtId="49" fontId="47" fillId="28" borderId="163" xfId="0" applyNumberFormat="1" applyFont="1" applyFill="1" applyBorder="1" applyAlignment="1" applyProtection="1">
      <alignment horizontal="left" vertical="top" wrapText="1"/>
      <protection locked="0"/>
    </xf>
    <xf numFmtId="49" fontId="47" fillId="28" borderId="171" xfId="0" applyNumberFormat="1" applyFont="1" applyFill="1" applyBorder="1" applyAlignment="1" applyProtection="1">
      <alignment horizontal="left" vertical="top" wrapText="1"/>
      <protection locked="0"/>
    </xf>
    <xf numFmtId="0" fontId="47" fillId="29" borderId="168" xfId="0" applyFont="1" applyFill="1" applyBorder="1" applyAlignment="1" applyProtection="1">
      <alignment horizontal="left" vertical="top" wrapText="1"/>
      <protection locked="0"/>
    </xf>
    <xf numFmtId="0" fontId="47" fillId="29" borderId="105" xfId="0" applyFont="1" applyFill="1" applyBorder="1" applyAlignment="1" applyProtection="1">
      <alignment horizontal="left" vertical="top" wrapText="1"/>
      <protection locked="0"/>
    </xf>
    <xf numFmtId="0" fontId="47" fillId="29" borderId="164" xfId="131" applyNumberFormat="1" applyFont="1" applyFill="1" applyBorder="1" applyAlignment="1" applyProtection="1">
      <alignment horizontal="left" vertical="top" wrapText="1"/>
      <protection locked="0"/>
    </xf>
    <xf numFmtId="0" fontId="47" fillId="29" borderId="169" xfId="131" applyNumberFormat="1" applyFont="1" applyFill="1" applyBorder="1" applyAlignment="1" applyProtection="1">
      <alignment horizontal="left" vertical="top" wrapText="1"/>
      <protection locked="0"/>
    </xf>
    <xf numFmtId="0" fontId="47" fillId="29" borderId="106" xfId="131" applyNumberFormat="1" applyFont="1" applyFill="1" applyBorder="1" applyAlignment="1" applyProtection="1">
      <alignment horizontal="left" vertical="top" wrapText="1"/>
      <protection locked="0"/>
    </xf>
    <xf numFmtId="0" fontId="47" fillId="29" borderId="164" xfId="0" applyFont="1" applyFill="1" applyBorder="1" applyAlignment="1" applyProtection="1">
      <alignment horizontal="left" vertical="top" wrapText="1"/>
      <protection locked="0"/>
    </xf>
    <xf numFmtId="0" fontId="47" fillId="29" borderId="169" xfId="0" applyFont="1" applyFill="1" applyBorder="1" applyAlignment="1" applyProtection="1">
      <alignment horizontal="left" vertical="top" wrapText="1"/>
      <protection locked="0"/>
    </xf>
    <xf numFmtId="0" fontId="47" fillId="29" borderId="106" xfId="0" applyFont="1" applyFill="1" applyBorder="1" applyAlignment="1" applyProtection="1">
      <alignment horizontal="left" vertical="top" wrapText="1"/>
      <protection locked="0"/>
    </xf>
    <xf numFmtId="0" fontId="47" fillId="28" borderId="164" xfId="0" applyFont="1" applyFill="1" applyBorder="1" applyAlignment="1" applyProtection="1">
      <alignment horizontal="left" vertical="top" wrapText="1"/>
      <protection locked="0"/>
    </xf>
    <xf numFmtId="0" fontId="47" fillId="28" borderId="169" xfId="0" applyFont="1" applyFill="1" applyBorder="1" applyAlignment="1" applyProtection="1">
      <alignment horizontal="left" vertical="top" wrapText="1"/>
      <protection locked="0"/>
    </xf>
    <xf numFmtId="0" fontId="47" fillId="28" borderId="106" xfId="0" applyFont="1" applyFill="1" applyBorder="1" applyAlignment="1" applyProtection="1">
      <alignment horizontal="left" vertical="top" wrapText="1"/>
      <protection locked="0"/>
    </xf>
    <xf numFmtId="0" fontId="47" fillId="28" borderId="172" xfId="0" applyFont="1" applyFill="1" applyBorder="1" applyAlignment="1" applyProtection="1">
      <alignment horizontal="left" vertical="top" wrapText="1"/>
      <protection locked="0"/>
    </xf>
    <xf numFmtId="0" fontId="47" fillId="28" borderId="170" xfId="0" applyFont="1" applyFill="1" applyBorder="1" applyAlignment="1" applyProtection="1">
      <alignment horizontal="left" vertical="top" wrapText="1"/>
      <protection locked="0"/>
    </xf>
    <xf numFmtId="0" fontId="47" fillId="28" borderId="156" xfId="0" applyFont="1" applyFill="1" applyBorder="1" applyAlignment="1" applyProtection="1">
      <alignment horizontal="left" vertical="top" wrapText="1"/>
      <protection locked="0"/>
    </xf>
    <xf numFmtId="49" fontId="47" fillId="28" borderId="69" xfId="0" applyNumberFormat="1" applyFont="1" applyFill="1" applyBorder="1" applyAlignment="1" applyProtection="1">
      <alignment horizontal="left" vertical="center"/>
      <protection locked="0"/>
    </xf>
    <xf numFmtId="0" fontId="32" fillId="0" borderId="0" xfId="37" applyAlignment="1">
      <alignment horizontal="right" vertical="center"/>
    </xf>
    <xf numFmtId="169" fontId="78" fillId="42" borderId="183" xfId="14" applyNumberFormat="1" applyBorder="1">
      <alignment horizontal="right" vertical="center"/>
      <protection locked="0"/>
    </xf>
    <xf numFmtId="175" fontId="48" fillId="23" borderId="60" xfId="85" applyBorder="1">
      <alignment horizontal="right"/>
      <protection locked="0"/>
    </xf>
    <xf numFmtId="43" fontId="39" fillId="0" borderId="0" xfId="57" applyNumberFormat="1"/>
    <xf numFmtId="0" fontId="32" fillId="0" borderId="0" xfId="37" applyAlignment="1">
      <alignment horizontal="left" vertical="center" indent="1"/>
    </xf>
    <xf numFmtId="0" fontId="44" fillId="20" borderId="0" xfId="93" applyFont="1">
      <alignment vertical="center"/>
      <protection locked="0"/>
    </xf>
    <xf numFmtId="0" fontId="10" fillId="0" borderId="161" xfId="0" applyFont="1" applyBorder="1" applyAlignment="1">
      <alignment horizontal="center" vertical="center" wrapText="1"/>
    </xf>
    <xf numFmtId="0" fontId="10" fillId="0" borderId="148" xfId="0" applyFont="1" applyBorder="1" applyAlignment="1">
      <alignment horizontal="center" vertical="center" wrapText="1"/>
    </xf>
    <xf numFmtId="0" fontId="10" fillId="0" borderId="162" xfId="0" applyFont="1" applyBorder="1" applyAlignment="1">
      <alignment horizontal="center" vertical="center" wrapText="1"/>
    </xf>
    <xf numFmtId="0" fontId="47" fillId="28" borderId="69" xfId="0" applyFont="1" applyFill="1" applyBorder="1" applyAlignment="1" applyProtection="1">
      <alignment horizontal="left" vertical="top" wrapText="1" indent="2"/>
      <protection locked="0"/>
    </xf>
    <xf numFmtId="0" fontId="47" fillId="28" borderId="31" xfId="0" applyFont="1" applyFill="1" applyBorder="1" applyAlignment="1" applyProtection="1">
      <alignment horizontal="left" vertical="top" wrapText="1" indent="2"/>
      <protection locked="0"/>
    </xf>
    <xf numFmtId="2" fontId="47" fillId="28" borderId="31" xfId="0" applyNumberFormat="1" applyFont="1" applyFill="1" applyBorder="1" applyAlignment="1" applyProtection="1">
      <alignment horizontal="right" vertical="center" wrapText="1" indent="2"/>
      <protection locked="0"/>
    </xf>
    <xf numFmtId="2" fontId="20" fillId="32" borderId="30" xfId="0" applyNumberFormat="1" applyFont="1" applyFill="1" applyBorder="1"/>
    <xf numFmtId="0" fontId="47" fillId="28" borderId="70" xfId="0" applyFont="1" applyFill="1" applyBorder="1" applyAlignment="1" applyProtection="1">
      <alignment horizontal="left" vertical="top" wrapText="1" indent="2"/>
      <protection locked="0"/>
    </xf>
    <xf numFmtId="0" fontId="47" fillId="28" borderId="35" xfId="0" applyFont="1" applyFill="1" applyBorder="1" applyAlignment="1" applyProtection="1">
      <alignment horizontal="left" vertical="top" wrapText="1" indent="2"/>
      <protection locked="0"/>
    </xf>
    <xf numFmtId="2" fontId="20" fillId="32" borderId="35" xfId="0" applyNumberFormat="1" applyFont="1" applyFill="1" applyBorder="1"/>
    <xf numFmtId="2" fontId="20" fillId="32" borderId="34" xfId="0" applyNumberFormat="1" applyFont="1" applyFill="1" applyBorder="1"/>
    <xf numFmtId="0" fontId="47" fillId="28" borderId="100" xfId="0" applyFont="1" applyFill="1" applyBorder="1" applyAlignment="1" applyProtection="1">
      <alignment horizontal="left" vertical="top" wrapText="1" indent="2"/>
      <protection locked="0"/>
    </xf>
    <xf numFmtId="0" fontId="47" fillId="28" borderId="75" xfId="0" applyFont="1" applyFill="1" applyBorder="1" applyAlignment="1" applyProtection="1">
      <alignment horizontal="left" vertical="top" wrapText="1" indent="2"/>
      <protection locked="0"/>
    </xf>
    <xf numFmtId="2" fontId="20" fillId="32" borderId="75" xfId="0" applyNumberFormat="1" applyFont="1" applyFill="1" applyBorder="1"/>
    <xf numFmtId="2" fontId="20" fillId="32" borderId="101" xfId="0" applyNumberFormat="1" applyFont="1" applyFill="1" applyBorder="1"/>
    <xf numFmtId="0" fontId="47" fillId="28" borderId="142" xfId="0" applyFont="1" applyFill="1" applyBorder="1" applyAlignment="1" applyProtection="1">
      <alignment horizontal="left" vertical="top" wrapText="1" indent="2"/>
      <protection locked="0"/>
    </xf>
    <xf numFmtId="0" fontId="10" fillId="0" borderId="1" xfId="0" applyFont="1" applyBorder="1" applyAlignment="1">
      <alignment horizontal="center" vertical="center" wrapText="1"/>
    </xf>
    <xf numFmtId="0" fontId="10" fillId="0" borderId="1" xfId="0" applyFont="1" applyBorder="1" applyAlignment="1">
      <alignment horizontal="right" vertical="center" wrapText="1"/>
    </xf>
    <xf numFmtId="3" fontId="47" fillId="28" borderId="142" xfId="0" applyNumberFormat="1" applyFont="1" applyFill="1" applyBorder="1" applyAlignment="1" applyProtection="1">
      <alignment horizontal="right" vertical="top" wrapText="1"/>
      <protection locked="0"/>
    </xf>
    <xf numFmtId="3" fontId="47" fillId="0" borderId="142" xfId="0" applyNumberFormat="1" applyFont="1" applyBorder="1" applyAlignment="1" applyProtection="1">
      <alignment horizontal="right" vertical="top" wrapText="1"/>
      <protection locked="0"/>
    </xf>
    <xf numFmtId="3" fontId="47" fillId="28" borderId="35" xfId="0" applyNumberFormat="1" applyFont="1" applyFill="1" applyBorder="1" applyAlignment="1" applyProtection="1">
      <alignment horizontal="right" vertical="top" wrapText="1"/>
      <protection locked="0"/>
    </xf>
    <xf numFmtId="3" fontId="47" fillId="0" borderId="35" xfId="0" applyNumberFormat="1" applyFont="1" applyBorder="1" applyAlignment="1" applyProtection="1">
      <alignment horizontal="right" vertical="top" wrapText="1"/>
      <protection locked="0"/>
    </xf>
    <xf numFmtId="3" fontId="47" fillId="28" borderId="75" xfId="0" applyNumberFormat="1" applyFont="1" applyFill="1" applyBorder="1" applyAlignment="1" applyProtection="1">
      <alignment horizontal="right" vertical="top" wrapText="1"/>
      <protection locked="0"/>
    </xf>
    <xf numFmtId="3" fontId="47" fillId="0" borderId="75" xfId="0" applyNumberFormat="1" applyFont="1" applyBorder="1" applyAlignment="1" applyProtection="1">
      <alignment horizontal="right" vertical="top" wrapText="1"/>
      <protection locked="0"/>
    </xf>
    <xf numFmtId="3" fontId="47" fillId="28" borderId="31" xfId="0" applyNumberFormat="1" applyFont="1" applyFill="1" applyBorder="1" applyAlignment="1" applyProtection="1">
      <alignment horizontal="center" vertical="top" wrapText="1"/>
      <protection locked="0"/>
    </xf>
    <xf numFmtId="3" fontId="47" fillId="28" borderId="35" xfId="0" applyNumberFormat="1" applyFont="1" applyFill="1" applyBorder="1" applyAlignment="1" applyProtection="1">
      <alignment horizontal="center" vertical="top" wrapText="1"/>
      <protection locked="0"/>
    </xf>
    <xf numFmtId="3" fontId="47" fillId="28" borderId="75" xfId="0" applyNumberFormat="1" applyFont="1" applyFill="1" applyBorder="1" applyAlignment="1" applyProtection="1">
      <alignment horizontal="center" vertical="top" wrapText="1"/>
      <protection locked="0"/>
    </xf>
    <xf numFmtId="3" fontId="47" fillId="28" borderId="31" xfId="0" applyNumberFormat="1" applyFont="1" applyFill="1" applyBorder="1" applyAlignment="1" applyProtection="1">
      <alignment horizontal="right" vertical="center" wrapText="1"/>
      <protection locked="0"/>
    </xf>
    <xf numFmtId="3" fontId="20" fillId="32" borderId="30" xfId="0" applyNumberFormat="1" applyFont="1" applyFill="1" applyBorder="1"/>
    <xf numFmtId="3" fontId="20" fillId="32" borderId="35" xfId="0" applyNumberFormat="1" applyFont="1" applyFill="1" applyBorder="1"/>
    <xf numFmtId="3" fontId="20" fillId="32" borderId="34" xfId="0" applyNumberFormat="1" applyFont="1" applyFill="1" applyBorder="1"/>
    <xf numFmtId="3" fontId="20" fillId="32" borderId="75" xfId="0" applyNumberFormat="1" applyFont="1" applyFill="1" applyBorder="1"/>
    <xf numFmtId="3" fontId="20" fillId="32" borderId="101" xfId="0" applyNumberFormat="1" applyFont="1" applyFill="1" applyBorder="1"/>
    <xf numFmtId="169" fontId="39" fillId="0" borderId="0" xfId="57" applyNumberFormat="1"/>
    <xf numFmtId="169" fontId="32" fillId="0" borderId="183" xfId="13" applyNumberFormat="1" applyFill="1" applyBorder="1">
      <alignment horizontal="right" vertical="center"/>
    </xf>
    <xf numFmtId="169" fontId="32" fillId="0" borderId="184" xfId="13" applyNumberFormat="1" applyFill="1" applyBorder="1">
      <alignment horizontal="right" vertical="center"/>
    </xf>
    <xf numFmtId="0" fontId="76" fillId="28" borderId="35" xfId="0" applyFont="1" applyFill="1" applyBorder="1" applyAlignment="1" applyProtection="1">
      <alignment horizontal="left" vertical="top" wrapText="1" indent="2"/>
      <protection locked="0"/>
    </xf>
    <xf numFmtId="169" fontId="32" fillId="0" borderId="185" xfId="13" applyNumberFormat="1" applyFill="1" applyBorder="1">
      <alignment horizontal="right" vertical="center"/>
    </xf>
    <xf numFmtId="169" fontId="32" fillId="0" borderId="186" xfId="13" applyNumberFormat="1" applyFill="1" applyBorder="1">
      <alignment horizontal="right" vertical="center"/>
    </xf>
    <xf numFmtId="169" fontId="32" fillId="0" borderId="187" xfId="13" applyNumberFormat="1" applyFill="1" applyBorder="1">
      <alignment horizontal="right" vertical="center"/>
    </xf>
    <xf numFmtId="0" fontId="47" fillId="28" borderId="100" xfId="0" applyFont="1" applyFill="1" applyBorder="1" applyAlignment="1" applyProtection="1">
      <alignment horizontal="left" vertical="center"/>
      <protection locked="0"/>
    </xf>
    <xf numFmtId="0" fontId="77" fillId="0" borderId="0" xfId="37" applyFont="1">
      <alignment vertical="center"/>
    </xf>
    <xf numFmtId="0" fontId="47" fillId="28" borderId="29" xfId="0" applyFont="1" applyFill="1" applyBorder="1" applyAlignment="1" applyProtection="1">
      <alignment horizontal="left" vertical="center"/>
      <protection locked="0"/>
    </xf>
    <xf numFmtId="0" fontId="47" fillId="28" borderId="33" xfId="0" applyFont="1" applyFill="1" applyBorder="1" applyAlignment="1" applyProtection="1">
      <alignment vertical="top" wrapText="1"/>
      <protection locked="0"/>
    </xf>
    <xf numFmtId="0" fontId="47" fillId="28" borderId="33" xfId="0" applyFont="1" applyFill="1" applyBorder="1" applyAlignment="1" applyProtection="1">
      <alignment horizontal="left" vertical="center"/>
      <protection locked="0"/>
    </xf>
    <xf numFmtId="0" fontId="47" fillId="28" borderId="141" xfId="0" applyFont="1" applyFill="1" applyBorder="1" applyAlignment="1" applyProtection="1">
      <alignment horizontal="left" vertical="center"/>
      <protection locked="0"/>
    </xf>
    <xf numFmtId="0" fontId="46" fillId="24" borderId="43" xfId="0" applyFont="1" applyFill="1" applyBorder="1" applyAlignment="1">
      <alignment horizontal="left" vertical="center" wrapText="1"/>
    </xf>
    <xf numFmtId="0" fontId="46" fillId="24" borderId="188" xfId="0" applyFont="1" applyFill="1" applyBorder="1" applyAlignment="1">
      <alignment horizontal="left" vertical="center" wrapText="1"/>
    </xf>
    <xf numFmtId="0" fontId="39" fillId="0" borderId="0" xfId="57" quotePrefix="1"/>
    <xf numFmtId="0" fontId="72" fillId="0" borderId="0" xfId="37" applyFont="1">
      <alignment vertical="center"/>
    </xf>
    <xf numFmtId="175" fontId="48" fillId="17" borderId="74" xfId="85" applyFill="1" applyBorder="1">
      <alignment horizontal="right"/>
      <protection locked="0"/>
    </xf>
    <xf numFmtId="175" fontId="48" fillId="23" borderId="192" xfId="85" applyBorder="1">
      <alignment horizontal="right"/>
      <protection locked="0"/>
    </xf>
    <xf numFmtId="175" fontId="48" fillId="23" borderId="193" xfId="85" applyBorder="1">
      <alignment horizontal="right"/>
      <protection locked="0"/>
    </xf>
    <xf numFmtId="175" fontId="48" fillId="23" borderId="194" xfId="85" applyBorder="1">
      <alignment horizontal="right"/>
      <protection locked="0"/>
    </xf>
    <xf numFmtId="175" fontId="48" fillId="23" borderId="195" xfId="85" applyBorder="1">
      <alignment horizontal="right"/>
      <protection locked="0"/>
    </xf>
    <xf numFmtId="175" fontId="48" fillId="23" borderId="196" xfId="85" applyBorder="1">
      <alignment horizontal="right"/>
      <protection locked="0"/>
    </xf>
    <xf numFmtId="175" fontId="48" fillId="23" borderId="197" xfId="85" applyBorder="1">
      <alignment horizontal="right"/>
      <protection locked="0"/>
    </xf>
    <xf numFmtId="175" fontId="48" fillId="23" borderId="177" xfId="85" applyBorder="1">
      <alignment horizontal="right"/>
      <protection locked="0"/>
    </xf>
    <xf numFmtId="175" fontId="48" fillId="23" borderId="178" xfId="85" applyBorder="1">
      <alignment horizontal="right"/>
      <protection locked="0"/>
    </xf>
    <xf numFmtId="175" fontId="48" fillId="23" borderId="179" xfId="85" applyBorder="1">
      <alignment horizontal="right"/>
      <protection locked="0"/>
    </xf>
    <xf numFmtId="49" fontId="47" fillId="29" borderId="81" xfId="128" applyBorder="1" applyAlignment="1">
      <alignment horizontal="left" vertical="center" wrapText="1" indent="1"/>
      <protection locked="0"/>
    </xf>
    <xf numFmtId="179" fontId="78" fillId="0" borderId="0" xfId="47" applyNumberFormat="1" applyFill="1" applyAlignment="1">
      <alignment horizontal="center" vertical="center"/>
    </xf>
    <xf numFmtId="0" fontId="47" fillId="0" borderId="181" xfId="129">
      <alignment horizontal="left" vertical="center" wrapText="1" indent="1"/>
    </xf>
    <xf numFmtId="175" fontId="48" fillId="23" borderId="143" xfId="85" applyBorder="1">
      <alignment horizontal="right"/>
      <protection locked="0"/>
    </xf>
    <xf numFmtId="0" fontId="46" fillId="43" borderId="22" xfId="0" applyFont="1" applyFill="1" applyBorder="1" applyAlignment="1">
      <alignment horizontal="right" vertical="center" wrapText="1"/>
    </xf>
    <xf numFmtId="0" fontId="46" fillId="43" borderId="23" xfId="0" applyFont="1" applyFill="1" applyBorder="1" applyAlignment="1">
      <alignment horizontal="right" vertical="center" wrapText="1"/>
    </xf>
    <xf numFmtId="0" fontId="46" fillId="43" borderId="24" xfId="0" applyFont="1" applyFill="1" applyBorder="1" applyAlignment="1">
      <alignment horizontal="right" vertical="center" wrapText="1"/>
    </xf>
    <xf numFmtId="0" fontId="46" fillId="43" borderId="25" xfId="0" applyFont="1" applyFill="1" applyBorder="1" applyAlignment="1">
      <alignment horizontal="right" vertical="center" wrapText="1"/>
    </xf>
    <xf numFmtId="0" fontId="46" fillId="43" borderId="26" xfId="0" applyFont="1" applyFill="1" applyBorder="1" applyAlignment="1">
      <alignment horizontal="right" vertical="center" wrapText="1"/>
    </xf>
    <xf numFmtId="0" fontId="46" fillId="43" borderId="19" xfId="0" applyFont="1" applyFill="1" applyBorder="1" applyAlignment="1">
      <alignment horizontal="centerContinuous" vertical="center" wrapText="1"/>
    </xf>
    <xf numFmtId="0" fontId="46" fillId="43" borderId="20" xfId="0" applyFont="1" applyFill="1" applyBorder="1" applyAlignment="1">
      <alignment horizontal="centerContinuous" vertical="center" wrapText="1"/>
    </xf>
    <xf numFmtId="0" fontId="46" fillId="43" borderId="21" xfId="0" applyFont="1" applyFill="1" applyBorder="1" applyAlignment="1">
      <alignment horizontal="centerContinuous" vertical="center" wrapText="1"/>
    </xf>
    <xf numFmtId="0" fontId="47" fillId="0" borderId="161" xfId="0" applyFont="1" applyBorder="1" applyAlignment="1">
      <alignment horizontal="right" vertical="center" indent="1"/>
    </xf>
    <xf numFmtId="0" fontId="60" fillId="44" borderId="43" xfId="132" applyBorder="1">
      <alignment vertical="center"/>
    </xf>
    <xf numFmtId="0" fontId="60" fillId="44" borderId="36" xfId="132" applyBorder="1">
      <alignment vertical="center"/>
    </xf>
    <xf numFmtId="0" fontId="60" fillId="44" borderId="38" xfId="132" applyBorder="1">
      <alignment vertical="center"/>
    </xf>
    <xf numFmtId="0" fontId="10" fillId="25" borderId="0" xfId="0" applyFont="1" applyFill="1" applyAlignment="1">
      <alignment horizontal="left" vertical="center" indent="1"/>
    </xf>
    <xf numFmtId="0" fontId="10" fillId="25" borderId="20" xfId="0" applyFont="1" applyFill="1" applyBorder="1" applyAlignment="1">
      <alignment horizontal="left" vertical="center" indent="1"/>
    </xf>
    <xf numFmtId="0" fontId="10" fillId="25" borderId="21" xfId="0" applyFont="1" applyFill="1" applyBorder="1" applyAlignment="1">
      <alignment horizontal="left" vertical="center" indent="1"/>
    </xf>
    <xf numFmtId="0" fontId="83" fillId="25" borderId="19" xfId="0" applyFont="1" applyFill="1" applyBorder="1" applyAlignment="1">
      <alignment vertical="top" wrapText="1"/>
    </xf>
    <xf numFmtId="0" fontId="47" fillId="0" borderId="198" xfId="129" applyBorder="1">
      <alignment horizontal="left" vertical="center" wrapText="1" indent="1"/>
    </xf>
    <xf numFmtId="175" fontId="48" fillId="23" borderId="153" xfId="85" applyBorder="1">
      <alignment horizontal="right"/>
      <protection locked="0"/>
    </xf>
    <xf numFmtId="175" fontId="48" fillId="23" borderId="53" xfId="85" applyBorder="1">
      <alignment horizontal="right"/>
      <protection locked="0"/>
    </xf>
    <xf numFmtId="175" fontId="48" fillId="23" borderId="54" xfId="85" applyBorder="1">
      <alignment horizontal="right"/>
      <protection locked="0"/>
    </xf>
    <xf numFmtId="175" fontId="48" fillId="23" borderId="49" xfId="85" applyBorder="1">
      <alignment horizontal="right"/>
      <protection locked="0"/>
    </xf>
    <xf numFmtId="175" fontId="48" fillId="23" borderId="124" xfId="85" applyBorder="1">
      <alignment horizontal="right"/>
      <protection locked="0"/>
    </xf>
    <xf numFmtId="0" fontId="83" fillId="25" borderId="89" xfId="0" applyFont="1" applyFill="1" applyBorder="1" applyAlignment="1">
      <alignment vertical="top" wrapText="1"/>
    </xf>
    <xf numFmtId="0" fontId="47" fillId="0" borderId="200" xfId="129" applyBorder="1">
      <alignment horizontal="left" vertical="center" wrapText="1" indent="1"/>
    </xf>
    <xf numFmtId="175" fontId="48" fillId="23" borderId="202" xfId="85" applyBorder="1">
      <alignment horizontal="right"/>
      <protection locked="0"/>
    </xf>
    <xf numFmtId="175" fontId="48" fillId="23" borderId="203" xfId="85" applyBorder="1">
      <alignment horizontal="right"/>
      <protection locked="0"/>
    </xf>
    <xf numFmtId="175" fontId="48" fillId="23" borderId="189" xfId="85" applyBorder="1">
      <alignment horizontal="right"/>
      <protection locked="0"/>
    </xf>
    <xf numFmtId="175" fontId="48" fillId="23" borderId="204" xfId="85" applyBorder="1">
      <alignment horizontal="right"/>
      <protection locked="0"/>
    </xf>
    <xf numFmtId="175" fontId="48" fillId="23" borderId="205" xfId="85" applyBorder="1">
      <alignment horizontal="right"/>
      <protection locked="0"/>
    </xf>
    <xf numFmtId="0" fontId="47" fillId="0" borderId="206" xfId="129" applyBorder="1">
      <alignment horizontal="left" vertical="center" wrapText="1" indent="1"/>
    </xf>
    <xf numFmtId="175" fontId="48" fillId="23" borderId="150" xfId="85" applyBorder="1">
      <alignment horizontal="right"/>
      <protection locked="0"/>
    </xf>
    <xf numFmtId="175" fontId="48" fillId="23" borderId="50" xfId="85" applyBorder="1">
      <alignment horizontal="right"/>
      <protection locked="0"/>
    </xf>
    <xf numFmtId="175" fontId="48" fillId="23" borderId="48" xfId="85" applyBorder="1">
      <alignment horizontal="right"/>
      <protection locked="0"/>
    </xf>
    <xf numFmtId="175" fontId="48" fillId="23" borderId="58" xfId="85" applyBorder="1">
      <alignment horizontal="right"/>
      <protection locked="0"/>
    </xf>
    <xf numFmtId="175" fontId="48" fillId="23" borderId="59" xfId="85" applyBorder="1">
      <alignment horizontal="right"/>
      <protection locked="0"/>
    </xf>
    <xf numFmtId="175" fontId="48" fillId="45" borderId="153" xfId="85" applyFill="1" applyBorder="1">
      <alignment horizontal="right"/>
      <protection locked="0"/>
    </xf>
    <xf numFmtId="175" fontId="48" fillId="45" borderId="53" xfId="85" applyFill="1" applyBorder="1">
      <alignment horizontal="right"/>
      <protection locked="0"/>
    </xf>
    <xf numFmtId="175" fontId="48" fillId="45" borderId="54" xfId="85" applyFill="1" applyBorder="1">
      <alignment horizontal="right"/>
      <protection locked="0"/>
    </xf>
    <xf numFmtId="175" fontId="48" fillId="45" borderId="49" xfId="85" applyFill="1" applyBorder="1">
      <alignment horizontal="right"/>
      <protection locked="0"/>
    </xf>
    <xf numFmtId="175" fontId="48" fillId="45" borderId="124" xfId="85" applyFill="1" applyBorder="1">
      <alignment horizontal="right"/>
      <protection locked="0"/>
    </xf>
    <xf numFmtId="175" fontId="48" fillId="45" borderId="202" xfId="85" applyFill="1" applyBorder="1">
      <alignment horizontal="right"/>
      <protection locked="0"/>
    </xf>
    <xf numFmtId="175" fontId="48" fillId="45" borderId="203" xfId="85" applyFill="1" applyBorder="1">
      <alignment horizontal="right"/>
      <protection locked="0"/>
    </xf>
    <xf numFmtId="175" fontId="48" fillId="45" borderId="189" xfId="85" applyFill="1" applyBorder="1">
      <alignment horizontal="right"/>
      <protection locked="0"/>
    </xf>
    <xf numFmtId="175" fontId="48" fillId="45" borderId="204" xfId="85" applyFill="1" applyBorder="1">
      <alignment horizontal="right"/>
      <protection locked="0"/>
    </xf>
    <xf numFmtId="175" fontId="48" fillId="45" borderId="205" xfId="85" applyFill="1" applyBorder="1">
      <alignment horizontal="right"/>
      <protection locked="0"/>
    </xf>
    <xf numFmtId="49" fontId="47" fillId="29" borderId="82" xfId="128" applyBorder="1" applyAlignment="1">
      <alignment horizontal="left" vertical="center" wrapText="1" indent="4"/>
      <protection locked="0"/>
    </xf>
    <xf numFmtId="49" fontId="47" fillId="29" borderId="176" xfId="128" applyBorder="1" applyAlignment="1">
      <alignment horizontal="left" vertical="center" wrapText="1" indent="4"/>
      <protection locked="0"/>
    </xf>
    <xf numFmtId="49" fontId="47" fillId="29" borderId="83" xfId="128" applyBorder="1" applyAlignment="1">
      <alignment horizontal="left" vertical="center" wrapText="1" indent="4"/>
      <protection locked="0"/>
    </xf>
    <xf numFmtId="49" fontId="47" fillId="29" borderId="211" xfId="128" applyBorder="1" applyAlignment="1">
      <alignment horizontal="left" vertical="center" wrapText="1" indent="4"/>
      <protection locked="0"/>
    </xf>
    <xf numFmtId="175" fontId="48" fillId="23" borderId="155" xfId="85" applyBorder="1">
      <alignment horizontal="right"/>
      <protection locked="0"/>
    </xf>
    <xf numFmtId="175" fontId="48" fillId="23" borderId="62" xfId="85" applyBorder="1">
      <alignment horizontal="right"/>
      <protection locked="0"/>
    </xf>
    <xf numFmtId="175" fontId="48" fillId="23" borderId="63" xfId="85" applyBorder="1">
      <alignment horizontal="right"/>
      <protection locked="0"/>
    </xf>
    <xf numFmtId="0" fontId="61" fillId="43" borderId="140" xfId="122" applyFill="1">
      <alignment horizontal="right" vertical="center" wrapText="1" indent="1"/>
    </xf>
    <xf numFmtId="0" fontId="61" fillId="43" borderId="140" xfId="123" applyFill="1">
      <alignment horizontal="right" vertical="center" wrapText="1" indent="1"/>
    </xf>
    <xf numFmtId="0" fontId="61" fillId="43" borderId="19" xfId="0" applyFont="1" applyFill="1" applyBorder="1" applyAlignment="1">
      <alignment horizontal="centerContinuous" vertical="center" wrapText="1"/>
    </xf>
    <xf numFmtId="0" fontId="61" fillId="43" borderId="20" xfId="0" applyFont="1" applyFill="1" applyBorder="1" applyAlignment="1">
      <alignment horizontal="centerContinuous" vertical="center" wrapText="1"/>
    </xf>
    <xf numFmtId="0" fontId="61" fillId="43" borderId="21" xfId="0" applyFont="1" applyFill="1" applyBorder="1" applyAlignment="1">
      <alignment horizontal="centerContinuous" vertical="center" wrapText="1"/>
    </xf>
    <xf numFmtId="0" fontId="47" fillId="0" borderId="199" xfId="129" applyBorder="1" applyAlignment="1">
      <alignment horizontal="left" vertical="center" wrapText="1"/>
    </xf>
    <xf numFmtId="0" fontId="47" fillId="0" borderId="201" xfId="129" applyBorder="1" applyAlignment="1">
      <alignment horizontal="left" vertical="center" wrapText="1"/>
    </xf>
    <xf numFmtId="0" fontId="47" fillId="0" borderId="207" xfId="129" applyBorder="1" applyAlignment="1">
      <alignment horizontal="left" vertical="center" wrapText="1"/>
    </xf>
    <xf numFmtId="0" fontId="47" fillId="0" borderId="207" xfId="129" applyBorder="1" applyAlignment="1">
      <alignment horizontal="left" vertical="center"/>
    </xf>
    <xf numFmtId="0" fontId="47" fillId="0" borderId="199" xfId="129" applyBorder="1" applyAlignment="1">
      <alignment horizontal="left" vertical="center"/>
    </xf>
    <xf numFmtId="0" fontId="47" fillId="0" borderId="201" xfId="129" applyBorder="1" applyAlignment="1">
      <alignment horizontal="left" vertical="center"/>
    </xf>
    <xf numFmtId="49" fontId="47" fillId="29" borderId="133" xfId="128" applyBorder="1" applyAlignment="1">
      <alignment horizontal="left" vertical="center" wrapText="1"/>
      <protection locked="0"/>
    </xf>
    <xf numFmtId="49" fontId="47" fillId="29" borderId="210" xfId="128" applyBorder="1" applyAlignment="1">
      <alignment horizontal="left" vertical="center" wrapText="1"/>
      <protection locked="0"/>
    </xf>
    <xf numFmtId="49" fontId="47" fillId="29" borderId="212" xfId="128" applyBorder="1" applyAlignment="1">
      <alignment horizontal="left" vertical="center" wrapText="1"/>
      <protection locked="0"/>
    </xf>
    <xf numFmtId="179" fontId="32" fillId="0" borderId="4" xfId="13" applyNumberFormat="1" applyFill="1" applyBorder="1">
      <alignment horizontal="right" vertical="center"/>
    </xf>
    <xf numFmtId="179" fontId="32" fillId="0" borderId="39" xfId="13" applyNumberFormat="1" applyFill="1" applyBorder="1">
      <alignment horizontal="right" vertical="center"/>
    </xf>
    <xf numFmtId="179" fontId="32" fillId="0" borderId="40" xfId="13" applyNumberFormat="1" applyFill="1" applyBorder="1">
      <alignment horizontal="right" vertical="center"/>
    </xf>
    <xf numFmtId="0" fontId="46" fillId="43" borderId="22" xfId="0" applyFont="1" applyFill="1" applyBorder="1" applyAlignment="1">
      <alignment horizontal="center" vertical="center" wrapText="1"/>
    </xf>
    <xf numFmtId="0" fontId="46" fillId="43" borderId="23" xfId="0" applyFont="1" applyFill="1" applyBorder="1" applyAlignment="1">
      <alignment horizontal="center" vertical="center" wrapText="1"/>
    </xf>
    <xf numFmtId="0" fontId="46" fillId="43" borderId="24" xfId="0" applyFont="1" applyFill="1" applyBorder="1" applyAlignment="1">
      <alignment horizontal="center" vertical="center" wrapText="1"/>
    </xf>
    <xf numFmtId="0" fontId="46" fillId="43" borderId="25" xfId="0" applyFont="1" applyFill="1" applyBorder="1" applyAlignment="1">
      <alignment horizontal="center" vertical="center" wrapText="1"/>
    </xf>
    <xf numFmtId="0" fontId="46" fillId="43" borderId="26" xfId="0" applyFont="1" applyFill="1" applyBorder="1" applyAlignment="1">
      <alignment horizontal="center" vertical="center" wrapText="1"/>
    </xf>
    <xf numFmtId="3" fontId="63" fillId="25" borderId="12" xfId="0" applyNumberFormat="1" applyFont="1" applyFill="1" applyBorder="1" applyAlignment="1">
      <alignment horizontal="left" vertical="center"/>
    </xf>
    <xf numFmtId="3" fontId="63" fillId="25" borderId="111" xfId="0" applyNumberFormat="1" applyFont="1" applyFill="1" applyBorder="1" applyAlignment="1">
      <alignment vertical="center"/>
    </xf>
    <xf numFmtId="3" fontId="63" fillId="25" borderId="180" xfId="0" applyNumberFormat="1" applyFont="1" applyFill="1" applyBorder="1" applyAlignment="1">
      <alignment vertical="center"/>
    </xf>
    <xf numFmtId="0" fontId="47" fillId="25" borderId="12" xfId="0" applyFont="1" applyFill="1" applyBorder="1"/>
    <xf numFmtId="0" fontId="47" fillId="25" borderId="109" xfId="0" applyFont="1" applyFill="1" applyBorder="1"/>
    <xf numFmtId="0" fontId="47" fillId="25" borderId="169" xfId="0" applyFont="1" applyFill="1" applyBorder="1"/>
    <xf numFmtId="0" fontId="47" fillId="25" borderId="16" xfId="0" applyFont="1" applyFill="1" applyBorder="1"/>
    <xf numFmtId="0" fontId="47" fillId="25" borderId="213" xfId="0" applyFont="1" applyFill="1" applyBorder="1"/>
    <xf numFmtId="0" fontId="47" fillId="25" borderId="214" xfId="0" applyFont="1" applyFill="1" applyBorder="1"/>
    <xf numFmtId="0" fontId="47" fillId="25" borderId="89" xfId="0" applyFont="1" applyFill="1" applyBorder="1"/>
    <xf numFmtId="0" fontId="47" fillId="25" borderId="111" xfId="0" applyFont="1" applyFill="1" applyBorder="1"/>
    <xf numFmtId="0" fontId="47" fillId="25" borderId="180" xfId="0" applyFont="1" applyFill="1" applyBorder="1"/>
    <xf numFmtId="175" fontId="48" fillId="46" borderId="52" xfId="133" applyBorder="1">
      <alignment horizontal="right"/>
      <protection locked="0"/>
    </xf>
    <xf numFmtId="175" fontId="48" fillId="46" borderId="55" xfId="133" applyBorder="1">
      <alignment horizontal="right"/>
      <protection locked="0"/>
    </xf>
    <xf numFmtId="175" fontId="48" fillId="46" borderId="85" xfId="133" applyBorder="1">
      <alignment horizontal="right"/>
      <protection locked="0"/>
    </xf>
    <xf numFmtId="0" fontId="47" fillId="25" borderId="158" xfId="0" applyFont="1" applyFill="1" applyBorder="1"/>
    <xf numFmtId="0" fontId="47" fillId="25" borderId="91" xfId="0" applyFont="1" applyFill="1" applyBorder="1"/>
    <xf numFmtId="0" fontId="47" fillId="25" borderId="110" xfId="0" applyFont="1" applyFill="1" applyBorder="1"/>
    <xf numFmtId="0" fontId="47" fillId="25" borderId="170" xfId="0" applyFont="1" applyFill="1" applyBorder="1"/>
    <xf numFmtId="175" fontId="48" fillId="46" borderId="42" xfId="133" applyBorder="1">
      <alignment horizontal="right"/>
      <protection locked="0"/>
    </xf>
    <xf numFmtId="175" fontId="48" fillId="46" borderId="64" xfId="133" applyBorder="1">
      <alignment horizontal="right"/>
      <protection locked="0"/>
    </xf>
    <xf numFmtId="175" fontId="48" fillId="46" borderId="86" xfId="133" applyBorder="1">
      <alignment horizontal="right"/>
      <protection locked="0"/>
    </xf>
    <xf numFmtId="0" fontId="55" fillId="43" borderId="36" xfId="0" applyFont="1" applyFill="1" applyBorder="1" applyAlignment="1">
      <alignment horizontal="centerContinuous" vertical="center" wrapText="1"/>
    </xf>
    <xf numFmtId="0" fontId="55" fillId="43" borderId="38" xfId="0" applyFont="1" applyFill="1" applyBorder="1" applyAlignment="1">
      <alignment horizontal="centerContinuous" vertical="center" wrapText="1"/>
    </xf>
    <xf numFmtId="0" fontId="61" fillId="43" borderId="140" xfId="122" applyFill="1" applyAlignment="1">
      <alignment horizontal="right" vertical="center" wrapText="1"/>
    </xf>
    <xf numFmtId="0" fontId="61" fillId="43" borderId="140" xfId="123" applyFill="1" applyAlignment="1">
      <alignment horizontal="right" vertical="center" wrapText="1"/>
    </xf>
    <xf numFmtId="0" fontId="57" fillId="25" borderId="96" xfId="0" applyFont="1" applyFill="1" applyBorder="1" applyAlignment="1">
      <alignment horizontal="center" wrapText="1"/>
    </xf>
    <xf numFmtId="0" fontId="46" fillId="39" borderId="20" xfId="127" applyBorder="1">
      <alignment vertical="center"/>
    </xf>
    <xf numFmtId="0" fontId="62" fillId="0" borderId="27" xfId="0" applyFont="1" applyBorder="1" applyAlignment="1">
      <alignment vertical="top"/>
    </xf>
    <xf numFmtId="0" fontId="0" fillId="0" borderId="157" xfId="0" applyBorder="1"/>
    <xf numFmtId="175" fontId="48" fillId="23" borderId="215" xfId="85" applyBorder="1">
      <alignment horizontal="right"/>
      <protection locked="0"/>
    </xf>
    <xf numFmtId="175" fontId="48" fillId="23" borderId="173" xfId="85" applyBorder="1">
      <alignment horizontal="right"/>
      <protection locked="0"/>
    </xf>
    <xf numFmtId="175" fontId="48" fillId="23" borderId="139" xfId="85" applyBorder="1">
      <alignment horizontal="right"/>
      <protection locked="0"/>
    </xf>
    <xf numFmtId="0" fontId="0" fillId="0" borderId="190" xfId="0" applyBorder="1"/>
    <xf numFmtId="175" fontId="48" fillId="46" borderId="48" xfId="133" applyBorder="1">
      <alignment horizontal="right"/>
      <protection locked="0"/>
    </xf>
    <xf numFmtId="175" fontId="48" fillId="46" borderId="50" xfId="133" applyBorder="1">
      <alignment horizontal="right"/>
      <protection locked="0"/>
    </xf>
    <xf numFmtId="175" fontId="48" fillId="46" borderId="49" xfId="133" applyBorder="1">
      <alignment horizontal="right"/>
      <protection locked="0"/>
    </xf>
    <xf numFmtId="0" fontId="0" fillId="0" borderId="217" xfId="0" applyBorder="1"/>
    <xf numFmtId="175" fontId="48" fillId="46" borderId="54" xfId="133" applyBorder="1">
      <alignment horizontal="right"/>
      <protection locked="0"/>
    </xf>
    <xf numFmtId="175" fontId="48" fillId="46" borderId="53" xfId="133" applyBorder="1">
      <alignment horizontal="right"/>
      <protection locked="0"/>
    </xf>
    <xf numFmtId="0" fontId="0" fillId="0" borderId="191" xfId="0" applyBorder="1"/>
    <xf numFmtId="175" fontId="48" fillId="46" borderId="189" xfId="133" applyBorder="1">
      <alignment horizontal="right"/>
      <protection locked="0"/>
    </xf>
    <xf numFmtId="175" fontId="48" fillId="46" borderId="203" xfId="133" applyBorder="1">
      <alignment horizontal="right"/>
      <protection locked="0"/>
    </xf>
    <xf numFmtId="175" fontId="48" fillId="46" borderId="204" xfId="133" applyBorder="1">
      <alignment horizontal="right"/>
      <protection locked="0"/>
    </xf>
    <xf numFmtId="0" fontId="62" fillId="0" borderId="216" xfId="0" applyFont="1" applyBorder="1" applyAlignment="1">
      <alignment vertical="top"/>
    </xf>
    <xf numFmtId="0" fontId="62" fillId="0" borderId="218" xfId="0" applyFont="1" applyBorder="1" applyAlignment="1">
      <alignment vertical="top"/>
    </xf>
    <xf numFmtId="0" fontId="62" fillId="25" borderId="219" xfId="0" applyFont="1" applyFill="1" applyBorder="1" applyAlignment="1">
      <alignment vertical="top"/>
    </xf>
    <xf numFmtId="49" fontId="47" fillId="29" borderId="123" xfId="128" applyBorder="1" applyAlignment="1">
      <alignment horizontal="left" vertical="top" wrapText="1"/>
      <protection locked="0"/>
    </xf>
    <xf numFmtId="49" fontId="47" fillId="29" borderId="220" xfId="128" applyBorder="1" applyAlignment="1" applyProtection="1">
      <alignment horizontal="right"/>
    </xf>
    <xf numFmtId="175" fontId="48" fillId="23" borderId="46" xfId="85" applyBorder="1">
      <alignment horizontal="right"/>
      <protection locked="0"/>
    </xf>
    <xf numFmtId="0" fontId="62" fillId="25" borderId="32" xfId="0" applyFont="1" applyFill="1" applyBorder="1" applyAlignment="1">
      <alignment vertical="top"/>
    </xf>
    <xf numFmtId="49" fontId="47" fillId="29" borderId="210" xfId="128" applyBorder="1" applyAlignment="1">
      <alignment horizontal="left" vertical="top" wrapText="1"/>
      <protection locked="0"/>
    </xf>
    <xf numFmtId="49" fontId="47" fillId="29" borderId="217" xfId="128" applyBorder="1" applyAlignment="1" applyProtection="1">
      <alignment horizontal="right"/>
    </xf>
    <xf numFmtId="49" fontId="47" fillId="29" borderId="210" xfId="128" applyBorder="1" applyAlignment="1">
      <alignment vertical="center" wrapText="1"/>
      <protection locked="0"/>
    </xf>
    <xf numFmtId="0" fontId="62" fillId="25" borderId="72" xfId="0" applyFont="1" applyFill="1" applyBorder="1" applyAlignment="1">
      <alignment vertical="top"/>
    </xf>
    <xf numFmtId="49" fontId="47" fillId="29" borderId="212" xfId="128" applyBorder="1" applyAlignment="1">
      <alignment vertical="center" wrapText="1"/>
      <protection locked="0"/>
    </xf>
    <xf numFmtId="49" fontId="47" fillId="29" borderId="221" xfId="128" applyBorder="1" applyAlignment="1" applyProtection="1">
      <alignment horizontal="right"/>
    </xf>
    <xf numFmtId="0" fontId="55" fillId="43" borderId="43" xfId="0" applyFont="1" applyFill="1" applyBorder="1" applyAlignment="1">
      <alignment horizontal="centerContinuous" vertical="center" wrapText="1"/>
    </xf>
    <xf numFmtId="0" fontId="11" fillId="0" borderId="182" xfId="0" applyFont="1" applyBorder="1"/>
    <xf numFmtId="0" fontId="11" fillId="0" borderId="133" xfId="0" applyFont="1" applyBorder="1"/>
    <xf numFmtId="0" fontId="11" fillId="0" borderId="210" xfId="0" applyFont="1" applyBorder="1"/>
    <xf numFmtId="0" fontId="11" fillId="0" borderId="125" xfId="0" applyFont="1" applyBorder="1"/>
    <xf numFmtId="49" fontId="47" fillId="29" borderId="55" xfId="128" applyAlignment="1">
      <alignment vertical="top"/>
      <protection locked="0"/>
    </xf>
    <xf numFmtId="49" fontId="47" fillId="29" borderId="120" xfId="128" applyBorder="1" applyAlignment="1">
      <alignment vertical="top"/>
      <protection locked="0"/>
    </xf>
    <xf numFmtId="0" fontId="55" fillId="43" borderId="91" xfId="0" applyFont="1" applyFill="1" applyBorder="1" applyAlignment="1">
      <alignment horizontal="centerContinuous" vertical="center" wrapText="1"/>
    </xf>
    <xf numFmtId="0" fontId="55" fillId="43" borderId="92" xfId="0" applyFont="1" applyFill="1" applyBorder="1" applyAlignment="1">
      <alignment horizontal="centerContinuous" vertical="center" wrapText="1"/>
    </xf>
    <xf numFmtId="0" fontId="55" fillId="43" borderId="96" xfId="0" applyFont="1" applyFill="1" applyBorder="1" applyAlignment="1">
      <alignment horizontal="centerContinuous" vertical="center" wrapText="1"/>
    </xf>
    <xf numFmtId="49" fontId="47" fillId="29" borderId="64" xfId="128" applyBorder="1" applyAlignment="1">
      <alignment vertical="top"/>
      <protection locked="0"/>
    </xf>
    <xf numFmtId="0" fontId="84" fillId="32" borderId="43" xfId="0" applyFont="1" applyFill="1" applyBorder="1" applyAlignment="1">
      <alignment vertical="center"/>
    </xf>
    <xf numFmtId="0" fontId="50" fillId="32" borderId="36" xfId="0" applyFont="1" applyFill="1" applyBorder="1" applyAlignment="1">
      <alignment horizontal="left" vertical="center" indent="1"/>
    </xf>
    <xf numFmtId="0" fontId="50" fillId="32" borderId="38" xfId="0" applyFont="1" applyFill="1" applyBorder="1" applyAlignment="1">
      <alignment horizontal="left" vertical="center" indent="1"/>
    </xf>
    <xf numFmtId="0" fontId="51" fillId="25" borderId="174" xfId="0" applyFont="1" applyFill="1" applyBorder="1" applyAlignment="1">
      <alignment vertical="center" wrapText="1"/>
    </xf>
    <xf numFmtId="0" fontId="51" fillId="25" borderId="182" xfId="0" applyFont="1" applyFill="1" applyBorder="1" applyAlignment="1">
      <alignment horizontal="left" vertical="center" indent="2"/>
    </xf>
    <xf numFmtId="175" fontId="48" fillId="23" borderId="47" xfId="85" applyBorder="1">
      <alignment horizontal="right"/>
      <protection locked="0"/>
    </xf>
    <xf numFmtId="0" fontId="51" fillId="25" borderId="160" xfId="0" applyFont="1" applyFill="1" applyBorder="1" applyAlignment="1">
      <alignment vertical="center" wrapText="1"/>
    </xf>
    <xf numFmtId="0" fontId="51" fillId="25" borderId="159" xfId="0" applyFont="1" applyFill="1" applyBorder="1" applyAlignment="1">
      <alignment horizontal="left" vertical="center" indent="2"/>
    </xf>
    <xf numFmtId="0" fontId="50" fillId="32" borderId="92" xfId="0" applyFont="1" applyFill="1" applyBorder="1" applyAlignment="1">
      <alignment horizontal="left" vertical="center" indent="1"/>
    </xf>
    <xf numFmtId="0" fontId="50" fillId="32" borderId="96" xfId="0" applyFont="1" applyFill="1" applyBorder="1" applyAlignment="1">
      <alignment horizontal="left" vertical="center" indent="1"/>
    </xf>
    <xf numFmtId="0" fontId="44" fillId="20" borderId="19" xfId="134" applyFont="1" applyBorder="1">
      <alignment vertical="center"/>
    </xf>
    <xf numFmtId="0" fontId="60" fillId="20" borderId="19" xfId="134" applyBorder="1">
      <alignment vertical="center"/>
    </xf>
    <xf numFmtId="0" fontId="73" fillId="38" borderId="43" xfId="0" applyFont="1" applyFill="1" applyBorder="1" applyAlignment="1">
      <alignment vertical="center"/>
    </xf>
    <xf numFmtId="0" fontId="85" fillId="38" borderId="20" xfId="0" applyFont="1" applyFill="1" applyBorder="1" applyAlignment="1">
      <alignment vertical="center"/>
    </xf>
    <xf numFmtId="0" fontId="85" fillId="38" borderId="21" xfId="0" applyFont="1" applyFill="1" applyBorder="1" applyAlignment="1">
      <alignment vertical="center"/>
    </xf>
    <xf numFmtId="175" fontId="48" fillId="23" borderId="223" xfId="85" applyBorder="1">
      <alignment horizontal="right"/>
      <protection locked="0"/>
    </xf>
    <xf numFmtId="175" fontId="48" fillId="23" borderId="68" xfId="85" applyBorder="1">
      <alignment horizontal="right"/>
      <protection locked="0"/>
    </xf>
    <xf numFmtId="0" fontId="85" fillId="38" borderId="36" xfId="0" applyFont="1" applyFill="1" applyBorder="1" applyAlignment="1">
      <alignment vertical="center"/>
    </xf>
    <xf numFmtId="0" fontId="85" fillId="38" borderId="38" xfId="0" applyFont="1" applyFill="1" applyBorder="1" applyAlignment="1">
      <alignment vertical="center"/>
    </xf>
    <xf numFmtId="176" fontId="49" fillId="3" borderId="43" xfId="86" applyBorder="1" applyAlignment="1" applyProtection="1">
      <alignment horizontal="left" vertical="center"/>
      <protection locked="0"/>
    </xf>
    <xf numFmtId="0" fontId="46" fillId="43" borderId="67" xfId="0" applyFont="1" applyFill="1" applyBorder="1" applyAlignment="1">
      <alignment horizontal="centerContinuous" vertical="center" wrapText="1"/>
    </xf>
    <xf numFmtId="0" fontId="46" fillId="43" borderId="84" xfId="0" applyFont="1" applyFill="1" applyBorder="1" applyAlignment="1">
      <alignment horizontal="centerContinuous" vertical="center" wrapText="1"/>
    </xf>
    <xf numFmtId="0" fontId="46" fillId="43" borderId="64" xfId="0" applyFont="1" applyFill="1" applyBorder="1" applyAlignment="1">
      <alignment horizontal="centerContinuous" vertical="center" wrapText="1"/>
    </xf>
    <xf numFmtId="0" fontId="46" fillId="43" borderId="86" xfId="0" applyFont="1" applyFill="1" applyBorder="1" applyAlignment="1">
      <alignment horizontal="centerContinuous" vertical="center" wrapText="1"/>
    </xf>
    <xf numFmtId="0" fontId="0" fillId="24" borderId="41" xfId="0" applyFill="1" applyBorder="1" applyProtection="1">
      <protection locked="0"/>
    </xf>
    <xf numFmtId="0" fontId="47" fillId="24" borderId="52" xfId="0" applyFont="1" applyFill="1" applyBorder="1" applyAlignment="1" applyProtection="1">
      <alignment horizontal="right" vertical="center"/>
      <protection locked="0"/>
    </xf>
    <xf numFmtId="0" fontId="0" fillId="24" borderId="55" xfId="0" applyFill="1" applyBorder="1" applyAlignment="1" applyProtection="1">
      <alignment horizontal="right" vertical="top" wrapText="1"/>
      <protection locked="0"/>
    </xf>
    <xf numFmtId="0" fontId="0" fillId="24" borderId="53" xfId="0" applyFill="1" applyBorder="1" applyAlignment="1" applyProtection="1">
      <alignment horizontal="right" vertical="top" wrapText="1"/>
      <protection locked="0"/>
    </xf>
    <xf numFmtId="0" fontId="47" fillId="24" borderId="42" xfId="0" applyFont="1" applyFill="1" applyBorder="1" applyAlignment="1" applyProtection="1">
      <alignment horizontal="right" vertical="center"/>
      <protection locked="0"/>
    </xf>
    <xf numFmtId="0" fontId="46" fillId="43" borderId="41" xfId="0" applyFont="1" applyFill="1" applyBorder="1" applyAlignment="1">
      <alignment horizontal="centerContinuous" vertical="center" wrapText="1"/>
    </xf>
    <xf numFmtId="0" fontId="46" fillId="43" borderId="68" xfId="0" applyFont="1" applyFill="1" applyBorder="1" applyAlignment="1">
      <alignment horizontal="centerContinuous" vertical="center" wrapText="1"/>
    </xf>
    <xf numFmtId="0" fontId="46" fillId="43" borderId="47" xfId="0" applyFont="1" applyFill="1" applyBorder="1" applyAlignment="1">
      <alignment horizontal="centerContinuous" vertical="center" wrapText="1"/>
    </xf>
    <xf numFmtId="0" fontId="46" fillId="43" borderId="42" xfId="0" applyFont="1" applyFill="1" applyBorder="1" applyAlignment="1">
      <alignment horizontal="centerContinuous" vertical="center" wrapText="1"/>
    </xf>
    <xf numFmtId="0" fontId="46" fillId="43" borderId="63" xfId="0" applyFont="1" applyFill="1" applyBorder="1" applyAlignment="1">
      <alignment horizontal="centerContinuous" vertical="center" wrapText="1"/>
    </xf>
    <xf numFmtId="0" fontId="46" fillId="43" borderId="62" xfId="0" applyFont="1" applyFill="1" applyBorder="1" applyAlignment="1">
      <alignment horizontal="centerContinuous" vertical="center" wrapText="1"/>
    </xf>
    <xf numFmtId="0" fontId="46" fillId="43" borderId="43" xfId="0" applyFont="1" applyFill="1" applyBorder="1" applyAlignment="1">
      <alignment horizontal="right" vertical="center" wrapText="1"/>
    </xf>
    <xf numFmtId="0" fontId="46" fillId="43" borderId="36" xfId="0" applyFont="1" applyFill="1" applyBorder="1" applyAlignment="1">
      <alignment horizontal="right" vertical="center" wrapText="1"/>
    </xf>
    <xf numFmtId="0" fontId="46" fillId="43" borderId="38" xfId="0" applyFont="1" applyFill="1" applyBorder="1" applyAlignment="1">
      <alignment horizontal="right" vertical="center" wrapText="1"/>
    </xf>
    <xf numFmtId="0" fontId="47" fillId="28" borderId="70" xfId="0" applyFont="1" applyFill="1" applyBorder="1" applyAlignment="1" applyProtection="1">
      <alignment horizontal="left" vertical="top" wrapText="1"/>
      <protection locked="0"/>
    </xf>
    <xf numFmtId="0" fontId="32" fillId="0" borderId="224" xfId="37" applyBorder="1">
      <alignment vertical="center"/>
    </xf>
    <xf numFmtId="0" fontId="32" fillId="0" borderId="56" xfId="37" applyBorder="1">
      <alignment vertical="center"/>
    </xf>
    <xf numFmtId="0" fontId="58" fillId="25" borderId="0" xfId="0" applyFont="1" applyFill="1" applyAlignment="1">
      <alignment horizontal="centerContinuous"/>
    </xf>
    <xf numFmtId="0" fontId="46" fillId="43" borderId="43" xfId="0" applyFont="1" applyFill="1" applyBorder="1" applyAlignment="1">
      <alignment horizontal="centerContinuous" vertical="center" wrapText="1"/>
    </xf>
    <xf numFmtId="0" fontId="46" fillId="43" borderId="36" xfId="0" applyFont="1" applyFill="1" applyBorder="1" applyAlignment="1">
      <alignment horizontal="centerContinuous" vertical="center" wrapText="1"/>
    </xf>
    <xf numFmtId="0" fontId="46" fillId="43" borderId="38" xfId="0" applyFont="1" applyFill="1" applyBorder="1" applyAlignment="1">
      <alignment horizontal="centerContinuous" vertical="center" wrapText="1"/>
    </xf>
    <xf numFmtId="175" fontId="48" fillId="23" borderId="225" xfId="85" applyBorder="1">
      <alignment horizontal="right"/>
      <protection locked="0"/>
    </xf>
    <xf numFmtId="0" fontId="46" fillId="43" borderId="99" xfId="0" applyFont="1" applyFill="1" applyBorder="1" applyAlignment="1">
      <alignment horizontal="center" vertical="center" wrapText="1"/>
    </xf>
    <xf numFmtId="0" fontId="46" fillId="43" borderId="80" xfId="0" applyFont="1" applyFill="1" applyBorder="1" applyAlignment="1">
      <alignment horizontal="center" vertical="center" wrapText="1"/>
    </xf>
    <xf numFmtId="0" fontId="61" fillId="43" borderId="41" xfId="121" applyFill="1" applyBorder="1" applyAlignment="1">
      <alignment horizontal="centerContinuous" vertical="center" wrapText="1"/>
    </xf>
    <xf numFmtId="0" fontId="61" fillId="43" borderId="81" xfId="121" applyFill="1" applyBorder="1" applyAlignment="1">
      <alignment horizontal="centerContinuous" vertical="center" wrapText="1"/>
    </xf>
    <xf numFmtId="0" fontId="61" fillId="43" borderId="46" xfId="121" applyFill="1" applyAlignment="1">
      <alignment horizontal="centerContinuous" vertical="center" wrapText="1"/>
    </xf>
    <xf numFmtId="0" fontId="61" fillId="43" borderId="144" xfId="121" applyFill="1" applyBorder="1" applyAlignment="1">
      <alignment horizontal="centerContinuous" vertical="center" wrapText="1"/>
    </xf>
    <xf numFmtId="0" fontId="61" fillId="43" borderId="145" xfId="122" applyFill="1" applyBorder="1" applyAlignment="1">
      <alignment horizontal="right" vertical="center" wrapText="1"/>
    </xf>
    <xf numFmtId="0" fontId="61" fillId="43" borderId="146" xfId="123" applyFill="1" applyBorder="1" applyAlignment="1">
      <alignment horizontal="right" vertical="center" wrapText="1"/>
    </xf>
    <xf numFmtId="0" fontId="73" fillId="24" borderId="43" xfId="0" applyFont="1" applyFill="1" applyBorder="1" applyAlignment="1">
      <alignment horizontal="left" vertical="center" indent="1"/>
    </xf>
    <xf numFmtId="0" fontId="11" fillId="0" borderId="226" xfId="0" applyFont="1" applyBorder="1"/>
    <xf numFmtId="0" fontId="11" fillId="0" borderId="227" xfId="0" applyFont="1" applyBorder="1"/>
    <xf numFmtId="0" fontId="11" fillId="0" borderId="228" xfId="0" applyFont="1" applyBorder="1"/>
    <xf numFmtId="176" fontId="48" fillId="29" borderId="73" xfId="0" applyNumberFormat="1" applyFont="1" applyFill="1" applyBorder="1" applyAlignment="1" applyProtection="1">
      <alignment horizontal="right"/>
      <protection locked="0"/>
    </xf>
    <xf numFmtId="176" fontId="48" fillId="29" borderId="74" xfId="0" applyNumberFormat="1" applyFont="1" applyFill="1" applyBorder="1" applyAlignment="1" applyProtection="1">
      <alignment horizontal="right"/>
      <protection locked="0"/>
    </xf>
    <xf numFmtId="0" fontId="58" fillId="25" borderId="92" xfId="0" applyFont="1" applyFill="1" applyBorder="1" applyAlignment="1">
      <alignment horizontal="centerContinuous"/>
    </xf>
    <xf numFmtId="0" fontId="32" fillId="0" borderId="224" xfId="37" applyBorder="1" applyAlignment="1">
      <alignment horizontal="left" vertical="center"/>
    </xf>
    <xf numFmtId="175" fontId="48" fillId="23" borderId="229" xfId="85" applyBorder="1">
      <alignment horizontal="right"/>
      <protection locked="0"/>
    </xf>
    <xf numFmtId="175" fontId="48" fillId="23" borderId="157" xfId="85" applyBorder="1">
      <alignment horizontal="right"/>
      <protection locked="0"/>
    </xf>
    <xf numFmtId="175" fontId="48" fillId="46" borderId="46" xfId="133" applyBorder="1">
      <alignment horizontal="right"/>
      <protection locked="0"/>
    </xf>
    <xf numFmtId="175" fontId="48" fillId="46" borderId="190" xfId="133" applyBorder="1">
      <alignment horizontal="right"/>
      <protection locked="0"/>
    </xf>
    <xf numFmtId="175" fontId="48" fillId="46" borderId="217" xfId="133" applyBorder="1">
      <alignment horizontal="right"/>
      <protection locked="0"/>
    </xf>
    <xf numFmtId="175" fontId="48" fillId="46" borderId="230" xfId="133" applyBorder="1">
      <alignment horizontal="right"/>
      <protection locked="0"/>
    </xf>
    <xf numFmtId="175" fontId="48" fillId="46" borderId="191" xfId="133" applyBorder="1">
      <alignment horizontal="right"/>
      <protection locked="0"/>
    </xf>
    <xf numFmtId="175" fontId="48" fillId="23" borderId="230" xfId="85" applyBorder="1">
      <alignment horizontal="right"/>
      <protection locked="0"/>
    </xf>
    <xf numFmtId="175" fontId="48" fillId="23" borderId="191" xfId="85" applyBorder="1">
      <alignment horizontal="right"/>
      <protection locked="0"/>
    </xf>
    <xf numFmtId="175" fontId="48" fillId="23" borderId="190" xfId="85" applyBorder="1">
      <alignment horizontal="right"/>
      <protection locked="0"/>
    </xf>
    <xf numFmtId="175" fontId="48" fillId="23" borderId="217" xfId="85" applyBorder="1">
      <alignment horizontal="right"/>
      <protection locked="0"/>
    </xf>
    <xf numFmtId="175" fontId="48" fillId="23" borderId="221" xfId="85" applyBorder="1">
      <alignment horizontal="right"/>
      <protection locked="0"/>
    </xf>
    <xf numFmtId="0" fontId="62" fillId="25" borderId="0" xfId="0" applyFont="1" applyFill="1" applyAlignment="1">
      <alignment vertical="top"/>
    </xf>
    <xf numFmtId="0" fontId="11" fillId="0" borderId="0" xfId="0" applyFont="1"/>
    <xf numFmtId="49" fontId="47" fillId="29" borderId="212" xfId="128" applyBorder="1" applyAlignment="1">
      <alignment horizontal="left" vertical="top" wrapText="1"/>
      <protection locked="0"/>
    </xf>
    <xf numFmtId="167" fontId="32" fillId="0" borderId="0" xfId="15" applyBorder="1">
      <alignment horizontal="right" vertical="center"/>
    </xf>
    <xf numFmtId="0" fontId="62" fillId="47" borderId="89" xfId="0" applyFont="1" applyFill="1" applyBorder="1"/>
    <xf numFmtId="0" fontId="74" fillId="43" borderId="115" xfId="0" applyFont="1" applyFill="1" applyBorder="1" applyAlignment="1">
      <alignment horizontal="center" vertical="center" wrapText="1"/>
    </xf>
    <xf numFmtId="0" fontId="74" fillId="43" borderId="116" xfId="0" applyFont="1" applyFill="1" applyBorder="1" applyAlignment="1">
      <alignment horizontal="center" vertical="center" wrapText="1"/>
    </xf>
    <xf numFmtId="0" fontId="74" fillId="43" borderId="117" xfId="0" applyFont="1" applyFill="1" applyBorder="1" applyAlignment="1">
      <alignment horizontal="center" vertical="center" wrapText="1"/>
    </xf>
    <xf numFmtId="0" fontId="74" fillId="43" borderId="149" xfId="0" applyFont="1" applyFill="1" applyBorder="1" applyAlignment="1">
      <alignment horizontal="center" vertical="center" wrapText="1"/>
    </xf>
    <xf numFmtId="0" fontId="62" fillId="25" borderId="0" xfId="135" applyFont="1" applyFill="1"/>
    <xf numFmtId="0" fontId="46" fillId="0" borderId="0" xfId="57" applyFont="1" applyAlignment="1">
      <alignment vertical="center" wrapText="1"/>
    </xf>
    <xf numFmtId="0" fontId="47" fillId="25" borderId="0" xfId="57" applyFont="1" applyFill="1" applyAlignment="1">
      <alignment horizontal="left" vertical="center" wrapText="1"/>
    </xf>
    <xf numFmtId="0" fontId="62" fillId="25" borderId="0" xfId="135" applyFont="1" applyFill="1" applyAlignment="1">
      <alignment horizontal="center" vertical="center"/>
    </xf>
    <xf numFmtId="0" fontId="61" fillId="32" borderId="233" xfId="57" applyFont="1" applyFill="1" applyBorder="1" applyAlignment="1">
      <alignment horizontal="center" vertical="center" wrapText="1"/>
    </xf>
    <xf numFmtId="0" fontId="61" fillId="32" borderId="96" xfId="57" applyFont="1" applyFill="1" applyBorder="1" applyAlignment="1">
      <alignment horizontal="center" vertical="center" wrapText="1"/>
    </xf>
    <xf numFmtId="0" fontId="62" fillId="0" borderId="0" xfId="57" applyFont="1" applyAlignment="1">
      <alignment horizontal="center" vertical="center"/>
    </xf>
    <xf numFmtId="0" fontId="46" fillId="39" borderId="43" xfId="127" applyBorder="1" applyProtection="1">
      <alignment vertical="center"/>
    </xf>
    <xf numFmtId="0" fontId="46" fillId="39" borderId="36" xfId="127" applyBorder="1" applyProtection="1">
      <alignment vertical="center"/>
    </xf>
    <xf numFmtId="0" fontId="46" fillId="39" borderId="38" xfId="127" applyBorder="1" applyProtection="1">
      <alignment vertical="center"/>
    </xf>
    <xf numFmtId="0" fontId="62" fillId="0" borderId="0" xfId="57" applyFont="1"/>
    <xf numFmtId="0" fontId="61" fillId="33" borderId="0" xfId="57" applyFont="1" applyFill="1" applyAlignment="1">
      <alignment horizontal="center" vertical="center" wrapText="1"/>
    </xf>
    <xf numFmtId="0" fontId="61" fillId="33" borderId="96" xfId="57" applyFont="1" applyFill="1" applyBorder="1" applyAlignment="1">
      <alignment horizontal="center" vertical="center" wrapText="1"/>
    </xf>
    <xf numFmtId="49" fontId="63" fillId="0" borderId="95" xfId="57" applyNumberFormat="1" applyFont="1" applyBorder="1" applyAlignment="1">
      <alignment wrapText="1"/>
    </xf>
    <xf numFmtId="175" fontId="48" fillId="23" borderId="126" xfId="85" applyBorder="1">
      <alignment horizontal="right"/>
      <protection locked="0"/>
    </xf>
    <xf numFmtId="49" fontId="47" fillId="29" borderId="115" xfId="128" applyBorder="1" applyAlignment="1">
      <alignment horizontal="left" vertical="top" wrapText="1"/>
      <protection locked="0"/>
    </xf>
    <xf numFmtId="49" fontId="47" fillId="29" borderId="41" xfId="128" applyBorder="1" applyAlignment="1">
      <alignment horizontal="left" vertical="center" wrapText="1"/>
      <protection locked="0"/>
    </xf>
    <xf numFmtId="49" fontId="47" fillId="29" borderId="42" xfId="128" applyBorder="1" applyAlignment="1">
      <alignment wrapText="1"/>
      <protection locked="0"/>
    </xf>
    <xf numFmtId="10" fontId="48" fillId="23" borderId="68" xfId="136" applyBorder="1">
      <alignment horizontal="right"/>
      <protection locked="0"/>
    </xf>
    <xf numFmtId="10" fontId="48" fillId="23" borderId="84" xfId="136" applyBorder="1">
      <alignment horizontal="right"/>
      <protection locked="0"/>
    </xf>
    <xf numFmtId="10" fontId="48" fillId="23" borderId="59" xfId="136" applyBorder="1">
      <alignment horizontal="right"/>
      <protection locked="0"/>
    </xf>
    <xf numFmtId="10" fontId="48" fillId="23" borderId="126" xfId="136" applyBorder="1">
      <alignment horizontal="right"/>
      <protection locked="0"/>
    </xf>
    <xf numFmtId="181" fontId="47" fillId="24" borderId="41" xfId="84" applyNumberFormat="1" applyFont="1" applyFill="1" applyBorder="1" applyAlignment="1" applyProtection="1">
      <alignment horizontal="right" vertical="center" wrapText="1" indent="1"/>
    </xf>
    <xf numFmtId="181" fontId="47" fillId="24" borderId="84" xfId="84" applyNumberFormat="1" applyFont="1" applyFill="1" applyBorder="1" applyAlignment="1" applyProtection="1">
      <alignment horizontal="right" vertical="center" wrapText="1" indent="1"/>
    </xf>
    <xf numFmtId="181" fontId="47" fillId="24" borderId="42" xfId="84" applyNumberFormat="1" applyFont="1" applyFill="1" applyBorder="1" applyAlignment="1" applyProtection="1">
      <alignment horizontal="right" vertical="center" wrapText="1" indent="1"/>
    </xf>
    <xf numFmtId="181" fontId="47" fillId="24" borderId="86" xfId="84" applyNumberFormat="1" applyFont="1" applyFill="1" applyBorder="1" applyAlignment="1" applyProtection="1">
      <alignment horizontal="right" vertical="center" wrapText="1" indent="1"/>
    </xf>
    <xf numFmtId="0" fontId="62" fillId="25" borderId="0" xfId="135" applyFont="1" applyFill="1" applyAlignment="1">
      <alignment vertical="center"/>
    </xf>
    <xf numFmtId="0" fontId="62" fillId="0" borderId="0" xfId="57" applyFont="1" applyAlignment="1">
      <alignment vertical="center"/>
    </xf>
    <xf numFmtId="175" fontId="48" fillId="23" borderId="222" xfId="85" applyBorder="1">
      <alignment horizontal="right"/>
      <protection locked="0"/>
    </xf>
    <xf numFmtId="175" fontId="48" fillId="23" borderId="120" xfId="85" applyBorder="1">
      <alignment horizontal="right"/>
      <protection locked="0"/>
    </xf>
    <xf numFmtId="6" fontId="63" fillId="0" borderId="48" xfId="57" applyNumberFormat="1" applyFont="1" applyBorder="1"/>
    <xf numFmtId="6" fontId="63" fillId="0" borderId="49" xfId="57" applyNumberFormat="1" applyFont="1" applyBorder="1"/>
    <xf numFmtId="6" fontId="47" fillId="0" borderId="49" xfId="57" applyNumberFormat="1" applyFont="1" applyBorder="1"/>
    <xf numFmtId="6" fontId="63" fillId="0" borderId="59" xfId="57" applyNumberFormat="1" applyFont="1" applyBorder="1"/>
    <xf numFmtId="6" fontId="63" fillId="0" borderId="60" xfId="57" applyNumberFormat="1" applyFont="1" applyBorder="1"/>
    <xf numFmtId="6" fontId="47" fillId="0" borderId="60" xfId="57" applyNumberFormat="1" applyFont="1" applyBorder="1"/>
    <xf numFmtId="177" fontId="67" fillId="0" borderId="212" xfId="57" applyNumberFormat="1" applyFont="1" applyBorder="1"/>
    <xf numFmtId="177" fontId="67" fillId="0" borderId="236" xfId="57" applyNumberFormat="1" applyFont="1" applyBorder="1"/>
    <xf numFmtId="6" fontId="63" fillId="0" borderId="63" xfId="57" applyNumberFormat="1" applyFont="1" applyBorder="1"/>
    <xf numFmtId="6" fontId="63" fillId="0" borderId="64" xfId="57" applyNumberFormat="1" applyFont="1" applyBorder="1"/>
    <xf numFmtId="6" fontId="47" fillId="0" borderId="64" xfId="57" applyNumberFormat="1" applyFont="1" applyBorder="1"/>
    <xf numFmtId="177" fontId="47" fillId="0" borderId="86" xfId="57" applyNumberFormat="1" applyFont="1" applyBorder="1"/>
    <xf numFmtId="6" fontId="63" fillId="0" borderId="46" xfId="57" applyNumberFormat="1" applyFont="1" applyBorder="1"/>
    <xf numFmtId="6" fontId="63" fillId="0" borderId="57" xfId="57" applyNumberFormat="1" applyFont="1" applyBorder="1"/>
    <xf numFmtId="6" fontId="63" fillId="0" borderId="42" xfId="57" applyNumberFormat="1" applyFont="1" applyBorder="1"/>
    <xf numFmtId="0" fontId="11" fillId="0" borderId="38" xfId="0" applyFont="1" applyBorder="1" applyAlignment="1">
      <alignment horizontal="right" vertical="center" wrapText="1"/>
    </xf>
    <xf numFmtId="0" fontId="42" fillId="47" borderId="20" xfId="0" applyFont="1" applyFill="1" applyBorder="1" applyAlignment="1">
      <alignment horizontal="center"/>
    </xf>
    <xf numFmtId="0" fontId="42" fillId="47" borderId="92" xfId="0" applyFont="1" applyFill="1" applyBorder="1" applyAlignment="1">
      <alignment horizontal="center"/>
    </xf>
    <xf numFmtId="0" fontId="10" fillId="47" borderId="0" xfId="57" applyFont="1" applyFill="1" applyAlignment="1">
      <alignment horizontal="center" vertical="center" wrapText="1"/>
    </xf>
    <xf numFmtId="0" fontId="10" fillId="47" borderId="95" xfId="57" applyFont="1" applyFill="1" applyBorder="1" applyAlignment="1">
      <alignment horizontal="center" vertical="center" wrapText="1"/>
    </xf>
    <xf numFmtId="0" fontId="62" fillId="47" borderId="19" xfId="0" applyFont="1" applyFill="1" applyBorder="1"/>
    <xf numFmtId="0" fontId="42" fillId="47" borderId="20" xfId="0" applyFont="1" applyFill="1" applyBorder="1" applyAlignment="1">
      <alignment horizontal="center" vertical="center"/>
    </xf>
    <xf numFmtId="0" fontId="62" fillId="47" borderId="91" xfId="0" applyFont="1" applyFill="1" applyBorder="1"/>
    <xf numFmtId="0" fontId="42" fillId="47" borderId="92" xfId="0" applyFont="1" applyFill="1" applyBorder="1" applyAlignment="1">
      <alignment horizontal="center" vertical="center"/>
    </xf>
    <xf numFmtId="0" fontId="62" fillId="47" borderId="43" xfId="0" applyFont="1" applyFill="1" applyBorder="1"/>
    <xf numFmtId="0" fontId="64" fillId="47" borderId="36" xfId="0" applyFont="1" applyFill="1" applyBorder="1" applyAlignment="1">
      <alignment horizontal="center"/>
    </xf>
    <xf numFmtId="0" fontId="46" fillId="47" borderId="115" xfId="40" applyNumberFormat="1" applyFont="1" applyFill="1" applyBorder="1" applyAlignment="1">
      <alignment horizontal="center" vertical="center" wrapText="1"/>
    </xf>
    <xf numFmtId="0" fontId="46" fillId="47" borderId="116" xfId="40" applyNumberFormat="1" applyFont="1" applyFill="1" applyBorder="1" applyAlignment="1">
      <alignment horizontal="center" vertical="center" wrapText="1"/>
    </xf>
    <xf numFmtId="0" fontId="46" fillId="47" borderId="117" xfId="40" applyNumberFormat="1" applyFont="1" applyFill="1" applyBorder="1" applyAlignment="1">
      <alignment horizontal="center" vertical="center" wrapText="1"/>
    </xf>
    <xf numFmtId="0" fontId="46" fillId="47" borderId="41" xfId="40" applyNumberFormat="1" applyFont="1" applyFill="1" applyBorder="1" applyAlignment="1">
      <alignment horizontal="center" vertical="center" wrapText="1"/>
    </xf>
    <xf numFmtId="0" fontId="46" fillId="47" borderId="67" xfId="40" applyNumberFormat="1" applyFont="1" applyFill="1" applyBorder="1" applyAlignment="1">
      <alignment horizontal="center" vertical="center" wrapText="1"/>
    </xf>
    <xf numFmtId="0" fontId="46" fillId="47" borderId="129" xfId="40" applyNumberFormat="1" applyFont="1" applyFill="1" applyBorder="1" applyAlignment="1">
      <alignment horizontal="center" vertical="center" wrapText="1"/>
    </xf>
    <xf numFmtId="49" fontId="47" fillId="29" borderId="52" xfId="128" applyBorder="1" applyAlignment="1">
      <alignment horizontal="left" vertical="top"/>
      <protection locked="0"/>
    </xf>
    <xf numFmtId="0" fontId="47" fillId="29" borderId="52" xfId="128" applyNumberFormat="1" applyBorder="1" applyAlignment="1">
      <alignment horizontal="left" vertical="top"/>
      <protection locked="0"/>
    </xf>
    <xf numFmtId="49" fontId="47" fillId="29" borderId="41" xfId="128" applyBorder="1" applyAlignment="1">
      <alignment horizontal="left" vertical="top"/>
      <protection locked="0"/>
    </xf>
    <xf numFmtId="49" fontId="47" fillId="29" borderId="67" xfId="128" applyBorder="1" applyAlignment="1">
      <alignment vertical="top" wrapText="1"/>
      <protection locked="0"/>
    </xf>
    <xf numFmtId="49" fontId="47" fillId="29" borderId="84" xfId="128" applyBorder="1" applyAlignment="1">
      <alignment vertical="top" wrapText="1"/>
      <protection locked="0"/>
    </xf>
    <xf numFmtId="49" fontId="47" fillId="29" borderId="85" xfId="128" applyBorder="1" applyAlignment="1">
      <alignment vertical="top"/>
      <protection locked="0"/>
    </xf>
    <xf numFmtId="49" fontId="47" fillId="29" borderId="86" xfId="128" applyBorder="1" applyAlignment="1">
      <alignment vertical="top"/>
      <protection locked="0"/>
    </xf>
    <xf numFmtId="0" fontId="86" fillId="2" borderId="115" xfId="0" applyFont="1" applyFill="1" applyBorder="1" applyAlignment="1">
      <alignment horizontal="right" vertical="center" wrapText="1"/>
    </xf>
    <xf numFmtId="0" fontId="86" fillId="2" borderId="116" xfId="0" applyFont="1" applyFill="1" applyBorder="1" applyAlignment="1">
      <alignment horizontal="right" vertical="center" wrapText="1"/>
    </xf>
    <xf numFmtId="0" fontId="86" fillId="48" borderId="116" xfId="0" applyFont="1" applyFill="1" applyBorder="1" applyAlignment="1">
      <alignment horizontal="right" vertical="center" wrapText="1"/>
    </xf>
    <xf numFmtId="0" fontId="86" fillId="48" borderId="237" xfId="0" applyFont="1" applyFill="1" applyBorder="1" applyAlignment="1">
      <alignment horizontal="right" vertical="center" wrapText="1"/>
    </xf>
    <xf numFmtId="10" fontId="48" fillId="23" borderId="115" xfId="136" applyBorder="1">
      <alignment horizontal="right"/>
      <protection locked="0"/>
    </xf>
    <xf numFmtId="10" fontId="48" fillId="23" borderId="116" xfId="136" applyBorder="1">
      <alignment horizontal="right"/>
      <protection locked="0"/>
    </xf>
    <xf numFmtId="10" fontId="48" fillId="23" borderId="117" xfId="136" applyBorder="1">
      <alignment horizontal="right"/>
      <protection locked="0"/>
    </xf>
    <xf numFmtId="0" fontId="11" fillId="0" borderId="43" xfId="0" applyFont="1" applyBorder="1" applyAlignment="1">
      <alignment horizontal="right" vertical="center"/>
    </xf>
    <xf numFmtId="0" fontId="11" fillId="0" borderId="80" xfId="0" applyFont="1" applyBorder="1" applyAlignment="1">
      <alignment horizontal="right" vertical="center"/>
    </xf>
    <xf numFmtId="169" fontId="78" fillId="17" borderId="4" xfId="14" applyNumberFormat="1" applyFill="1">
      <alignment horizontal="right" vertical="center"/>
      <protection locked="0"/>
    </xf>
    <xf numFmtId="169" fontId="78" fillId="17" borderId="39" xfId="14" applyNumberFormat="1" applyFill="1" applyBorder="1">
      <alignment horizontal="right" vertical="center"/>
      <protection locked="0"/>
    </xf>
    <xf numFmtId="169" fontId="78" fillId="17" borderId="40" xfId="14" applyNumberFormat="1" applyFill="1" applyBorder="1">
      <alignment horizontal="right" vertical="center"/>
      <protection locked="0"/>
    </xf>
    <xf numFmtId="0" fontId="62" fillId="25" borderId="0" xfId="0" applyFont="1" applyFill="1"/>
    <xf numFmtId="0" fontId="0" fillId="0" borderId="0" xfId="0" applyAlignment="1">
      <alignment vertical="center"/>
    </xf>
    <xf numFmtId="0" fontId="47" fillId="0" borderId="165" xfId="0" applyFont="1" applyBorder="1"/>
    <xf numFmtId="0" fontId="47" fillId="0" borderId="161" xfId="0" applyFont="1" applyBorder="1"/>
    <xf numFmtId="0" fontId="47" fillId="0" borderId="246" xfId="0" applyFont="1" applyBorder="1"/>
    <xf numFmtId="0" fontId="47" fillId="25" borderId="249" xfId="0" applyFont="1" applyFill="1" applyBorder="1"/>
    <xf numFmtId="0" fontId="47" fillId="25" borderId="161" xfId="0" applyFont="1" applyFill="1" applyBorder="1"/>
    <xf numFmtId="0" fontId="47" fillId="25" borderId="246" xfId="0" applyFont="1" applyFill="1" applyBorder="1"/>
    <xf numFmtId="0" fontId="47" fillId="25" borderId="233" xfId="0" applyFont="1" applyFill="1" applyBorder="1"/>
    <xf numFmtId="0" fontId="47" fillId="0" borderId="0" xfId="0" applyFont="1"/>
    <xf numFmtId="183" fontId="47" fillId="25" borderId="48" xfId="0" applyNumberFormat="1" applyFont="1" applyFill="1" applyBorder="1" applyAlignment="1">
      <alignment horizontal="left" wrapText="1" indent="1"/>
    </xf>
    <xf numFmtId="183" fontId="47" fillId="25" borderId="222" xfId="0" applyNumberFormat="1" applyFont="1" applyFill="1" applyBorder="1" applyAlignment="1">
      <alignment horizontal="left" vertical="center" wrapText="1"/>
    </xf>
    <xf numFmtId="183" fontId="47" fillId="25" borderId="54" xfId="0" applyNumberFormat="1" applyFont="1" applyFill="1" applyBorder="1" applyAlignment="1">
      <alignment horizontal="left" wrapText="1" indent="1"/>
    </xf>
    <xf numFmtId="183" fontId="47" fillId="25" borderId="120" xfId="0" applyNumberFormat="1" applyFont="1" applyFill="1" applyBorder="1" applyAlignment="1">
      <alignment horizontal="left" vertical="center" wrapText="1"/>
    </xf>
    <xf numFmtId="183" fontId="47" fillId="25" borderId="54" xfId="92" applyNumberFormat="1" applyFont="1" applyFill="1" applyBorder="1" applyAlignment="1" applyProtection="1">
      <alignment horizontal="left" wrapText="1" indent="1"/>
    </xf>
    <xf numFmtId="183" fontId="47" fillId="25" borderId="120" xfId="92" applyNumberFormat="1" applyFont="1" applyFill="1" applyBorder="1" applyAlignment="1" applyProtection="1">
      <alignment horizontal="left" vertical="center" wrapText="1"/>
    </xf>
    <xf numFmtId="183" fontId="47" fillId="25" borderId="54" xfId="40" applyNumberFormat="1" applyFont="1" applyFill="1" applyBorder="1" applyAlignment="1">
      <alignment horizontal="left" wrapText="1" indent="1"/>
    </xf>
    <xf numFmtId="184" fontId="47" fillId="25" borderId="54" xfId="92" applyNumberFormat="1" applyFont="1" applyFill="1" applyBorder="1" applyAlignment="1" applyProtection="1">
      <alignment horizontal="left" wrapText="1" indent="1"/>
    </xf>
    <xf numFmtId="183" fontId="47" fillId="25" borderId="189" xfId="0" applyNumberFormat="1" applyFont="1" applyFill="1" applyBorder="1" applyAlignment="1">
      <alignment horizontal="left" wrapText="1" indent="1"/>
    </xf>
    <xf numFmtId="183" fontId="47" fillId="25" borderId="254" xfId="0" applyNumberFormat="1" applyFont="1" applyFill="1" applyBorder="1" applyAlignment="1">
      <alignment horizontal="left" vertical="center" wrapText="1"/>
    </xf>
    <xf numFmtId="183" fontId="47" fillId="25" borderId="255" xfId="0" applyNumberFormat="1" applyFont="1" applyFill="1" applyBorder="1" applyAlignment="1">
      <alignment horizontal="left" wrapText="1" indent="1"/>
    </xf>
    <xf numFmtId="183" fontId="47" fillId="25" borderId="256" xfId="0" applyNumberFormat="1" applyFont="1" applyFill="1" applyBorder="1" applyAlignment="1">
      <alignment horizontal="left" vertical="center" wrapText="1"/>
    </xf>
    <xf numFmtId="0" fontId="62" fillId="25" borderId="0" xfId="0" applyFont="1" applyFill="1" applyAlignment="1">
      <alignment vertical="center"/>
    </xf>
    <xf numFmtId="183" fontId="47" fillId="25" borderId="63" xfId="40" applyNumberFormat="1" applyFont="1" applyFill="1" applyBorder="1" applyAlignment="1">
      <alignment horizontal="left" wrapText="1" indent="1"/>
    </xf>
    <xf numFmtId="183" fontId="47" fillId="25" borderId="121" xfId="0" applyNumberFormat="1" applyFont="1" applyFill="1" applyBorder="1" applyAlignment="1">
      <alignment horizontal="left" vertical="center" wrapText="1"/>
    </xf>
    <xf numFmtId="0" fontId="61" fillId="24" borderId="239" xfId="0" applyFont="1" applyFill="1" applyBorder="1" applyAlignment="1">
      <alignment horizontal="right" vertical="center"/>
    </xf>
    <xf numFmtId="0" fontId="61" fillId="24" borderId="240" xfId="0" applyFont="1" applyFill="1" applyBorder="1" applyAlignment="1">
      <alignment horizontal="right" vertical="center"/>
    </xf>
    <xf numFmtId="0" fontId="61" fillId="32" borderId="240" xfId="0" applyFont="1" applyFill="1" applyBorder="1" applyAlignment="1">
      <alignment horizontal="right" vertical="center"/>
    </xf>
    <xf numFmtId="0" fontId="61" fillId="32" borderId="241" xfId="0" applyFont="1" applyFill="1" applyBorder="1" applyAlignment="1">
      <alignment horizontal="right" vertical="center"/>
    </xf>
    <xf numFmtId="0" fontId="11" fillId="0" borderId="242" xfId="0" applyFont="1" applyBorder="1"/>
    <xf numFmtId="0" fontId="11" fillId="0" borderId="243" xfId="0" applyFont="1" applyBorder="1"/>
    <xf numFmtId="0" fontId="11" fillId="0" borderId="244" xfId="0" applyFont="1" applyBorder="1"/>
    <xf numFmtId="0" fontId="11" fillId="0" borderId="245" xfId="0" applyFont="1" applyBorder="1"/>
    <xf numFmtId="0" fontId="11" fillId="0" borderId="247" xfId="0" applyFont="1" applyBorder="1"/>
    <xf numFmtId="0" fontId="11" fillId="0" borderId="248" xfId="0" applyFont="1" applyBorder="1"/>
    <xf numFmtId="175" fontId="48" fillId="17" borderId="41" xfId="85" applyFill="1" applyBorder="1">
      <alignment horizontal="right"/>
      <protection locked="0"/>
    </xf>
    <xf numFmtId="175" fontId="48" fillId="17" borderId="55" xfId="85" applyFill="1" applyBorder="1">
      <alignment horizontal="right"/>
      <protection locked="0"/>
    </xf>
    <xf numFmtId="175" fontId="48" fillId="17" borderId="52" xfId="85" applyFill="1" applyBorder="1">
      <alignment horizontal="right"/>
      <protection locked="0"/>
    </xf>
    <xf numFmtId="0" fontId="61" fillId="24" borderId="241" xfId="0" applyFont="1" applyFill="1" applyBorder="1" applyAlignment="1">
      <alignment horizontal="right" vertical="center"/>
    </xf>
    <xf numFmtId="0" fontId="11" fillId="0" borderId="250" xfId="0" applyFont="1" applyBorder="1"/>
    <xf numFmtId="0" fontId="11" fillId="0" borderId="251" xfId="0" applyFont="1" applyBorder="1"/>
    <xf numFmtId="0" fontId="11" fillId="0" borderId="252" xfId="0" applyFont="1" applyBorder="1"/>
    <xf numFmtId="0" fontId="11" fillId="0" borderId="253" xfId="0" applyFont="1" applyBorder="1"/>
    <xf numFmtId="0" fontId="87" fillId="16" borderId="239" xfId="137" applyBorder="1">
      <alignment horizontal="right" vertical="center" wrapText="1" indent="1"/>
    </xf>
    <xf numFmtId="0" fontId="87" fillId="16" borderId="240" xfId="137" applyBorder="1">
      <alignment horizontal="right" vertical="center" wrapText="1" indent="1"/>
    </xf>
    <xf numFmtId="0" fontId="87" fillId="15" borderId="240" xfId="138" applyBorder="1">
      <alignment horizontal="right" vertical="center" wrapText="1" indent="1"/>
    </xf>
    <xf numFmtId="0" fontId="87" fillId="15" borderId="241" xfId="138" applyBorder="1">
      <alignment horizontal="right" vertical="center" wrapText="1" indent="1"/>
    </xf>
    <xf numFmtId="0" fontId="51" fillId="0" borderId="20" xfId="0" applyFont="1" applyBorder="1"/>
    <xf numFmtId="0" fontId="51" fillId="25" borderId="20" xfId="0" applyFont="1" applyFill="1" applyBorder="1"/>
    <xf numFmtId="0" fontId="51" fillId="25" borderId="257" xfId="0" applyFont="1" applyFill="1" applyBorder="1"/>
    <xf numFmtId="0" fontId="0" fillId="0" borderId="258" xfId="0" applyBorder="1"/>
    <xf numFmtId="0" fontId="47" fillId="25" borderId="111" xfId="0" applyFont="1" applyFill="1" applyBorder="1" applyAlignment="1">
      <alignment horizontal="left" indent="1"/>
    </xf>
    <xf numFmtId="0" fontId="47" fillId="25" borderId="109" xfId="0" applyFont="1" applyFill="1" applyBorder="1" applyAlignment="1">
      <alignment horizontal="left" indent="1"/>
    </xf>
    <xf numFmtId="0" fontId="47" fillId="25" borderId="112" xfId="0" applyFont="1" applyFill="1" applyBorder="1" applyAlignment="1">
      <alignment horizontal="left" indent="1"/>
    </xf>
    <xf numFmtId="0" fontId="47" fillId="25" borderId="259" xfId="0" applyFont="1" applyFill="1" applyBorder="1"/>
    <xf numFmtId="0" fontId="47" fillId="25" borderId="19" xfId="0" applyFont="1" applyFill="1" applyBorder="1"/>
    <xf numFmtId="0" fontId="47" fillId="25" borderId="108" xfId="0" applyFont="1" applyFill="1" applyBorder="1" applyAlignment="1">
      <alignment horizontal="left" indent="1"/>
    </xf>
    <xf numFmtId="0" fontId="47" fillId="25" borderId="168" xfId="0" applyFont="1" applyFill="1" applyBorder="1"/>
    <xf numFmtId="0" fontId="47" fillId="25" borderId="110" xfId="0" applyFont="1" applyFill="1" applyBorder="1" applyAlignment="1">
      <alignment horizontal="left" indent="1"/>
    </xf>
    <xf numFmtId="0" fontId="55" fillId="33" borderId="36" xfId="0" applyFont="1" applyFill="1" applyBorder="1" applyAlignment="1">
      <alignment horizontal="centerContinuous" vertical="center"/>
    </xf>
    <xf numFmtId="0" fontId="55" fillId="33" borderId="38" xfId="0" applyFont="1" applyFill="1" applyBorder="1" applyAlignment="1">
      <alignment horizontal="centerContinuous" vertical="center"/>
    </xf>
    <xf numFmtId="175" fontId="48" fillId="17" borderId="67" xfId="85" applyFill="1" applyBorder="1">
      <alignment horizontal="right"/>
      <protection locked="0"/>
    </xf>
    <xf numFmtId="175" fontId="48" fillId="17" borderId="47" xfId="85" applyFill="1" applyBorder="1">
      <alignment horizontal="right"/>
      <protection locked="0"/>
    </xf>
    <xf numFmtId="175" fontId="48" fillId="17" borderId="42" xfId="85" applyFill="1" applyBorder="1">
      <alignment horizontal="right"/>
      <protection locked="0"/>
    </xf>
    <xf numFmtId="175" fontId="48" fillId="17" borderId="64" xfId="85" applyFill="1" applyBorder="1">
      <alignment horizontal="right"/>
      <protection locked="0"/>
    </xf>
    <xf numFmtId="175" fontId="48" fillId="17" borderId="62" xfId="85" applyFill="1" applyBorder="1">
      <alignment horizontal="right"/>
      <protection locked="0"/>
    </xf>
    <xf numFmtId="175" fontId="48" fillId="23" borderId="136" xfId="85" applyBorder="1">
      <alignment horizontal="right"/>
      <protection locked="0"/>
    </xf>
    <xf numFmtId="175" fontId="48" fillId="23" borderId="138" xfId="85" applyBorder="1">
      <alignment horizontal="right"/>
      <protection locked="0"/>
    </xf>
    <xf numFmtId="0" fontId="32" fillId="17" borderId="0" xfId="37" applyFill="1">
      <alignment vertical="center"/>
    </xf>
    <xf numFmtId="175" fontId="48" fillId="23" borderId="31" xfId="85" quotePrefix="1" applyBorder="1">
      <alignment horizontal="right"/>
      <protection locked="0"/>
    </xf>
    <xf numFmtId="173" fontId="11" fillId="0" borderId="0" xfId="44" quotePrefix="1">
      <alignment horizontal="center" vertical="center"/>
    </xf>
    <xf numFmtId="0" fontId="74" fillId="43" borderId="19" xfId="0" applyFont="1" applyFill="1" applyBorder="1" applyAlignment="1">
      <alignment horizontal="centerContinuous" vertical="center" wrapText="1"/>
    </xf>
    <xf numFmtId="0" fontId="74" fillId="43" borderId="20" xfId="0" applyFont="1" applyFill="1" applyBorder="1" applyAlignment="1">
      <alignment horizontal="centerContinuous" vertical="center" wrapText="1"/>
    </xf>
    <xf numFmtId="0" fontId="74" fillId="43" borderId="36" xfId="0" applyFont="1" applyFill="1" applyBorder="1" applyAlignment="1">
      <alignment horizontal="centerContinuous" vertical="center" wrapText="1"/>
    </xf>
    <xf numFmtId="0" fontId="0" fillId="17" borderId="0" xfId="0" applyFill="1"/>
    <xf numFmtId="0" fontId="32" fillId="0" borderId="0" xfId="37" applyFill="1">
      <alignment vertical="center"/>
    </xf>
    <xf numFmtId="175" fontId="48" fillId="17" borderId="69" xfId="85" applyFill="1" applyBorder="1">
      <alignment horizontal="right"/>
      <protection locked="0"/>
    </xf>
    <xf numFmtId="175" fontId="48" fillId="17" borderId="30" xfId="85" applyFill="1" applyBorder="1">
      <alignment horizontal="right"/>
      <protection locked="0"/>
    </xf>
    <xf numFmtId="175" fontId="48" fillId="17" borderId="70" xfId="85" applyFill="1" applyBorder="1">
      <alignment horizontal="right"/>
      <protection locked="0"/>
    </xf>
    <xf numFmtId="175" fontId="48" fillId="17" borderId="34" xfId="85" applyFill="1" applyBorder="1">
      <alignment horizontal="right"/>
      <protection locked="0"/>
    </xf>
    <xf numFmtId="0" fontId="47" fillId="28" borderId="55" xfId="0" applyFont="1" applyFill="1" applyBorder="1" applyAlignment="1" applyProtection="1">
      <alignment horizontal="right" vertical="center" wrapText="1"/>
      <protection locked="0"/>
    </xf>
    <xf numFmtId="0" fontId="47" fillId="28" borderId="53" xfId="0" applyFont="1" applyFill="1" applyBorder="1" applyAlignment="1" applyProtection="1">
      <alignment horizontal="right" vertical="center" wrapText="1"/>
      <protection locked="0"/>
    </xf>
    <xf numFmtId="0" fontId="47" fillId="28" borderId="54" xfId="0" applyFont="1" applyFill="1" applyBorder="1" applyAlignment="1" applyProtection="1">
      <alignment horizontal="right" vertical="center" wrapText="1"/>
      <protection locked="0"/>
    </xf>
    <xf numFmtId="0" fontId="47" fillId="28" borderId="85" xfId="0" applyFont="1" applyFill="1" applyBorder="1" applyAlignment="1" applyProtection="1">
      <alignment horizontal="right" vertical="center" wrapText="1"/>
      <protection locked="0"/>
    </xf>
    <xf numFmtId="0" fontId="47" fillId="28" borderId="34" xfId="0" applyFont="1" applyFill="1" applyBorder="1" applyAlignment="1" applyProtection="1">
      <alignment horizontal="left" vertical="top" wrapText="1"/>
      <protection locked="0"/>
    </xf>
    <xf numFmtId="0" fontId="47" fillId="28" borderId="100" xfId="0" applyFont="1" applyFill="1" applyBorder="1" applyAlignment="1" applyProtection="1">
      <alignment horizontal="left" vertical="top" wrapText="1"/>
      <protection locked="0"/>
    </xf>
    <xf numFmtId="0" fontId="47" fillId="28" borderId="101" xfId="0" applyFont="1" applyFill="1" applyBorder="1" applyAlignment="1" applyProtection="1">
      <alignment horizontal="left" vertical="top" wrapText="1"/>
      <protection locked="0"/>
    </xf>
    <xf numFmtId="0" fontId="47" fillId="28" borderId="64" xfId="0" applyFont="1" applyFill="1" applyBorder="1" applyAlignment="1" applyProtection="1">
      <alignment horizontal="right" vertical="center" wrapText="1"/>
      <protection locked="0"/>
    </xf>
    <xf numFmtId="0" fontId="47" fillId="28" borderId="62" xfId="0" applyFont="1" applyFill="1" applyBorder="1" applyAlignment="1" applyProtection="1">
      <alignment horizontal="right" vertical="center" wrapText="1"/>
      <protection locked="0"/>
    </xf>
    <xf numFmtId="0" fontId="47" fillId="28" borderId="63" xfId="0" applyFont="1" applyFill="1" applyBorder="1" applyAlignment="1" applyProtection="1">
      <alignment horizontal="right" vertical="center" wrapText="1"/>
      <protection locked="0"/>
    </xf>
    <xf numFmtId="0" fontId="47" fillId="28" borderId="86" xfId="0" applyFont="1" applyFill="1" applyBorder="1" applyAlignment="1" applyProtection="1">
      <alignment horizontal="right" vertical="center" wrapText="1"/>
      <protection locked="0"/>
    </xf>
    <xf numFmtId="49" fontId="47" fillId="29" borderId="167" xfId="0" applyNumberFormat="1" applyFont="1" applyFill="1" applyBorder="1" applyAlignment="1" applyProtection="1">
      <alignment horizontal="left" vertical="top" wrapText="1"/>
      <protection locked="0"/>
    </xf>
    <xf numFmtId="0" fontId="47" fillId="0" borderId="0" xfId="0" applyFont="1" applyAlignment="1">
      <alignment horizontal="right" vertical="center" indent="1"/>
    </xf>
    <xf numFmtId="175" fontId="48" fillId="0" borderId="67" xfId="85" applyFill="1" applyBorder="1">
      <alignment horizontal="right"/>
      <protection locked="0"/>
    </xf>
    <xf numFmtId="175" fontId="48" fillId="0" borderId="47" xfId="85" applyFill="1" applyBorder="1">
      <alignment horizontal="right"/>
      <protection locked="0"/>
    </xf>
    <xf numFmtId="175" fontId="48" fillId="0" borderId="64" xfId="85" applyFill="1" applyBorder="1">
      <alignment horizontal="right"/>
      <protection locked="0"/>
    </xf>
    <xf numFmtId="175" fontId="48" fillId="0" borderId="62" xfId="85" applyFill="1" applyBorder="1">
      <alignment horizontal="right"/>
      <protection locked="0"/>
    </xf>
    <xf numFmtId="49" fontId="48" fillId="29" borderId="108" xfId="0" applyNumberFormat="1" applyFont="1" applyFill="1" applyBorder="1" applyAlignment="1" applyProtection="1">
      <alignment horizontal="right"/>
      <protection locked="0"/>
    </xf>
    <xf numFmtId="0" fontId="46" fillId="43" borderId="260" xfId="0" applyFont="1" applyFill="1" applyBorder="1" applyAlignment="1">
      <alignment horizontal="right" vertical="center" wrapText="1"/>
    </xf>
    <xf numFmtId="0" fontId="33" fillId="16" borderId="261" xfId="53" applyBorder="1" applyAlignment="1">
      <alignment horizontal="right" vertical="center"/>
      <protection locked="0"/>
    </xf>
    <xf numFmtId="0" fontId="33" fillId="16" borderId="262" xfId="53" applyBorder="1" applyAlignment="1">
      <alignment horizontal="right" vertical="center"/>
      <protection locked="0"/>
    </xf>
    <xf numFmtId="0" fontId="33" fillId="16" borderId="263" xfId="53" applyBorder="1" applyAlignment="1">
      <alignment horizontal="right" vertical="center"/>
      <protection locked="0"/>
    </xf>
    <xf numFmtId="0" fontId="0" fillId="25" borderId="0" xfId="0" applyFill="1"/>
    <xf numFmtId="0" fontId="61" fillId="43" borderId="115" xfId="122" applyFill="1" applyBorder="1" applyAlignment="1">
      <alignment horizontal="right" vertical="center" wrapText="1"/>
    </xf>
    <xf numFmtId="0" fontId="61" fillId="43" borderId="116" xfId="122" applyFill="1" applyBorder="1" applyAlignment="1">
      <alignment horizontal="right" vertical="center" wrapText="1"/>
    </xf>
    <xf numFmtId="0" fontId="61" fillId="43" borderId="116" xfId="123" applyFill="1" applyBorder="1" applyAlignment="1">
      <alignment horizontal="right" vertical="center" wrapText="1"/>
    </xf>
    <xf numFmtId="0" fontId="61" fillId="43" borderId="117" xfId="123" applyFill="1" applyBorder="1" applyAlignment="1">
      <alignment horizontal="right" vertical="center" wrapText="1"/>
    </xf>
    <xf numFmtId="175" fontId="48" fillId="17" borderId="46" xfId="85" applyFill="1" applyBorder="1">
      <alignment horizontal="right"/>
      <protection locked="0"/>
    </xf>
    <xf numFmtId="175" fontId="48" fillId="17" borderId="49" xfId="85" applyFill="1" applyBorder="1">
      <alignment horizontal="right"/>
      <protection locked="0"/>
    </xf>
    <xf numFmtId="9" fontId="48" fillId="23" borderId="48" xfId="60" applyFont="1" applyFill="1" applyBorder="1" applyAlignment="1" applyProtection="1">
      <alignment horizontal="right"/>
      <protection locked="0"/>
    </xf>
    <xf numFmtId="9" fontId="48" fillId="23" borderId="49" xfId="60" applyFont="1" applyFill="1" applyBorder="1" applyAlignment="1" applyProtection="1">
      <alignment horizontal="right"/>
      <protection locked="0"/>
    </xf>
    <xf numFmtId="9" fontId="48" fillId="23" borderId="124" xfId="60" applyFont="1" applyFill="1" applyBorder="1" applyAlignment="1" applyProtection="1">
      <alignment horizontal="right"/>
      <protection locked="0"/>
    </xf>
    <xf numFmtId="183" fontId="0" fillId="25" borderId="0" xfId="92" applyNumberFormat="1" applyFont="1" applyFill="1" applyAlignment="1">
      <alignment horizontal="right"/>
    </xf>
    <xf numFmtId="49" fontId="47" fillId="0" borderId="82" xfId="128" applyFill="1" applyBorder="1" applyAlignment="1">
      <alignment vertical="center" wrapText="1"/>
      <protection locked="0"/>
    </xf>
    <xf numFmtId="183" fontId="1" fillId="25" borderId="0" xfId="92" applyNumberFormat="1" applyFont="1" applyFill="1" applyAlignment="1">
      <alignment horizontal="right"/>
    </xf>
    <xf numFmtId="176" fontId="49" fillId="3" borderId="149" xfId="86" applyBorder="1" applyProtection="1">
      <alignment horizontal="right" vertical="center"/>
      <protection locked="0"/>
    </xf>
    <xf numFmtId="176" fontId="49" fillId="3" borderId="116" xfId="86" applyBorder="1" applyProtection="1">
      <alignment horizontal="right" vertical="center"/>
      <protection locked="0"/>
    </xf>
    <xf numFmtId="9" fontId="49" fillId="3" borderId="116" xfId="60" applyFont="1" applyFill="1" applyBorder="1" applyAlignment="1" applyProtection="1">
      <alignment horizontal="right" vertical="center"/>
      <protection locked="0"/>
    </xf>
    <xf numFmtId="9" fontId="49" fillId="3" borderId="237" xfId="60" applyFont="1" applyFill="1" applyBorder="1" applyAlignment="1" applyProtection="1">
      <alignment horizontal="right" vertical="center"/>
      <protection locked="0"/>
    </xf>
    <xf numFmtId="183" fontId="1" fillId="0" borderId="0" xfId="92" applyNumberFormat="1" applyFont="1" applyFill="1" applyAlignment="1">
      <alignment horizontal="right" vertical="center"/>
    </xf>
    <xf numFmtId="0" fontId="39" fillId="0" borderId="0" xfId="57" applyAlignment="1">
      <alignment horizontal="centerContinuous"/>
    </xf>
    <xf numFmtId="176" fontId="48" fillId="17" borderId="30" xfId="0" applyNumberFormat="1" applyFont="1" applyFill="1" applyBorder="1" applyAlignment="1" applyProtection="1">
      <alignment horizontal="right"/>
      <protection locked="0"/>
    </xf>
    <xf numFmtId="176" fontId="48" fillId="17" borderId="29" xfId="0" applyNumberFormat="1" applyFont="1" applyFill="1" applyBorder="1" applyAlignment="1" applyProtection="1">
      <alignment horizontal="right"/>
      <protection locked="0"/>
    </xf>
    <xf numFmtId="176" fontId="48" fillId="17" borderId="31" xfId="0" applyNumberFormat="1" applyFont="1" applyFill="1" applyBorder="1" applyAlignment="1" applyProtection="1">
      <alignment horizontal="right"/>
      <protection locked="0"/>
    </xf>
    <xf numFmtId="176" fontId="48" fillId="17" borderId="34" xfId="0" applyNumberFormat="1" applyFont="1" applyFill="1" applyBorder="1" applyAlignment="1" applyProtection="1">
      <alignment horizontal="right"/>
      <protection locked="0"/>
    </xf>
    <xf numFmtId="176" fontId="48" fillId="17" borderId="33" xfId="0" applyNumberFormat="1" applyFont="1" applyFill="1" applyBorder="1" applyAlignment="1" applyProtection="1">
      <alignment horizontal="right"/>
      <protection locked="0"/>
    </xf>
    <xf numFmtId="176" fontId="48" fillId="17" borderId="35" xfId="0" applyNumberFormat="1" applyFont="1" applyFill="1" applyBorder="1" applyAlignment="1" applyProtection="1">
      <alignment horizontal="right"/>
      <protection locked="0"/>
    </xf>
    <xf numFmtId="0" fontId="61" fillId="43" borderId="145" xfId="122" applyFill="1" applyBorder="1" applyAlignment="1">
      <alignment horizontal="centerContinuous" vertical="center" wrapText="1"/>
    </xf>
    <xf numFmtId="0" fontId="61" fillId="43" borderId="140" xfId="122" applyFill="1" applyAlignment="1">
      <alignment horizontal="centerContinuous" vertical="center" wrapText="1"/>
    </xf>
    <xf numFmtId="0" fontId="61" fillId="43" borderId="140" xfId="123" applyFill="1" applyAlignment="1">
      <alignment horizontal="centerContinuous" vertical="center" wrapText="1"/>
    </xf>
    <xf numFmtId="0" fontId="61" fillId="43" borderId="146" xfId="123" applyFill="1" applyBorder="1" applyAlignment="1">
      <alignment horizontal="centerContinuous" vertical="center" wrapText="1"/>
    </xf>
    <xf numFmtId="49" fontId="47" fillId="0" borderId="81" xfId="128" applyFill="1" applyBorder="1" applyAlignment="1">
      <alignment horizontal="left" vertical="center" wrapText="1"/>
      <protection locked="0"/>
    </xf>
    <xf numFmtId="0" fontId="60" fillId="20" borderId="19" xfId="130" applyBorder="1">
      <alignment vertical="center"/>
    </xf>
    <xf numFmtId="175" fontId="88" fillId="50" borderId="267" xfId="0" applyNumberFormat="1" applyFont="1" applyFill="1" applyBorder="1" applyAlignment="1" applyProtection="1">
      <alignment horizontal="left" vertical="center" wrapText="1"/>
      <protection locked="0"/>
    </xf>
    <xf numFmtId="175" fontId="88" fillId="50" borderId="268" xfId="0" applyNumberFormat="1" applyFont="1" applyFill="1" applyBorder="1" applyAlignment="1" applyProtection="1">
      <alignment horizontal="left" vertical="center" wrapText="1"/>
      <protection locked="0"/>
    </xf>
    <xf numFmtId="0" fontId="10" fillId="0" borderId="96" xfId="0" applyFont="1" applyBorder="1" applyAlignment="1">
      <alignment horizontal="center"/>
    </xf>
    <xf numFmtId="0" fontId="87" fillId="16" borderId="271" xfId="137" applyBorder="1">
      <alignment horizontal="right" vertical="center" wrapText="1" indent="1"/>
    </xf>
    <xf numFmtId="0" fontId="58" fillId="24" borderId="272" xfId="0" applyFont="1" applyFill="1" applyBorder="1" applyAlignment="1">
      <alignment horizontal="left" vertical="center" wrapText="1"/>
    </xf>
    <xf numFmtId="0" fontId="0" fillId="25" borderId="238" xfId="0" applyFill="1" applyBorder="1" applyAlignment="1">
      <alignment horizontal="center" vertical="center" wrapText="1"/>
    </xf>
    <xf numFmtId="183" fontId="0" fillId="25" borderId="238" xfId="92" applyNumberFormat="1" applyFont="1" applyFill="1" applyBorder="1"/>
    <xf numFmtId="183" fontId="0" fillId="25" borderId="157" xfId="92" applyNumberFormat="1" applyFont="1" applyFill="1" applyBorder="1"/>
    <xf numFmtId="175" fontId="88" fillId="50" borderId="267" xfId="0" applyNumberFormat="1" applyFont="1" applyFill="1" applyBorder="1" applyAlignment="1" applyProtection="1">
      <alignment horizontal="left" vertical="center"/>
      <protection locked="0"/>
    </xf>
    <xf numFmtId="175" fontId="88" fillId="50" borderId="268" xfId="0" applyNumberFormat="1" applyFont="1" applyFill="1" applyBorder="1" applyAlignment="1" applyProtection="1">
      <alignment horizontal="left" vertical="center"/>
      <protection locked="0"/>
    </xf>
    <xf numFmtId="175" fontId="88" fillId="50" borderId="275" xfId="0" applyNumberFormat="1" applyFont="1" applyFill="1" applyBorder="1" applyAlignment="1" applyProtection="1">
      <alignment horizontal="left" vertical="center"/>
      <protection locked="0"/>
    </xf>
    <xf numFmtId="175" fontId="88" fillId="50" borderId="269" xfId="0" applyNumberFormat="1" applyFont="1" applyFill="1" applyBorder="1" applyAlignment="1" applyProtection="1">
      <alignment horizontal="left" vertical="center"/>
      <protection locked="0"/>
    </xf>
    <xf numFmtId="0" fontId="10" fillId="0" borderId="92" xfId="0" applyFont="1" applyBorder="1"/>
    <xf numFmtId="175" fontId="48" fillId="52" borderId="49" xfId="85" applyFill="1" applyBorder="1">
      <alignment horizontal="right"/>
      <protection locked="0"/>
    </xf>
    <xf numFmtId="175" fontId="48" fillId="52" borderId="124" xfId="85" applyFill="1" applyBorder="1">
      <alignment horizontal="right"/>
      <protection locked="0"/>
    </xf>
    <xf numFmtId="175" fontId="48" fillId="52" borderId="240" xfId="85" applyFill="1" applyBorder="1">
      <alignment horizontal="right"/>
      <protection locked="0"/>
    </xf>
    <xf numFmtId="175" fontId="48" fillId="52" borderId="241" xfId="85" applyFill="1" applyBorder="1">
      <alignment horizontal="right"/>
      <protection locked="0"/>
    </xf>
    <xf numFmtId="0" fontId="11" fillId="51" borderId="273" xfId="0" applyFont="1" applyFill="1" applyBorder="1" applyAlignment="1">
      <alignment horizontal="center" vertical="center"/>
    </xf>
    <xf numFmtId="0" fontId="11" fillId="51" borderId="274" xfId="0" applyFont="1" applyFill="1" applyBorder="1" applyAlignment="1">
      <alignment horizontal="center" vertical="center"/>
    </xf>
    <xf numFmtId="0" fontId="11" fillId="51" borderId="276" xfId="0" applyFont="1" applyFill="1" applyBorder="1" applyAlignment="1">
      <alignment horizontal="center" vertical="center"/>
    </xf>
    <xf numFmtId="0" fontId="11" fillId="51" borderId="277" xfId="0" applyFont="1" applyFill="1" applyBorder="1" applyAlignment="1">
      <alignment horizontal="center" vertical="center"/>
    </xf>
    <xf numFmtId="0" fontId="78" fillId="0" borderId="0" xfId="36" applyFill="1">
      <alignment horizontal="left" vertical="center"/>
    </xf>
    <xf numFmtId="49" fontId="48" fillId="29" borderId="109" xfId="0" applyNumberFormat="1" applyFont="1" applyFill="1" applyBorder="1" applyAlignment="1" applyProtection="1">
      <alignment horizontal="right"/>
      <protection locked="0"/>
    </xf>
    <xf numFmtId="49" fontId="47" fillId="29" borderId="30" xfId="0" applyNumberFormat="1" applyFont="1" applyFill="1" applyBorder="1" applyAlignment="1" applyProtection="1">
      <alignment horizontal="left" vertical="top" wrapText="1"/>
      <protection locked="0"/>
    </xf>
    <xf numFmtId="49" fontId="47" fillId="29" borderId="70" xfId="0" applyNumberFormat="1" applyFont="1" applyFill="1" applyBorder="1" applyAlignment="1" applyProtection="1">
      <alignment horizontal="left" vertical="top" wrapText="1"/>
      <protection locked="0"/>
    </xf>
    <xf numFmtId="49" fontId="47" fillId="29" borderId="34" xfId="0" applyNumberFormat="1" applyFont="1" applyFill="1" applyBorder="1" applyAlignment="1" applyProtection="1">
      <alignment horizontal="left" vertical="top" wrapText="1"/>
      <protection locked="0"/>
    </xf>
    <xf numFmtId="175" fontId="48" fillId="46" borderId="205" xfId="133" applyBorder="1">
      <alignment horizontal="right"/>
      <protection locked="0"/>
    </xf>
    <xf numFmtId="167" fontId="32" fillId="0" borderId="0" xfId="15">
      <alignment horizontal="right" vertical="center"/>
    </xf>
    <xf numFmtId="165" fontId="32" fillId="0" borderId="0" xfId="13">
      <alignment horizontal="right" vertical="center"/>
    </xf>
    <xf numFmtId="179" fontId="32" fillId="0" borderId="0" xfId="13" applyNumberFormat="1">
      <alignment horizontal="right" vertical="center"/>
    </xf>
    <xf numFmtId="183" fontId="47" fillId="25" borderId="54" xfId="92" applyNumberFormat="1" applyFont="1" applyFill="1" applyBorder="1" applyAlignment="1" applyProtection="1">
      <alignment horizontal="left" indent="1"/>
    </xf>
    <xf numFmtId="185" fontId="32" fillId="0" borderId="0" xfId="40" applyNumberFormat="1">
      <alignment horizontal="right" vertical="center"/>
    </xf>
    <xf numFmtId="176" fontId="48" fillId="17" borderId="70" xfId="0" applyNumberFormat="1" applyFont="1" applyFill="1" applyBorder="1" applyAlignment="1" applyProtection="1">
      <alignment horizontal="right"/>
      <protection locked="0"/>
    </xf>
    <xf numFmtId="176" fontId="48" fillId="17" borderId="74" xfId="0" applyNumberFormat="1" applyFont="1" applyFill="1" applyBorder="1" applyAlignment="1" applyProtection="1">
      <alignment horizontal="right"/>
      <protection locked="0"/>
    </xf>
    <xf numFmtId="176" fontId="48" fillId="17" borderId="100" xfId="0" applyNumberFormat="1" applyFont="1" applyFill="1" applyBorder="1" applyAlignment="1" applyProtection="1">
      <alignment horizontal="right"/>
      <protection locked="0"/>
    </xf>
    <xf numFmtId="176" fontId="48" fillId="17" borderId="101" xfId="0" applyNumberFormat="1" applyFont="1" applyFill="1" applyBorder="1" applyAlignment="1" applyProtection="1">
      <alignment horizontal="right"/>
      <protection locked="0"/>
    </xf>
    <xf numFmtId="176" fontId="48" fillId="17" borderId="102" xfId="0" applyNumberFormat="1" applyFont="1" applyFill="1" applyBorder="1" applyAlignment="1" applyProtection="1">
      <alignment horizontal="right"/>
      <protection locked="0"/>
    </xf>
    <xf numFmtId="176" fontId="48" fillId="17" borderId="75" xfId="0" applyNumberFormat="1" applyFont="1" applyFill="1" applyBorder="1" applyAlignment="1" applyProtection="1">
      <alignment horizontal="right"/>
      <protection locked="0"/>
    </xf>
    <xf numFmtId="176" fontId="48" fillId="17" borderId="76" xfId="0" applyNumberFormat="1" applyFont="1" applyFill="1" applyBorder="1" applyAlignment="1" applyProtection="1">
      <alignment horizontal="right"/>
      <protection locked="0"/>
    </xf>
    <xf numFmtId="0" fontId="47" fillId="29" borderId="176" xfId="128" applyNumberFormat="1" applyBorder="1" applyAlignment="1">
      <alignment horizontal="left" vertical="center" wrapText="1" indent="4"/>
      <protection locked="0"/>
    </xf>
    <xf numFmtId="0" fontId="47" fillId="29" borderId="211" xfId="128" applyNumberFormat="1" applyBorder="1" applyAlignment="1">
      <alignment horizontal="left" vertical="center" wrapText="1" indent="4"/>
      <protection locked="0"/>
    </xf>
    <xf numFmtId="173" fontId="11" fillId="0" borderId="278" xfId="44" applyBorder="1" applyAlignment="1">
      <alignment horizontal="right" vertical="center"/>
    </xf>
    <xf numFmtId="173" fontId="11" fillId="0" borderId="279" xfId="44" applyBorder="1" applyAlignment="1">
      <alignment horizontal="right" vertical="center"/>
    </xf>
    <xf numFmtId="175" fontId="48" fillId="17" borderId="124" xfId="85" applyFill="1" applyBorder="1">
      <alignment horizontal="right"/>
      <protection locked="0"/>
    </xf>
    <xf numFmtId="175" fontId="48" fillId="17" borderId="85" xfId="85" applyFill="1" applyBorder="1">
      <alignment horizontal="right"/>
      <protection locked="0"/>
    </xf>
    <xf numFmtId="175" fontId="48" fillId="17" borderId="86" xfId="85" applyFill="1" applyBorder="1">
      <alignment horizontal="right"/>
      <protection locked="0"/>
    </xf>
    <xf numFmtId="183" fontId="0" fillId="25" borderId="20" xfId="92" applyNumberFormat="1" applyFont="1" applyFill="1" applyBorder="1"/>
    <xf numFmtId="183" fontId="0" fillId="25" borderId="21" xfId="92" applyNumberFormat="1" applyFont="1" applyFill="1" applyBorder="1"/>
    <xf numFmtId="175" fontId="48" fillId="52" borderId="67" xfId="85" applyFill="1" applyBorder="1">
      <alignment horizontal="right"/>
      <protection locked="0"/>
    </xf>
    <xf numFmtId="175" fontId="48" fillId="52" borderId="84" xfId="85" applyFill="1" applyBorder="1">
      <alignment horizontal="right"/>
      <protection locked="0"/>
    </xf>
    <xf numFmtId="49" fontId="47" fillId="28" borderId="31" xfId="0" applyNumberFormat="1" applyFont="1" applyFill="1" applyBorder="1" applyAlignment="1" applyProtection="1">
      <alignment horizontal="left" vertical="top" wrapText="1" indent="2"/>
      <protection locked="0"/>
    </xf>
    <xf numFmtId="0" fontId="47" fillId="28" borderId="163" xfId="0" applyFont="1" applyFill="1" applyBorder="1" applyAlignment="1" applyProtection="1">
      <alignment horizontal="left" vertical="top" wrapText="1"/>
      <protection locked="0"/>
    </xf>
    <xf numFmtId="0" fontId="47" fillId="28" borderId="171" xfId="0" applyFont="1" applyFill="1" applyBorder="1" applyAlignment="1" applyProtection="1">
      <alignment horizontal="left" vertical="top" wrapText="1"/>
      <protection locked="0"/>
    </xf>
    <xf numFmtId="0" fontId="37" fillId="0" borderId="0" xfId="35">
      <alignment horizontal="left" vertical="center"/>
    </xf>
    <xf numFmtId="175" fontId="48" fillId="17" borderId="106" xfId="85" applyFill="1" applyBorder="1">
      <alignment horizontal="right"/>
      <protection locked="0"/>
    </xf>
    <xf numFmtId="173" fontId="11" fillId="17" borderId="0" xfId="44" applyFill="1" applyAlignment="1">
      <alignment horizontal="right" vertical="center"/>
    </xf>
    <xf numFmtId="178" fontId="78" fillId="17" borderId="4" xfId="16" applyNumberFormat="1" applyFill="1">
      <alignment horizontal="right" vertical="center"/>
      <protection locked="0"/>
    </xf>
    <xf numFmtId="175" fontId="88" fillId="17" borderId="269" xfId="0" applyNumberFormat="1" applyFont="1" applyFill="1" applyBorder="1" applyAlignment="1" applyProtection="1">
      <alignment horizontal="left" vertical="center"/>
      <protection locked="0"/>
    </xf>
    <xf numFmtId="0" fontId="11" fillId="17" borderId="277" xfId="0" applyFont="1" applyFill="1" applyBorder="1" applyAlignment="1">
      <alignment horizontal="center" vertical="center"/>
    </xf>
    <xf numFmtId="0" fontId="48" fillId="29" borderId="108" xfId="0" applyFont="1" applyFill="1" applyBorder="1" applyAlignment="1" applyProtection="1">
      <alignment horizontal="right"/>
      <protection locked="0"/>
    </xf>
    <xf numFmtId="49" fontId="47" fillId="29" borderId="42" xfId="128" applyBorder="1" applyAlignment="1">
      <alignment horizontal="left" vertical="top"/>
      <protection locked="0"/>
    </xf>
    <xf numFmtId="176" fontId="48" fillId="29" borderId="100" xfId="0" applyNumberFormat="1" applyFont="1" applyFill="1" applyBorder="1" applyAlignment="1" applyProtection="1">
      <alignment horizontal="right"/>
      <protection locked="0"/>
    </xf>
    <xf numFmtId="176" fontId="48" fillId="29" borderId="101" xfId="0" applyNumberFormat="1" applyFont="1" applyFill="1" applyBorder="1" applyAlignment="1" applyProtection="1">
      <alignment horizontal="right"/>
      <protection locked="0"/>
    </xf>
    <xf numFmtId="176" fontId="48" fillId="29" borderId="102" xfId="0" applyNumberFormat="1" applyFont="1" applyFill="1" applyBorder="1" applyAlignment="1" applyProtection="1">
      <alignment horizontal="right"/>
      <protection locked="0"/>
    </xf>
    <xf numFmtId="176" fontId="48" fillId="29" borderId="75" xfId="0" applyNumberFormat="1" applyFont="1" applyFill="1" applyBorder="1" applyAlignment="1" applyProtection="1">
      <alignment horizontal="right"/>
      <protection locked="0"/>
    </xf>
    <xf numFmtId="176" fontId="48" fillId="29" borderId="76" xfId="0" applyNumberFormat="1" applyFont="1" applyFill="1" applyBorder="1" applyAlignment="1" applyProtection="1">
      <alignment horizontal="right"/>
      <protection locked="0"/>
    </xf>
    <xf numFmtId="0" fontId="47" fillId="28" borderId="142" xfId="0" applyFont="1" applyFill="1" applyBorder="1" applyAlignment="1" applyProtection="1">
      <alignment horizontal="left" vertical="top"/>
      <protection locked="0"/>
    </xf>
    <xf numFmtId="0" fontId="47" fillId="28" borderId="35" xfId="0" applyFont="1" applyFill="1" applyBorder="1" applyAlignment="1" applyProtection="1">
      <alignment horizontal="left" vertical="top"/>
      <protection locked="0"/>
    </xf>
    <xf numFmtId="0" fontId="61" fillId="21" borderId="264" xfId="123" applyBorder="1" applyAlignment="1">
      <alignment horizontal="right" vertical="center" wrapText="1"/>
    </xf>
    <xf numFmtId="175" fontId="88" fillId="50" borderId="280" xfId="0" applyNumberFormat="1" applyFont="1" applyFill="1" applyBorder="1" applyAlignment="1" applyProtection="1">
      <alignment horizontal="left" vertical="center" wrapText="1"/>
      <protection locked="0"/>
    </xf>
    <xf numFmtId="175" fontId="88" fillId="50" borderId="281" xfId="0" applyNumberFormat="1" applyFont="1" applyFill="1" applyBorder="1" applyAlignment="1" applyProtection="1">
      <alignment horizontal="left" vertical="center" wrapText="1"/>
      <protection locked="0"/>
    </xf>
    <xf numFmtId="0" fontId="61" fillId="21" borderId="282" xfId="123" applyBorder="1" applyAlignment="1">
      <alignment horizontal="right" vertical="center" wrapText="1"/>
    </xf>
    <xf numFmtId="0" fontId="61" fillId="21" borderId="283" xfId="123" applyBorder="1" applyAlignment="1">
      <alignment horizontal="right" vertical="center" wrapText="1"/>
    </xf>
    <xf numFmtId="169" fontId="32" fillId="17" borderId="4" xfId="13" applyNumberFormat="1" applyFill="1" applyBorder="1">
      <alignment horizontal="right" vertical="center"/>
    </xf>
    <xf numFmtId="169" fontId="32" fillId="17" borderId="39" xfId="13" applyNumberFormat="1" applyFill="1" applyBorder="1">
      <alignment horizontal="right" vertical="center"/>
    </xf>
    <xf numFmtId="169" fontId="32" fillId="17" borderId="40" xfId="13" applyNumberFormat="1" applyFill="1" applyBorder="1">
      <alignment horizontal="right" vertical="center"/>
    </xf>
    <xf numFmtId="183" fontId="47" fillId="0" borderId="54" xfId="0" applyNumberFormat="1" applyFont="1" applyBorder="1" applyAlignment="1">
      <alignment horizontal="left" wrapText="1" indent="1"/>
    </xf>
    <xf numFmtId="183" fontId="47" fillId="0" borderId="54" xfId="40" applyNumberFormat="1" applyFont="1" applyFill="1" applyBorder="1" applyAlignment="1">
      <alignment horizontal="left" wrapText="1" indent="1"/>
    </xf>
    <xf numFmtId="183" fontId="47" fillId="0" borderId="255" xfId="0" applyNumberFormat="1" applyFont="1" applyBorder="1" applyAlignment="1">
      <alignment horizontal="left" wrapText="1" indent="1"/>
    </xf>
    <xf numFmtId="183" fontId="47" fillId="0" borderId="54" xfId="92" applyNumberFormat="1" applyFont="1" applyFill="1" applyBorder="1" applyAlignment="1" applyProtection="1">
      <alignment horizontal="left" wrapText="1" indent="1"/>
    </xf>
    <xf numFmtId="175" fontId="48" fillId="0" borderId="52" xfId="85" applyFill="1" applyBorder="1">
      <alignment horizontal="right"/>
      <protection locked="0"/>
    </xf>
    <xf numFmtId="175" fontId="48" fillId="0" borderId="55" xfId="85" applyFill="1" applyBorder="1">
      <alignment horizontal="right"/>
      <protection locked="0"/>
    </xf>
    <xf numFmtId="175" fontId="48" fillId="0" borderId="85" xfId="85" applyFill="1" applyBorder="1">
      <alignment horizontal="right"/>
      <protection locked="0"/>
    </xf>
    <xf numFmtId="0" fontId="60" fillId="44" borderId="36" xfId="132" applyBorder="1" applyAlignment="1">
      <alignment horizontal="centerContinuous" vertical="center"/>
    </xf>
    <xf numFmtId="0" fontId="60" fillId="44" borderId="38" xfId="132" applyBorder="1" applyAlignment="1">
      <alignment horizontal="centerContinuous" vertical="center"/>
    </xf>
    <xf numFmtId="0" fontId="60" fillId="20" borderId="80" xfId="130" applyBorder="1">
      <alignment vertical="center"/>
    </xf>
    <xf numFmtId="0" fontId="60" fillId="44" borderId="43" xfId="132" applyBorder="1" applyAlignment="1">
      <alignment horizontal="centerContinuous" vertical="center"/>
    </xf>
    <xf numFmtId="175" fontId="48" fillId="0" borderId="41" xfId="85" applyFill="1" applyBorder="1">
      <alignment horizontal="right"/>
      <protection locked="0"/>
    </xf>
    <xf numFmtId="175" fontId="48" fillId="0" borderId="84" xfId="85" applyFill="1" applyBorder="1">
      <alignment horizontal="right"/>
      <protection locked="0"/>
    </xf>
    <xf numFmtId="175" fontId="48" fillId="0" borderId="52" xfId="133" applyFill="1" applyBorder="1">
      <alignment horizontal="right"/>
      <protection locked="0"/>
    </xf>
    <xf numFmtId="175" fontId="48" fillId="0" borderId="55" xfId="133" applyFill="1" applyBorder="1">
      <alignment horizontal="right"/>
      <protection locked="0"/>
    </xf>
    <xf numFmtId="175" fontId="48" fillId="0" borderId="85" xfId="133" applyFill="1" applyBorder="1">
      <alignment horizontal="right"/>
      <protection locked="0"/>
    </xf>
    <xf numFmtId="175" fontId="48" fillId="0" borderId="42" xfId="133" applyFill="1" applyBorder="1">
      <alignment horizontal="right"/>
      <protection locked="0"/>
    </xf>
    <xf numFmtId="175" fontId="48" fillId="0" borderId="64" xfId="133" applyFill="1" applyBorder="1">
      <alignment horizontal="right"/>
      <protection locked="0"/>
    </xf>
    <xf numFmtId="175" fontId="48" fillId="0" borderId="86" xfId="133" applyFill="1" applyBorder="1">
      <alignment horizontal="right"/>
      <protection locked="0"/>
    </xf>
    <xf numFmtId="175" fontId="48" fillId="17" borderId="84" xfId="85" applyFill="1" applyBorder="1">
      <alignment horizontal="right"/>
      <protection locked="0"/>
    </xf>
    <xf numFmtId="175" fontId="48" fillId="17" borderId="52" xfId="133" applyFill="1" applyBorder="1">
      <alignment horizontal="right"/>
      <protection locked="0"/>
    </xf>
    <xf numFmtId="175" fontId="48" fillId="17" borderId="55" xfId="133" applyFill="1" applyBorder="1">
      <alignment horizontal="right"/>
      <protection locked="0"/>
    </xf>
    <xf numFmtId="175" fontId="48" fillId="17" borderId="85" xfId="133" applyFill="1" applyBorder="1">
      <alignment horizontal="right"/>
      <protection locked="0"/>
    </xf>
    <xf numFmtId="175" fontId="48" fillId="17" borderId="42" xfId="133" applyFill="1" applyBorder="1">
      <alignment horizontal="right"/>
      <protection locked="0"/>
    </xf>
    <xf numFmtId="175" fontId="48" fillId="17" borderId="64" xfId="133" applyFill="1" applyBorder="1">
      <alignment horizontal="right"/>
      <protection locked="0"/>
    </xf>
    <xf numFmtId="175" fontId="48" fillId="17" borderId="86" xfId="133" applyFill="1" applyBorder="1">
      <alignment horizontal="right"/>
      <protection locked="0"/>
    </xf>
    <xf numFmtId="0" fontId="78" fillId="53" borderId="4" xfId="8">
      <alignment horizontal="left" vertical="center"/>
      <protection locked="0"/>
    </xf>
    <xf numFmtId="0" fontId="32" fillId="0" borderId="0" xfId="37" applyAlignment="1">
      <alignment horizontal="center" vertical="center"/>
    </xf>
    <xf numFmtId="169" fontId="78" fillId="42" borderId="4" xfId="118" applyNumberFormat="1">
      <alignment horizontal="right" vertical="center"/>
      <protection locked="0"/>
    </xf>
    <xf numFmtId="185" fontId="78" fillId="53" borderId="4" xfId="19" applyNumberFormat="1">
      <alignment horizontal="right" vertical="center"/>
      <protection locked="0"/>
    </xf>
    <xf numFmtId="185" fontId="32" fillId="0" borderId="0" xfId="40" applyNumberFormat="1" applyFill="1">
      <alignment horizontal="right" vertical="center"/>
    </xf>
    <xf numFmtId="0" fontId="72" fillId="0" borderId="0" xfId="37" applyFont="1" applyAlignment="1">
      <alignment horizontal="center" vertical="center"/>
    </xf>
    <xf numFmtId="185" fontId="72" fillId="0" borderId="0" xfId="40" applyNumberFormat="1" applyFont="1" applyFill="1">
      <alignment horizontal="right" vertical="center"/>
    </xf>
    <xf numFmtId="167" fontId="78" fillId="42" borderId="4" xfId="16">
      <alignment horizontal="right" vertical="center"/>
      <protection locked="0"/>
    </xf>
    <xf numFmtId="185" fontId="32" fillId="0" borderId="0" xfId="40" applyNumberFormat="1" applyFill="1" applyBorder="1">
      <alignment horizontal="right" vertical="center"/>
    </xf>
    <xf numFmtId="185" fontId="32" fillId="0" borderId="284" xfId="40" applyNumberFormat="1" applyFill="1" applyBorder="1">
      <alignment horizontal="right" vertical="center"/>
    </xf>
    <xf numFmtId="0" fontId="37" fillId="0" borderId="0" xfId="35" applyFill="1" applyAlignment="1">
      <alignment horizontal="center" vertical="center"/>
    </xf>
    <xf numFmtId="0" fontId="37" fillId="0" borderId="0" xfId="35" applyAlignment="1">
      <alignment horizontal="center" vertical="center" wrapText="1"/>
    </xf>
    <xf numFmtId="186" fontId="39" fillId="0" borderId="0" xfId="57" applyNumberFormat="1"/>
    <xf numFmtId="0" fontId="32" fillId="0" borderId="0" xfId="37" applyAlignment="1">
      <alignment horizontal="left" vertical="center" indent="2"/>
    </xf>
    <xf numFmtId="169" fontId="82" fillId="42" borderId="4" xfId="118" applyNumberFormat="1" applyFont="1">
      <alignment horizontal="right" vertical="center"/>
      <protection locked="0"/>
    </xf>
    <xf numFmtId="0" fontId="37" fillId="0" borderId="0" xfId="35" applyAlignment="1">
      <alignment horizontal="right" vertical="center" wrapText="1"/>
    </xf>
    <xf numFmtId="0" fontId="32" fillId="0" borderId="27" xfId="37" applyBorder="1" applyAlignment="1">
      <alignment horizontal="right" vertical="center"/>
    </xf>
    <xf numFmtId="0" fontId="32" fillId="0" borderId="32" xfId="37" applyBorder="1" applyAlignment="1">
      <alignment horizontal="right" vertical="center"/>
    </xf>
    <xf numFmtId="0" fontId="32" fillId="0" borderId="72" xfId="37" applyBorder="1" applyAlignment="1">
      <alignment horizontal="right" vertical="center"/>
    </xf>
    <xf numFmtId="0" fontId="46" fillId="43" borderId="285" xfId="0" applyFont="1" applyFill="1" applyBorder="1" applyAlignment="1">
      <alignment horizontal="right" vertical="center" wrapText="1"/>
    </xf>
    <xf numFmtId="168" fontId="78" fillId="53" borderId="286" xfId="19" applyBorder="1">
      <alignment horizontal="right" vertical="center"/>
      <protection locked="0"/>
    </xf>
    <xf numFmtId="168" fontId="78" fillId="53" borderId="287" xfId="19" applyBorder="1">
      <alignment horizontal="right" vertical="center"/>
      <protection locked="0"/>
    </xf>
    <xf numFmtId="168" fontId="78" fillId="53" borderId="288" xfId="19" applyBorder="1">
      <alignment horizontal="right" vertical="center"/>
      <protection locked="0"/>
    </xf>
    <xf numFmtId="168" fontId="78" fillId="53" borderId="289" xfId="19" applyBorder="1">
      <alignment horizontal="right" vertical="center"/>
      <protection locked="0"/>
    </xf>
    <xf numFmtId="168" fontId="78" fillId="53" borderId="290" xfId="19" applyBorder="1">
      <alignment horizontal="right" vertical="center"/>
      <protection locked="0"/>
    </xf>
    <xf numFmtId="168" fontId="78" fillId="53" borderId="291" xfId="19" applyBorder="1">
      <alignment horizontal="right" vertical="center"/>
      <protection locked="0"/>
    </xf>
    <xf numFmtId="169" fontId="78" fillId="42" borderId="93" xfId="14" applyNumberFormat="1" applyBorder="1">
      <alignment horizontal="right" vertical="center"/>
      <protection locked="0"/>
    </xf>
    <xf numFmtId="169" fontId="78" fillId="42" borderId="94" xfId="14" applyNumberFormat="1" applyBorder="1">
      <alignment horizontal="right" vertical="center"/>
      <protection locked="0"/>
    </xf>
    <xf numFmtId="0" fontId="11" fillId="0" borderId="0" xfId="57" applyFont="1"/>
    <xf numFmtId="167" fontId="78" fillId="42" borderId="4" xfId="15" applyFont="1" applyFill="1" applyBorder="1">
      <alignment horizontal="right" vertical="center"/>
    </xf>
    <xf numFmtId="0" fontId="32" fillId="0" borderId="66" xfId="37" applyBorder="1" applyAlignment="1">
      <alignment horizontal="right" vertical="center"/>
    </xf>
    <xf numFmtId="0" fontId="32" fillId="0" borderId="51" xfId="37" applyBorder="1" applyAlignment="1">
      <alignment horizontal="right" vertical="center"/>
    </xf>
    <xf numFmtId="0" fontId="32" fillId="0" borderId="56" xfId="37" applyBorder="1" applyAlignment="1">
      <alignment horizontal="right" vertical="center"/>
    </xf>
    <xf numFmtId="0" fontId="32" fillId="0" borderId="61" xfId="37" applyBorder="1" applyAlignment="1">
      <alignment horizontal="right" vertical="center"/>
    </xf>
    <xf numFmtId="0" fontId="82" fillId="53" borderId="4" xfId="8" applyFont="1" applyAlignment="1">
      <alignment horizontal="center" vertical="center"/>
      <protection locked="0"/>
    </xf>
    <xf numFmtId="185" fontId="39" fillId="0" borderId="0" xfId="57" applyNumberFormat="1"/>
    <xf numFmtId="0" fontId="61" fillId="43" borderId="301" xfId="123" applyFill="1" applyBorder="1" applyAlignment="1">
      <alignment horizontal="right" vertical="center" wrapText="1"/>
    </xf>
    <xf numFmtId="0" fontId="61" fillId="43" borderId="302" xfId="123" applyFill="1" applyBorder="1" applyAlignment="1">
      <alignment horizontal="left" vertical="center" wrapText="1"/>
    </xf>
    <xf numFmtId="177" fontId="48" fillId="23" borderId="292" xfId="84" applyNumberFormat="1" applyFont="1" applyFill="1" applyBorder="1" applyAlignment="1" applyProtection="1">
      <alignment horizontal="center"/>
      <protection locked="0"/>
    </xf>
    <xf numFmtId="177" fontId="48" fillId="23" borderId="293" xfId="84" applyNumberFormat="1" applyFont="1" applyFill="1" applyBorder="1" applyAlignment="1" applyProtection="1">
      <alignment horizontal="center"/>
      <protection locked="0"/>
    </xf>
    <xf numFmtId="177" fontId="48" fillId="23" borderId="294" xfId="84" applyNumberFormat="1" applyFont="1" applyFill="1" applyBorder="1" applyAlignment="1" applyProtection="1">
      <alignment horizontal="center"/>
      <protection locked="0"/>
    </xf>
    <xf numFmtId="177" fontId="48" fillId="23" borderId="295" xfId="84" applyNumberFormat="1" applyFont="1" applyFill="1" applyBorder="1" applyAlignment="1" applyProtection="1">
      <alignment horizontal="center"/>
      <protection locked="0"/>
    </xf>
    <xf numFmtId="177" fontId="48" fillId="23" borderId="296" xfId="84" applyNumberFormat="1" applyFont="1" applyFill="1" applyBorder="1" applyAlignment="1" applyProtection="1">
      <alignment horizontal="center"/>
      <protection locked="0"/>
    </xf>
    <xf numFmtId="177" fontId="48" fillId="23" borderId="297" xfId="84" applyNumberFormat="1" applyFont="1" applyFill="1" applyBorder="1" applyAlignment="1" applyProtection="1">
      <alignment horizontal="center"/>
      <protection locked="0"/>
    </xf>
    <xf numFmtId="175" fontId="48" fillId="23" borderId="41" xfId="85" quotePrefix="1" applyBorder="1">
      <alignment horizontal="right"/>
      <protection locked="0"/>
    </xf>
    <xf numFmtId="0" fontId="47" fillId="29" borderId="41" xfId="128" applyNumberFormat="1" applyBorder="1" applyAlignment="1">
      <alignment horizontal="left" vertical="top"/>
      <protection locked="0"/>
    </xf>
    <xf numFmtId="0" fontId="47" fillId="29" borderId="298" xfId="128" applyNumberFormat="1" applyBorder="1" applyAlignment="1">
      <alignment horizontal="center" vertical="center" wrapText="1"/>
      <protection locked="0"/>
    </xf>
    <xf numFmtId="0" fontId="47" fillId="29" borderId="120" xfId="128" applyNumberFormat="1" applyBorder="1" applyAlignment="1">
      <alignment horizontal="center" vertical="center"/>
      <protection locked="0"/>
    </xf>
    <xf numFmtId="0" fontId="47" fillId="29" borderId="42" xfId="128" applyNumberFormat="1" applyBorder="1" applyAlignment="1">
      <alignment horizontal="left" vertical="top"/>
      <protection locked="0"/>
    </xf>
    <xf numFmtId="0" fontId="47" fillId="29" borderId="121" xfId="128" applyNumberFormat="1" applyBorder="1" applyAlignment="1">
      <alignment horizontal="center" vertical="center"/>
      <protection locked="0"/>
    </xf>
    <xf numFmtId="0" fontId="61" fillId="43" borderId="115" xfId="122" applyFill="1" applyBorder="1" applyAlignment="1">
      <alignment horizontal="left" vertical="center" wrapText="1"/>
    </xf>
    <xf numFmtId="0" fontId="61" fillId="43" borderId="116" xfId="123" applyFill="1" applyBorder="1" applyAlignment="1">
      <alignment horizontal="center" vertical="center" wrapText="1"/>
    </xf>
    <xf numFmtId="179" fontId="32" fillId="0" borderId="0" xfId="13" applyNumberFormat="1" applyFill="1">
      <alignment horizontal="right" vertical="center"/>
    </xf>
    <xf numFmtId="165" fontId="32" fillId="17" borderId="4" xfId="13" applyFill="1" applyBorder="1">
      <alignment horizontal="right" vertical="center"/>
    </xf>
    <xf numFmtId="49" fontId="47" fillId="29" borderId="175" xfId="128" applyBorder="1" applyAlignment="1">
      <alignment horizontal="left" vertical="center" wrapText="1" indent="4"/>
      <protection locked="0"/>
    </xf>
    <xf numFmtId="175" fontId="88" fillId="50" borderId="160" xfId="0" applyNumberFormat="1" applyFont="1" applyFill="1" applyBorder="1" applyAlignment="1" applyProtection="1">
      <alignment horizontal="left" vertical="center" wrapText="1"/>
      <protection locked="0"/>
    </xf>
    <xf numFmtId="175" fontId="48" fillId="23" borderId="57" xfId="85" applyBorder="1">
      <alignment horizontal="right"/>
      <protection locked="0"/>
    </xf>
    <xf numFmtId="0" fontId="86" fillId="39" borderId="43" xfId="127" applyFont="1" applyBorder="1">
      <alignment vertical="center"/>
    </xf>
    <xf numFmtId="175" fontId="88" fillId="50" borderId="165" xfId="0" applyNumberFormat="1" applyFont="1" applyFill="1" applyBorder="1" applyAlignment="1" applyProtection="1">
      <alignment horizontal="left" vertical="center" wrapText="1"/>
      <protection locked="0"/>
    </xf>
    <xf numFmtId="175" fontId="88" fillId="50" borderId="218" xfId="0" applyNumberFormat="1" applyFont="1" applyFill="1" applyBorder="1" applyAlignment="1" applyProtection="1">
      <alignment horizontal="left" vertical="center" wrapText="1"/>
      <protection locked="0"/>
    </xf>
    <xf numFmtId="49" fontId="47" fillId="29" borderId="81" xfId="128" applyBorder="1" applyAlignment="1">
      <alignment horizontal="right" vertical="top"/>
      <protection locked="0"/>
    </xf>
    <xf numFmtId="49" fontId="47" fillId="29" borderId="82" xfId="128" applyBorder="1" applyAlignment="1">
      <alignment horizontal="right" vertical="top"/>
      <protection locked="0"/>
    </xf>
    <xf numFmtId="0" fontId="76" fillId="4" borderId="35" xfId="0" applyFont="1" applyFill="1" applyBorder="1" applyAlignment="1" applyProtection="1">
      <alignment horizontal="left" vertical="top" wrapText="1" indent="2"/>
      <protection locked="0"/>
    </xf>
    <xf numFmtId="175" fontId="21" fillId="54" borderId="52" xfId="85" applyFont="1" applyFill="1" applyBorder="1">
      <alignment horizontal="right"/>
      <protection locked="0"/>
    </xf>
    <xf numFmtId="175" fontId="21" fillId="54" borderId="55" xfId="85" applyFont="1" applyFill="1" applyBorder="1">
      <alignment horizontal="right"/>
      <protection locked="0"/>
    </xf>
    <xf numFmtId="175" fontId="21" fillId="54" borderId="85" xfId="85" applyFont="1" applyFill="1" applyBorder="1">
      <alignment horizontal="right"/>
      <protection locked="0"/>
    </xf>
    <xf numFmtId="0" fontId="61" fillId="32" borderId="1" xfId="57" applyFont="1" applyFill="1" applyBorder="1" applyAlignment="1">
      <alignment horizontal="center" vertical="center" wrapText="1"/>
    </xf>
    <xf numFmtId="175" fontId="48" fillId="23" borderId="303" xfId="85" applyBorder="1">
      <alignment horizontal="right"/>
      <protection locked="0"/>
    </xf>
    <xf numFmtId="175" fontId="48" fillId="23" borderId="304" xfId="85" applyBorder="1">
      <alignment horizontal="right"/>
      <protection locked="0"/>
    </xf>
    <xf numFmtId="0" fontId="47" fillId="0" borderId="206" xfId="129" applyBorder="1" applyAlignment="1">
      <alignment horizontal="left" vertical="center" indent="1"/>
    </xf>
    <xf numFmtId="0" fontId="47" fillId="0" borderId="198" xfId="129" applyBorder="1" applyAlignment="1">
      <alignment horizontal="left" vertical="center" indent="1"/>
    </xf>
    <xf numFmtId="0" fontId="47" fillId="0" borderId="200" xfId="129" applyBorder="1" applyAlignment="1">
      <alignment horizontal="left" vertical="center" indent="1"/>
    </xf>
    <xf numFmtId="0" fontId="47" fillId="29" borderId="175" xfId="128" applyNumberFormat="1" applyBorder="1" applyAlignment="1">
      <alignment vertical="center" wrapText="1"/>
      <protection locked="0"/>
    </xf>
    <xf numFmtId="0" fontId="47" fillId="29" borderId="176" xfId="128" applyNumberFormat="1" applyBorder="1" applyAlignment="1">
      <alignment vertical="center" wrapText="1"/>
      <protection locked="0"/>
    </xf>
    <xf numFmtId="0" fontId="61" fillId="43" borderId="116" xfId="122" applyFill="1" applyBorder="1" applyAlignment="1">
      <alignment horizontal="center" vertical="center" wrapText="1"/>
    </xf>
    <xf numFmtId="0" fontId="47" fillId="29" borderId="67" xfId="128" applyNumberFormat="1" applyBorder="1" applyAlignment="1">
      <alignment horizontal="center" vertical="top" wrapText="1"/>
      <protection locked="0"/>
    </xf>
    <xf numFmtId="0" fontId="47" fillId="29" borderId="55" xfId="128" applyNumberFormat="1" applyAlignment="1">
      <alignment horizontal="center" vertical="top"/>
      <protection locked="0"/>
    </xf>
    <xf numFmtId="0" fontId="47" fillId="29" borderId="64" xfId="128" applyNumberFormat="1" applyBorder="1" applyAlignment="1">
      <alignment horizontal="center" vertical="top"/>
      <protection locked="0"/>
    </xf>
    <xf numFmtId="172" fontId="63" fillId="0" borderId="54" xfId="57" applyNumberFormat="1" applyFont="1" applyBorder="1" applyAlignment="1">
      <alignment horizontal="right"/>
    </xf>
    <xf numFmtId="172" fontId="63" fillId="0" borderId="55" xfId="57" applyNumberFormat="1" applyFont="1" applyBorder="1" applyAlignment="1">
      <alignment horizontal="right"/>
    </xf>
    <xf numFmtId="172" fontId="62" fillId="0" borderId="55" xfId="92" applyNumberFormat="1" applyFont="1" applyFill="1" applyBorder="1" applyAlignment="1" applyProtection="1">
      <alignment horizontal="right" vertical="top"/>
    </xf>
    <xf numFmtId="172" fontId="62" fillId="0" borderId="120" xfId="92" applyNumberFormat="1" applyFont="1" applyFill="1" applyBorder="1" applyAlignment="1" applyProtection="1">
      <alignment horizontal="right" vertical="top"/>
    </xf>
    <xf numFmtId="170" fontId="78" fillId="0" borderId="1" xfId="48" applyFont="1" applyBorder="1">
      <alignment horizontal="center" vertical="center"/>
    </xf>
    <xf numFmtId="0" fontId="78" fillId="0" borderId="0" xfId="36" applyFill="1" applyAlignment="1">
      <alignment horizontal="left" vertical="center" wrapText="1"/>
    </xf>
    <xf numFmtId="0" fontId="47" fillId="29" borderId="115" xfId="128" applyNumberFormat="1" applyBorder="1" applyAlignment="1">
      <alignment horizontal="center" vertical="center"/>
      <protection locked="0"/>
    </xf>
    <xf numFmtId="0" fontId="47" fillId="29" borderId="116" xfId="128" applyNumberFormat="1" applyBorder="1" applyAlignment="1">
      <alignment horizontal="center" vertical="center"/>
      <protection locked="0"/>
    </xf>
    <xf numFmtId="0" fontId="47" fillId="29" borderId="117" xfId="128" applyNumberFormat="1" applyBorder="1" applyAlignment="1">
      <alignment horizontal="center" vertical="center"/>
      <protection locked="0"/>
    </xf>
    <xf numFmtId="0" fontId="46" fillId="43" borderId="19" xfId="0" applyFont="1" applyFill="1" applyBorder="1" applyAlignment="1">
      <alignment horizontal="center" vertical="center" wrapText="1"/>
    </xf>
    <xf numFmtId="0" fontId="46" fillId="43" borderId="20" xfId="0" applyFont="1" applyFill="1" applyBorder="1" applyAlignment="1">
      <alignment horizontal="center" vertical="center" wrapText="1"/>
    </xf>
    <xf numFmtId="0" fontId="46" fillId="43" borderId="21" xfId="0" applyFont="1" applyFill="1" applyBorder="1" applyAlignment="1">
      <alignment horizontal="center" vertical="center" wrapText="1"/>
    </xf>
    <xf numFmtId="0" fontId="75" fillId="25" borderId="113" xfId="0" applyFont="1" applyFill="1" applyBorder="1" applyAlignment="1">
      <alignment horizontal="left" vertical="top" wrapText="1" indent="1"/>
    </xf>
    <xf numFmtId="0" fontId="75" fillId="25" borderId="89" xfId="0" applyFont="1" applyFill="1" applyBorder="1" applyAlignment="1">
      <alignment horizontal="left" vertical="top" wrapText="1" indent="1"/>
    </xf>
    <xf numFmtId="0" fontId="75" fillId="25" borderId="158" xfId="0" applyFont="1" applyFill="1" applyBorder="1" applyAlignment="1">
      <alignment horizontal="left" vertical="top" wrapText="1" indent="1"/>
    </xf>
    <xf numFmtId="0" fontId="83" fillId="25" borderId="113" xfId="0" applyFont="1" applyFill="1" applyBorder="1" applyAlignment="1">
      <alignment horizontal="left" vertical="top" wrapText="1" indent="1"/>
    </xf>
    <xf numFmtId="0" fontId="83" fillId="25" borderId="89" xfId="0" applyFont="1" applyFill="1" applyBorder="1" applyAlignment="1">
      <alignment horizontal="left" vertical="top" wrapText="1" indent="1"/>
    </xf>
    <xf numFmtId="0" fontId="83" fillId="25" borderId="158" xfId="0" applyFont="1" applyFill="1" applyBorder="1" applyAlignment="1">
      <alignment horizontal="left" vertical="top" wrapText="1" indent="1"/>
    </xf>
    <xf numFmtId="0" fontId="83" fillId="25" borderId="208" xfId="0" applyFont="1" applyFill="1" applyBorder="1" applyAlignment="1">
      <alignment horizontal="left" vertical="top" wrapText="1" indent="1"/>
    </xf>
    <xf numFmtId="0" fontId="83" fillId="25" borderId="97" xfId="0" applyFont="1" applyFill="1" applyBorder="1" applyAlignment="1">
      <alignment horizontal="left" vertical="top" wrapText="1" indent="1"/>
    </xf>
    <xf numFmtId="0" fontId="83" fillId="25" borderId="209" xfId="0" applyFont="1" applyFill="1" applyBorder="1" applyAlignment="1">
      <alignment horizontal="left" vertical="top" wrapText="1" indent="1"/>
    </xf>
    <xf numFmtId="0" fontId="46" fillId="0" borderId="20" xfId="0" applyFont="1" applyBorder="1" applyAlignment="1">
      <alignment horizontal="center"/>
    </xf>
    <xf numFmtId="0" fontId="46" fillId="0" borderId="92" xfId="0" applyFont="1" applyBorder="1" applyAlignment="1">
      <alignment horizontal="center"/>
    </xf>
    <xf numFmtId="0" fontId="46" fillId="0" borderId="20" xfId="0" applyFont="1" applyBorder="1" applyAlignment="1">
      <alignment horizontal="center" wrapText="1"/>
    </xf>
    <xf numFmtId="0" fontId="46" fillId="0" borderId="92" xfId="0" applyFont="1" applyBorder="1" applyAlignment="1">
      <alignment horizontal="center" wrapText="1"/>
    </xf>
    <xf numFmtId="0" fontId="46" fillId="0" borderId="21" xfId="0" applyFont="1" applyBorder="1" applyAlignment="1">
      <alignment horizontal="center" wrapText="1"/>
    </xf>
    <xf numFmtId="0" fontId="46" fillId="0" borderId="96" xfId="0" applyFont="1" applyBorder="1" applyAlignment="1">
      <alignment horizontal="center" wrapText="1"/>
    </xf>
    <xf numFmtId="0" fontId="46" fillId="24" borderId="238" xfId="0" applyFont="1" applyFill="1" applyBorder="1" applyAlignment="1">
      <alignment horizontal="center" vertical="center" wrapText="1"/>
    </xf>
    <xf numFmtId="0" fontId="46" fillId="24" borderId="157" xfId="0" applyFont="1" applyFill="1" applyBorder="1" applyAlignment="1">
      <alignment horizontal="center" vertical="center" wrapText="1"/>
    </xf>
    <xf numFmtId="0" fontId="46" fillId="0" borderId="0" xfId="0" applyFont="1" applyAlignment="1">
      <alignment horizontal="left" wrapText="1"/>
    </xf>
    <xf numFmtId="0" fontId="46" fillId="0" borderId="92" xfId="0" applyFont="1" applyBorder="1" applyAlignment="1">
      <alignment horizontal="left" wrapText="1"/>
    </xf>
    <xf numFmtId="0" fontId="46" fillId="0" borderId="95" xfId="0" applyFont="1" applyBorder="1" applyAlignment="1">
      <alignment horizontal="left" wrapText="1"/>
    </xf>
    <xf numFmtId="0" fontId="46" fillId="0" borderId="96" xfId="0" applyFont="1" applyBorder="1" applyAlignment="1">
      <alignment horizontal="left" wrapText="1"/>
    </xf>
    <xf numFmtId="0" fontId="62" fillId="0" borderId="216" xfId="0" applyFont="1" applyBorder="1" applyAlignment="1">
      <alignment vertical="top"/>
    </xf>
    <xf numFmtId="0" fontId="62" fillId="0" borderId="32" xfId="0" applyFont="1" applyBorder="1" applyAlignment="1">
      <alignment vertical="top"/>
    </xf>
    <xf numFmtId="0" fontId="62" fillId="25" borderId="219" xfId="0" applyFont="1" applyFill="1" applyBorder="1" applyAlignment="1">
      <alignment vertical="top"/>
    </xf>
    <xf numFmtId="0" fontId="62" fillId="25" borderId="32" xfId="0" applyFont="1" applyFill="1" applyBorder="1" applyAlignment="1">
      <alignment vertical="top"/>
    </xf>
    <xf numFmtId="0" fontId="62" fillId="25" borderId="72" xfId="0" applyFont="1" applyFill="1" applyBorder="1" applyAlignment="1">
      <alignment vertical="top"/>
    </xf>
    <xf numFmtId="0" fontId="61" fillId="43" borderId="299" xfId="123" applyFill="1" applyBorder="1" applyAlignment="1">
      <alignment horizontal="center" vertical="center" wrapText="1"/>
    </xf>
    <xf numFmtId="0" fontId="61" fillId="43" borderId="300" xfId="123" applyFill="1" applyBorder="1" applyAlignment="1">
      <alignment horizontal="center" vertical="center" wrapText="1"/>
    </xf>
    <xf numFmtId="0" fontId="55" fillId="24" borderId="43" xfId="0" applyFont="1" applyFill="1" applyBorder="1" applyAlignment="1">
      <alignment horizontal="center" vertical="center" wrapText="1"/>
    </xf>
    <xf numFmtId="0" fontId="55" fillId="24" borderId="44" xfId="0" applyFont="1" applyFill="1" applyBorder="1" applyAlignment="1">
      <alignment horizontal="center" vertical="center" wrapText="1"/>
    </xf>
    <xf numFmtId="0" fontId="55" fillId="24" borderId="65" xfId="0" applyFont="1" applyFill="1" applyBorder="1" applyAlignment="1">
      <alignment horizontal="center" vertical="center" wrapText="1"/>
    </xf>
    <xf numFmtId="0" fontId="55" fillId="24" borderId="20" xfId="0" applyFont="1" applyFill="1" applyBorder="1" applyAlignment="1">
      <alignment horizontal="center" vertical="center"/>
    </xf>
    <xf numFmtId="0" fontId="55" fillId="24" borderId="21" xfId="0" applyFont="1" applyFill="1" applyBorder="1" applyAlignment="1">
      <alignment horizontal="center" vertical="center"/>
    </xf>
    <xf numFmtId="0" fontId="10" fillId="43" borderId="100" xfId="0" applyFont="1" applyFill="1" applyBorder="1" applyAlignment="1">
      <alignment horizontal="center" vertical="center" wrapText="1"/>
    </xf>
    <xf numFmtId="0" fontId="10" fillId="43" borderId="75" xfId="0" applyFont="1" applyFill="1" applyBorder="1" applyAlignment="1">
      <alignment horizontal="center" vertical="center" wrapText="1"/>
    </xf>
    <xf numFmtId="0" fontId="10" fillId="43" borderId="76" xfId="0" applyFont="1" applyFill="1" applyBorder="1" applyAlignment="1">
      <alignment horizontal="center" vertical="center" wrapText="1"/>
    </xf>
    <xf numFmtId="0" fontId="58" fillId="25" borderId="0" xfId="0" applyFont="1" applyFill="1" applyAlignment="1">
      <alignment horizontal="center"/>
    </xf>
    <xf numFmtId="0" fontId="10" fillId="43" borderId="69" xfId="0" applyFont="1" applyFill="1" applyBorder="1" applyAlignment="1">
      <alignment horizontal="center" vertical="center" wrapText="1"/>
    </xf>
    <xf numFmtId="0" fontId="10" fillId="43" borderId="31" xfId="0" applyFont="1" applyFill="1" applyBorder="1" applyAlignment="1">
      <alignment horizontal="center" vertical="center" wrapText="1"/>
    </xf>
    <xf numFmtId="0" fontId="10" fillId="43" borderId="73" xfId="0" applyFont="1" applyFill="1" applyBorder="1" applyAlignment="1">
      <alignment horizontal="center" vertical="center" wrapText="1"/>
    </xf>
    <xf numFmtId="0" fontId="74" fillId="24" borderId="147" xfId="0" applyFont="1" applyFill="1" applyBorder="1" applyAlignment="1">
      <alignment horizontal="center" vertical="center" wrapText="1"/>
    </xf>
    <xf numFmtId="0" fontId="74" fillId="24" borderId="148" xfId="0" applyFont="1" applyFill="1" applyBorder="1" applyAlignment="1">
      <alignment horizontal="center" vertical="center" wrapText="1"/>
    </xf>
    <xf numFmtId="0" fontId="74" fillId="24" borderId="14" xfId="0" applyFont="1" applyFill="1" applyBorder="1" applyAlignment="1">
      <alignment horizontal="center" vertical="center" wrapText="1"/>
    </xf>
    <xf numFmtId="0" fontId="74" fillId="24" borderId="12" xfId="0" applyFont="1" applyFill="1" applyBorder="1" applyAlignment="1">
      <alignment horizontal="center" vertical="center" wrapText="1"/>
    </xf>
    <xf numFmtId="0" fontId="74" fillId="43" borderId="19" xfId="0" applyFont="1" applyFill="1" applyBorder="1" applyAlignment="1">
      <alignment horizontal="center" vertical="center" wrapText="1"/>
    </xf>
    <xf numFmtId="0" fontId="74" fillId="43" borderId="20" xfId="0" applyFont="1" applyFill="1" applyBorder="1" applyAlignment="1">
      <alignment horizontal="center" vertical="center" wrapText="1"/>
    </xf>
    <xf numFmtId="0" fontId="74" fillId="43" borderId="36" xfId="0" applyFont="1" applyFill="1" applyBorder="1" applyAlignment="1">
      <alignment horizontal="center" vertical="center" wrapText="1"/>
    </xf>
    <xf numFmtId="0" fontId="55" fillId="24" borderId="14" xfId="0" applyFont="1" applyFill="1" applyBorder="1" applyAlignment="1">
      <alignment horizontal="center" vertical="center" wrapText="1"/>
    </xf>
    <xf numFmtId="0" fontId="55" fillId="24" borderId="3" xfId="0" applyFont="1" applyFill="1" applyBorder="1" applyAlignment="1">
      <alignment horizontal="center" vertical="center" wrapText="1"/>
    </xf>
    <xf numFmtId="0" fontId="55" fillId="24" borderId="15" xfId="0" applyFont="1" applyFill="1" applyBorder="1" applyAlignment="1">
      <alignment horizontal="center" vertical="center" wrapText="1"/>
    </xf>
    <xf numFmtId="0" fontId="55" fillId="49" borderId="43" xfId="0" applyFont="1" applyFill="1" applyBorder="1" applyAlignment="1">
      <alignment horizontal="center" vertical="center" wrapText="1"/>
    </xf>
    <xf numFmtId="0" fontId="55" fillId="49" borderId="36" xfId="0" applyFont="1" applyFill="1" applyBorder="1" applyAlignment="1">
      <alignment horizontal="center" vertical="center" wrapText="1"/>
    </xf>
    <xf numFmtId="0" fontId="55" fillId="49" borderId="38" xfId="0" applyFont="1" applyFill="1" applyBorder="1" applyAlignment="1">
      <alignment horizontal="center" vertical="center" wrapText="1"/>
    </xf>
    <xf numFmtId="0" fontId="74" fillId="0" borderId="0" xfId="0" applyFont="1" applyAlignment="1">
      <alignment horizontal="center" vertical="center" wrapText="1"/>
    </xf>
    <xf numFmtId="175" fontId="88" fillId="50" borderId="174" xfId="0" applyNumberFormat="1" applyFont="1" applyFill="1" applyBorder="1" applyAlignment="1" applyProtection="1">
      <alignment horizontal="left" vertical="center" wrapText="1"/>
      <protection locked="0"/>
    </xf>
    <xf numFmtId="175" fontId="88" fillId="50" borderId="265" xfId="0" applyNumberFormat="1" applyFont="1" applyFill="1" applyBorder="1" applyAlignment="1" applyProtection="1">
      <alignment horizontal="left" vertical="center" wrapText="1"/>
      <protection locked="0"/>
    </xf>
    <xf numFmtId="175" fontId="88" fillId="50" borderId="160" xfId="0" applyNumberFormat="1" applyFont="1" applyFill="1" applyBorder="1" applyAlignment="1" applyProtection="1">
      <alignment horizontal="left" vertical="center" wrapText="1"/>
      <protection locked="0"/>
    </xf>
    <xf numFmtId="175" fontId="88" fillId="50" borderId="266" xfId="0" applyNumberFormat="1" applyFont="1" applyFill="1" applyBorder="1" applyAlignment="1" applyProtection="1">
      <alignment horizontal="left" vertical="center" wrapText="1"/>
      <protection locked="0"/>
    </xf>
    <xf numFmtId="175" fontId="88" fillId="50" borderId="159" xfId="0" applyNumberFormat="1" applyFont="1" applyFill="1" applyBorder="1" applyAlignment="1" applyProtection="1">
      <alignment horizontal="left" vertical="center" wrapText="1"/>
      <protection locked="0"/>
    </xf>
    <xf numFmtId="0" fontId="10" fillId="33" borderId="158" xfId="0" applyFont="1" applyFill="1" applyBorder="1" applyAlignment="1">
      <alignment horizontal="center" vertical="center"/>
    </xf>
    <xf numFmtId="0" fontId="10" fillId="33" borderId="2" xfId="0" applyFont="1" applyFill="1" applyBorder="1" applyAlignment="1">
      <alignment horizontal="center" vertical="center"/>
    </xf>
    <xf numFmtId="0" fontId="10" fillId="33" borderId="270" xfId="0" applyFont="1" applyFill="1" applyBorder="1" applyAlignment="1">
      <alignment horizontal="center" vertical="center"/>
    </xf>
    <xf numFmtId="0" fontId="74" fillId="43" borderId="21" xfId="0" applyFont="1" applyFill="1" applyBorder="1" applyAlignment="1">
      <alignment horizontal="center" vertical="center" wrapText="1"/>
    </xf>
    <xf numFmtId="0" fontId="46" fillId="47" borderId="128" xfId="40" applyNumberFormat="1" applyFont="1" applyFill="1" applyBorder="1" applyAlignment="1">
      <alignment horizontal="center" vertical="center" wrapText="1"/>
    </xf>
    <xf numFmtId="0" fontId="46" fillId="47" borderId="129" xfId="40" applyNumberFormat="1" applyFont="1" applyFill="1" applyBorder="1" applyAlignment="1">
      <alignment horizontal="center" vertical="center" wrapText="1"/>
    </xf>
    <xf numFmtId="0" fontId="47" fillId="24" borderId="231" xfId="57" applyFont="1" applyFill="1" applyBorder="1" applyAlignment="1">
      <alignment vertical="center" wrapText="1"/>
    </xf>
    <xf numFmtId="0" fontId="47" fillId="24" borderId="127" xfId="57" applyFont="1" applyFill="1" applyBorder="1" applyAlignment="1">
      <alignment vertical="center" wrapText="1"/>
    </xf>
    <xf numFmtId="0" fontId="47" fillId="24" borderId="232" xfId="57" applyFont="1" applyFill="1" applyBorder="1" applyAlignment="1">
      <alignment vertical="center" wrapText="1"/>
    </xf>
    <xf numFmtId="0" fontId="61" fillId="33" borderId="3" xfId="57" applyFont="1" applyFill="1" applyBorder="1" applyAlignment="1">
      <alignment horizontal="center" vertical="center" wrapText="1"/>
    </xf>
    <xf numFmtId="0" fontId="61" fillId="33" borderId="234" xfId="57" applyFont="1" applyFill="1" applyBorder="1" applyAlignment="1">
      <alignment horizontal="center" vertical="center" wrapText="1"/>
    </xf>
    <xf numFmtId="0" fontId="10" fillId="47" borderId="0" xfId="57" applyFont="1" applyFill="1" applyAlignment="1">
      <alignment horizontal="center" vertical="center" wrapText="1"/>
    </xf>
    <xf numFmtId="0" fontId="10" fillId="47" borderId="95" xfId="57" applyFont="1" applyFill="1" applyBorder="1" applyAlignment="1">
      <alignment horizontal="center" vertical="center" wrapText="1"/>
    </xf>
    <xf numFmtId="0" fontId="61" fillId="33" borderId="0" xfId="57" applyFont="1" applyFill="1" applyAlignment="1">
      <alignment horizontal="center" vertical="center" wrapText="1"/>
    </xf>
    <xf numFmtId="0" fontId="61" fillId="33" borderId="95" xfId="57" applyFont="1" applyFill="1" applyBorder="1" applyAlignment="1">
      <alignment horizontal="center" vertical="center" wrapText="1"/>
    </xf>
    <xf numFmtId="0" fontId="46" fillId="47" borderId="42" xfId="40" applyNumberFormat="1" applyFont="1" applyFill="1" applyBorder="1" applyAlignment="1">
      <alignment horizontal="center" vertical="center" wrapText="1"/>
    </xf>
    <xf numFmtId="0" fontId="46" fillId="47" borderId="64" xfId="40" applyNumberFormat="1" applyFont="1" applyFill="1" applyBorder="1" applyAlignment="1">
      <alignment horizontal="center" vertical="center" wrapText="1"/>
    </xf>
    <xf numFmtId="0" fontId="46" fillId="47" borderId="235" xfId="40" applyNumberFormat="1" applyFont="1" applyFill="1" applyBorder="1" applyAlignment="1">
      <alignment horizontal="center" vertical="center" wrapText="1"/>
    </xf>
    <xf numFmtId="0" fontId="61" fillId="32" borderId="1" xfId="57" applyFont="1" applyFill="1" applyBorder="1" applyAlignment="1">
      <alignment horizontal="center" vertical="center" wrapText="1"/>
    </xf>
    <xf numFmtId="0" fontId="46" fillId="47" borderId="67" xfId="40" applyNumberFormat="1" applyFont="1" applyFill="1" applyBorder="1" applyAlignment="1">
      <alignment horizontal="center" vertical="center" wrapText="1"/>
    </xf>
    <xf numFmtId="0" fontId="56" fillId="31" borderId="67" xfId="57" applyFont="1" applyFill="1" applyBorder="1" applyAlignment="1">
      <alignment horizontal="center" vertical="center" wrapText="1"/>
    </xf>
    <xf numFmtId="0" fontId="56" fillId="31" borderId="64" xfId="57" applyFont="1" applyFill="1" applyBorder="1" applyAlignment="1">
      <alignment horizontal="center" vertical="center" wrapText="1"/>
    </xf>
    <xf numFmtId="0" fontId="56" fillId="31" borderId="84" xfId="57" applyFont="1" applyFill="1" applyBorder="1" applyAlignment="1">
      <alignment horizontal="center" vertical="center" wrapText="1"/>
    </xf>
    <xf numFmtId="0" fontId="56" fillId="31" borderId="86" xfId="57" applyFont="1" applyFill="1" applyBorder="1" applyAlignment="1">
      <alignment horizontal="center" vertical="center" wrapText="1"/>
    </xf>
  </cellXfs>
  <cellStyles count="139">
    <cellStyle name="Bad" xfId="22" builtinId="27" hidden="1"/>
    <cellStyle name="Calculation" xfId="26" builtinId="22" hidden="1"/>
    <cellStyle name="Check" xfId="115" xr:uid="{8921A8E3-895C-4B43-A2C4-529BC6780360}"/>
    <cellStyle name="Check Cell" xfId="28" builtinId="23" hidden="1"/>
    <cellStyle name="Check RedRedGreen" xfId="44" xr:uid="{00000000-0005-0000-0000-000003000000}"/>
    <cellStyle name="Comma" xfId="92" builtinId="3"/>
    <cellStyle name="Comma 2" xfId="61" xr:uid="{00000000-0005-0000-0000-000004000000}"/>
    <cellStyle name="Comma 2 2" xfId="74" xr:uid="{00000000-0005-0000-0000-000005000000}"/>
    <cellStyle name="Comma 2 2 2" xfId="82" xr:uid="{00000000-0005-0000-0000-000006000000}"/>
    <cellStyle name="Comma 2 3" xfId="78" xr:uid="{00000000-0005-0000-0000-000007000000}"/>
    <cellStyle name="Comma 2 4" xfId="67" xr:uid="{00000000-0005-0000-0000-000004000000}"/>
    <cellStyle name="Currency" xfId="1" builtinId="4" hidden="1" customBuiltin="1"/>
    <cellStyle name="Currency" xfId="40" xr:uid="{00000000-0005-0000-0000-000006000000}"/>
    <cellStyle name="Currency 2" xfId="59" xr:uid="{00000000-0005-0000-0000-000007000000}"/>
    <cellStyle name="Currency 2 2" xfId="72" xr:uid="{00000000-0005-0000-0000-00000B000000}"/>
    <cellStyle name="Currency 2 2 2" xfId="80" xr:uid="{00000000-0005-0000-0000-00000C000000}"/>
    <cellStyle name="Currency 2 3" xfId="76" xr:uid="{00000000-0005-0000-0000-00000D000000}"/>
    <cellStyle name="Currency 2 4" xfId="65" xr:uid="{00000000-0005-0000-0000-00000A000000}"/>
    <cellStyle name="Currency 3" xfId="95" xr:uid="{78551252-B4CB-41AC-A8BF-9AEE35DCC3F0}"/>
    <cellStyle name="Currency 8" xfId="131" xr:uid="{A26D8C4E-78C5-4192-92C2-B7A788DF335E}"/>
    <cellStyle name="Currency Assumptions" xfId="19" xr:uid="{00000000-0005-0000-0000-000008000000}"/>
    <cellStyle name="Currency Assumptions 2" xfId="105" xr:uid="{1680F473-0B7E-4025-938A-5F8461BFE523}"/>
    <cellStyle name="Currency Input" xfId="49" xr:uid="{00000000-0005-0000-0000-000009000000}"/>
    <cellStyle name="Currency Input 2" xfId="108" xr:uid="{E305A06D-CE07-4B3D-B36D-4E49CC77C991}"/>
    <cellStyle name="Date" xfId="11" xr:uid="{00000000-0005-0000-0000-00000A000000}"/>
    <cellStyle name="Date 2" xfId="112" xr:uid="{89F1FBF5-1518-450E-83D9-CFF89EE8D3B9}"/>
    <cellStyle name="Date Assumptions" xfId="12" xr:uid="{00000000-0005-0000-0000-00000B000000}"/>
    <cellStyle name="Date Assumptions 2" xfId="114" xr:uid="{C81350A3-EDA3-4F7C-9A67-B39DCA524EB2}"/>
    <cellStyle name="Date Input" xfId="48" xr:uid="{00000000-0005-0000-0000-00000C000000}"/>
    <cellStyle name="Date Input 2" xfId="113" xr:uid="{537B75D8-C9D1-4750-9A11-186EF118A88C}"/>
    <cellStyle name="dms_1" xfId="130" xr:uid="{D4EC0310-9D3E-443F-B15E-D874B83123AE}"/>
    <cellStyle name="dms_2" xfId="132" xr:uid="{4F346C27-F6BD-473E-909B-4B980D855868}"/>
    <cellStyle name="dms_2 2" xfId="91" xr:uid="{F267D62B-B033-484F-BB9B-81470CD9D5F4}"/>
    <cellStyle name="dms_3" xfId="127" xr:uid="{7EAAEDE6-8B9A-4BAD-B2F7-86B7B333A3B5}"/>
    <cellStyle name="dms_BH" xfId="121" xr:uid="{5695809F-A3C7-44E9-91CE-BB2091E20889}"/>
    <cellStyle name="dms_BY1" xfId="123" xr:uid="{5F16E3FA-14DA-483E-B5C8-77A170296B4A}"/>
    <cellStyle name="dms_BY2" xfId="122" xr:uid="{D8F02729-5141-4C17-A3E3-41A8AF015991}"/>
    <cellStyle name="dms_GY1" xfId="138" xr:uid="{48FA978B-2FE6-4A66-B5C3-E183E8849529}"/>
    <cellStyle name="dms_GY2" xfId="137" xr:uid="{94E4E033-5A28-41CC-BB98-FFB68F8C5385}"/>
    <cellStyle name="dms_Level2" xfId="134" xr:uid="{F4106C82-1718-436C-B799-623B7B1560FD}"/>
    <cellStyle name="dms_NUM" xfId="85" xr:uid="{5B4047F2-3021-4AF7-86B6-994A09B8771F}"/>
    <cellStyle name="dms_Num%" xfId="136" xr:uid="{1C27226E-4AFE-4214-A0FF-15EEDBE2F4FC}"/>
    <cellStyle name="dms_NUM2" xfId="133" xr:uid="{8EEB7CB7-3BC9-4662-8FA8-5E70C8233938}"/>
    <cellStyle name="dms_Row_Locked" xfId="129" xr:uid="{BF99BA25-757F-4F6B-8464-C6F2C91123BD}"/>
    <cellStyle name="dms_Row1" xfId="128" xr:uid="{6E49FA18-17CA-4697-A3E0-D2B387E069E2}"/>
    <cellStyle name="dms_T1" xfId="86" xr:uid="{0C143BB3-910C-4603-B5A2-9C1DEDE5C486}"/>
    <cellStyle name="Dropdown" xfId="53" xr:uid="{00000000-0005-0000-0000-00000D000000}"/>
    <cellStyle name="Explanatory Text" xfId="31" builtinId="53" hidden="1"/>
    <cellStyle name="External Link" xfId="55" xr:uid="{00000000-0005-0000-0000-00000F000000}"/>
    <cellStyle name="Good" xfId="21" builtinId="26" hidden="1"/>
    <cellStyle name="Heading 1" xfId="3" builtinId="16" customBuiltin="1"/>
    <cellStyle name="Heading 1 2" xfId="70" xr:uid="{00000000-0005-0000-0000-000018000000}"/>
    <cellStyle name="Heading 1 2 2" xfId="83" xr:uid="{03A12D3A-F19C-4003-BA8C-F186FBCCF8FF}"/>
    <cellStyle name="Heading 1 3" xfId="98" xr:uid="{6FA0CA14-7E9D-4E19-9B80-47F7E4254717}"/>
    <cellStyle name="Heading 2" xfId="4" builtinId="17" hidden="1" customBuiltin="1"/>
    <cellStyle name="Heading 2" xfId="63" xr:uid="{EEDFAB29-D4B3-4BE3-8CF0-96F92985ABF8}"/>
    <cellStyle name="Heading 2 2" xfId="99" xr:uid="{02F5A4C9-EC5C-4837-A06C-1E3684731961}"/>
    <cellStyle name="Heading 2 Input" xfId="38" xr:uid="{00000000-0005-0000-0000-000013000000}"/>
    <cellStyle name="Heading 2 Output" xfId="39" xr:uid="{00000000-0005-0000-0000-000014000000}"/>
    <cellStyle name="Heading 3" xfId="5" builtinId="18" hidden="1" customBuiltin="1"/>
    <cellStyle name="Heading 3" xfId="100" builtinId="18" customBuiltin="1"/>
    <cellStyle name="Heading 3 Input" xfId="34" xr:uid="{00000000-0005-0000-0000-000016000000}"/>
    <cellStyle name="Heading 3 Output" xfId="35" xr:uid="{00000000-0005-0000-0000-000017000000}"/>
    <cellStyle name="Heading 3 Output 2" xfId="69" xr:uid="{00000000-0005-0000-0000-000020000000}"/>
    <cellStyle name="Heading 4" xfId="6" builtinId="19" hidden="1" customBuiltin="1"/>
    <cellStyle name="Heading 4" xfId="101" builtinId="19" customBuiltin="1"/>
    <cellStyle name="Heading 4 Assumptions" xfId="8" xr:uid="{00000000-0005-0000-0000-000019000000}"/>
    <cellStyle name="Heading 4 Input" xfId="36" xr:uid="{00000000-0005-0000-0000-00001A000000}"/>
    <cellStyle name="Heading 4 Output" xfId="37" xr:uid="{00000000-0005-0000-0000-00001B000000}"/>
    <cellStyle name="Heading 5" xfId="102" xr:uid="{3EDD252E-AF16-41FD-B896-BD880ABAD922}"/>
    <cellStyle name="Heading 5 Assumptions" xfId="103" xr:uid="{1C057193-590D-4ABC-BFEE-9A0A0B3DA8BD}"/>
    <cellStyle name="Heading 5 Input" xfId="106" xr:uid="{B8D56579-5624-41A2-812B-119A60BCCCB1}"/>
    <cellStyle name="Hyperlink" xfId="32" builtinId="8" customBuiltin="1"/>
    <cellStyle name="Hyperlink 2" xfId="117" xr:uid="{581D9C6D-C695-485F-B3C8-38FFD861371D}"/>
    <cellStyle name="Hyperlink 3" xfId="116" xr:uid="{C3152F98-B2A9-4779-85D4-DFD453356447}"/>
    <cellStyle name="Input" xfId="24" builtinId="20" hidden="1"/>
    <cellStyle name="Line Item Modifier" xfId="41" xr:uid="{00000000-0005-0000-0000-00001E000000}"/>
    <cellStyle name="Linked Cell" xfId="27" builtinId="24" hidden="1"/>
    <cellStyle name="Multiple" xfId="17" xr:uid="{00000000-0005-0000-0000-000020000000}"/>
    <cellStyle name="Multiple Assumptions" xfId="18" xr:uid="{00000000-0005-0000-0000-000021000000}"/>
    <cellStyle name="Multiple Input" xfId="50" xr:uid="{00000000-0005-0000-0000-000022000000}"/>
    <cellStyle name="Neutral" xfId="23" builtinId="28" hidden="1"/>
    <cellStyle name="Normal" xfId="0" builtinId="0" customBuiltin="1"/>
    <cellStyle name="Normal 10" xfId="135" xr:uid="{C373771E-E192-4D5B-A285-65B047FDAD21}"/>
    <cellStyle name="Normal 10 2" xfId="56" xr:uid="{00000000-0005-0000-0000-000025000000}"/>
    <cellStyle name="Normal 11" xfId="88" xr:uid="{91D04B62-0AA4-4CDB-BEE9-9B64AE8BD61C}"/>
    <cellStyle name="Normal 114" xfId="120" xr:uid="{3D11C9FC-70A3-4860-9AF6-27C08B250A09}"/>
    <cellStyle name="Normal 13" xfId="119" xr:uid="{B51A522D-7D4F-4F46-AFF4-7D406A399BAD}"/>
    <cellStyle name="Normal 14" xfId="125" xr:uid="{D503D776-079D-4DB8-BFAF-291AB036894A}"/>
    <cellStyle name="Normal 2" xfId="57" xr:uid="{00000000-0005-0000-0000-000026000000}"/>
    <cellStyle name="Normal 2 2 2" xfId="89" xr:uid="{C7951F4E-05A7-4A9E-8444-02479CB7FC3C}"/>
    <cellStyle name="Normal 3" xfId="58" xr:uid="{00000000-0005-0000-0000-000027000000}"/>
    <cellStyle name="Normal 3 2" xfId="71" xr:uid="{00000000-0005-0000-0000-000031000000}"/>
    <cellStyle name="Normal 3 2 2" xfId="79" xr:uid="{00000000-0005-0000-0000-000032000000}"/>
    <cellStyle name="Normal 3 3" xfId="75" xr:uid="{00000000-0005-0000-0000-000033000000}"/>
    <cellStyle name="Normal 3 4" xfId="64" xr:uid="{00000000-0005-0000-0000-000030000000}"/>
    <cellStyle name="Normal 4" xfId="62" xr:uid="{F2C1205F-8424-4783-BCBE-80B76D371821}"/>
    <cellStyle name="Normal 4 2" xfId="87" xr:uid="{89E15D01-85A3-473D-B1A4-2AED20E051CB}"/>
    <cellStyle name="Normal 4 3" xfId="126" xr:uid="{C017A1FA-B70E-475F-9459-FC152C309132}"/>
    <cellStyle name="Normal 5" xfId="94" xr:uid="{603E9903-E8F4-403D-8C13-028F92C4EC20}"/>
    <cellStyle name="Not Applicable" xfId="54" xr:uid="{00000000-0005-0000-0000-000028000000}"/>
    <cellStyle name="Note" xfId="30" builtinId="10" hidden="1"/>
    <cellStyle name="Number" xfId="13" xr:uid="{00000000-0005-0000-0000-00002A000000}"/>
    <cellStyle name="Number 2" xfId="109" xr:uid="{EDAF9BFD-D9AE-4528-9426-3B04F9636597}"/>
    <cellStyle name="Number Assumptions" xfId="14" xr:uid="{00000000-0005-0000-0000-00002B000000}"/>
    <cellStyle name="Number Assumptions 2" xfId="118" xr:uid="{DE903C1A-BB53-4A6D-9D3A-CFF250BAAD55}"/>
    <cellStyle name="Number Assumptions 3" xfId="111" xr:uid="{910FDDF5-A08C-4B09-985D-55D3801A002F}"/>
    <cellStyle name="Number Input" xfId="47" xr:uid="{00000000-0005-0000-0000-00002C000000}"/>
    <cellStyle name="Number Input 2" xfId="110" xr:uid="{7628A8C9-4840-4524-A523-6992C6C5FC91}"/>
    <cellStyle name="Output" xfId="25" builtinId="21" hidden="1"/>
    <cellStyle name="Percent" xfId="84" builtinId="5"/>
    <cellStyle name="Percent 2" xfId="60" xr:uid="{00000000-0005-0000-0000-00002F000000}"/>
    <cellStyle name="Percent 2 2" xfId="73" xr:uid="{00000000-0005-0000-0000-00003D000000}"/>
    <cellStyle name="Percent 2 2 2" xfId="81" xr:uid="{00000000-0005-0000-0000-00003E000000}"/>
    <cellStyle name="Percent 2 3" xfId="77" xr:uid="{00000000-0005-0000-0000-00003F000000}"/>
    <cellStyle name="Percent 2 4" xfId="66" xr:uid="{00000000-0005-0000-0000-00003C000000}"/>
    <cellStyle name="Percent 3" xfId="96" xr:uid="{BA65B6D4-E7ED-404D-9301-57ED8404A528}"/>
    <cellStyle name="Percent Assumptions" xfId="104" xr:uid="{DDCFFFD7-E530-4276-9F87-E953C046D874}"/>
    <cellStyle name="Percent Input" xfId="107" xr:uid="{23FFE9DA-1501-4611-8884-40B50776B5E6}"/>
    <cellStyle name="Percentage" xfId="15" xr:uid="{00000000-0005-0000-0000-000030000000}"/>
    <cellStyle name="Percentage Assumptions" xfId="16" xr:uid="{00000000-0005-0000-0000-000031000000}"/>
    <cellStyle name="Percentage Input" xfId="51" xr:uid="{00000000-0005-0000-0000-000032000000}"/>
    <cellStyle name="RIN_TB3" xfId="124" xr:uid="{491577CA-7E90-404C-97E2-41538E7CF06C}"/>
    <cellStyle name="RIN_TL3 2" xfId="90" xr:uid="{0F67486B-0D23-408D-A570-B7C47DEC920E}"/>
    <cellStyle name="Sheet Title Input" xfId="20" xr:uid="{00000000-0005-0000-0000-000033000000}"/>
    <cellStyle name="Sheet Title Input 2" xfId="68" xr:uid="{00000000-0005-0000-0000-000044000000}"/>
    <cellStyle name="Sheet Title Output" xfId="33" xr:uid="{00000000-0005-0000-0000-000034000000}"/>
    <cellStyle name="Table Header 1" xfId="42" xr:uid="{00000000-0005-0000-0000-000035000000}"/>
    <cellStyle name="Table Header 2" xfId="43" xr:uid="{00000000-0005-0000-0000-000036000000}"/>
    <cellStyle name="TableLvl3" xfId="93" xr:uid="{1363DDE9-EE30-4192-89D4-288E1C9D4C86}"/>
    <cellStyle name="Title" xfId="2" builtinId="15" hidden="1"/>
    <cellStyle name="Title" xfId="97" builtinId="15" customBuiltin="1"/>
    <cellStyle name="Total" xfId="7" builtinId="25" hidden="1"/>
    <cellStyle name="Trigger Assumption GreenRedGrey" xfId="45" xr:uid="{00000000-0005-0000-0000-000039000000}"/>
    <cellStyle name="Trigger GreenRedGrey" xfId="46" xr:uid="{00000000-0005-0000-0000-00003A000000}"/>
    <cellStyle name="Warning Text" xfId="29" builtinId="11" hidden="1"/>
    <cellStyle name="Year" xfId="9" xr:uid="{00000000-0005-0000-0000-00003C000000}"/>
    <cellStyle name="Year Assumptions" xfId="10" xr:uid="{00000000-0005-0000-0000-00003D000000}"/>
    <cellStyle name="Year Input" xfId="52" xr:uid="{00000000-0005-0000-0000-00003E000000}"/>
  </cellStyles>
  <dxfs count="102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BBE2FF"/>
      <color rgb="FFB8CCE4"/>
      <color rgb="FFCBD3EB"/>
      <color rgb="FF92CEEF"/>
      <color rgb="FFD9D9D9"/>
      <color rgb="FF426286"/>
      <color rgb="FF139C00"/>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6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95250</xdr:rowOff>
    </xdr:from>
    <xdr:to>
      <xdr:col>5</xdr:col>
      <xdr:colOff>371750</xdr:colOff>
      <xdr:row>7</xdr:row>
      <xdr:rowOff>123889</xdr:rowOff>
    </xdr:to>
    <xdr:pic>
      <xdr:nvPicPr>
        <xdr:cNvPr id="3" name="Picture 2">
          <a:extLst>
            <a:ext uri="{FF2B5EF4-FFF2-40B4-BE49-F238E27FC236}">
              <a16:creationId xmlns:a16="http://schemas.microsoft.com/office/drawing/2014/main" id="{6B20672F-70AA-4B2C-A520-4F21277BD5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76200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607_PWC_AER2429_Modelling/Working/Reset%20RIN/Final%20RIN/DNSP%202024-2029%20-%20Reset%20RIN%20-%20Workbook%201%20-%20Forecast%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2.1 Expenditure summary"/>
      <sheetName val="2.2 Repex"/>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5.4 MD &amp; utilisation-Spatial"/>
      <sheetName val="6.2 Reliability &amp; Cust serv"/>
      <sheetName val="7.1  Policies and Procedures"/>
      <sheetName val="7.2 Contingent projects"/>
      <sheetName val="7.3 Obligations"/>
      <sheetName val="7.4 Shared Assets"/>
      <sheetName val="7.7 TSS-LRMC"/>
      <sheetName val="7.8 Export Services"/>
      <sheetName val="AER Sheet Heading"/>
      <sheetName val="AER CF"/>
      <sheetName val="AER NRs"/>
      <sheetName val="AER lookups"/>
      <sheetName val="AER E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7">
          <cell r="F7" t="str">
            <v>YES</v>
          </cell>
        </row>
      </sheetData>
      <sheetData sheetId="28" refreshError="1"/>
      <sheetData sheetId="29" refreshError="1"/>
      <sheetData sheetId="30" refreshError="1"/>
      <sheetData sheetId="31" refreshError="1"/>
      <sheetData sheetId="32" refreshError="1"/>
      <sheetData sheetId="33">
        <row r="70">
          <cell r="C70">
            <v>5</v>
          </cell>
        </row>
      </sheetData>
    </sheetDataSet>
  </externalBook>
</externalLink>
</file>

<file path=xl/theme/theme1.xml><?xml version="1.0" encoding="utf-8"?>
<a:theme xmlns:a="http://schemas.openxmlformats.org/drawingml/2006/main" name="Office Theme">
  <a:themeElements>
    <a:clrScheme name="PWC">
      <a:dk1>
        <a:srgbClr val="000000"/>
      </a:dk1>
      <a:lt1>
        <a:srgbClr val="FFFFFF"/>
      </a:lt1>
      <a:dk2>
        <a:srgbClr val="2A3D6F"/>
      </a:dk2>
      <a:lt2>
        <a:srgbClr val="75842F"/>
      </a:lt2>
      <a:accent1>
        <a:srgbClr val="00AB9E"/>
      </a:accent1>
      <a:accent2>
        <a:srgbClr val="007143"/>
      </a:accent2>
      <a:accent3>
        <a:srgbClr val="4BB0E4"/>
      </a:accent3>
      <a:accent4>
        <a:srgbClr val="0061AC"/>
      </a:accent4>
      <a:accent5>
        <a:srgbClr val="534368"/>
      </a:accent5>
      <a:accent6>
        <a:srgbClr val="8C1B10"/>
      </a:accent6>
      <a:hlink>
        <a:srgbClr val="C72D2C"/>
      </a:hlink>
      <a:folHlink>
        <a:srgbClr val="EF7D1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68"/>
  <sheetViews>
    <sheetView showGridLines="0" tabSelected="1" zoomScaleNormal="100" workbookViewId="0">
      <selection activeCell="D13" sqref="D13"/>
    </sheetView>
  </sheetViews>
  <sheetFormatPr defaultColWidth="9.33203125" defaultRowHeight="10.15" x14ac:dyDescent="0.3"/>
  <cols>
    <col min="2" max="3" width="5.83203125" customWidth="1"/>
    <col min="4" max="4" width="12.83203125" customWidth="1"/>
    <col min="6" max="13" width="10.83203125" customWidth="1"/>
  </cols>
  <sheetData>
    <row r="1" spans="2:14" ht="11.25" customHeight="1" x14ac:dyDescent="0.3"/>
    <row r="2" spans="2:14" ht="11.25" customHeight="1" x14ac:dyDescent="0.3"/>
    <row r="3" spans="2:14" ht="18.75" x14ac:dyDescent="0.3">
      <c r="B3" s="3" t="s">
        <v>1057</v>
      </c>
    </row>
    <row r="4" spans="2:14" ht="11.25" customHeight="1" x14ac:dyDescent="0.3"/>
    <row r="5" spans="2:14" ht="11.25" customHeight="1" x14ac:dyDescent="0.3">
      <c r="N5" s="42"/>
    </row>
    <row r="6" spans="2:14" ht="11.25" customHeight="1" x14ac:dyDescent="0.3">
      <c r="N6" s="42"/>
    </row>
    <row r="7" spans="2:14" ht="11.25" customHeight="1" x14ac:dyDescent="0.3">
      <c r="N7" s="42"/>
    </row>
    <row r="8" spans="2:14" ht="11.25" customHeight="1" x14ac:dyDescent="0.3"/>
    <row r="11" spans="2:14" ht="13.15" x14ac:dyDescent="0.3">
      <c r="C11" s="32" t="s">
        <v>789</v>
      </c>
      <c r="F11" s="5" t="s">
        <v>790</v>
      </c>
    </row>
    <row r="13" spans="2:14" ht="13.15" x14ac:dyDescent="0.3">
      <c r="C13" s="4" t="s">
        <v>791</v>
      </c>
    </row>
    <row r="14" spans="2:14" ht="12.75" x14ac:dyDescent="0.3">
      <c r="C14" s="5" t="s">
        <v>792</v>
      </c>
    </row>
    <row r="16" spans="2:14" ht="13.15" x14ac:dyDescent="0.3">
      <c r="C16" s="4" t="s">
        <v>793</v>
      </c>
    </row>
    <row r="18" spans="3:13" x14ac:dyDescent="0.3">
      <c r="C18" s="20"/>
      <c r="D18" s="21"/>
      <c r="E18" s="21"/>
      <c r="F18" s="21"/>
      <c r="G18" s="21"/>
      <c r="H18" s="21"/>
      <c r="I18" s="21"/>
      <c r="J18" s="21"/>
      <c r="K18" s="21"/>
      <c r="L18" s="21"/>
      <c r="M18" s="22"/>
    </row>
    <row r="19" spans="3:13" ht="12.75" x14ac:dyDescent="0.3">
      <c r="C19" s="23"/>
      <c r="D19" s="31" t="s">
        <v>12</v>
      </c>
      <c r="F19" s="5" t="s">
        <v>794</v>
      </c>
      <c r="M19" s="24"/>
    </row>
    <row r="20" spans="3:13" ht="12.75" x14ac:dyDescent="0.3">
      <c r="C20" s="23"/>
      <c r="D20" s="37" t="s">
        <v>795</v>
      </c>
      <c r="F20" s="5" t="s">
        <v>796</v>
      </c>
      <c r="M20" s="24"/>
    </row>
    <row r="21" spans="3:13" ht="13.15" x14ac:dyDescent="0.3">
      <c r="C21" s="23"/>
      <c r="D21" s="11" t="s">
        <v>14</v>
      </c>
      <c r="F21" s="5" t="s">
        <v>797</v>
      </c>
      <c r="M21" s="24"/>
    </row>
    <row r="22" spans="3:13" ht="13.15" x14ac:dyDescent="0.3">
      <c r="C22" s="23"/>
      <c r="D22" s="25" t="s">
        <v>15</v>
      </c>
      <c r="F22" s="5" t="s">
        <v>798</v>
      </c>
      <c r="M22" s="24"/>
    </row>
    <row r="23" spans="3:13" ht="12.75" x14ac:dyDescent="0.3">
      <c r="C23" s="23"/>
      <c r="D23" s="26" t="s">
        <v>799</v>
      </c>
      <c r="F23" s="5" t="s">
        <v>800</v>
      </c>
      <c r="M23" s="24"/>
    </row>
    <row r="24" spans="3:13" ht="12.75" x14ac:dyDescent="0.3">
      <c r="C24" s="23"/>
      <c r="D24" s="27" t="s">
        <v>801</v>
      </c>
      <c r="F24" s="5" t="s">
        <v>802</v>
      </c>
      <c r="M24" s="24"/>
    </row>
    <row r="25" spans="3:13" ht="12.75" x14ac:dyDescent="0.3">
      <c r="C25" s="23"/>
      <c r="D25" s="36"/>
      <c r="F25" s="5" t="s">
        <v>20</v>
      </c>
      <c r="M25" s="24"/>
    </row>
    <row r="26" spans="3:13" ht="12.75" x14ac:dyDescent="0.3">
      <c r="C26" s="23"/>
      <c r="D26" s="35" t="s">
        <v>23</v>
      </c>
      <c r="F26" s="5" t="s">
        <v>21</v>
      </c>
      <c r="M26" s="24"/>
    </row>
    <row r="27" spans="3:13" ht="13.15" x14ac:dyDescent="0.3">
      <c r="C27" s="23"/>
      <c r="D27" s="248">
        <v>1</v>
      </c>
      <c r="F27" s="5" t="s">
        <v>803</v>
      </c>
      <c r="M27" s="24"/>
    </row>
    <row r="28" spans="3:13" ht="13.15" x14ac:dyDescent="0.3">
      <c r="C28" s="23"/>
      <c r="D28" s="248">
        <v>0</v>
      </c>
      <c r="F28" s="5" t="s">
        <v>804</v>
      </c>
      <c r="M28" s="24"/>
    </row>
    <row r="29" spans="3:13" ht="12.75" x14ac:dyDescent="0.3">
      <c r="C29" s="23"/>
      <c r="D29" s="38"/>
      <c r="F29" s="5" t="s">
        <v>22</v>
      </c>
      <c r="M29" s="24"/>
    </row>
    <row r="30" spans="3:13" x14ac:dyDescent="0.3">
      <c r="C30" s="28"/>
      <c r="D30" s="29"/>
      <c r="E30" s="29"/>
      <c r="F30" s="29"/>
      <c r="G30" s="29"/>
      <c r="H30" s="29"/>
      <c r="I30" s="29"/>
      <c r="J30" s="29"/>
      <c r="K30" s="29"/>
      <c r="L30" s="29"/>
      <c r="M30" s="30"/>
    </row>
    <row r="32" spans="3:13" ht="13.15" x14ac:dyDescent="0.3">
      <c r="C32" s="4" t="s">
        <v>805</v>
      </c>
      <c r="D32" s="34"/>
    </row>
    <row r="33" spans="3:24" ht="65.099999999999994" customHeight="1" x14ac:dyDescent="0.3">
      <c r="C33" s="1041" t="s">
        <v>806</v>
      </c>
      <c r="D33" s="1041"/>
      <c r="E33" s="1041"/>
      <c r="F33" s="1041"/>
      <c r="G33" s="1041"/>
      <c r="H33" s="1041"/>
      <c r="I33" s="1041"/>
      <c r="J33" s="1041"/>
      <c r="K33" s="1041"/>
      <c r="L33" s="1041"/>
      <c r="M33" s="1041"/>
      <c r="N33" s="1041"/>
      <c r="O33" s="1041"/>
      <c r="P33" s="1041"/>
      <c r="Q33" s="1041"/>
      <c r="R33" s="1041"/>
      <c r="S33" s="1041"/>
      <c r="T33" s="1041"/>
      <c r="U33" s="1041"/>
      <c r="V33" s="1041"/>
      <c r="W33" s="1041"/>
      <c r="X33" s="1041"/>
    </row>
    <row r="63" spans="5:5" ht="12.75" x14ac:dyDescent="0.3">
      <c r="E63" s="5"/>
    </row>
    <row r="64" spans="5:5" ht="12.75" x14ac:dyDescent="0.3">
      <c r="E64" s="5"/>
    </row>
    <row r="65" spans="5:5" ht="12.75" x14ac:dyDescent="0.3">
      <c r="E65" s="5"/>
    </row>
    <row r="66" spans="5:5" ht="12.75" x14ac:dyDescent="0.3">
      <c r="E66" s="5"/>
    </row>
    <row r="67" spans="5:5" ht="12.75" x14ac:dyDescent="0.3">
      <c r="E67" s="5"/>
    </row>
    <row r="68" spans="5:5" ht="12.75" x14ac:dyDescent="0.3">
      <c r="E68" s="5"/>
    </row>
  </sheetData>
  <mergeCells count="1">
    <mergeCell ref="C33:X33"/>
  </mergeCells>
  <conditionalFormatting sqref="D28">
    <cfRule type="cellIs" dxfId="1022" priority="2" operator="equal">
      <formula>"Ok"</formula>
    </cfRule>
  </conditionalFormatting>
  <conditionalFormatting sqref="D27">
    <cfRule type="cellIs" dxfId="1021"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68"/>
  <sheetViews>
    <sheetView showGridLines="0" zoomScaleNormal="100" workbookViewId="0">
      <pane xSplit="1" ySplit="4" topLeftCell="B5" activePane="bottomRight" state="frozen"/>
      <selection activeCell="D11" sqref="D11"/>
      <selection pane="topRight" activeCell="D11" sqref="D11"/>
      <selection pane="bottomLeft" activeCell="D11" sqref="D11"/>
      <selection pane="bottomRight" activeCell="B5" sqref="B5"/>
    </sheetView>
  </sheetViews>
  <sheetFormatPr defaultColWidth="0" defaultRowHeight="10.15" x14ac:dyDescent="0.3"/>
  <cols>
    <col min="1" max="3" width="2.83203125" customWidth="1"/>
    <col min="4" max="4" width="57" customWidth="1"/>
    <col min="5" max="9" width="10.83203125" customWidth="1"/>
    <col min="10" max="15" width="10.83203125" hidden="1" customWidth="1"/>
    <col min="16" max="16384" width="9.33203125" hidden="1"/>
  </cols>
  <sheetData>
    <row r="1" spans="2:5" ht="18.75" x14ac:dyDescent="0.3">
      <c r="B1" s="3" t="s">
        <v>1045</v>
      </c>
    </row>
    <row r="2" spans="2:5" x14ac:dyDescent="0.3">
      <c r="B2" s="9" t="str">
        <f>Title_Msg</f>
        <v>No Errors Found</v>
      </c>
    </row>
    <row r="3" spans="2:5" ht="12.75" x14ac:dyDescent="0.3">
      <c r="B3" s="34" t="s">
        <v>26</v>
      </c>
      <c r="C3" s="34"/>
      <c r="D3" s="34"/>
      <c r="E3" s="5"/>
    </row>
    <row r="4" spans="2:5" ht="13.15" x14ac:dyDescent="0.3">
      <c r="B4" s="33" t="str">
        <f>Model_Name</f>
        <v>RIN Population Model - Power and Water Corporation</v>
      </c>
    </row>
    <row r="6" spans="2:5" s="2" customFormat="1" ht="15" x14ac:dyDescent="0.3">
      <c r="B6" s="2" t="str">
        <f>B1</f>
        <v>Table of contents</v>
      </c>
    </row>
    <row r="7" spans="2:5" ht="4.5" customHeight="1" x14ac:dyDescent="0.3"/>
    <row r="8" spans="2:5" s="7" customFormat="1" ht="13.9" x14ac:dyDescent="0.3">
      <c r="C8" s="7" t="s">
        <v>169</v>
      </c>
    </row>
    <row r="9" spans="2:5" ht="4.5" customHeight="1" x14ac:dyDescent="0.3"/>
    <row r="10" spans="2:5" x14ac:dyDescent="0.3">
      <c r="D10" s="326" t="str">
        <f>Input_CPI!$B$1</f>
        <v>Input - Inflation</v>
      </c>
    </row>
    <row r="11" spans="2:5" x14ac:dyDescent="0.3">
      <c r="D11" s="326" t="str">
        <f>Input_QS!$B$1</f>
        <v>Input - Quoted Services forecast</v>
      </c>
    </row>
    <row r="12" spans="2:5" x14ac:dyDescent="0.3">
      <c r="D12" s="326" t="str">
        <f>Input_FB!$B$1</f>
        <v>Input - Fee Based Services Forecast</v>
      </c>
    </row>
    <row r="13" spans="2:5" x14ac:dyDescent="0.3">
      <c r="D13" s="326" t="str">
        <f>WkB_1_CPI_Series!$B$1</f>
        <v>CPI Series</v>
      </c>
    </row>
    <row r="14" spans="2:5" ht="11.25" customHeight="1" x14ac:dyDescent="0.3">
      <c r="D14" s="326" t="str">
        <f>'WkB_1_2.1.1'!$B$1</f>
        <v>2.1.1 - Standard Control Services - Capex</v>
      </c>
    </row>
    <row r="15" spans="2:5" ht="11.25" customHeight="1" x14ac:dyDescent="0.3">
      <c r="D15" s="326" t="str">
        <f>'WkB_1_2.1.2'!$B$1</f>
        <v>2.1.2 - Standard Control Services - Opex by category</v>
      </c>
    </row>
    <row r="16" spans="2:5" ht="11.25" customHeight="1" x14ac:dyDescent="0.3">
      <c r="D16" s="326" t="str">
        <f>'WkB_1_2.1.3'!$B$1</f>
        <v>2.1.3 - Alternative Control Services - Capex</v>
      </c>
    </row>
    <row r="17" spans="4:4" ht="11.25" customHeight="1" x14ac:dyDescent="0.3">
      <c r="D17" s="326" t="str">
        <f>'WkB_1_2.1.4'!$B$1</f>
        <v>2.1.4 - Alternative Control Services - Opex</v>
      </c>
    </row>
    <row r="18" spans="4:4" ht="11.25" customHeight="1" x14ac:dyDescent="0.3">
      <c r="D18" s="326" t="str">
        <f>'WkB_1_2.1.7'!$B$1</f>
        <v>2.1.7 - Standard Control Services - Capital contributions</v>
      </c>
    </row>
    <row r="19" spans="4:4" ht="11.25" customHeight="1" x14ac:dyDescent="0.3">
      <c r="D19" s="326" t="str">
        <f>'WkB_1_2.1.8'!$B$1</f>
        <v>2.1.8 - Standard Control Services - Capitalised overheads</v>
      </c>
    </row>
    <row r="20" spans="4:4" ht="11.25" customHeight="1" x14ac:dyDescent="0.3">
      <c r="D20" s="326" t="str">
        <f>'WkB_1_2.2.1'!$B$1</f>
        <v>2.2.1 - Replacement expenditure by asset category</v>
      </c>
    </row>
    <row r="21" spans="4:4" ht="11.25" customHeight="1" x14ac:dyDescent="0.3">
      <c r="D21" s="326" t="str">
        <f>'WkB_1_2.3.3'!$B$1</f>
        <v>2.3.3 - Augex Data - HV/LV feeders and distribution substations - Cost metrics</v>
      </c>
    </row>
    <row r="22" spans="4:4" ht="11.25" customHeight="1" x14ac:dyDescent="0.3">
      <c r="D22" s="326" t="str">
        <f>'WkB_1_2.3.4'!$B$1</f>
        <v>2.3.4 - Augex - Total expenditure</v>
      </c>
    </row>
    <row r="23" spans="4:4" ht="11.25" customHeight="1" x14ac:dyDescent="0.3">
      <c r="D23" s="326" t="str">
        <f>'WkB_1_2.3.5'!$B$1</f>
        <v>2.3.5 - Augex - By driver</v>
      </c>
    </row>
    <row r="24" spans="4:4" ht="11.25" customHeight="1" x14ac:dyDescent="0.3">
      <c r="D24" s="326" t="str">
        <f>'WkB_1_2.3.6'!$B$1</f>
        <v xml:space="preserve">2.3.6 - Augex - Greenfields driven </v>
      </c>
    </row>
    <row r="25" spans="4:4" ht="11.25" customHeight="1" x14ac:dyDescent="0.3">
      <c r="D25" s="326" t="str">
        <f>'WkB_1_2.5.1'!$B$1</f>
        <v>2.5.1 - Descriptor metrics - Expenditure - All services</v>
      </c>
    </row>
    <row r="26" spans="4:4" ht="11.25" customHeight="1" x14ac:dyDescent="0.3">
      <c r="D26" s="326" t="str">
        <f>'WkB_1_2.5.2a'!$B$1</f>
        <v>2.5.2 - Cost metrics by connection classification - Expenditure - All services</v>
      </c>
    </row>
    <row r="27" spans="4:4" ht="11.25" customHeight="1" x14ac:dyDescent="0.3">
      <c r="D27" s="326" t="str">
        <f>'WkB_1_2.5.2b'!$B$1</f>
        <v>2.5.2 - Cost metrics by connection classification - Expenditure - Standard Control Services</v>
      </c>
    </row>
    <row r="28" spans="4:4" ht="11.25" customHeight="1" x14ac:dyDescent="0.3">
      <c r="D28" s="326" t="str">
        <f>'WkB_1_2.5.2c'!$B$1</f>
        <v>2.5.2 - Cost metrics by connection classification - Expenditure - Standard Control Services - Capital contributions</v>
      </c>
    </row>
    <row r="29" spans="4:4" ht="11.25" customHeight="1" x14ac:dyDescent="0.3">
      <c r="D29" s="326" t="str">
        <f>'WkB_1_2.5.3'!$B$1</f>
        <v>2.5.3 - Volumes by connection classification</v>
      </c>
    </row>
    <row r="30" spans="4:4" ht="11.25" customHeight="1" x14ac:dyDescent="0.3">
      <c r="D30" s="326" t="str">
        <f>'WkB_1_2.6.1'!$B$1</f>
        <v>2.6.1 - Non-Network expenditure</v>
      </c>
    </row>
    <row r="31" spans="4:4" ht="11.25" customHeight="1" x14ac:dyDescent="0.3">
      <c r="D31" s="326" t="str">
        <f>'WkB_1_2.6.5'!$B$1</f>
        <v>2.6.5 - Information and communications technology - Capex - Recurrent and non recurrent</v>
      </c>
    </row>
    <row r="32" spans="4:4" ht="11.25" customHeight="1" x14ac:dyDescent="0.3">
      <c r="D32" s="326" t="str">
        <f>WkB_1_2.10!$B$1</f>
        <v>2.10 - Overheads</v>
      </c>
    </row>
    <row r="33" spans="4:4" ht="11.25" customHeight="1" x14ac:dyDescent="0.3">
      <c r="D33" s="326" t="str">
        <f>WkB_1_2.11!$B$1</f>
        <v>2.11.3 - Labour / Non-labour expenditure split - Standard Control Services</v>
      </c>
    </row>
    <row r="34" spans="4:4" ht="11.25" customHeight="1" x14ac:dyDescent="0.3">
      <c r="D34" s="326" t="str">
        <f>WkB_1_2.14!$B$1</f>
        <v>2.14.2 - Forecast capex and opex price changes</v>
      </c>
    </row>
    <row r="35" spans="4:4" ht="11.25" customHeight="1" x14ac:dyDescent="0.3">
      <c r="D35" s="326" t="str">
        <f>WkB_1_2.16!$B$1</f>
        <v>2.16.1 - Standard Control Services - Opex by driver</v>
      </c>
    </row>
    <row r="36" spans="4:4" ht="11.25" customHeight="1" x14ac:dyDescent="0.3">
      <c r="D36" s="326" t="str">
        <f>'WkB_1_2.17.1'!$B$1</f>
        <v xml:space="preserve">2.17.1 - Step changes for Standard Control Services - Forecast opex </v>
      </c>
    </row>
    <row r="37" spans="4:4" ht="11.25" customHeight="1" x14ac:dyDescent="0.3">
      <c r="D37" s="326" t="str">
        <f>'WkB_1_2.17.2'!$B$1</f>
        <v>2.17.2 - Step changes for Standard Control Services - Forecast capex</v>
      </c>
    </row>
    <row r="38" spans="4:4" ht="11.25" customHeight="1" x14ac:dyDescent="0.3">
      <c r="D38" s="326" t="str">
        <f>'WkB_1_2.17.5'!$B$1</f>
        <v>2.17.5 - Forecast category specific opex</v>
      </c>
    </row>
    <row r="39" spans="4:4" ht="11.25" customHeight="1" x14ac:dyDescent="0.3">
      <c r="D39" s="326" t="str">
        <f>'WkB_1_3.1.1'!$B$1</f>
        <v>3.1.1 - Revenue grouping by chargeable quantity</v>
      </c>
    </row>
    <row r="40" spans="4:4" ht="11.25" customHeight="1" x14ac:dyDescent="0.3">
      <c r="D40" s="326" t="str">
        <f>'WkB_1_3.1.2'!$B$1</f>
        <v>3.1.2 - Revenue grouping by customer type or class</v>
      </c>
    </row>
    <row r="41" spans="4:4" ht="11.25" customHeight="1" x14ac:dyDescent="0.3">
      <c r="D41" s="326" t="str">
        <f>'WkB_1_3.1.3'!$B$1</f>
        <v>3.1.3 - Revenue (penalties) allowed (deducted) through incentive schemes</v>
      </c>
    </row>
    <row r="42" spans="4:4" ht="11.25" customHeight="1" x14ac:dyDescent="0.3">
      <c r="D42" s="326" t="str">
        <f>'WkB_1_3.2.1'!$B$1</f>
        <v>3.2.1 - Opex categories</v>
      </c>
    </row>
    <row r="43" spans="4:4" ht="11.25" customHeight="1" x14ac:dyDescent="0.3">
      <c r="D43" s="326" t="str">
        <f>'WkB_1_3.2.2'!$B$1</f>
        <v>3.2.2 - Opex consistency</v>
      </c>
    </row>
    <row r="44" spans="4:4" ht="11.25" customHeight="1" x14ac:dyDescent="0.3">
      <c r="D44" s="326" t="str">
        <f>WkB_1_3.3!$B$1</f>
        <v>3.3 - Assets</v>
      </c>
    </row>
    <row r="45" spans="4:4" ht="11.25" customHeight="1" x14ac:dyDescent="0.3">
      <c r="D45" s="326" t="str">
        <f>WkB_1_7.2!$B$1</f>
        <v>7.2.1 - Proposed contingent projects for the forthcoming regulatory control period</v>
      </c>
    </row>
    <row r="46" spans="4:4" ht="11.25" customHeight="1" x14ac:dyDescent="0.3">
      <c r="D46" s="326" t="str">
        <f>WkB_1_7.4!$B$1</f>
        <v>7.4 - Shared assets - Forecast</v>
      </c>
    </row>
    <row r="47" spans="4:4" ht="11.25" customHeight="1" x14ac:dyDescent="0.3">
      <c r="D47" s="326" t="str">
        <f>'WkB_1_7.7.1'!$B$1</f>
        <v>7.7.1 - LRMC - capex</v>
      </c>
    </row>
    <row r="48" spans="4:4" ht="11.25" customHeight="1" x14ac:dyDescent="0.3">
      <c r="D48" s="326" t="str">
        <f>'WkB_1_7.7.2'!$B$1</f>
        <v>7.7.2 - LRMC - opex</v>
      </c>
    </row>
    <row r="49" spans="3:4" ht="11.25" customHeight="1" x14ac:dyDescent="0.3">
      <c r="D49" s="326" t="str">
        <f>'WkB_1_7.7.3'!$B$1</f>
        <v>7.7.3 - LRMC - demand</v>
      </c>
    </row>
    <row r="50" spans="3:4" ht="11.25" customHeight="1" x14ac:dyDescent="0.3">
      <c r="D50" s="326" t="str">
        <f>'WkB_1_7.8.1'!$B$1</f>
        <v>7.8.1 - Export services - opex</v>
      </c>
    </row>
    <row r="51" spans="3:4" ht="11.25" customHeight="1" x14ac:dyDescent="0.3">
      <c r="D51" s="326" t="str">
        <f>'WkB_1_7.8.2'!$B$1</f>
        <v>7.8.2 - Export services - capex</v>
      </c>
    </row>
    <row r="52" spans="3:4" ht="11.25" customHeight="1" x14ac:dyDescent="0.3">
      <c r="D52" s="326" t="str">
        <f>'WkB_1_7.8.3'!$B$1</f>
        <v>7.8.3 and 7.8.4 - Export services - Volumes</v>
      </c>
    </row>
    <row r="53" spans="3:4" ht="4.5" customHeight="1" x14ac:dyDescent="0.3"/>
    <row r="54" spans="3:4" s="7" customFormat="1" ht="13.9" x14ac:dyDescent="0.3">
      <c r="C54" s="7" t="s">
        <v>599</v>
      </c>
    </row>
    <row r="55" spans="3:4" ht="4.5" customHeight="1" x14ac:dyDescent="0.3"/>
    <row r="56" spans="3:4" x14ac:dyDescent="0.3">
      <c r="D56" s="326" t="str">
        <f>WkB_2_7.4!$B$1</f>
        <v>7.4 - Shared assets - Historical</v>
      </c>
    </row>
    <row r="57" spans="3:4" ht="4.5" customHeight="1" x14ac:dyDescent="0.3"/>
    <row r="58" spans="3:4" s="7" customFormat="1" ht="13.9" x14ac:dyDescent="0.3">
      <c r="C58" s="7" t="s">
        <v>1046</v>
      </c>
    </row>
    <row r="59" spans="3:4" ht="4.5" customHeight="1" x14ac:dyDescent="0.3"/>
    <row r="60" spans="3:4" ht="11.25" customHeight="1" x14ac:dyDescent="0.3">
      <c r="D60" s="34" t="str">
        <f>'WkB_5_7.6.1'!$B$1</f>
        <v>7.6 - Indicative impact on distribution charges &amp; electricity bills</v>
      </c>
    </row>
    <row r="61" spans="3:4" ht="4.5" customHeight="1" x14ac:dyDescent="0.3"/>
    <row r="62" spans="3:4" s="7" customFormat="1" ht="13.9" x14ac:dyDescent="0.3">
      <c r="C62" s="7" t="s">
        <v>1047</v>
      </c>
    </row>
    <row r="63" spans="3:4" ht="4.5" customHeight="1" x14ac:dyDescent="0.3"/>
    <row r="64" spans="3:4" x14ac:dyDescent="0.3">
      <c r="D64" s="34" t="str">
        <f>WkB_1_Reconciliation!$B$1</f>
        <v>Reconciliations</v>
      </c>
    </row>
    <row r="65" spans="2:4" x14ac:dyDescent="0.3">
      <c r="D65" s="34" t="str">
        <f>Lookup!$B$1</f>
        <v>Model lookups</v>
      </c>
    </row>
    <row r="66" spans="2:4" x14ac:dyDescent="0.3">
      <c r="D66" s="34" t="str">
        <f>Checks!$B$1</f>
        <v>Checks</v>
      </c>
    </row>
    <row r="67" spans="2:4" ht="4.5" customHeight="1" x14ac:dyDescent="0.3"/>
    <row r="68" spans="2:4" s="2" customFormat="1" ht="15" x14ac:dyDescent="0.3">
      <c r="B68" s="2" t="s">
        <v>16</v>
      </c>
    </row>
  </sheetData>
  <conditionalFormatting sqref="B2">
    <cfRule type="cellIs" dxfId="1020" priority="1" operator="notEqual">
      <formula>"No Errors Found"</formula>
    </cfRule>
  </conditionalFormatting>
  <hyperlinks>
    <hyperlink ref="D65" location="Lookup!A1" display="Lookup!A1" xr:uid="{00000000-0004-0000-0100-000000000000}"/>
    <hyperlink ref="D66" location="Checks!A1" display="Checks!A1" xr:uid="{00000000-0004-0000-0100-000001000000}"/>
    <hyperlink ref="B3:D3" location="Cover!A1" display="Go to Cover Sheet" xr:uid="{00000000-0004-0000-0100-000002000000}"/>
    <hyperlink ref="D14" location="WkB_1_2.1.1!A1" display="WkB_1_2.1.1!A1" xr:uid="{00000000-0004-0000-0100-000003000000}"/>
    <hyperlink ref="D10" location="Input_CPI!A1" display="Input_CPI!A1" xr:uid="{F7BB50DF-72D8-479E-BC59-D499BA219FE9}"/>
    <hyperlink ref="D19" location="WkB_1_2.1.8!A1" display="WkB_1_2.1.8!A1" xr:uid="{B828FFD3-AC80-4C82-981B-10A8784372A5}"/>
    <hyperlink ref="D20" location="WkB_1_2.2.1!A1" display="WkB_1_2.2.1!A1" xr:uid="{C8091FB7-030D-4164-B2ED-7CC3984C8FF7}"/>
    <hyperlink ref="D21" location="WkB_1_2.3.3!A1" display="WkB_1_2.3.3!A1" xr:uid="{89F23FA6-41FE-4731-A895-73887A66DD4F}"/>
    <hyperlink ref="D26" location="WkB_1_2.5.2a!A1" display="WkB_1_2.5.2a!A1" xr:uid="{24C54116-446C-4B6F-9EFE-81FDE083046C}"/>
    <hyperlink ref="D30" location="WkB_1_2.6.1!A1" display="WkB_1_2.6.1!A1" xr:uid="{B16BE9E9-8174-4754-A08E-1BC05763E422}"/>
    <hyperlink ref="D32" location="WkB_1_2.10!A1" display="WkB_1_2.10!A1" xr:uid="{7C08F728-94BD-469D-9ABD-1E6D86BA8629}"/>
    <hyperlink ref="D34" location="WkB_1_2.14!A1" display="WkB_1_2.14!A1" xr:uid="{F13548C5-AB28-471F-91F4-79A27D276EEC}"/>
    <hyperlink ref="D35" location="WkB_1_2.16!A1" display="WkB_1_2.16!A1" xr:uid="{E05D8BEE-49A0-498D-ABE1-C1EDC89A8B24}"/>
    <hyperlink ref="D36" location="WkB_1_2.17.1!A1" display="WkB_1_2.17.1!A1" xr:uid="{B2727B99-10A5-4942-8C33-84471D34BED8}"/>
    <hyperlink ref="D38" location="WkB_1_2.17.5!A1" display="WkB_1_2.17.5!A1" xr:uid="{CD8F9F9F-4872-4F7C-96C1-3C4A946A3E9F}"/>
    <hyperlink ref="D39" location="WkB_1_3.1.1!A1" display="WkB_1_3.1.1!A1" xr:uid="{AF1219BE-825B-42E5-93C9-6677140E3491}"/>
    <hyperlink ref="D44" location="WkB_1_3.3!A1" display="WkB_1_3.3!A1" xr:uid="{E88AD3A9-A759-41C5-9E0D-C29E7ED21343}"/>
    <hyperlink ref="D60" location="WkB_5_7.6.1!A1" display="WkB_5_7.6.1!A1" xr:uid="{9123ABE3-8751-4A76-9F38-5B417CE2728D}"/>
    <hyperlink ref="D31" location="WkB_1_2.6.5!A1" display="WkB_1_2.6.5!A1" xr:uid="{7E56690F-03BF-4C11-9579-0A2766993D65}"/>
    <hyperlink ref="D42" location="WkB_1_3.2.1!A1" display="WkB_1_3.2.1!A1" xr:uid="{2DB7663F-D396-4CE7-A307-BE56CFBC1417}"/>
    <hyperlink ref="D46" location="WkB_1_7.4!A1" display="WkB_1_7.4!A1" xr:uid="{18E81365-F27D-4E09-A04F-2F800AC4F237}"/>
    <hyperlink ref="D45" location="WkB_1_7.2!A1" display="WkB_1_7.2!A1" xr:uid="{313E9FAC-3C80-4BA8-A76B-97366E08BBF5}"/>
    <hyperlink ref="D64" location="WkB_1_Reconciliation!A1" display="WkB_1_Reconciliation!A1" xr:uid="{FBC46E00-E8CC-41BC-8FF7-8C420852BE38}"/>
    <hyperlink ref="D40:D41" location="WkB_1_3.1.1!A1" display="WkB_1_3.1.1!A1" xr:uid="{BA03D619-55D4-44C9-958B-1768D93D4335}"/>
    <hyperlink ref="D41" location="WkB_1_3.1.3!A1" display="WkB_1_3.1.3!A1" xr:uid="{293700EA-080A-4D51-AFFA-058F2AB65EB5}"/>
    <hyperlink ref="D40" location="WkB_1_3.1.2!A1" display="WkB_1_3.1.2!A1" xr:uid="{369A1B22-B7F9-4799-B671-E9E839111231}"/>
    <hyperlink ref="D37" location="WkB_1_2.17.2!A1" display="WkB_1_2.17.2!A1" xr:uid="{34A9CCB3-3BA8-42C6-A40C-35B28CE3624B}"/>
    <hyperlink ref="D27" location="WkB_1_2.5.2b!A1" display="WkB_1_2.5.2b!A1" xr:uid="{AB61A380-28F3-4935-8C61-659108C1F13B}"/>
    <hyperlink ref="D28" location="WkB_1_2.5.2c!A1" display="WkB_1_2.5.2c!A1" xr:uid="{A0A3BD54-637A-49F8-A0E5-FD53DC0DDE3E}"/>
    <hyperlink ref="D43" location="WkB_1_3.2.2!A1" display="WkB_1_3.2.2!A1" xr:uid="{237C63AE-0602-46F9-BCAF-4B00FFA5C825}"/>
    <hyperlink ref="D13" location="WkB_1_CPI_Series!A1" display="WkB_1_CPI_Series!A1" xr:uid="{4597EB38-C6B6-4C11-BE83-129FDF3942E5}"/>
    <hyperlink ref="D15" location="WkB_1_2.1.2!A1" display="WkB_1_2.1.2!A1" xr:uid="{EF2E2E84-0842-4BCD-90B6-BBCE9362025E}"/>
    <hyperlink ref="D16" location="WkB_1_2.1.3!A1" display="WkB_1_2.1.3!A1" xr:uid="{C29EB485-D75E-4FA4-89EF-F3C3E220FC0F}"/>
    <hyperlink ref="D17" location="WkB_1_2.1.4!A1" display="WkB_1_2.1.4!A1" xr:uid="{EAE567EF-C332-4667-A4A8-899455159F53}"/>
    <hyperlink ref="D18" location="WkB_1_2.1.7!A1" display="WkB_1_2.1.7!A1" xr:uid="{97B2AEC4-82BB-43AF-BC71-D6C92B77EFB3}"/>
    <hyperlink ref="D22" location="WkB_1_2.3.4!A1" display="WkB_1_2.3.4!A1" xr:uid="{BFCB3C7A-D584-441C-AE1A-93B20641B78C}"/>
    <hyperlink ref="D23" location="WkB_1_2.3.5!A1" display="WkB_1_2.3.5!A1" xr:uid="{34A4F380-3EEE-4A3C-BC48-289E004C774C}"/>
    <hyperlink ref="D24" location="WkB_1_2.3.6!A1" display="WkB_1_2.3.6!A1" xr:uid="{8FE3602E-0E46-4030-A6CD-0E4CCA6A9D98}"/>
    <hyperlink ref="D25" location="WkB_1_2.5.1!A1" display="WkB_1_2.5.1!A1" xr:uid="{E62F1C41-DA09-42EC-B27D-7F9AB5DC620C}"/>
    <hyperlink ref="D29" location="WkB_1_2.5.3!A1" display="WkB_1_2.5.3!A1" xr:uid="{C187DA0D-C632-455B-BDFE-EE161CA4E0C8}"/>
    <hyperlink ref="D33" location="WkB_1_2.11!A1" display="WkB_1_2.11!A1" xr:uid="{01BC7064-107E-4298-93BB-6D15353A2E39}"/>
    <hyperlink ref="D56" location="WkB_2_7.4!A1" display="WkB_2_7.4!A1" xr:uid="{75053189-C82C-4F52-98C5-A05A48642C39}"/>
    <hyperlink ref="D50" location="WkB_1_7.8.1!A1" display="WkB_1_7.8.1!A1" xr:uid="{C2E361B1-CBCD-4EFE-9B11-8E0A010B7F8D}"/>
    <hyperlink ref="D51" location="WkB_1_7.8.2!A1" display="WkB_1_7.8.2!A1" xr:uid="{B1403DB0-AF64-4C27-8E9F-2DA80D28225E}"/>
    <hyperlink ref="D52" location="WkB_1_7.8.3!A1" display="WkB_1_7.8.3!A1" xr:uid="{73F57F16-642E-46AC-8078-F4D5919802B3}"/>
    <hyperlink ref="D11" location="Input_QS!A1" display="Input_QS!A1" xr:uid="{5294890F-44D8-4B28-A9C6-7D67376BDD3D}"/>
    <hyperlink ref="D12" location="Input_FB!A1" display="Input_FB!A1" xr:uid="{55527781-ECFF-4E76-9DC4-3408AE1DDA61}"/>
    <hyperlink ref="D47" location="WkB_1_7.7.1!A1" display="WkB_1_7.7.1!A1" xr:uid="{11348044-4CC0-487B-95C6-2487C2E5C9E8}"/>
    <hyperlink ref="D48" location="WkB_1_7.7.2!A1" display="WkB_1_7.7.2!A1" xr:uid="{BC671C62-7379-4B0F-AC1D-DEC305E15637}"/>
    <hyperlink ref="D49" location="WkB_1_7.7.3!A1" display="WkB_1_7.7.3!A1" xr:uid="{11F3AFF3-AC26-43DA-A085-DA607FBDF75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3AAB-2413-411D-B0EC-C32B5708AA9B}">
  <sheetPr codeName="Sheet4">
    <tabColor theme="4" tint="0.79998168889431442"/>
  </sheetPr>
  <dimension ref="A1:X53"/>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8.6640625" style="45" customWidth="1"/>
    <col min="5" max="24" width="13.33203125" style="45" customWidth="1"/>
    <col min="25" max="16384" width="9.33203125" style="45"/>
  </cols>
  <sheetData>
    <row r="1" spans="1:24" ht="18.75" x14ac:dyDescent="0.3">
      <c r="A1" s="41">
        <f>IF(SUM($A3:$A32)&gt;0,1,0)</f>
        <v>0</v>
      </c>
      <c r="B1" s="3" t="s">
        <v>97</v>
      </c>
    </row>
    <row r="2" spans="1:24" customFormat="1" x14ac:dyDescent="0.3">
      <c r="B2" s="34" t="str">
        <f>TOC!$B$1</f>
        <v>Table of contents</v>
      </c>
      <c r="C2" s="34"/>
      <c r="D2" s="34"/>
      <c r="E2" s="34"/>
    </row>
    <row r="3" spans="1:24" x14ac:dyDescent="0.3">
      <c r="B3" s="9" t="str">
        <f>Title_Msg</f>
        <v>No Errors Found</v>
      </c>
    </row>
    <row r="4" spans="1:24" s="46" customFormat="1" ht="15" x14ac:dyDescent="0.3">
      <c r="B4" s="46" t="s">
        <v>1059</v>
      </c>
    </row>
    <row r="5" spans="1:24" ht="4.5" customHeight="1" x14ac:dyDescent="0.3"/>
    <row r="6" spans="1:24" s="7" customFormat="1" ht="13.9" x14ac:dyDescent="0.3">
      <c r="C6" s="7" t="s">
        <v>98</v>
      </c>
    </row>
    <row r="7" spans="1:24" ht="11.25" customHeight="1" x14ac:dyDescent="0.3"/>
    <row r="8" spans="1:24" ht="11.25" customHeight="1" x14ac:dyDescent="0.3">
      <c r="D8" s="104" t="s">
        <v>99</v>
      </c>
      <c r="E8" s="105" t="s">
        <v>32</v>
      </c>
      <c r="F8" s="105" t="s">
        <v>33</v>
      </c>
      <c r="G8" s="105" t="s">
        <v>34</v>
      </c>
      <c r="H8" s="105" t="s">
        <v>35</v>
      </c>
      <c r="I8" s="105">
        <f>Lookup!J$18</f>
        <v>2014</v>
      </c>
      <c r="J8" s="106">
        <f>Lookup!K$18</f>
        <v>2015</v>
      </c>
      <c r="K8" s="105">
        <f>Lookup!L$18</f>
        <v>2016</v>
      </c>
      <c r="L8" s="105">
        <f>Lookup!M$18</f>
        <v>2017</v>
      </c>
      <c r="M8" s="105">
        <f>Lookup!N$18</f>
        <v>2018</v>
      </c>
      <c r="N8" s="107">
        <f>Lookup!O$18</f>
        <v>2019</v>
      </c>
      <c r="O8" s="106">
        <f>Lookup!P$18</f>
        <v>2020</v>
      </c>
      <c r="P8" s="105">
        <f>Lookup!Q$18</f>
        <v>2021</v>
      </c>
      <c r="Q8" s="105">
        <f>Lookup!R$18</f>
        <v>2022</v>
      </c>
      <c r="R8" s="105">
        <f>Lookup!S$18</f>
        <v>2023</v>
      </c>
      <c r="S8" s="107">
        <f>Lookup!T$18</f>
        <v>2024</v>
      </c>
      <c r="T8" s="106">
        <f>Lookup!U$18</f>
        <v>2025</v>
      </c>
      <c r="U8" s="105">
        <f>Lookup!V$18</f>
        <v>2026</v>
      </c>
      <c r="V8" s="105">
        <f>Lookup!W$18</f>
        <v>2027</v>
      </c>
      <c r="W8" s="105">
        <f>Lookup!X$18</f>
        <v>2028</v>
      </c>
      <c r="X8" s="107">
        <f>Lookup!Y$18</f>
        <v>2029</v>
      </c>
    </row>
    <row r="9" spans="1:24" ht="11.25" customHeight="1" x14ac:dyDescent="0.3">
      <c r="I9" s="108">
        <v>1</v>
      </c>
      <c r="J9" s="47">
        <f>I9+1</f>
        <v>2</v>
      </c>
      <c r="K9" s="47">
        <f t="shared" ref="K9:S9" si="0">J9+1</f>
        <v>3</v>
      </c>
      <c r="L9" s="47">
        <f t="shared" si="0"/>
        <v>4</v>
      </c>
      <c r="M9" s="47">
        <f t="shared" si="0"/>
        <v>5</v>
      </c>
      <c r="N9" s="47">
        <f t="shared" si="0"/>
        <v>6</v>
      </c>
      <c r="O9" s="47">
        <f t="shared" si="0"/>
        <v>7</v>
      </c>
      <c r="P9" s="47">
        <f t="shared" si="0"/>
        <v>8</v>
      </c>
      <c r="Q9" s="47">
        <f t="shared" si="0"/>
        <v>9</v>
      </c>
      <c r="R9" s="47">
        <f t="shared" si="0"/>
        <v>10</v>
      </c>
      <c r="S9" s="47">
        <f t="shared" si="0"/>
        <v>11</v>
      </c>
    </row>
    <row r="10" spans="1:24" ht="12.75" x14ac:dyDescent="0.3">
      <c r="D10" s="6" t="s">
        <v>650</v>
      </c>
      <c r="E10" s="109" t="s">
        <v>100</v>
      </c>
      <c r="F10" s="109" t="str">
        <f>Percent</f>
        <v>Percent</v>
      </c>
      <c r="G10" s="109" t="s">
        <v>18</v>
      </c>
      <c r="H10" s="109" t="s">
        <v>18</v>
      </c>
      <c r="I10" s="110">
        <v>3.0155642023346418E-2</v>
      </c>
      <c r="J10" s="110">
        <v>1.5108593012275628E-2</v>
      </c>
      <c r="K10" s="110">
        <v>1.0232558139534831E-2</v>
      </c>
      <c r="L10" s="110">
        <v>1.9337016574585641E-2</v>
      </c>
      <c r="M10" s="110">
        <v>2.0776874435411097E-2</v>
      </c>
      <c r="N10" s="110">
        <v>1.5929203539823078E-2</v>
      </c>
      <c r="O10" s="110">
        <v>-3.4843205574912606E-3</v>
      </c>
      <c r="P10" s="110">
        <v>3.8461538461538325E-2</v>
      </c>
      <c r="Q10" s="110">
        <v>6.1447811447811418E-2</v>
      </c>
      <c r="R10" s="110">
        <v>6.3E-2</v>
      </c>
      <c r="S10" s="110">
        <v>4.2000000000000003E-2</v>
      </c>
      <c r="T10" s="110">
        <v>2.9196400498682218E-2</v>
      </c>
      <c r="U10" s="110">
        <v>2.9196400498682218E-2</v>
      </c>
      <c r="V10" s="110">
        <v>2.9196400498682218E-2</v>
      </c>
      <c r="W10" s="110">
        <v>2.9196400498682218E-2</v>
      </c>
      <c r="X10" s="110">
        <v>2.9196400498682218E-2</v>
      </c>
    </row>
    <row r="11" spans="1:24" ht="12.75" x14ac:dyDescent="0.3">
      <c r="D11" s="6" t="s">
        <v>101</v>
      </c>
      <c r="E11" s="109" t="s">
        <v>102</v>
      </c>
      <c r="F11" s="109" t="s">
        <v>41</v>
      </c>
      <c r="G11" s="109" t="s">
        <v>18</v>
      </c>
      <c r="H11" s="109" t="s">
        <v>18</v>
      </c>
      <c r="I11" s="414">
        <v>1</v>
      </c>
      <c r="J11" s="111">
        <f t="shared" ref="J11:X11" si="1">I11*(1+J10)</f>
        <v>1.0151085930122756</v>
      </c>
      <c r="K11" s="111">
        <f t="shared" si="1"/>
        <v>1.0254957507082152</v>
      </c>
      <c r="L11" s="111">
        <f t="shared" si="1"/>
        <v>1.0453257790368271</v>
      </c>
      <c r="M11" s="111">
        <f t="shared" si="1"/>
        <v>1.0670443814919734</v>
      </c>
      <c r="N11" s="111">
        <f t="shared" si="1"/>
        <v>1.0840415486307837</v>
      </c>
      <c r="O11" s="111">
        <f t="shared" si="1"/>
        <v>1.0802644003777149</v>
      </c>
      <c r="P11" s="111">
        <f t="shared" si="1"/>
        <v>1.1218130311614729</v>
      </c>
      <c r="Q11" s="111">
        <f t="shared" si="1"/>
        <v>1.1907459867799808</v>
      </c>
      <c r="R11" s="111">
        <f t="shared" si="1"/>
        <v>1.2657629839471196</v>
      </c>
      <c r="S11" s="111">
        <f t="shared" si="1"/>
        <v>1.3189250292728987</v>
      </c>
      <c r="T11" s="111">
        <f t="shared" si="1"/>
        <v>1.3574328926552863</v>
      </c>
      <c r="U11" s="111">
        <f t="shared" si="1"/>
        <v>1.3970650470393349</v>
      </c>
      <c r="V11" s="111">
        <f t="shared" si="1"/>
        <v>1.4378543176754055</v>
      </c>
      <c r="W11" s="111">
        <f t="shared" si="1"/>
        <v>1.4798344881930161</v>
      </c>
      <c r="X11" s="111">
        <f t="shared" si="1"/>
        <v>1.5230403285820617</v>
      </c>
    </row>
    <row r="12" spans="1:24" ht="11.25" customHeight="1" x14ac:dyDescent="0.3"/>
    <row r="13" spans="1:24" s="7" customFormat="1" ht="13.9" x14ac:dyDescent="0.3">
      <c r="C13" s="7" t="s">
        <v>103</v>
      </c>
    </row>
    <row r="14" spans="1:24" ht="11.25" customHeight="1" x14ac:dyDescent="0.3"/>
    <row r="15" spans="1:24" ht="11.25" customHeight="1" x14ac:dyDescent="0.3">
      <c r="D15" s="104" t="s">
        <v>104</v>
      </c>
      <c r="E15" s="105" t="s">
        <v>105</v>
      </c>
      <c r="F15" s="105" t="s">
        <v>106</v>
      </c>
      <c r="G15" s="105" t="s">
        <v>107</v>
      </c>
      <c r="H15" s="105" t="s">
        <v>108</v>
      </c>
      <c r="I15" s="105" t="str">
        <f>Lookup!J$20</f>
        <v>FY14</v>
      </c>
      <c r="J15" s="106" t="str">
        <f>Lookup!K$20</f>
        <v>FY15</v>
      </c>
      <c r="K15" s="105" t="str">
        <f>Lookup!L$20</f>
        <v>FY16</v>
      </c>
      <c r="L15" s="105" t="str">
        <f>Lookup!M$20</f>
        <v>FY17</v>
      </c>
      <c r="M15" s="105" t="str">
        <f>Lookup!N$20</f>
        <v>FY18</v>
      </c>
      <c r="N15" s="107" t="str">
        <f>Lookup!O$20</f>
        <v>FY19</v>
      </c>
      <c r="O15" s="106" t="str">
        <f>Lookup!P$20</f>
        <v>FY20</v>
      </c>
      <c r="P15" s="105" t="str">
        <f>Lookup!Q$20</f>
        <v>FY21</v>
      </c>
      <c r="Q15" s="105" t="str">
        <f>Lookup!R$20</f>
        <v>FY22</v>
      </c>
      <c r="R15" s="105" t="str">
        <f>Lookup!S$20</f>
        <v>FY23</v>
      </c>
      <c r="S15" s="107" t="str">
        <f>Lookup!T$20</f>
        <v>FY24</v>
      </c>
      <c r="T15" s="106" t="str">
        <f>Lookup!U$20</f>
        <v>FY25</v>
      </c>
      <c r="U15" s="105" t="str">
        <f>Lookup!V$20</f>
        <v>FY26</v>
      </c>
      <c r="V15" s="105" t="str">
        <f>Lookup!W$20</f>
        <v>FY27</v>
      </c>
      <c r="W15" s="105" t="str">
        <f>Lookup!X$20</f>
        <v>FY28</v>
      </c>
      <c r="X15" s="107" t="str">
        <f>Lookup!Y$20</f>
        <v>FY29</v>
      </c>
    </row>
    <row r="16" spans="1:24" ht="11.25" customHeight="1" x14ac:dyDescent="0.3">
      <c r="D16" s="6" t="str">
        <f t="shared" ref="D16" si="2">IF(E16=Nominal,"","Real ")&amp;E16&amp;" ("&amp;F16&amp;") to "
&amp;IF(G16=Nominal,"","Real ")&amp;G16&amp;" ("&amp;H16&amp;")"</f>
        <v>Nominal (End Period) to Nominal (Mid Period)</v>
      </c>
      <c r="E16" s="112" t="s">
        <v>36</v>
      </c>
      <c r="F16" s="112" t="s">
        <v>55</v>
      </c>
      <c r="G16" s="112" t="s">
        <v>36</v>
      </c>
      <c r="H16" s="112" t="s">
        <v>56</v>
      </c>
      <c r="I16" s="111" cm="1">
        <f t="array" ref="I16">IFERROR(IF($G16=Nominal,I$11:I$11,INDEX($I$11:$X$11,,MATCH($G16,$I$8:$X$8,0)))
/IF($E16=Nominal,I$11,INDEX($I$11:$X$11,,MATCH($E16,$I$8:$X$8,0)))
*IF($H16=Mid_Period,1/(1+IF($G16=Nominal,I$10,INDEX($I$10:$X$10,,MATCH($G16,$I$8:$X$8,0))))^INDEX(Timing_Adj,MATCH($H16,Cash_Timing,0)),1)
*IF($F16=Mid_Period,(1+IF($E16=Nominal,I$10,INDEX($I$10:$X$10,,MATCH($E16,$I$8:$X$8,0))))^INDEX(Timing_Adj,MATCH($F16,Cash_Timing,0)),1),"N/A")</f>
        <v>0.98525484065733759</v>
      </c>
      <c r="J16" s="111" cm="1">
        <f t="array" ref="J16">IFERROR(IF($G16=Nominal,J$11:J$11,INDEX($I$11:$X$11,,MATCH($G16,$I$8:$X$8,0)))
/IF($E16=Nominal,J$11,INDEX($I$11:$X$11,,MATCH($E16,$I$8:$X$8,0)))
*IF($H16=Mid_Period,1/(1+IF($G16=Nominal,J$10,INDEX($I$10:$X$10,,MATCH($G16,$I$8:$X$8,0))))^INDEX(Timing_Adj,MATCH($H16,Cash_Timing,0)),1)
*IF($F16=Mid_Period,(1+IF($E16=Nominal,J$10,INDEX($I$10:$X$10,,MATCH($E16,$I$8:$X$8,0))))^INDEX(Timing_Adj,MATCH($F16,Cash_Timing,0)),1),"N/A")</f>
        <v>0.99253024088426012</v>
      </c>
      <c r="K16" s="111" cm="1">
        <f t="array" ref="K16">IFERROR(IF($G16=Nominal,K$11:K$11,INDEX($I$11:$X$11,,MATCH($G16,$I$8:$X$8,0)))
/IF($E16=Nominal,K$11,INDEX($I$11:$X$11,,MATCH($E16,$I$8:$X$8,0)))
*IF($H16=Mid_Period,1/(1+IF($G16=Nominal,K$10,INDEX($I$10:$X$10,,MATCH($G16,$I$8:$X$8,0))))^INDEX(Timing_Adj,MATCH($H16,Cash_Timing,0)),1)
*IF($F16=Mid_Period,(1+IF($E16=Nominal,K$10,INDEX($I$10:$X$10,,MATCH($E16,$I$8:$X$8,0))))^INDEX(Timing_Adj,MATCH($F16,Cash_Timing,0)),1),"N/A")</f>
        <v>0.99492265355462151</v>
      </c>
      <c r="L16" s="111" cm="1">
        <f t="array" ref="L16">IFERROR(IF($G16=Nominal,L$11:L$11,INDEX($I$11:$X$11,,MATCH($G16,$I$8:$X$8,0)))
/IF($E16=Nominal,L$11,INDEX($I$11:$X$11,,MATCH($E16,$I$8:$X$8,0)))
*IF($H16=Mid_Period,1/(1+IF($G16=Nominal,L$10,INDEX($I$10:$X$10,,MATCH($G16,$I$8:$X$8,0))))^INDEX(Timing_Adj,MATCH($H16,Cash_Timing,0)),1)
*IF($F16=Mid_Period,(1+IF($E16=Nominal,L$10,INDEX($I$10:$X$10,,MATCH($E16,$I$8:$X$8,0))))^INDEX(Timing_Adj,MATCH($F16,Cash_Timing,0)),1),"N/A")</f>
        <v>0.99046948983706873</v>
      </c>
      <c r="M16" s="111" cm="1">
        <f t="array" ref="M16">IFERROR(IF($G16=Nominal,M$11:M$11,INDEX($I$11:$X$11,,MATCH($G16,$I$8:$X$8,0)))
/IF($E16=Nominal,M$11,INDEX($I$11:$X$11,,MATCH($E16,$I$8:$X$8,0)))
*IF($H16=Mid_Period,1/(1+IF($G16=Nominal,M$10,INDEX($I$10:$X$10,,MATCH($G16,$I$8:$X$8,0))))^INDEX(Timing_Adj,MATCH($H16,Cash_Timing,0)),1)
*IF($F16=Mid_Period,(1+IF($E16=Nominal,M$10,INDEX($I$10:$X$10,,MATCH($E16,$I$8:$X$8,0))))^INDEX(Timing_Adj,MATCH($F16,Cash_Timing,0)),1),"N/A")</f>
        <v>0.98977068945241808</v>
      </c>
      <c r="N16" s="111" cm="1">
        <f t="array" ref="N16">IFERROR(IF($G16=Nominal,N$11:N$11,INDEX($I$11:$X$11,,MATCH($G16,$I$8:$X$8,0)))
/IF($E16=Nominal,N$11,INDEX($I$11:$X$11,,MATCH($E16,$I$8:$X$8,0)))
*IF($H16=Mid_Period,1/(1+IF($G16=Nominal,N$10,INDEX($I$10:$X$10,,MATCH($G16,$I$8:$X$8,0))))^INDEX(Timing_Adj,MATCH($H16,Cash_Timing,0)),1)
*IF($F16=Mid_Period,(1+IF($E16=Nominal,N$10,INDEX($I$10:$X$10,,MATCH($E16,$I$8:$X$8,0))))^INDEX(Timing_Adj,MATCH($F16,Cash_Timing,0)),1),"N/A")</f>
        <v>0.99212930482437078</v>
      </c>
      <c r="O16" s="111" cm="1">
        <f t="array" ref="O16">IFERROR(IF($G16=Nominal,O$11:O$11,INDEX($I$11:$X$11,,MATCH($G16,$I$8:$X$8,0)))
/IF($E16=Nominal,O$11,INDEX($I$11:$X$11,,MATCH($E16,$I$8:$X$8,0)))
*IF($H16=Mid_Period,1/(1+IF($G16=Nominal,O$10,INDEX($I$10:$X$10,,MATCH($G16,$I$8:$X$8,0))))^INDEX(Timing_Adj,MATCH($H16,Cash_Timing,0)),1)
*IF($F16=Mid_Period,(1+IF($E16=Nominal,O$10,INDEX($I$10:$X$10,,MATCH($E16,$I$8:$X$8,0))))^INDEX(Timing_Adj,MATCH($F16,Cash_Timing,0)),1),"N/A")</f>
        <v>1.0017467262220046</v>
      </c>
      <c r="P16" s="111" cm="1">
        <f t="array" ref="P16">IFERROR(IF($G16=Nominal,P$11:P$11,INDEX($I$11:$X$11,,MATCH($G16,$I$8:$X$8,0)))
/IF($E16=Nominal,P$11,INDEX($I$11:$X$11,,MATCH($E16,$I$8:$X$8,0)))
*IF($H16=Mid_Period,1/(1+IF($G16=Nominal,P$10,INDEX($I$10:$X$10,,MATCH($G16,$I$8:$X$8,0))))^INDEX(Timing_Adj,MATCH($H16,Cash_Timing,0)),1)
*IF($F16=Mid_Period,(1+IF($E16=Nominal,P$10,INDEX($I$10:$X$10,,MATCH($E16,$I$8:$X$8,0))))^INDEX(Timing_Adj,MATCH($F16,Cash_Timing,0)),1),"N/A")</f>
        <v>0.98130676292531649</v>
      </c>
      <c r="Q16" s="111" cm="1">
        <f t="array" ref="Q16">IFERROR(IF($G16=Nominal,Q$11:Q$11,INDEX($I$11:$X$11,,MATCH($G16,$I$8:$X$8,0)))
/IF($E16=Nominal,Q$11,INDEX($I$11:$X$11,,MATCH($E16,$I$8:$X$8,0)))
*IF($H16=Mid_Period,1/(1+IF($G16=Nominal,Q$10,INDEX($I$10:$X$10,,MATCH($G16,$I$8:$X$8,0))))^INDEX(Timing_Adj,MATCH($H16,Cash_Timing,0)),1)
*IF($F16=Mid_Period,(1+IF($E16=Nominal,Q$10,INDEX($I$10:$X$10,,MATCH($E16,$I$8:$X$8,0))))^INDEX(Timing_Adj,MATCH($F16,Cash_Timing,0)),1),"N/A")</f>
        <v>0.970623220902322</v>
      </c>
      <c r="R16" s="111" cm="1">
        <f t="array" ref="R16">IFERROR(IF($G16=Nominal,R$11:R$11,INDEX($I$11:$X$11,,MATCH($G16,$I$8:$X$8,0)))
/IF($E16=Nominal,R$11,INDEX($I$11:$X$11,,MATCH($E16,$I$8:$X$8,0)))
*IF($H16=Mid_Period,1/(1+IF($G16=Nominal,R$10,INDEX($I$10:$X$10,,MATCH($G16,$I$8:$X$8,0))))^INDEX(Timing_Adj,MATCH($H16,Cash_Timing,0)),1)
*IF($F16=Mid_Period,(1+IF($E16=Nominal,R$10,INDEX($I$10:$X$10,,MATCH($E16,$I$8:$X$8,0))))^INDEX(Timing_Adj,MATCH($F16,Cash_Timing,0)),1),"N/A")</f>
        <v>0.96991431185565424</v>
      </c>
      <c r="S16" s="111" cm="1">
        <f t="array" ref="S16">IFERROR(IF($G16=Nominal,S$11:S$11,INDEX($I$11:$X$11,,MATCH($G16,$I$8:$X$8,0)))
/IF($E16=Nominal,S$11,INDEX($I$11:$X$11,,MATCH($E16,$I$8:$X$8,0)))
*IF($H16=Mid_Period,1/(1+IF($G16=Nominal,S$10,INDEX($I$10:$X$10,,MATCH($G16,$I$8:$X$8,0))))^INDEX(Timing_Adj,MATCH($H16,Cash_Timing,0)),1)
*IF($F16=Mid_Period,(1+IF($E16=Nominal,S$10,INDEX($I$10:$X$10,,MATCH($E16,$I$8:$X$8,0))))^INDEX(Timing_Adj,MATCH($F16,Cash_Timing,0)),1),"N/A")</f>
        <v>0.97963916738386536</v>
      </c>
      <c r="T16" s="111" cm="1">
        <f t="array" ref="T16">IFERROR(IF($G16=Nominal,T$11:T$11,INDEX($I$11:$X$11,,MATCH($G16,$I$8:$X$8,0)))
/IF($E16=Nominal,T$11,INDEX($I$11:$X$11,,MATCH($E16,$I$8:$X$8,0)))
*IF($H16=Mid_Period,1/(1+IF($G16=Nominal,T$10,INDEX($I$10:$X$10,,MATCH($G16,$I$8:$X$8,0))))^INDEX(Timing_Adj,MATCH($H16,Cash_Timing,0)),1)
*IF($F16=Mid_Period,(1+IF($E16=Nominal,T$10,INDEX($I$10:$X$10,,MATCH($E16,$I$8:$X$8,0))))^INDEX(Timing_Adj,MATCH($F16,Cash_Timing,0)),1),"N/A")</f>
        <v>0.98571387706815261</v>
      </c>
      <c r="U16" s="111" cm="1">
        <f t="array" ref="U16">IFERROR(IF($G16=Nominal,U$11:U$11,INDEX($I$11:$X$11,,MATCH($G16,$I$8:$X$8,0)))
/IF($E16=Nominal,U$11,INDEX($I$11:$X$11,,MATCH($E16,$I$8:$X$8,0)))
*IF($H16=Mid_Period,1/(1+IF($G16=Nominal,U$10,INDEX($I$10:$X$10,,MATCH($G16,$I$8:$X$8,0))))^INDEX(Timing_Adj,MATCH($H16,Cash_Timing,0)),1)
*IF($F16=Mid_Period,(1+IF($E16=Nominal,U$10,INDEX($I$10:$X$10,,MATCH($E16,$I$8:$X$8,0))))^INDEX(Timing_Adj,MATCH($F16,Cash_Timing,0)),1),"N/A")</f>
        <v>0.98571387706815261</v>
      </c>
      <c r="V16" s="111" cm="1">
        <f t="array" ref="V16">IFERROR(IF($G16=Nominal,V$11:V$11,INDEX($I$11:$X$11,,MATCH($G16,$I$8:$X$8,0)))
/IF($E16=Nominal,V$11,INDEX($I$11:$X$11,,MATCH($E16,$I$8:$X$8,0)))
*IF($H16=Mid_Period,1/(1+IF($G16=Nominal,V$10,INDEX($I$10:$X$10,,MATCH($G16,$I$8:$X$8,0))))^INDEX(Timing_Adj,MATCH($H16,Cash_Timing,0)),1)
*IF($F16=Mid_Period,(1+IF($E16=Nominal,V$10,INDEX($I$10:$X$10,,MATCH($E16,$I$8:$X$8,0))))^INDEX(Timing_Adj,MATCH($F16,Cash_Timing,0)),1),"N/A")</f>
        <v>0.98571387706815261</v>
      </c>
      <c r="W16" s="111" cm="1">
        <f t="array" ref="W16">IFERROR(IF($G16=Nominal,W$11:W$11,INDEX($I$11:$X$11,,MATCH($G16,$I$8:$X$8,0)))
/IF($E16=Nominal,W$11,INDEX($I$11:$X$11,,MATCH($E16,$I$8:$X$8,0)))
*IF($H16=Mid_Period,1/(1+IF($G16=Nominal,W$10,INDEX($I$10:$X$10,,MATCH($G16,$I$8:$X$8,0))))^INDEX(Timing_Adj,MATCH($H16,Cash_Timing,0)),1)
*IF($F16=Mid_Period,(1+IF($E16=Nominal,W$10,INDEX($I$10:$X$10,,MATCH($E16,$I$8:$X$8,0))))^INDEX(Timing_Adj,MATCH($F16,Cash_Timing,0)),1),"N/A")</f>
        <v>0.98571387706815261</v>
      </c>
      <c r="X16" s="111" cm="1">
        <f t="array" ref="X16">IFERROR(IF($G16=Nominal,X$11:X$11,INDEX($I$11:$X$11,,MATCH($G16,$I$8:$X$8,0)))
/IF($E16=Nominal,X$11,INDEX($I$11:$X$11,,MATCH($E16,$I$8:$X$8,0)))
*IF($H16=Mid_Period,1/(1+IF($G16=Nominal,X$10,INDEX($I$10:$X$10,,MATCH($G16,$I$8:$X$8,0))))^INDEX(Timing_Adj,MATCH($H16,Cash_Timing,0)),1)
*IF($F16=Mid_Period,(1+IF($E16=Nominal,X$10,INDEX($I$10:$X$10,,MATCH($E16,$I$8:$X$8,0))))^INDEX(Timing_Adj,MATCH($F16,Cash_Timing,0)),1),"N/A")</f>
        <v>0.98571387706815261</v>
      </c>
    </row>
    <row r="17" spans="2:24" ht="11.25" customHeight="1" x14ac:dyDescent="0.3">
      <c r="D17" s="6" t="str">
        <f t="shared" ref="D17" si="3">IF(E17=Nominal,"","Real ")&amp;E17&amp;" ("&amp;F17&amp;") to "
&amp;IF(G17=Nominal,"","Real ")&amp;G17&amp;" ("&amp;H17&amp;")"</f>
        <v>Nominal (Mid Period) to Real 2024 (End Period)</v>
      </c>
      <c r="E17" s="113" t="s">
        <v>36</v>
      </c>
      <c r="F17" s="113" t="s">
        <v>56</v>
      </c>
      <c r="G17" s="113">
        <v>2024</v>
      </c>
      <c r="H17" s="113" t="s">
        <v>55</v>
      </c>
      <c r="I17" s="111" cm="1">
        <f t="array" ref="I17">IFERROR(IF($G17=Nominal,I$11:I$11,INDEX($I$11:$X$11,,MATCH($G17,$I$8:$X$8,0)))
/IF($E17=Nominal,I$11,INDEX($I$11:$X$11,,MATCH($E17,$I$8:$X$8,0)))
*IF($H17=Mid_Period,1/(1+IF($G17=Nominal,I$10,INDEX($I$10:$X$10,,MATCH($G17,$I$8:$X$8,0))))^INDEX(Timing_Adj,MATCH($H17,Cash_Timing,0)),1)
*IF($F17=Mid_Period,(1+IF($E17=Nominal,I$10,INDEX($I$10:$X$10,,MATCH($E17,$I$8:$X$8,0))))^INDEX(Timing_Adj,MATCH($F17,Cash_Timing,0)),1),"N/A")</f>
        <v>1.3386638409134277</v>
      </c>
      <c r="J17" s="111" cm="1">
        <f t="array" ref="J17">IFERROR(IF($G17=Nominal,J$11:J$11,INDEX($I$11:$X$11,,MATCH($G17,$I$8:$X$8,0)))
/IF($E17=Nominal,J$11,INDEX($I$11:$X$11,,MATCH($E17,$I$8:$X$8,0)))
*IF($H17=Mid_Period,1/(1+IF($G17=Nominal,J$10,INDEX($I$10:$X$10,,MATCH($G17,$I$8:$X$8,0))))^INDEX(Timing_Adj,MATCH($H17,Cash_Timing,0)),1)
*IF($F17=Mid_Period,(1+IF($E17=Nominal,J$10,INDEX($I$10:$X$10,,MATCH($E17,$I$8:$X$8,0))))^INDEX(Timing_Adj,MATCH($F17,Cash_Timing,0)),1),"N/A")</f>
        <v>1.30907297701251</v>
      </c>
      <c r="K17" s="111" cm="1">
        <f t="array" ref="K17">IFERROR(IF($G17=Nominal,K$11:K$11,INDEX($I$11:$X$11,,MATCH($G17,$I$8:$X$8,0)))
/IF($E17=Nominal,K$11,INDEX($I$11:$X$11,,MATCH($E17,$I$8:$X$8,0)))
*IF($H17=Mid_Period,1/(1+IF($G17=Nominal,K$10,INDEX($I$10:$X$10,,MATCH($G17,$I$8:$X$8,0))))^INDEX(Timing_Adj,MATCH($H17,Cash_Timing,0)),1)
*IF($F17=Mid_Period,(1+IF($E17=Nominal,K$10,INDEX($I$10:$X$10,,MATCH($E17,$I$8:$X$8,0))))^INDEX(Timing_Adj,MATCH($F17,Cash_Timing,0)),1),"N/A")</f>
        <v>1.2926975488108499</v>
      </c>
      <c r="L17" s="111" cm="1">
        <f t="array" ref="L17">IFERROR(IF($G17=Nominal,L$11:L$11,INDEX($I$11:$X$11,,MATCH($G17,$I$8:$X$8,0)))
/IF($E17=Nominal,L$11,INDEX($I$11:$X$11,,MATCH($E17,$I$8:$X$8,0)))
*IF($H17=Mid_Period,1/(1+IF($G17=Nominal,L$10,INDEX($I$10:$X$10,,MATCH($G17,$I$8:$X$8,0))))^INDEX(Timing_Adj,MATCH($H17,Cash_Timing,0)),1)
*IF($F17=Mid_Period,(1+IF($E17=Nominal,L$10,INDEX($I$10:$X$10,,MATCH($E17,$I$8:$X$8,0))))^INDEX(Timing_Adj,MATCH($F17,Cash_Timing,0)),1),"N/A")</f>
        <v>1.2738765616289389</v>
      </c>
      <c r="M17" s="111" cm="1">
        <f t="array" ref="M17">IFERROR(IF($G17=Nominal,M$11:M$11,INDEX($I$11:$X$11,,MATCH($G17,$I$8:$X$8,0)))
/IF($E17=Nominal,M$11,INDEX($I$11:$X$11,,MATCH($E17,$I$8:$X$8,0)))
*IF($H17=Mid_Period,1/(1+IF($G17=Nominal,M$10,INDEX($I$10:$X$10,,MATCH($G17,$I$8:$X$8,0))))^INDEX(Timing_Adj,MATCH($H17,Cash_Timing,0)),1)
*IF($F17=Mid_Period,(1+IF($E17=Nominal,M$10,INDEX($I$10:$X$10,,MATCH($E17,$I$8:$X$8,0))))^INDEX(Timing_Adj,MATCH($F17,Cash_Timing,0)),1),"N/A")</f>
        <v>1.2488291800880735</v>
      </c>
      <c r="N17" s="111" cm="1">
        <f t="array" ref="N17">IFERROR(IF($G17=Nominal,N$11:N$11,INDEX($I$11:$X$11,,MATCH($G17,$I$8:$X$8,0)))
/IF($E17=Nominal,N$11,INDEX($I$11:$X$11,,MATCH($E17,$I$8:$X$8,0)))
*IF($H17=Mid_Period,1/(1+IF($G17=Nominal,N$10,INDEX($I$10:$X$10,,MATCH($G17,$I$8:$X$8,0))))^INDEX(Timing_Adj,MATCH($H17,Cash_Timing,0)),1)
*IF($F17=Mid_Period,(1+IF($E17=Nominal,N$10,INDEX($I$10:$X$10,,MATCH($E17,$I$8:$X$8,0))))^INDEX(Timing_Adj,MATCH($F17,Cash_Timing,0)),1),"N/A")</f>
        <v>1.2263259102478361</v>
      </c>
      <c r="O17" s="111" cm="1">
        <f t="array" ref="O17">IFERROR(IF($G17=Nominal,O$11:O$11,INDEX($I$11:$X$11,,MATCH($G17,$I$8:$X$8,0)))
/IF($E17=Nominal,O$11,INDEX($I$11:$X$11,,MATCH($E17,$I$8:$X$8,0)))
*IF($H17=Mid_Period,1/(1+IF($G17=Nominal,O$10,INDEX($I$10:$X$10,,MATCH($G17,$I$8:$X$8,0))))^INDEX(Timing_Adj,MATCH($H17,Cash_Timing,0)),1)
*IF($F17=Mid_Period,(1+IF($E17=Nominal,O$10,INDEX($I$10:$X$10,,MATCH($E17,$I$8:$X$8,0))))^INDEX(Timing_Adj,MATCH($F17,Cash_Timing,0)),1),"N/A")</f>
        <v>1.2187990689795858</v>
      </c>
      <c r="P17" s="111" cm="1">
        <f t="array" ref="P17">IFERROR(IF($G17=Nominal,P$11:P$11,INDEX($I$11:$X$11,,MATCH($G17,$I$8:$X$8,0)))
/IF($E17=Nominal,P$11,INDEX($I$11:$X$11,,MATCH($E17,$I$8:$X$8,0)))
*IF($H17=Mid_Period,1/(1+IF($G17=Nominal,P$10,INDEX($I$10:$X$10,,MATCH($G17,$I$8:$X$8,0))))^INDEX(Timing_Adj,MATCH($H17,Cash_Timing,0)),1)
*IF($F17=Mid_Period,(1+IF($E17=Nominal,P$10,INDEX($I$10:$X$10,,MATCH($E17,$I$8:$X$8,0))))^INDEX(Timing_Adj,MATCH($F17,Cash_Timing,0)),1),"N/A")</f>
        <v>1.1981048811424539</v>
      </c>
      <c r="Q17" s="111" cm="1">
        <f t="array" ref="Q17">IFERROR(IF($G17=Nominal,Q$11:Q$11,INDEX($I$11:$X$11,,MATCH($G17,$I$8:$X$8,0)))
/IF($E17=Nominal,Q$11,INDEX($I$11:$X$11,,MATCH($E17,$I$8:$X$8,0)))
*IF($H17=Mid_Period,1/(1+IF($G17=Nominal,Q$10,INDEX($I$10:$X$10,,MATCH($G17,$I$8:$X$8,0))))^INDEX(Timing_Adj,MATCH($H17,Cash_Timing,0)),1)
*IF($F17=Mid_Period,(1+IF($E17=Nominal,Q$10,INDEX($I$10:$X$10,,MATCH($E17,$I$8:$X$8,0))))^INDEX(Timing_Adj,MATCH($F17,Cash_Timing,0)),1),"N/A")</f>
        <v>1.1411698959461298</v>
      </c>
      <c r="R17" s="111" cm="1">
        <f t="array" ref="R17">IFERROR(IF($G17=Nominal,R$11:R$11,INDEX($I$11:$X$11,,MATCH($G17,$I$8:$X$8,0)))
/IF($E17=Nominal,R$11,INDEX($I$11:$X$11,,MATCH($E17,$I$8:$X$8,0)))
*IF($H17=Mid_Period,1/(1+IF($G17=Nominal,R$10,INDEX($I$10:$X$10,,MATCH($G17,$I$8:$X$8,0))))^INDEX(Timing_Adj,MATCH($H17,Cash_Timing,0)),1)
*IF($F17=Mid_Period,(1+IF($E17=Nominal,R$10,INDEX($I$10:$X$10,,MATCH($E17,$I$8:$X$8,0))))^INDEX(Timing_Adj,MATCH($F17,Cash_Timing,0)),1),"N/A")</f>
        <v>1.0743217078696679</v>
      </c>
      <c r="S17" s="111" cm="1">
        <f t="array" ref="S17">IFERROR(IF($G17=Nominal,S$11:S$11,INDEX($I$11:$X$11,,MATCH($G17,$I$8:$X$8,0)))
/IF($E17=Nominal,S$11,INDEX($I$11:$X$11,,MATCH($E17,$I$8:$X$8,0)))
*IF($H17=Mid_Period,1/(1+IF($G17=Nominal,S$10,INDEX($I$10:$X$10,,MATCH($G17,$I$8:$X$8,0))))^INDEX(Timing_Adj,MATCH($H17,Cash_Timing,0)),1)
*IF($F17=Mid_Period,(1+IF($E17=Nominal,S$10,INDEX($I$10:$X$10,,MATCH($E17,$I$8:$X$8,0))))^INDEX(Timing_Adj,MATCH($F17,Cash_Timing,0)),1),"N/A")</f>
        <v>1.0207840124139875</v>
      </c>
      <c r="T17" s="111" cm="1">
        <f t="array" ref="T17">IFERROR(IF($G17=Nominal,T$11:T$11,INDEX($I$11:$X$11,,MATCH($G17,$I$8:$X$8,0)))
/IF($E17=Nominal,T$11,INDEX($I$11:$X$11,,MATCH($E17,$I$8:$X$8,0)))
*IF($H17=Mid_Period,1/(1+IF($G17=Nominal,T$10,INDEX($I$10:$X$10,,MATCH($G17,$I$8:$X$8,0))))^INDEX(Timing_Adj,MATCH($H17,Cash_Timing,0)),1)
*IF($F17=Mid_Period,(1+IF($E17=Nominal,T$10,INDEX($I$10:$X$10,,MATCH($E17,$I$8:$X$8,0))))^INDEX(Timing_Adj,MATCH($F17,Cash_Timing,0)),1),"N/A")</f>
        <v>0.98571387706815272</v>
      </c>
      <c r="U17" s="111" cm="1">
        <f t="array" ref="U17">IFERROR(IF($G17=Nominal,U$11:U$11,INDEX($I$11:$X$11,,MATCH($G17,$I$8:$X$8,0)))
/IF($E17=Nominal,U$11,INDEX($I$11:$X$11,,MATCH($E17,$I$8:$X$8,0)))
*IF($H17=Mid_Period,1/(1+IF($G17=Nominal,U$10,INDEX($I$10:$X$10,,MATCH($G17,$I$8:$X$8,0))))^INDEX(Timing_Adj,MATCH($H17,Cash_Timing,0)),1)
*IF($F17=Mid_Period,(1+IF($E17=Nominal,U$10,INDEX($I$10:$X$10,,MATCH($E17,$I$8:$X$8,0))))^INDEX(Timing_Adj,MATCH($F17,Cash_Timing,0)),1),"N/A")</f>
        <v>0.95775099542763587</v>
      </c>
      <c r="V17" s="111" cm="1">
        <f t="array" ref="V17">IFERROR(IF($G17=Nominal,V$11:V$11,INDEX($I$11:$X$11,,MATCH($G17,$I$8:$X$8,0)))
/IF($E17=Nominal,V$11,INDEX($I$11:$X$11,,MATCH($E17,$I$8:$X$8,0)))
*IF($H17=Mid_Period,1/(1+IF($G17=Nominal,V$10,INDEX($I$10:$X$10,,MATCH($G17,$I$8:$X$8,0))))^INDEX(Timing_Adj,MATCH($H17,Cash_Timing,0)),1)
*IF($F17=Mid_Period,(1+IF($E17=Nominal,V$10,INDEX($I$10:$X$10,,MATCH($E17,$I$8:$X$8,0))))^INDEX(Timing_Adj,MATCH($F17,Cash_Timing,0)),1),"N/A")</f>
        <v>0.93058136907938227</v>
      </c>
      <c r="W17" s="111" cm="1">
        <f t="array" ref="W17">IFERROR(IF($G17=Nominal,W$11:W$11,INDEX($I$11:$X$11,,MATCH($G17,$I$8:$X$8,0)))
/IF($E17=Nominal,W$11,INDEX($I$11:$X$11,,MATCH($E17,$I$8:$X$8,0)))
*IF($H17=Mid_Period,1/(1+IF($G17=Nominal,W$10,INDEX($I$10:$X$10,,MATCH($G17,$I$8:$X$8,0))))^INDEX(Timing_Adj,MATCH($H17,Cash_Timing,0)),1)
*IF($F17=Mid_Period,(1+IF($E17=Nominal,W$10,INDEX($I$10:$X$10,,MATCH($E17,$I$8:$X$8,0))))^INDEX(Timing_Adj,MATCH($F17,Cash_Timing,0)),1),"N/A")</f>
        <v>0.90418249483624558</v>
      </c>
      <c r="X17" s="111" cm="1">
        <f t="array" ref="X17">IFERROR(IF($G17=Nominal,X$11:X$11,INDEX($I$11:$X$11,,MATCH($G17,$I$8:$X$8,0)))
/IF($E17=Nominal,X$11,INDEX($I$11:$X$11,,MATCH($E17,$I$8:$X$8,0)))
*IF($H17=Mid_Period,1/(1+IF($G17=Nominal,X$10,INDEX($I$10:$X$10,,MATCH($G17,$I$8:$X$8,0))))^INDEX(Timing_Adj,MATCH($H17,Cash_Timing,0)),1)
*IF($F17=Mid_Period,(1+IF($E17=Nominal,X$10,INDEX($I$10:$X$10,,MATCH($E17,$I$8:$X$8,0))))^INDEX(Timing_Adj,MATCH($F17,Cash_Timing,0)),1),"N/A")</f>
        <v>0.87853250788492565</v>
      </c>
    </row>
    <row r="18" spans="2:24" ht="11.25" customHeight="1" x14ac:dyDescent="0.3">
      <c r="D18" s="6" t="str">
        <f t="shared" ref="D18" si="4">IF(E18=Nominal,"","Real ")&amp;E18&amp;" ("&amp;F18&amp;") to "
&amp;IF(G18=Nominal,"","Real ")&amp;G18&amp;" ("&amp;H18&amp;")"</f>
        <v>Nominal (End Period) to Real 2024 (End Period)</v>
      </c>
      <c r="E18" s="113" t="s">
        <v>36</v>
      </c>
      <c r="F18" s="113" t="s">
        <v>55</v>
      </c>
      <c r="G18" s="113">
        <v>2024</v>
      </c>
      <c r="H18" s="113" t="s">
        <v>55</v>
      </c>
      <c r="I18" s="111" cm="1">
        <f t="array" ref="I18">IFERROR(IF($G18=Nominal,I$11:I$11,INDEX($I$11:$X$11,,MATCH($G18,$I$8:$X$8,0)))
/IF($E18=Nominal,I$11,INDEX($I$11:$X$11,,MATCH($E18,$I$8:$X$8,0)))
*IF($H18=Mid_Period,1/(1+IF($G18=Nominal,I$10,INDEX($I$10:$X$10,,MATCH($G18,$I$8:$X$8,0))))^INDEX(Timing_Adj,MATCH($H18,Cash_Timing,0)),1)
*IF($F18=Mid_Period,(1+IF($E18=Nominal,I$10,INDEX($I$10:$X$10,,MATCH($E18,$I$8:$X$8,0))))^INDEX(Timing_Adj,MATCH($F18,Cash_Timing,0)),1),"N/A")</f>
        <v>1.3189250292728987</v>
      </c>
      <c r="J18" s="111" cm="1">
        <f t="array" ref="J18">IFERROR(IF($G18=Nominal,J$11:J$11,INDEX($I$11:$X$11,,MATCH($G18,$I$8:$X$8,0)))
/IF($E18=Nominal,J$11,INDEX($I$11:$X$11,,MATCH($E18,$I$8:$X$8,0)))
*IF($H18=Mid_Period,1/(1+IF($G18=Nominal,J$10,INDEX($I$10:$X$10,,MATCH($G18,$I$8:$X$8,0))))^INDEX(Timing_Adj,MATCH($H18,Cash_Timing,0)),1)
*IF($F18=Mid_Period,(1+IF($E18=Nominal,J$10,INDEX($I$10:$X$10,,MATCH($E18,$I$8:$X$8,0))))^INDEX(Timing_Adj,MATCH($F18,Cash_Timing,0)),1),"N/A")</f>
        <v>1.2992945172093022</v>
      </c>
      <c r="K18" s="111" cm="1">
        <f t="array" ref="K18">IFERROR(IF($G18=Nominal,K$11:K$11,INDEX($I$11:$X$11,,MATCH($G18,$I$8:$X$8,0)))
/IF($E18=Nominal,K$11,INDEX($I$11:$X$11,,MATCH($E18,$I$8:$X$8,0)))
*IF($H18=Mid_Period,1/(1+IF($G18=Nominal,K$10,INDEX($I$10:$X$10,,MATCH($G18,$I$8:$X$8,0))))^INDEX(Timing_Adj,MATCH($H18,Cash_Timing,0)),1)
*IF($F18=Mid_Period,(1+IF($E18=Nominal,K$10,INDEX($I$10:$X$10,,MATCH($E18,$I$8:$X$8,0))))^INDEX(Timing_Adj,MATCH($F18,Cash_Timing,0)),1),"N/A")</f>
        <v>1.2861340755064454</v>
      </c>
      <c r="L18" s="111" cm="1">
        <f t="array" ref="L18">IFERROR(IF($G18=Nominal,L$11:L$11,INDEX($I$11:$X$11,,MATCH($G18,$I$8:$X$8,0)))
/IF($E18=Nominal,L$11,INDEX($I$11:$X$11,,MATCH($E18,$I$8:$X$8,0)))
*IF($H18=Mid_Period,1/(1+IF($G18=Nominal,L$10,INDEX($I$10:$X$10,,MATCH($G18,$I$8:$X$8,0))))^INDEX(Timing_Adj,MATCH($H18,Cash_Timing,0)),1)
*IF($F18=Mid_Period,(1+IF($E18=Nominal,L$10,INDEX($I$10:$X$10,,MATCH($E18,$I$8:$X$8,0))))^INDEX(Timing_Adj,MATCH($F18,Cash_Timing,0)),1),"N/A")</f>
        <v>1.2617358681120143</v>
      </c>
      <c r="M18" s="111" cm="1">
        <f t="array" ref="M18">IFERROR(IF($G18=Nominal,M$11:M$11,INDEX($I$11:$X$11,,MATCH($G18,$I$8:$X$8,0)))
/IF($E18=Nominal,M$11,INDEX($I$11:$X$11,,MATCH($E18,$I$8:$X$8,0)))
*IF($H18=Mid_Period,1/(1+IF($G18=Nominal,M$10,INDEX($I$10:$X$10,,MATCH($G18,$I$8:$X$8,0))))^INDEX(Timing_Adj,MATCH($H18,Cash_Timing,0)),1)
*IF($F18=Mid_Period,(1+IF($E18=Nominal,M$10,INDEX($I$10:$X$10,,MATCH($E18,$I$8:$X$8,0))))^INDEX(Timing_Adj,MATCH($F18,Cash_Timing,0)),1),"N/A")</f>
        <v>1.2360545185840706</v>
      </c>
      <c r="N18" s="111" cm="1">
        <f t="array" ref="N18">IFERROR(IF($G18=Nominal,N$11:N$11,INDEX($I$11:$X$11,,MATCH($G18,$I$8:$X$8,0)))
/IF($E18=Nominal,N$11,INDEX($I$11:$X$11,,MATCH($E18,$I$8:$X$8,0)))
*IF($H18=Mid_Period,1/(1+IF($G18=Nominal,N$10,INDEX($I$10:$X$10,,MATCH($G18,$I$8:$X$8,0))))^INDEX(Timing_Adj,MATCH($H18,Cash_Timing,0)),1)
*IF($F18=Mid_Period,(1+IF($E18=Nominal,N$10,INDEX($I$10:$X$10,,MATCH($E18,$I$8:$X$8,0))))^INDEX(Timing_Adj,MATCH($F18,Cash_Timing,0)),1),"N/A")</f>
        <v>1.2166738728222994</v>
      </c>
      <c r="O18" s="111" cm="1">
        <f t="array" ref="O18">IFERROR(IF($G18=Nominal,O$11:O$11,INDEX($I$11:$X$11,,MATCH($G18,$I$8:$X$8,0)))
/IF($E18=Nominal,O$11,INDEX($I$11:$X$11,,MATCH($E18,$I$8:$X$8,0)))
*IF($H18=Mid_Period,1/(1+IF($G18=Nominal,O$10,INDEX($I$10:$X$10,,MATCH($G18,$I$8:$X$8,0))))^INDEX(Timing_Adj,MATCH($H18,Cash_Timing,0)),1)
*IF($F18=Mid_Period,(1+IF($E18=Nominal,O$10,INDEX($I$10:$X$10,,MATCH($E18,$I$8:$X$8,0))))^INDEX(Timing_Adj,MATCH($F18,Cash_Timing,0)),1),"N/A")</f>
        <v>1.2209279772727271</v>
      </c>
      <c r="P18" s="111" cm="1">
        <f t="array" ref="P18">IFERROR(IF($G18=Nominal,P$11:P$11,INDEX($I$11:$X$11,,MATCH($G18,$I$8:$X$8,0)))
/IF($E18=Nominal,P$11,INDEX($I$11:$X$11,,MATCH($E18,$I$8:$X$8,0)))
*IF($H18=Mid_Period,1/(1+IF($G18=Nominal,P$10,INDEX($I$10:$X$10,,MATCH($G18,$I$8:$X$8,0))))^INDEX(Timing_Adj,MATCH($H18,Cash_Timing,0)),1)
*IF($F18=Mid_Period,(1+IF($E18=Nominal,P$10,INDEX($I$10:$X$10,,MATCH($E18,$I$8:$X$8,0))))^INDEX(Timing_Adj,MATCH($F18,Cash_Timing,0)),1),"N/A")</f>
        <v>1.1757084225589225</v>
      </c>
      <c r="Q18" s="111" cm="1">
        <f t="array" ref="Q18">IFERROR(IF($G18=Nominal,Q$11:Q$11,INDEX($I$11:$X$11,,MATCH($G18,$I$8:$X$8,0)))
/IF($E18=Nominal,Q$11,INDEX($I$11:$X$11,,MATCH($E18,$I$8:$X$8,0)))
*IF($H18=Mid_Period,1/(1+IF($G18=Nominal,Q$10,INDEX($I$10:$X$10,,MATCH($G18,$I$8:$X$8,0))))^INDEX(Timing_Adj,MATCH($H18,Cash_Timing,0)),1)
*IF($F18=Mid_Period,(1+IF($E18=Nominal,Q$10,INDEX($I$10:$X$10,,MATCH($E18,$I$8:$X$8,0))))^INDEX(Timing_Adj,MATCH($F18,Cash_Timing,0)),1),"N/A")</f>
        <v>1.1076460000000001</v>
      </c>
      <c r="R18" s="111" cm="1">
        <f t="array" ref="R18">IFERROR(IF($G18=Nominal,R$11:R$11,INDEX($I$11:$X$11,,MATCH($G18,$I$8:$X$8,0)))
/IF($E18=Nominal,R$11,INDEX($I$11:$X$11,,MATCH($E18,$I$8:$X$8,0)))
*IF($H18=Mid_Period,1/(1+IF($G18=Nominal,R$10,INDEX($I$10:$X$10,,MATCH($G18,$I$8:$X$8,0))))^INDEX(Timing_Adj,MATCH($H18,Cash_Timing,0)),1)
*IF($F18=Mid_Period,(1+IF($E18=Nominal,R$10,INDEX($I$10:$X$10,,MATCH($E18,$I$8:$X$8,0))))^INDEX(Timing_Adj,MATCH($F18,Cash_Timing,0)),1),"N/A")</f>
        <v>1.042</v>
      </c>
      <c r="S18" s="111" cm="1">
        <f t="array" ref="S18">IFERROR(IF($G18=Nominal,S$11:S$11,INDEX($I$11:$X$11,,MATCH($G18,$I$8:$X$8,0)))
/IF($E18=Nominal,S$11,INDEX($I$11:$X$11,,MATCH($E18,$I$8:$X$8,0)))
*IF($H18=Mid_Period,1/(1+IF($G18=Nominal,S$10,INDEX($I$10:$X$10,,MATCH($G18,$I$8:$X$8,0))))^INDEX(Timing_Adj,MATCH($H18,Cash_Timing,0)),1)
*IF($F18=Mid_Period,(1+IF($E18=Nominal,S$10,INDEX($I$10:$X$10,,MATCH($E18,$I$8:$X$8,0))))^INDEX(Timing_Adj,MATCH($F18,Cash_Timing,0)),1),"N/A")</f>
        <v>1</v>
      </c>
      <c r="T18" s="111" cm="1">
        <f t="array" ref="T18">IFERROR(IF($G18=Nominal,T$11:T$11,INDEX($I$11:$X$11,,MATCH($G18,$I$8:$X$8,0)))
/IF($E18=Nominal,T$11,INDEX($I$11:$X$11,,MATCH($E18,$I$8:$X$8,0)))
*IF($H18=Mid_Period,1/(1+IF($G18=Nominal,T$10,INDEX($I$10:$X$10,,MATCH($G18,$I$8:$X$8,0))))^INDEX(Timing_Adj,MATCH($H18,Cash_Timing,0)),1)
*IF($F18=Mid_Period,(1+IF($E18=Nominal,T$10,INDEX($I$10:$X$10,,MATCH($E18,$I$8:$X$8,0))))^INDEX(Timing_Adj,MATCH($F18,Cash_Timing,0)),1),"N/A")</f>
        <v>0.97163184744472919</v>
      </c>
      <c r="U18" s="111" cm="1">
        <f t="array" ref="U18">IFERROR(IF($G18=Nominal,U$11:U$11,INDEX($I$11:$X$11,,MATCH($G18,$I$8:$X$8,0)))
/IF($E18=Nominal,U$11,INDEX($I$11:$X$11,,MATCH($E18,$I$8:$X$8,0)))
*IF($H18=Mid_Period,1/(1+IF($G18=Nominal,U$10,INDEX($I$10:$X$10,,MATCH($G18,$I$8:$X$8,0))))^INDEX(Timing_Adj,MATCH($H18,Cash_Timing,0)),1)
*IF($F18=Mid_Period,(1+IF($E18=Nominal,U$10,INDEX($I$10:$X$10,,MATCH($E18,$I$8:$X$8,0))))^INDEX(Timing_Adj,MATCH($F18,Cash_Timing,0)),1),"N/A")</f>
        <v>0.9440684469688575</v>
      </c>
      <c r="V18" s="111" cm="1">
        <f t="array" ref="V18">IFERROR(IF($G18=Nominal,V$11:V$11,INDEX($I$11:$X$11,,MATCH($G18,$I$8:$X$8,0)))
/IF($E18=Nominal,V$11,INDEX($I$11:$X$11,,MATCH($E18,$I$8:$X$8,0)))
*IF($H18=Mid_Period,1/(1+IF($G18=Nominal,V$10,INDEX($I$10:$X$10,,MATCH($G18,$I$8:$X$8,0))))^INDEX(Timing_Adj,MATCH($H18,Cash_Timing,0)),1)
*IF($F18=Mid_Period,(1+IF($E18=Nominal,V$10,INDEX($I$10:$X$10,,MATCH($E18,$I$8:$X$8,0))))^INDEX(Timing_Adj,MATCH($F18,Cash_Timing,0)),1),"N/A")</f>
        <v>0.91728696924262743</v>
      </c>
      <c r="W18" s="111" cm="1">
        <f t="array" ref="W18">IFERROR(IF($G18=Nominal,W$11:W$11,INDEX($I$11:$X$11,,MATCH($G18,$I$8:$X$8,0)))
/IF($E18=Nominal,W$11,INDEX($I$11:$X$11,,MATCH($E18,$I$8:$X$8,0)))
*IF($H18=Mid_Period,1/(1+IF($G18=Nominal,W$10,INDEX($I$10:$X$10,,MATCH($G18,$I$8:$X$8,0))))^INDEX(Timing_Adj,MATCH($H18,Cash_Timing,0)),1)
*IF($F18=Mid_Period,(1+IF($E18=Nominal,W$10,INDEX($I$10:$X$10,,MATCH($E18,$I$8:$X$8,0))))^INDEX(Timing_Adj,MATCH($F18,Cash_Timing,0)),1),"N/A")</f>
        <v>0.89126523256219048</v>
      </c>
      <c r="X18" s="111" cm="1">
        <f t="array" ref="X18">IFERROR(IF($G18=Nominal,X$11:X$11,INDEX($I$11:$X$11,,MATCH($G18,$I$8:$X$8,0)))
/IF($E18=Nominal,X$11,INDEX($I$11:$X$11,,MATCH($E18,$I$8:$X$8,0)))
*IF($H18=Mid_Period,1/(1+IF($G18=Nominal,X$10,INDEX($I$10:$X$10,,MATCH($G18,$I$8:$X$8,0))))^INDEX(Timing_Adj,MATCH($H18,Cash_Timing,0)),1)
*IF($F18=Mid_Period,(1+IF($E18=Nominal,X$10,INDEX($I$10:$X$10,,MATCH($E18,$I$8:$X$8,0))))^INDEX(Timing_Adj,MATCH($F18,Cash_Timing,0)),1),"N/A")</f>
        <v>0.86598168447765744</v>
      </c>
    </row>
    <row r="19" spans="2:24" ht="11.25" customHeight="1" x14ac:dyDescent="0.3">
      <c r="D19" s="6" t="str">
        <f t="shared" ref="D19" si="5">IF(E19=Nominal,"","Real ")&amp;E19&amp;" ("&amp;F19&amp;") to "
&amp;IF(G19=Nominal,"","Real ")&amp;G19&amp;" ("&amp;H19&amp;")"</f>
        <v>Real 2014 (End Period) to Real 2024 (End Period)</v>
      </c>
      <c r="E19" s="113">
        <v>2014</v>
      </c>
      <c r="F19" s="113" t="s">
        <v>55</v>
      </c>
      <c r="G19" s="113">
        <v>2024</v>
      </c>
      <c r="H19" s="113" t="s">
        <v>55</v>
      </c>
      <c r="I19" s="111" cm="1">
        <f t="array" ref="I19">IFERROR(IF($G19=Nominal,I$11:I$11,INDEX($I$11:$X$11,,MATCH($G19,$I$8:$X$8,0)))
/IF($E19=Nominal,I$11,INDEX($I$11:$X$11,,MATCH($E19,$I$8:$X$8,0)))
*IF($H19=Mid_Period,1/(1+IF($G19=Nominal,I$10,INDEX($I$10:$X$10,,MATCH($G19,$I$8:$X$8,0))))^INDEX(Timing_Adj,MATCH($H19,Cash_Timing,0)),1)
*IF($F19=Mid_Period,(1+IF($E19=Nominal,I$10,INDEX($I$10:$X$10,,MATCH($E19,$I$8:$X$8,0))))^INDEX(Timing_Adj,MATCH($F19,Cash_Timing,0)),1),"N/A")</f>
        <v>1.3189250292728987</v>
      </c>
      <c r="J19" s="111" cm="1">
        <f t="array" ref="J19">IFERROR(IF($G19=Nominal,J$11:J$11,INDEX($I$11:$X$11,,MATCH($G19,$I$8:$X$8,0)))
/IF($E19=Nominal,J$11,INDEX($I$11:$X$11,,MATCH($E19,$I$8:$X$8,0)))
*IF($H19=Mid_Period,1/(1+IF($G19=Nominal,J$10,INDEX($I$10:$X$10,,MATCH($G19,$I$8:$X$8,0))))^INDEX(Timing_Adj,MATCH($H19,Cash_Timing,0)),1)
*IF($F19=Mid_Period,(1+IF($E19=Nominal,J$10,INDEX($I$10:$X$10,,MATCH($E19,$I$8:$X$8,0))))^INDEX(Timing_Adj,MATCH($F19,Cash_Timing,0)),1),"N/A")</f>
        <v>1.3189250292728987</v>
      </c>
      <c r="K19" s="111" cm="1">
        <f t="array" ref="K19">IFERROR(IF($G19=Nominal,K$11:K$11,INDEX($I$11:$X$11,,MATCH($G19,$I$8:$X$8,0)))
/IF($E19=Nominal,K$11,INDEX($I$11:$X$11,,MATCH($E19,$I$8:$X$8,0)))
*IF($H19=Mid_Period,1/(1+IF($G19=Nominal,K$10,INDEX($I$10:$X$10,,MATCH($G19,$I$8:$X$8,0))))^INDEX(Timing_Adj,MATCH($H19,Cash_Timing,0)),1)
*IF($F19=Mid_Period,(1+IF($E19=Nominal,K$10,INDEX($I$10:$X$10,,MATCH($E19,$I$8:$X$8,0))))^INDEX(Timing_Adj,MATCH($F19,Cash_Timing,0)),1),"N/A")</f>
        <v>1.3189250292728987</v>
      </c>
      <c r="L19" s="111" cm="1">
        <f t="array" ref="L19">IFERROR(IF($G19=Nominal,L$11:L$11,INDEX($I$11:$X$11,,MATCH($G19,$I$8:$X$8,0)))
/IF($E19=Nominal,L$11,INDEX($I$11:$X$11,,MATCH($E19,$I$8:$X$8,0)))
*IF($H19=Mid_Period,1/(1+IF($G19=Nominal,L$10,INDEX($I$10:$X$10,,MATCH($G19,$I$8:$X$8,0))))^INDEX(Timing_Adj,MATCH($H19,Cash_Timing,0)),1)
*IF($F19=Mid_Period,(1+IF($E19=Nominal,L$10,INDEX($I$10:$X$10,,MATCH($E19,$I$8:$X$8,0))))^INDEX(Timing_Adj,MATCH($F19,Cash_Timing,0)),1),"N/A")</f>
        <v>1.3189250292728987</v>
      </c>
      <c r="M19" s="111" cm="1">
        <f t="array" ref="M19">IFERROR(IF($G19=Nominal,M$11:M$11,INDEX($I$11:$X$11,,MATCH($G19,$I$8:$X$8,0)))
/IF($E19=Nominal,M$11,INDEX($I$11:$X$11,,MATCH($E19,$I$8:$X$8,0)))
*IF($H19=Mid_Period,1/(1+IF($G19=Nominal,M$10,INDEX($I$10:$X$10,,MATCH($G19,$I$8:$X$8,0))))^INDEX(Timing_Adj,MATCH($H19,Cash_Timing,0)),1)
*IF($F19=Mid_Period,(1+IF($E19=Nominal,M$10,INDEX($I$10:$X$10,,MATCH($E19,$I$8:$X$8,0))))^INDEX(Timing_Adj,MATCH($F19,Cash_Timing,0)),1),"N/A")</f>
        <v>1.3189250292728987</v>
      </c>
      <c r="N19" s="111" cm="1">
        <f t="array" ref="N19">IFERROR(IF($G19=Nominal,N$11:N$11,INDEX($I$11:$X$11,,MATCH($G19,$I$8:$X$8,0)))
/IF($E19=Nominal,N$11,INDEX($I$11:$X$11,,MATCH($E19,$I$8:$X$8,0)))
*IF($H19=Mid_Period,1/(1+IF($G19=Nominal,N$10,INDEX($I$10:$X$10,,MATCH($G19,$I$8:$X$8,0))))^INDEX(Timing_Adj,MATCH($H19,Cash_Timing,0)),1)
*IF($F19=Mid_Period,(1+IF($E19=Nominal,N$10,INDEX($I$10:$X$10,,MATCH($E19,$I$8:$X$8,0))))^INDEX(Timing_Adj,MATCH($F19,Cash_Timing,0)),1),"N/A")</f>
        <v>1.3189250292728987</v>
      </c>
      <c r="O19" s="111" cm="1">
        <f t="array" ref="O19">IFERROR(IF($G19=Nominal,O$11:O$11,INDEX($I$11:$X$11,,MATCH($G19,$I$8:$X$8,0)))
/IF($E19=Nominal,O$11,INDEX($I$11:$X$11,,MATCH($E19,$I$8:$X$8,0)))
*IF($H19=Mid_Period,1/(1+IF($G19=Nominal,O$10,INDEX($I$10:$X$10,,MATCH($G19,$I$8:$X$8,0))))^INDEX(Timing_Adj,MATCH($H19,Cash_Timing,0)),1)
*IF($F19=Mid_Period,(1+IF($E19=Nominal,O$10,INDEX($I$10:$X$10,,MATCH($E19,$I$8:$X$8,0))))^INDEX(Timing_Adj,MATCH($F19,Cash_Timing,0)),1),"N/A")</f>
        <v>1.3189250292728987</v>
      </c>
      <c r="P19" s="111" cm="1">
        <f t="array" ref="P19">IFERROR(IF($G19=Nominal,P$11:P$11,INDEX($I$11:$X$11,,MATCH($G19,$I$8:$X$8,0)))
/IF($E19=Nominal,P$11,INDEX($I$11:$X$11,,MATCH($E19,$I$8:$X$8,0)))
*IF($H19=Mid_Period,1/(1+IF($G19=Nominal,P$10,INDEX($I$10:$X$10,,MATCH($G19,$I$8:$X$8,0))))^INDEX(Timing_Adj,MATCH($H19,Cash_Timing,0)),1)
*IF($F19=Mid_Period,(1+IF($E19=Nominal,P$10,INDEX($I$10:$X$10,,MATCH($E19,$I$8:$X$8,0))))^INDEX(Timing_Adj,MATCH($F19,Cash_Timing,0)),1),"N/A")</f>
        <v>1.3189250292728987</v>
      </c>
      <c r="Q19" s="111" cm="1">
        <f t="array" ref="Q19">IFERROR(IF($G19=Nominal,Q$11:Q$11,INDEX($I$11:$X$11,,MATCH($G19,$I$8:$X$8,0)))
/IF($E19=Nominal,Q$11,INDEX($I$11:$X$11,,MATCH($E19,$I$8:$X$8,0)))
*IF($H19=Mid_Period,1/(1+IF($G19=Nominal,Q$10,INDEX($I$10:$X$10,,MATCH($G19,$I$8:$X$8,0))))^INDEX(Timing_Adj,MATCH($H19,Cash_Timing,0)),1)
*IF($F19=Mid_Period,(1+IF($E19=Nominal,Q$10,INDEX($I$10:$X$10,,MATCH($E19,$I$8:$X$8,0))))^INDEX(Timing_Adj,MATCH($F19,Cash_Timing,0)),1),"N/A")</f>
        <v>1.3189250292728987</v>
      </c>
      <c r="R19" s="111" cm="1">
        <f t="array" ref="R19">IFERROR(IF($G19=Nominal,R$11:R$11,INDEX($I$11:$X$11,,MATCH($G19,$I$8:$X$8,0)))
/IF($E19=Nominal,R$11,INDEX($I$11:$X$11,,MATCH($E19,$I$8:$X$8,0)))
*IF($H19=Mid_Period,1/(1+IF($G19=Nominal,R$10,INDEX($I$10:$X$10,,MATCH($G19,$I$8:$X$8,0))))^INDEX(Timing_Adj,MATCH($H19,Cash_Timing,0)),1)
*IF($F19=Mid_Period,(1+IF($E19=Nominal,R$10,INDEX($I$10:$X$10,,MATCH($E19,$I$8:$X$8,0))))^INDEX(Timing_Adj,MATCH($F19,Cash_Timing,0)),1),"N/A")</f>
        <v>1.3189250292728987</v>
      </c>
      <c r="S19" s="111" cm="1">
        <f t="array" ref="S19">IFERROR(IF($G19=Nominal,S$11:S$11,INDEX($I$11:$X$11,,MATCH($G19,$I$8:$X$8,0)))
/IF($E19=Nominal,S$11,INDEX($I$11:$X$11,,MATCH($E19,$I$8:$X$8,0)))
*IF($H19=Mid_Period,1/(1+IF($G19=Nominal,S$10,INDEX($I$10:$X$10,,MATCH($G19,$I$8:$X$8,0))))^INDEX(Timing_Adj,MATCH($H19,Cash_Timing,0)),1)
*IF($F19=Mid_Period,(1+IF($E19=Nominal,S$10,INDEX($I$10:$X$10,,MATCH($E19,$I$8:$X$8,0))))^INDEX(Timing_Adj,MATCH($F19,Cash_Timing,0)),1),"N/A")</f>
        <v>1.3189250292728987</v>
      </c>
      <c r="T19" s="111" cm="1">
        <f t="array" ref="T19">IFERROR(IF($G19=Nominal,T$11:T$11,INDEX($I$11:$X$11,,MATCH($G19,$I$8:$X$8,0)))
/IF($E19=Nominal,T$11,INDEX($I$11:$X$11,,MATCH($E19,$I$8:$X$8,0)))
*IF($H19=Mid_Period,1/(1+IF($G19=Nominal,T$10,INDEX($I$10:$X$10,,MATCH($G19,$I$8:$X$8,0))))^INDEX(Timing_Adj,MATCH($H19,Cash_Timing,0)),1)
*IF($F19=Mid_Period,(1+IF($E19=Nominal,T$10,INDEX($I$10:$X$10,,MATCH($E19,$I$8:$X$8,0))))^INDEX(Timing_Adj,MATCH($F19,Cash_Timing,0)),1),"N/A")</f>
        <v>1.3189250292728987</v>
      </c>
      <c r="U19" s="111" cm="1">
        <f t="array" ref="U19">IFERROR(IF($G19=Nominal,U$11:U$11,INDEX($I$11:$X$11,,MATCH($G19,$I$8:$X$8,0)))
/IF($E19=Nominal,U$11,INDEX($I$11:$X$11,,MATCH($E19,$I$8:$X$8,0)))
*IF($H19=Mid_Period,1/(1+IF($G19=Nominal,U$10,INDEX($I$10:$X$10,,MATCH($G19,$I$8:$X$8,0))))^INDEX(Timing_Adj,MATCH($H19,Cash_Timing,0)),1)
*IF($F19=Mid_Period,(1+IF($E19=Nominal,U$10,INDEX($I$10:$X$10,,MATCH($E19,$I$8:$X$8,0))))^INDEX(Timing_Adj,MATCH($F19,Cash_Timing,0)),1),"N/A")</f>
        <v>1.3189250292728987</v>
      </c>
      <c r="V19" s="111" cm="1">
        <f t="array" ref="V19">IFERROR(IF($G19=Nominal,V$11:V$11,INDEX($I$11:$X$11,,MATCH($G19,$I$8:$X$8,0)))
/IF($E19=Nominal,V$11,INDEX($I$11:$X$11,,MATCH($E19,$I$8:$X$8,0)))
*IF($H19=Mid_Period,1/(1+IF($G19=Nominal,V$10,INDEX($I$10:$X$10,,MATCH($G19,$I$8:$X$8,0))))^INDEX(Timing_Adj,MATCH($H19,Cash_Timing,0)),1)
*IF($F19=Mid_Period,(1+IF($E19=Nominal,V$10,INDEX($I$10:$X$10,,MATCH($E19,$I$8:$X$8,0))))^INDEX(Timing_Adj,MATCH($F19,Cash_Timing,0)),1),"N/A")</f>
        <v>1.3189250292728987</v>
      </c>
      <c r="W19" s="111" cm="1">
        <f t="array" ref="W19">IFERROR(IF($G19=Nominal,W$11:W$11,INDEX($I$11:$X$11,,MATCH($G19,$I$8:$X$8,0)))
/IF($E19=Nominal,W$11,INDEX($I$11:$X$11,,MATCH($E19,$I$8:$X$8,0)))
*IF($H19=Mid_Period,1/(1+IF($G19=Nominal,W$10,INDEX($I$10:$X$10,,MATCH($G19,$I$8:$X$8,0))))^INDEX(Timing_Adj,MATCH($H19,Cash_Timing,0)),1)
*IF($F19=Mid_Period,(1+IF($E19=Nominal,W$10,INDEX($I$10:$X$10,,MATCH($E19,$I$8:$X$8,0))))^INDEX(Timing_Adj,MATCH($F19,Cash_Timing,0)),1),"N/A")</f>
        <v>1.3189250292728987</v>
      </c>
      <c r="X19" s="111" cm="1">
        <f t="array" ref="X19">IFERROR(IF($G19=Nominal,X$11:X$11,INDEX($I$11:$X$11,,MATCH($G19,$I$8:$X$8,0)))
/IF($E19=Nominal,X$11,INDEX($I$11:$X$11,,MATCH($E19,$I$8:$X$8,0)))
*IF($H19=Mid_Period,1/(1+IF($G19=Nominal,X$10,INDEX($I$10:$X$10,,MATCH($G19,$I$8:$X$8,0))))^INDEX(Timing_Adj,MATCH($H19,Cash_Timing,0)),1)
*IF($F19=Mid_Period,(1+IF($E19=Nominal,X$10,INDEX($I$10:$X$10,,MATCH($E19,$I$8:$X$8,0))))^INDEX(Timing_Adj,MATCH($F19,Cash_Timing,0)),1),"N/A")</f>
        <v>1.3189250292728987</v>
      </c>
    </row>
    <row r="20" spans="2:24" ht="11.25" customHeight="1" x14ac:dyDescent="0.3">
      <c r="D20" s="6" t="str">
        <f t="shared" ref="D20" si="6">IF(E20=Nominal,"","Real ")&amp;E20&amp;" ("&amp;F20&amp;") to "
&amp;IF(G20=Nominal,"","Real ")&amp;G20&amp;" ("&amp;H20&amp;")"</f>
        <v>Real 2018 (End Period) to Real 2024 (End Period)</v>
      </c>
      <c r="E20" s="113">
        <v>2018</v>
      </c>
      <c r="F20" s="113" t="s">
        <v>55</v>
      </c>
      <c r="G20" s="113">
        <v>2024</v>
      </c>
      <c r="H20" s="113" t="s">
        <v>55</v>
      </c>
      <c r="I20" s="111" cm="1">
        <f t="array" ref="I20">IFERROR(IF($G20=Nominal,I$11:I$11,INDEX($I$11:$X$11,,MATCH($G20,$I$8:$X$8,0)))
/IF($E20=Nominal,I$11,INDEX($I$11:$X$11,,MATCH($E20,$I$8:$X$8,0)))
*IF($H20=Mid_Period,1/(1+IF($G20=Nominal,I$10,INDEX($I$10:$X$10,,MATCH($G20,$I$8:$X$8,0))))^INDEX(Timing_Adj,MATCH($H20,Cash_Timing,0)),1)
*IF($F20=Mid_Period,(1+IF($E20=Nominal,I$10,INDEX($I$10:$X$10,,MATCH($E20,$I$8:$X$8,0))))^INDEX(Timing_Adj,MATCH($F20,Cash_Timing,0)),1),"N/A")</f>
        <v>1.2360545185840706</v>
      </c>
      <c r="J20" s="111" cm="1">
        <f t="array" ref="J20">IFERROR(IF($G20=Nominal,J$11:J$11,INDEX($I$11:$X$11,,MATCH($G20,$I$8:$X$8,0)))
/IF($E20=Nominal,J$11,INDEX($I$11:$X$11,,MATCH($E20,$I$8:$X$8,0)))
*IF($H20=Mid_Period,1/(1+IF($G20=Nominal,J$10,INDEX($I$10:$X$10,,MATCH($G20,$I$8:$X$8,0))))^INDEX(Timing_Adj,MATCH($H20,Cash_Timing,0)),1)
*IF($F20=Mid_Period,(1+IF($E20=Nominal,J$10,INDEX($I$10:$X$10,,MATCH($E20,$I$8:$X$8,0))))^INDEX(Timing_Adj,MATCH($F20,Cash_Timing,0)),1),"N/A")</f>
        <v>1.2360545185840706</v>
      </c>
      <c r="K20" s="111" cm="1">
        <f t="array" ref="K20">IFERROR(IF($G20=Nominal,K$11:K$11,INDEX($I$11:$X$11,,MATCH($G20,$I$8:$X$8,0)))
/IF($E20=Nominal,K$11,INDEX($I$11:$X$11,,MATCH($E20,$I$8:$X$8,0)))
*IF($H20=Mid_Period,1/(1+IF($G20=Nominal,K$10,INDEX($I$10:$X$10,,MATCH($G20,$I$8:$X$8,0))))^INDEX(Timing_Adj,MATCH($H20,Cash_Timing,0)),1)
*IF($F20=Mid_Period,(1+IF($E20=Nominal,K$10,INDEX($I$10:$X$10,,MATCH($E20,$I$8:$X$8,0))))^INDEX(Timing_Adj,MATCH($F20,Cash_Timing,0)),1),"N/A")</f>
        <v>1.2360545185840706</v>
      </c>
      <c r="L20" s="111" cm="1">
        <f t="array" ref="L20">IFERROR(IF($G20=Nominal,L$11:L$11,INDEX($I$11:$X$11,,MATCH($G20,$I$8:$X$8,0)))
/IF($E20=Nominal,L$11,INDEX($I$11:$X$11,,MATCH($E20,$I$8:$X$8,0)))
*IF($H20=Mid_Period,1/(1+IF($G20=Nominal,L$10,INDEX($I$10:$X$10,,MATCH($G20,$I$8:$X$8,0))))^INDEX(Timing_Adj,MATCH($H20,Cash_Timing,0)),1)
*IF($F20=Mid_Period,(1+IF($E20=Nominal,L$10,INDEX($I$10:$X$10,,MATCH($E20,$I$8:$X$8,0))))^INDEX(Timing_Adj,MATCH($F20,Cash_Timing,0)),1),"N/A")</f>
        <v>1.2360545185840706</v>
      </c>
      <c r="M20" s="111" cm="1">
        <f t="array" ref="M20">IFERROR(IF($G20=Nominal,M$11:M$11,INDEX($I$11:$X$11,,MATCH($G20,$I$8:$X$8,0)))
/IF($E20=Nominal,M$11,INDEX($I$11:$X$11,,MATCH($E20,$I$8:$X$8,0)))
*IF($H20=Mid_Period,1/(1+IF($G20=Nominal,M$10,INDEX($I$10:$X$10,,MATCH($G20,$I$8:$X$8,0))))^INDEX(Timing_Adj,MATCH($H20,Cash_Timing,0)),1)
*IF($F20=Mid_Period,(1+IF($E20=Nominal,M$10,INDEX($I$10:$X$10,,MATCH($E20,$I$8:$X$8,0))))^INDEX(Timing_Adj,MATCH($F20,Cash_Timing,0)),1),"N/A")</f>
        <v>1.2360545185840706</v>
      </c>
      <c r="N20" s="111" cm="1">
        <f t="array" ref="N20">IFERROR(IF($G20=Nominal,N$11:N$11,INDEX($I$11:$X$11,,MATCH($G20,$I$8:$X$8,0)))
/IF($E20=Nominal,N$11,INDEX($I$11:$X$11,,MATCH($E20,$I$8:$X$8,0)))
*IF($H20=Mid_Period,1/(1+IF($G20=Nominal,N$10,INDEX($I$10:$X$10,,MATCH($G20,$I$8:$X$8,0))))^INDEX(Timing_Adj,MATCH($H20,Cash_Timing,0)),1)
*IF($F20=Mid_Period,(1+IF($E20=Nominal,N$10,INDEX($I$10:$X$10,,MATCH($E20,$I$8:$X$8,0))))^INDEX(Timing_Adj,MATCH($F20,Cash_Timing,0)),1),"N/A")</f>
        <v>1.2360545185840706</v>
      </c>
      <c r="O20" s="111" cm="1">
        <f t="array" ref="O20">IFERROR(IF($G20=Nominal,O$11:O$11,INDEX($I$11:$X$11,,MATCH($G20,$I$8:$X$8,0)))
/IF($E20=Nominal,O$11,INDEX($I$11:$X$11,,MATCH($E20,$I$8:$X$8,0)))
*IF($H20=Mid_Period,1/(1+IF($G20=Nominal,O$10,INDEX($I$10:$X$10,,MATCH($G20,$I$8:$X$8,0))))^INDEX(Timing_Adj,MATCH($H20,Cash_Timing,0)),1)
*IF($F20=Mid_Period,(1+IF($E20=Nominal,O$10,INDEX($I$10:$X$10,,MATCH($E20,$I$8:$X$8,0))))^INDEX(Timing_Adj,MATCH($F20,Cash_Timing,0)),1),"N/A")</f>
        <v>1.2360545185840706</v>
      </c>
      <c r="P20" s="111" cm="1">
        <f t="array" ref="P20">IFERROR(IF($G20=Nominal,P$11:P$11,INDEX($I$11:$X$11,,MATCH($G20,$I$8:$X$8,0)))
/IF($E20=Nominal,P$11,INDEX($I$11:$X$11,,MATCH($E20,$I$8:$X$8,0)))
*IF($H20=Mid_Period,1/(1+IF($G20=Nominal,P$10,INDEX($I$10:$X$10,,MATCH($G20,$I$8:$X$8,0))))^INDEX(Timing_Adj,MATCH($H20,Cash_Timing,0)),1)
*IF($F20=Mid_Period,(1+IF($E20=Nominal,P$10,INDEX($I$10:$X$10,,MATCH($E20,$I$8:$X$8,0))))^INDEX(Timing_Adj,MATCH($F20,Cash_Timing,0)),1),"N/A")</f>
        <v>1.2360545185840706</v>
      </c>
      <c r="Q20" s="111" cm="1">
        <f t="array" ref="Q20">IFERROR(IF($G20=Nominal,Q$11:Q$11,INDEX($I$11:$X$11,,MATCH($G20,$I$8:$X$8,0)))
/IF($E20=Nominal,Q$11,INDEX($I$11:$X$11,,MATCH($E20,$I$8:$X$8,0)))
*IF($H20=Mid_Period,1/(1+IF($G20=Nominal,Q$10,INDEX($I$10:$X$10,,MATCH($G20,$I$8:$X$8,0))))^INDEX(Timing_Adj,MATCH($H20,Cash_Timing,0)),1)
*IF($F20=Mid_Period,(1+IF($E20=Nominal,Q$10,INDEX($I$10:$X$10,,MATCH($E20,$I$8:$X$8,0))))^INDEX(Timing_Adj,MATCH($F20,Cash_Timing,0)),1),"N/A")</f>
        <v>1.2360545185840706</v>
      </c>
      <c r="R20" s="111" cm="1">
        <f t="array" ref="R20">IFERROR(IF($G20=Nominal,R$11:R$11,INDEX($I$11:$X$11,,MATCH($G20,$I$8:$X$8,0)))
/IF($E20=Nominal,R$11,INDEX($I$11:$X$11,,MATCH($E20,$I$8:$X$8,0)))
*IF($H20=Mid_Period,1/(1+IF($G20=Nominal,R$10,INDEX($I$10:$X$10,,MATCH($G20,$I$8:$X$8,0))))^INDEX(Timing_Adj,MATCH($H20,Cash_Timing,0)),1)
*IF($F20=Mid_Period,(1+IF($E20=Nominal,R$10,INDEX($I$10:$X$10,,MATCH($E20,$I$8:$X$8,0))))^INDEX(Timing_Adj,MATCH($F20,Cash_Timing,0)),1),"N/A")</f>
        <v>1.2360545185840706</v>
      </c>
      <c r="S20" s="111" cm="1">
        <f t="array" ref="S20">IFERROR(IF($G20=Nominal,S$11:S$11,INDEX($I$11:$X$11,,MATCH($G20,$I$8:$X$8,0)))
/IF($E20=Nominal,S$11,INDEX($I$11:$X$11,,MATCH($E20,$I$8:$X$8,0)))
*IF($H20=Mid_Period,1/(1+IF($G20=Nominal,S$10,INDEX($I$10:$X$10,,MATCH($G20,$I$8:$X$8,0))))^INDEX(Timing_Adj,MATCH($H20,Cash_Timing,0)),1)
*IF($F20=Mid_Period,(1+IF($E20=Nominal,S$10,INDEX($I$10:$X$10,,MATCH($E20,$I$8:$X$8,0))))^INDEX(Timing_Adj,MATCH($F20,Cash_Timing,0)),1),"N/A")</f>
        <v>1.2360545185840706</v>
      </c>
      <c r="T20" s="111" cm="1">
        <f t="array" ref="T20">IFERROR(IF($G20=Nominal,T$11:T$11,INDEX($I$11:$X$11,,MATCH($G20,$I$8:$X$8,0)))
/IF($E20=Nominal,T$11,INDEX($I$11:$X$11,,MATCH($E20,$I$8:$X$8,0)))
*IF($H20=Mid_Period,1/(1+IF($G20=Nominal,T$10,INDEX($I$10:$X$10,,MATCH($G20,$I$8:$X$8,0))))^INDEX(Timing_Adj,MATCH($H20,Cash_Timing,0)),1)
*IF($F20=Mid_Period,(1+IF($E20=Nominal,T$10,INDEX($I$10:$X$10,,MATCH($E20,$I$8:$X$8,0))))^INDEX(Timing_Adj,MATCH($F20,Cash_Timing,0)),1),"N/A")</f>
        <v>1.2360545185840706</v>
      </c>
      <c r="U20" s="111" cm="1">
        <f t="array" ref="U20">IFERROR(IF($G20=Nominal,U$11:U$11,INDEX($I$11:$X$11,,MATCH($G20,$I$8:$X$8,0)))
/IF($E20=Nominal,U$11,INDEX($I$11:$X$11,,MATCH($E20,$I$8:$X$8,0)))
*IF($H20=Mid_Period,1/(1+IF($G20=Nominal,U$10,INDEX($I$10:$X$10,,MATCH($G20,$I$8:$X$8,0))))^INDEX(Timing_Adj,MATCH($H20,Cash_Timing,0)),1)
*IF($F20=Mid_Period,(1+IF($E20=Nominal,U$10,INDEX($I$10:$X$10,,MATCH($E20,$I$8:$X$8,0))))^INDEX(Timing_Adj,MATCH($F20,Cash_Timing,0)),1),"N/A")</f>
        <v>1.2360545185840706</v>
      </c>
      <c r="V20" s="111" cm="1">
        <f t="array" ref="V20">IFERROR(IF($G20=Nominal,V$11:V$11,INDEX($I$11:$X$11,,MATCH($G20,$I$8:$X$8,0)))
/IF($E20=Nominal,V$11,INDEX($I$11:$X$11,,MATCH($E20,$I$8:$X$8,0)))
*IF($H20=Mid_Period,1/(1+IF($G20=Nominal,V$10,INDEX($I$10:$X$10,,MATCH($G20,$I$8:$X$8,0))))^INDEX(Timing_Adj,MATCH($H20,Cash_Timing,0)),1)
*IF($F20=Mid_Period,(1+IF($E20=Nominal,V$10,INDEX($I$10:$X$10,,MATCH($E20,$I$8:$X$8,0))))^INDEX(Timing_Adj,MATCH($F20,Cash_Timing,0)),1),"N/A")</f>
        <v>1.2360545185840706</v>
      </c>
      <c r="W20" s="111" cm="1">
        <f t="array" ref="W20">IFERROR(IF($G20=Nominal,W$11:W$11,INDEX($I$11:$X$11,,MATCH($G20,$I$8:$X$8,0)))
/IF($E20=Nominal,W$11,INDEX($I$11:$X$11,,MATCH($E20,$I$8:$X$8,0)))
*IF($H20=Mid_Period,1/(1+IF($G20=Nominal,W$10,INDEX($I$10:$X$10,,MATCH($G20,$I$8:$X$8,0))))^INDEX(Timing_Adj,MATCH($H20,Cash_Timing,0)),1)
*IF($F20=Mid_Period,(1+IF($E20=Nominal,W$10,INDEX($I$10:$X$10,,MATCH($E20,$I$8:$X$8,0))))^INDEX(Timing_Adj,MATCH($F20,Cash_Timing,0)),1),"N/A")</f>
        <v>1.2360545185840706</v>
      </c>
      <c r="X20" s="111" cm="1">
        <f t="array" ref="X20">IFERROR(IF($G20=Nominal,X$11:X$11,INDEX($I$11:$X$11,,MATCH($G20,$I$8:$X$8,0)))
/IF($E20=Nominal,X$11,INDEX($I$11:$X$11,,MATCH($E20,$I$8:$X$8,0)))
*IF($H20=Mid_Period,1/(1+IF($G20=Nominal,X$10,INDEX($I$10:$X$10,,MATCH($G20,$I$8:$X$8,0))))^INDEX(Timing_Adj,MATCH($H20,Cash_Timing,0)),1)
*IF($F20=Mid_Period,(1+IF($E20=Nominal,X$10,INDEX($I$10:$X$10,,MATCH($E20,$I$8:$X$8,0))))^INDEX(Timing_Adj,MATCH($F20,Cash_Timing,0)),1),"N/A")</f>
        <v>1.2360545185840706</v>
      </c>
    </row>
    <row r="21" spans="2:24" ht="11.25" customHeight="1" x14ac:dyDescent="0.3">
      <c r="D21" s="6" t="str">
        <f t="shared" ref="D21" si="7">IF(E21=Nominal,"","Real ")&amp;E21&amp;" ("&amp;F21&amp;") to "
&amp;IF(G21=Nominal,"","Real ")&amp;G21&amp;" ("&amp;H21&amp;")"</f>
        <v>Real 2014 (End Period) to Nominal (Mid Period)</v>
      </c>
      <c r="E21" s="113">
        <v>2014</v>
      </c>
      <c r="F21" s="113" t="s">
        <v>55</v>
      </c>
      <c r="G21" s="113" t="s">
        <v>36</v>
      </c>
      <c r="H21" s="113" t="s">
        <v>56</v>
      </c>
      <c r="I21" s="111" cm="1">
        <f t="array" ref="I21">IFERROR(IF($G21=Nominal,I$11:I$11,INDEX($I$11:$X$11,,MATCH($G21,$I$8:$X$8,0)))
/IF($E21=Nominal,I$11,INDEX($I$11:$X$11,,MATCH($E21,$I$8:$X$8,0)))
*IF($H21=Mid_Period,1/(1+IF($G21=Nominal,I$10,INDEX($I$10:$X$10,,MATCH($G21,$I$8:$X$8,0))))^INDEX(Timing_Adj,MATCH($H21,Cash_Timing,0)),1)
*IF($F21=Mid_Period,(1+IF($E21=Nominal,I$10,INDEX($I$10:$X$10,,MATCH($E21,$I$8:$X$8,0))))^INDEX(Timing_Adj,MATCH($F21,Cash_Timing,0)),1),"N/A")</f>
        <v>0.98525484065733759</v>
      </c>
      <c r="J21" s="111" cm="1">
        <f t="array" ref="J21">IFERROR(IF($G21=Nominal,J$11:J$11,INDEX($I$11:$X$11,,MATCH($G21,$I$8:$X$8,0)))
/IF($E21=Nominal,J$11,INDEX($I$11:$X$11,,MATCH($E21,$I$8:$X$8,0)))
*IF($H21=Mid_Period,1/(1+IF($G21=Nominal,J$10,INDEX($I$10:$X$10,,MATCH($G21,$I$8:$X$8,0))))^INDEX(Timing_Adj,MATCH($H21,Cash_Timing,0)),1)
*IF($F21=Mid_Period,(1+IF($E21=Nominal,J$10,INDEX($I$10:$X$10,,MATCH($E21,$I$8:$X$8,0))))^INDEX(Timing_Adj,MATCH($F21,Cash_Timing,0)),1),"N/A")</f>
        <v>1.0075259763461564</v>
      </c>
      <c r="K21" s="111" cm="1">
        <f t="array" ref="K21">IFERROR(IF($G21=Nominal,K$11:K$11,INDEX($I$11:$X$11,,MATCH($G21,$I$8:$X$8,0)))
/IF($E21=Nominal,K$11,INDEX($I$11:$X$11,,MATCH($E21,$I$8:$X$8,0)))
*IF($H21=Mid_Period,1/(1+IF($G21=Nominal,K$10,INDEX($I$10:$X$10,,MATCH($G21,$I$8:$X$8,0))))^INDEX(Timing_Adj,MATCH($H21,Cash_Timing,0)),1)
*IF($F21=Mid_Period,(1+IF($E21=Nominal,K$10,INDEX($I$10:$X$10,,MATCH($E21,$I$8:$X$8,0))))^INDEX(Timing_Adj,MATCH($F21,Cash_Timing,0)),1),"N/A")</f>
        <v>1.0202889535036062</v>
      </c>
      <c r="L21" s="111" cm="1">
        <f t="array" ref="L21">IFERROR(IF($G21=Nominal,L$11:L$11,INDEX($I$11:$X$11,,MATCH($G21,$I$8:$X$8,0)))
/IF($E21=Nominal,L$11,INDEX($I$11:$X$11,,MATCH($E21,$I$8:$X$8,0)))
*IF($H21=Mid_Period,1/(1+IF($G21=Nominal,L$10,INDEX($I$10:$X$10,,MATCH($G21,$I$8:$X$8,0))))^INDEX(Timing_Adj,MATCH($H21,Cash_Timing,0)),1)
*IF($F21=Mid_Period,(1+IF($E21=Nominal,L$10,INDEX($I$10:$X$10,,MATCH($E21,$I$8:$X$8,0))))^INDEX(Timing_Adj,MATCH($F21,Cash_Timing,0)),1),"N/A")</f>
        <v>1.0353632910761426</v>
      </c>
      <c r="M21" s="111" cm="1">
        <f t="array" ref="M21">IFERROR(IF($G21=Nominal,M$11:M$11,INDEX($I$11:$X$11,,MATCH($G21,$I$8:$X$8,0)))
/IF($E21=Nominal,M$11,INDEX($I$11:$X$11,,MATCH($E21,$I$8:$X$8,0)))
*IF($H21=Mid_Period,1/(1+IF($G21=Nominal,M$10,INDEX($I$10:$X$10,,MATCH($G21,$I$8:$X$8,0))))^INDEX(Timing_Adj,MATCH($H21,Cash_Timing,0)),1)
*IF($F21=Mid_Period,(1+IF($E21=Nominal,M$10,INDEX($I$10:$X$10,,MATCH($E21,$I$8:$X$8,0))))^INDEX(Timing_Adj,MATCH($F21,Cash_Timing,0)),1),"N/A")</f>
        <v>1.0561292531456397</v>
      </c>
      <c r="N21" s="111" cm="1">
        <f t="array" ref="N21">IFERROR(IF($G21=Nominal,N$11:N$11,INDEX($I$11:$X$11,,MATCH($G21,$I$8:$X$8,0)))
/IF($E21=Nominal,N$11,INDEX($I$11:$X$11,,MATCH($E21,$I$8:$X$8,0)))
*IF($H21=Mid_Period,1/(1+IF($G21=Nominal,N$10,INDEX($I$10:$X$10,,MATCH($G21,$I$8:$X$8,0))))^INDEX(Timing_Adj,MATCH($H21,Cash_Timing,0)),1)
*IF($F21=Mid_Period,(1+IF($E21=Nominal,N$10,INDEX($I$10:$X$10,,MATCH($E21,$I$8:$X$8,0))))^INDEX(Timing_Adj,MATCH($F21,Cash_Timing,0)),1),"N/A")</f>
        <v>1.0755093880437938</v>
      </c>
      <c r="O21" s="111" cm="1">
        <f t="array" ref="O21">IFERROR(IF($G21=Nominal,O$11:O$11,INDEX($I$11:$X$11,,MATCH($G21,$I$8:$X$8,0)))
/IF($E21=Nominal,O$11,INDEX($I$11:$X$11,,MATCH($E21,$I$8:$X$8,0)))
*IF($H21=Mid_Period,1/(1+IF($G21=Nominal,O$10,INDEX($I$10:$X$10,,MATCH($G21,$I$8:$X$8,0))))^INDEX(Timing_Adj,MATCH($H21,Cash_Timing,0)),1)
*IF($F21=Mid_Period,(1+IF($E21=Nominal,O$10,INDEX($I$10:$X$10,,MATCH($E21,$I$8:$X$8,0))))^INDEX(Timing_Adj,MATCH($F21,Cash_Timing,0)),1),"N/A")</f>
        <v>1.0821513265325526</v>
      </c>
      <c r="P21" s="111" cm="1">
        <f t="array" ref="P21">IFERROR(IF($G21=Nominal,P$11:P$11,INDEX($I$11:$X$11,,MATCH($G21,$I$8:$X$8,0)))
/IF($E21=Nominal,P$11,INDEX($I$11:$X$11,,MATCH($E21,$I$8:$X$8,0)))
*IF($H21=Mid_Period,1/(1+IF($G21=Nominal,P$10,INDEX($I$10:$X$10,,MATCH($G21,$I$8:$X$8,0))))^INDEX(Timing_Adj,MATCH($H21,Cash_Timing,0)),1)
*IF($F21=Mid_Period,(1+IF($E21=Nominal,P$10,INDEX($I$10:$X$10,,MATCH($E21,$I$8:$X$8,0))))^INDEX(Timing_Adj,MATCH($F21,Cash_Timing,0)),1),"N/A")</f>
        <v>1.1008427142165023</v>
      </c>
      <c r="Q21" s="111" cm="1">
        <f t="array" ref="Q21">IFERROR(IF($G21=Nominal,Q$11:Q$11,INDEX($I$11:$X$11,,MATCH($G21,$I$8:$X$8,0)))
/IF($E21=Nominal,Q$11,INDEX($I$11:$X$11,,MATCH($E21,$I$8:$X$8,0)))
*IF($H21=Mid_Period,1/(1+IF($G21=Nominal,Q$10,INDEX($I$10:$X$10,,MATCH($G21,$I$8:$X$8,0))))^INDEX(Timing_Adj,MATCH($H21,Cash_Timing,0)),1)
*IF($F21=Mid_Period,(1+IF($E21=Nominal,Q$10,INDEX($I$10:$X$10,,MATCH($E21,$I$8:$X$8,0))))^INDEX(Timing_Adj,MATCH($F21,Cash_Timing,0)),1),"N/A")</f>
        <v>1.1557657049648986</v>
      </c>
      <c r="R21" s="111" cm="1">
        <f t="array" ref="R21">IFERROR(IF($G21=Nominal,R$11:R$11,INDEX($I$11:$X$11,,MATCH($G21,$I$8:$X$8,0)))
/IF($E21=Nominal,R$11,INDEX($I$11:$X$11,,MATCH($E21,$I$8:$X$8,0)))
*IF($H21=Mid_Period,1/(1+IF($G21=Nominal,R$10,INDEX($I$10:$X$10,,MATCH($G21,$I$8:$X$8,0))))^INDEX(Timing_Adj,MATCH($H21,Cash_Timing,0)),1)
*IF($F21=Mid_Period,(1+IF($E21=Nominal,R$10,INDEX($I$10:$X$10,,MATCH($E21,$I$8:$X$8,0))))^INDEX(Timing_Adj,MATCH($F21,Cash_Timing,0)),1),"N/A")</f>
        <v>1.2276816335474301</v>
      </c>
      <c r="S21" s="111" cm="1">
        <f t="array" ref="S21">IFERROR(IF($G21=Nominal,S$11:S$11,INDEX($I$11:$X$11,,MATCH($G21,$I$8:$X$8,0)))
/IF($E21=Nominal,S$11,INDEX($I$11:$X$11,,MATCH($E21,$I$8:$X$8,0)))
*IF($H21=Mid_Period,1/(1+IF($G21=Nominal,S$10,INDEX($I$10:$X$10,,MATCH($G21,$I$8:$X$8,0))))^INDEX(Timing_Adj,MATCH($H21,Cash_Timing,0)),1)
*IF($F21=Mid_Period,(1+IF($E21=Nominal,S$10,INDEX($I$10:$X$10,,MATCH($E21,$I$8:$X$8,0))))^INDEX(Timing_Adj,MATCH($F21,Cash_Timing,0)),1),"N/A")</f>
        <v>1.2920706175186427</v>
      </c>
      <c r="T21" s="111" cm="1">
        <f t="array" ref="T21">IFERROR(IF($G21=Nominal,T$11:T$11,INDEX($I$11:$X$11,,MATCH($G21,$I$8:$X$8,0)))
/IF($E21=Nominal,T$11,INDEX($I$11:$X$11,,MATCH($E21,$I$8:$X$8,0)))
*IF($H21=Mid_Period,1/(1+IF($G21=Nominal,T$10,INDEX($I$10:$X$10,,MATCH($G21,$I$8:$X$8,0))))^INDEX(Timing_Adj,MATCH($H21,Cash_Timing,0)),1)
*IF($F21=Mid_Period,(1+IF($E21=Nominal,T$10,INDEX($I$10:$X$10,,MATCH($E21,$I$8:$X$8,0))))^INDEX(Timing_Adj,MATCH($F21,Cash_Timing,0)),1),"N/A")</f>
        <v>1.3380404394790797</v>
      </c>
      <c r="U21" s="111" cm="1">
        <f t="array" ref="U21">IFERROR(IF($G21=Nominal,U$11:U$11,INDEX($I$11:$X$11,,MATCH($G21,$I$8:$X$8,0)))
/IF($E21=Nominal,U$11,INDEX($I$11:$X$11,,MATCH($E21,$I$8:$X$8,0)))
*IF($H21=Mid_Period,1/(1+IF($G21=Nominal,U$10,INDEX($I$10:$X$10,,MATCH($G21,$I$8:$X$8,0))))^INDEX(Timing_Adj,MATCH($H21,Cash_Timing,0)),1)
*IF($F21=Mid_Period,(1+IF($E21=Nominal,U$10,INDEX($I$10:$X$10,,MATCH($E21,$I$8:$X$8,0))))^INDEX(Timing_Adj,MATCH($F21,Cash_Timing,0)),1),"N/A")</f>
        <v>1.3771064040335437</v>
      </c>
      <c r="V21" s="111" cm="1">
        <f t="array" ref="V21">IFERROR(IF($G21=Nominal,V$11:V$11,INDEX($I$11:$X$11,,MATCH($G21,$I$8:$X$8,0)))
/IF($E21=Nominal,V$11,INDEX($I$11:$X$11,,MATCH($E21,$I$8:$X$8,0)))
*IF($H21=Mid_Period,1/(1+IF($G21=Nominal,V$10,INDEX($I$10:$X$10,,MATCH($G21,$I$8:$X$8,0))))^INDEX(Timing_Adj,MATCH($H21,Cash_Timing,0)),1)
*IF($F21=Mid_Period,(1+IF($E21=Nominal,V$10,INDEX($I$10:$X$10,,MATCH($E21,$I$8:$X$8,0))))^INDEX(Timing_Adj,MATCH($F21,Cash_Timing,0)),1),"N/A")</f>
        <v>1.4173129541350071</v>
      </c>
      <c r="W21" s="111" cm="1">
        <f t="array" ref="W21">IFERROR(IF($G21=Nominal,W$11:W$11,INDEX($I$11:$X$11,,MATCH($G21,$I$8:$X$8,0)))
/IF($E21=Nominal,W$11,INDEX($I$11:$X$11,,MATCH($E21,$I$8:$X$8,0)))
*IF($H21=Mid_Period,1/(1+IF($G21=Nominal,W$10,INDEX($I$10:$X$10,,MATCH($G21,$I$8:$X$8,0))))^INDEX(Timing_Adj,MATCH($H21,Cash_Timing,0)),1)
*IF($F21=Mid_Period,(1+IF($E21=Nominal,W$10,INDEX($I$10:$X$10,,MATCH($E21,$I$8:$X$8,0))))^INDEX(Timing_Adj,MATCH($F21,Cash_Timing,0)),1),"N/A")</f>
        <v>1.4586933907759032</v>
      </c>
      <c r="X21" s="111" cm="1">
        <f t="array" ref="X21">IFERROR(IF($G21=Nominal,X$11:X$11,INDEX($I$11:$X$11,,MATCH($G21,$I$8:$X$8,0)))
/IF($E21=Nominal,X$11,INDEX($I$11:$X$11,,MATCH($E21,$I$8:$X$8,0)))
*IF($H21=Mid_Period,1/(1+IF($G21=Nominal,X$10,INDEX($I$10:$X$10,,MATCH($G21,$I$8:$X$8,0))))^INDEX(Timing_Adj,MATCH($H21,Cash_Timing,0)),1)
*IF($F21=Mid_Period,(1+IF($E21=Nominal,X$10,INDEX($I$10:$X$10,,MATCH($E21,$I$8:$X$8,0))))^INDEX(Timing_Adj,MATCH($F21,Cash_Timing,0)),1),"N/A")</f>
        <v>1.5012819872177772</v>
      </c>
    </row>
    <row r="22" spans="2:24" ht="11.25" customHeight="1" x14ac:dyDescent="0.3">
      <c r="D22" s="6" t="str">
        <f t="shared" ref="D22" si="8">IF(E22=Nominal,"","Real ")&amp;E22&amp;" ("&amp;F22&amp;") to "
&amp;IF(G22=Nominal,"","Real ")&amp;G22&amp;" ("&amp;H22&amp;")"</f>
        <v>Real 2018 (End Period) to Nominal (Mid Period)</v>
      </c>
      <c r="E22" s="113">
        <v>2018</v>
      </c>
      <c r="F22" s="113" t="s">
        <v>55</v>
      </c>
      <c r="G22" s="113" t="s">
        <v>36</v>
      </c>
      <c r="H22" s="113" t="s">
        <v>56</v>
      </c>
      <c r="I22" s="111" cm="1">
        <f t="array" ref="I22">IFERROR(IF($G22=Nominal,I$11:I$11,INDEX($I$11:$X$11,,MATCH($G22,$I$8:$X$8,0)))
/IF($E22=Nominal,I$11,INDEX($I$11:$X$11,,MATCH($E22,$I$8:$X$8,0)))
*IF($H22=Mid_Period,1/(1+IF($G22=Nominal,I$10,INDEX($I$10:$X$10,,MATCH($G22,$I$8:$X$8,0))))^INDEX(Timing_Adj,MATCH($H22,Cash_Timing,0)),1)
*IF($F22=Mid_Period,(1+IF($E22=Nominal,I$10,INDEX($I$10:$X$10,,MATCH($E22,$I$8:$X$8,0))))^INDEX(Timing_Adj,MATCH($F22,Cash_Timing,0)),1),"N/A")</f>
        <v>0.92334944801426611</v>
      </c>
      <c r="J22" s="111" cm="1">
        <f t="array" ref="J22">IFERROR(IF($G22=Nominal,J$11:J$11,INDEX($I$11:$X$11,,MATCH($G22,$I$8:$X$8,0)))
/IF($E22=Nominal,J$11,INDEX($I$11:$X$11,,MATCH($E22,$I$8:$X$8,0)))
*IF($H22=Mid_Period,1/(1+IF($G22=Nominal,J$10,INDEX($I$10:$X$10,,MATCH($G22,$I$8:$X$8,0))))^INDEX(Timing_Adj,MATCH($H22,Cash_Timing,0)),1)
*IF($F22=Mid_Period,(1+IF($E22=Nominal,J$10,INDEX($I$10:$X$10,,MATCH($E22,$I$8:$X$8,0))))^INDEX(Timing_Adj,MATCH($F22,Cash_Timing,0)),1),"N/A")</f>
        <v>0.94422124685892006</v>
      </c>
      <c r="K22" s="111" cm="1">
        <f t="array" ref="K22">IFERROR(IF($G22=Nominal,K$11:K$11,INDEX($I$11:$X$11,,MATCH($G22,$I$8:$X$8,0)))
/IF($E22=Nominal,K$11,INDEX($I$11:$X$11,,MATCH($E22,$I$8:$X$8,0)))
*IF($H22=Mid_Period,1/(1+IF($G22=Nominal,K$10,INDEX($I$10:$X$10,,MATCH($G22,$I$8:$X$8,0))))^INDEX(Timing_Adj,MATCH($H22,Cash_Timing,0)),1)
*IF($F22=Mid_Period,(1+IF($E22=Nominal,K$10,INDEX($I$10:$X$10,,MATCH($E22,$I$8:$X$8,0))))^INDEX(Timing_Adj,MATCH($F22,Cash_Timing,0)),1),"N/A")</f>
        <v>0.95618230244276015</v>
      </c>
      <c r="L22" s="111" cm="1">
        <f t="array" ref="L22">IFERROR(IF($G22=Nominal,L$11:L$11,INDEX($I$11:$X$11,,MATCH($G22,$I$8:$X$8,0)))
/IF($E22=Nominal,L$11,INDEX($I$11:$X$11,,MATCH($E22,$I$8:$X$8,0)))
*IF($H22=Mid_Period,1/(1+IF($G22=Nominal,L$10,INDEX($I$10:$X$10,,MATCH($G22,$I$8:$X$8,0))))^INDEX(Timing_Adj,MATCH($H22,Cash_Timing,0)),1)
*IF($F22=Mid_Period,(1+IF($E22=Nominal,L$10,INDEX($I$10:$X$10,,MATCH($E22,$I$8:$X$8,0))))^INDEX(Timing_Adj,MATCH($F22,Cash_Timing,0)),1),"N/A")</f>
        <v>0.97030949137135847</v>
      </c>
      <c r="M22" s="111" cm="1">
        <f t="array" ref="M22">IFERROR(IF($G22=Nominal,M$11:M$11,INDEX($I$11:$X$11,,MATCH($G22,$I$8:$X$8,0)))
/IF($E22=Nominal,M$11,INDEX($I$11:$X$11,,MATCH($E22,$I$8:$X$8,0)))
*IF($H22=Mid_Period,1/(1+IF($G22=Nominal,M$10,INDEX($I$10:$X$10,,MATCH($G22,$I$8:$X$8,0))))^INDEX(Timing_Adj,MATCH($H22,Cash_Timing,0)),1)
*IF($F22=Mid_Period,(1+IF($E22=Nominal,M$10,INDEX($I$10:$X$10,,MATCH($E22,$I$8:$X$8,0))))^INDEX(Timing_Adj,MATCH($F22,Cash_Timing,0)),1),"N/A")</f>
        <v>0.98977068945241808</v>
      </c>
      <c r="N22" s="111" cm="1">
        <f t="array" ref="N22">IFERROR(IF($G22=Nominal,N$11:N$11,INDEX($I$11:$X$11,,MATCH($G22,$I$8:$X$8,0)))
/IF($E22=Nominal,N$11,INDEX($I$11:$X$11,,MATCH($E22,$I$8:$X$8,0)))
*IF($H22=Mid_Period,1/(1+IF($G22=Nominal,N$10,INDEX($I$10:$X$10,,MATCH($G22,$I$8:$X$8,0))))^INDEX(Timing_Adj,MATCH($H22,Cash_Timing,0)),1)
*IF($F22=Mid_Period,(1+IF($E22=Nominal,N$10,INDEX($I$10:$X$10,,MATCH($E22,$I$8:$X$8,0))))^INDEX(Timing_Adj,MATCH($F22,Cash_Timing,0)),1),"N/A")</f>
        <v>1.0079331344587414</v>
      </c>
      <c r="O22" s="111" cm="1">
        <f t="array" ref="O22">IFERROR(IF($G22=Nominal,O$11:O$11,INDEX($I$11:$X$11,,MATCH($G22,$I$8:$X$8,0)))
/IF($E22=Nominal,O$11,INDEX($I$11:$X$11,,MATCH($E22,$I$8:$X$8,0)))
*IF($H22=Mid_Period,1/(1+IF($G22=Nominal,O$10,INDEX($I$10:$X$10,,MATCH($G22,$I$8:$X$8,0))))^INDEX(Timing_Adj,MATCH($H22,Cash_Timing,0)),1)
*IF($F22=Mid_Period,(1+IF($E22=Nominal,O$10,INDEX($I$10:$X$10,,MATCH($E22,$I$8:$X$8,0))))^INDEX(Timing_Adj,MATCH($F22,Cash_Timing,0)),1),"N/A")</f>
        <v>1.0141577476088259</v>
      </c>
      <c r="P22" s="111" cm="1">
        <f t="array" ref="P22">IFERROR(IF($G22=Nominal,P$11:P$11,INDEX($I$11:$X$11,,MATCH($G22,$I$8:$X$8,0)))
/IF($E22=Nominal,P$11,INDEX($I$11:$X$11,,MATCH($E22,$I$8:$X$8,0)))
*IF($H22=Mid_Period,1/(1+IF($G22=Nominal,P$10,INDEX($I$10:$X$10,,MATCH($G22,$I$8:$X$8,0))))^INDEX(Timing_Adj,MATCH($H22,Cash_Timing,0)),1)
*IF($F22=Mid_Period,(1+IF($E22=Nominal,P$10,INDEX($I$10:$X$10,,MATCH($E22,$I$8:$X$8,0))))^INDEX(Timing_Adj,MATCH($F22,Cash_Timing,0)),1),"N/A")</f>
        <v>1.0316747206683858</v>
      </c>
      <c r="Q22" s="111" cm="1">
        <f t="array" ref="Q22">IFERROR(IF($G22=Nominal,Q$11:Q$11,INDEX($I$11:$X$11,,MATCH($G22,$I$8:$X$8,0)))
/IF($E22=Nominal,Q$11,INDEX($I$11:$X$11,,MATCH($E22,$I$8:$X$8,0)))
*IF($H22=Mid_Period,1/(1+IF($G22=Nominal,Q$10,INDEX($I$10:$X$10,,MATCH($G22,$I$8:$X$8,0))))^INDEX(Timing_Adj,MATCH($H22,Cash_Timing,0)),1)
*IF($F22=Mid_Period,(1+IF($E22=Nominal,Q$10,INDEX($I$10:$X$10,,MATCH($E22,$I$8:$X$8,0))))^INDEX(Timing_Adj,MATCH($F22,Cash_Timing,0)),1),"N/A")</f>
        <v>1.0831467978387856</v>
      </c>
      <c r="R22" s="111" cm="1">
        <f t="array" ref="R22">IFERROR(IF($G22=Nominal,R$11:R$11,INDEX($I$11:$X$11,,MATCH($G22,$I$8:$X$8,0)))
/IF($E22=Nominal,R$11,INDEX($I$11:$X$11,,MATCH($E22,$I$8:$X$8,0)))
*IF($H22=Mid_Period,1/(1+IF($G22=Nominal,R$10,INDEX($I$10:$X$10,,MATCH($G22,$I$8:$X$8,0))))^INDEX(Timing_Adj,MATCH($H22,Cash_Timing,0)),1)
*IF($F22=Mid_Period,(1+IF($E22=Nominal,R$10,INDEX($I$10:$X$10,,MATCH($E22,$I$8:$X$8,0))))^INDEX(Timing_Adj,MATCH($F22,Cash_Timing,0)),1),"N/A")</f>
        <v>1.1505441149794058</v>
      </c>
      <c r="S22" s="111" cm="1">
        <f t="array" ref="S22">IFERROR(IF($G22=Nominal,S$11:S$11,INDEX($I$11:$X$11,,MATCH($G22,$I$8:$X$8,0)))
/IF($E22=Nominal,S$11,INDEX($I$11:$X$11,,MATCH($E22,$I$8:$X$8,0)))
*IF($H22=Mid_Period,1/(1+IF($G22=Nominal,S$10,INDEX($I$10:$X$10,,MATCH($G22,$I$8:$X$8,0))))^INDEX(Timing_Adj,MATCH($H22,Cash_Timing,0)),1)
*IF($F22=Mid_Period,(1+IF($E22=Nominal,S$10,INDEX($I$10:$X$10,,MATCH($E22,$I$8:$X$8,0))))^INDEX(Timing_Adj,MATCH($F22,Cash_Timing,0)),1),"N/A")</f>
        <v>1.2108874194267634</v>
      </c>
      <c r="T22" s="111" cm="1">
        <f t="array" ref="T22">IFERROR(IF($G22=Nominal,T$11:T$11,INDEX($I$11:$X$11,,MATCH($G22,$I$8:$X$8,0)))
/IF($E22=Nominal,T$11,INDEX($I$11:$X$11,,MATCH($E22,$I$8:$X$8,0)))
*IF($H22=Mid_Period,1/(1+IF($G22=Nominal,T$10,INDEX($I$10:$X$10,,MATCH($G22,$I$8:$X$8,0))))^INDEX(Timing_Adj,MATCH($H22,Cash_Timing,0)),1)
*IF($F22=Mid_Period,(1+IF($E22=Nominal,T$10,INDEX($I$10:$X$10,,MATCH($E22,$I$8:$X$8,0))))^INDEX(Timing_Adj,MATCH($F22,Cash_Timing,0)),1),"N/A")</f>
        <v>1.2539688720427837</v>
      </c>
      <c r="U22" s="111" cm="1">
        <f t="array" ref="U22">IFERROR(IF($G22=Nominal,U$11:U$11,INDEX($I$11:$X$11,,MATCH($G22,$I$8:$X$8,0)))
/IF($E22=Nominal,U$11,INDEX($I$11:$X$11,,MATCH($E22,$I$8:$X$8,0)))
*IF($H22=Mid_Period,1/(1+IF($G22=Nominal,U$10,INDEX($I$10:$X$10,,MATCH($G22,$I$8:$X$8,0))))^INDEX(Timing_Adj,MATCH($H22,Cash_Timing,0)),1)
*IF($F22=Mid_Period,(1+IF($E22=Nominal,U$10,INDEX($I$10:$X$10,,MATCH($E22,$I$8:$X$8,0))))^INDEX(Timing_Adj,MATCH($F22,Cash_Timing,0)),1),"N/A")</f>
        <v>1.2905802494438257</v>
      </c>
      <c r="V22" s="111" cm="1">
        <f t="array" ref="V22">IFERROR(IF($G22=Nominal,V$11:V$11,INDEX($I$11:$X$11,,MATCH($G22,$I$8:$X$8,0)))
/IF($E22=Nominal,V$11,INDEX($I$11:$X$11,,MATCH($E22,$I$8:$X$8,0)))
*IF($H22=Mid_Period,1/(1+IF($G22=Nominal,V$10,INDEX($I$10:$X$10,,MATCH($G22,$I$8:$X$8,0))))^INDEX(Timing_Adj,MATCH($H22,Cash_Timing,0)),1)
*IF($F22=Mid_Period,(1+IF($E22=Nominal,V$10,INDEX($I$10:$X$10,,MATCH($E22,$I$8:$X$8,0))))^INDEX(Timing_Adj,MATCH($F22,Cash_Timing,0)),1),"N/A")</f>
        <v>1.3282605472822766</v>
      </c>
      <c r="W22" s="111" cm="1">
        <f t="array" ref="W22">IFERROR(IF($G22=Nominal,W$11:W$11,INDEX($I$11:$X$11,,MATCH($G22,$I$8:$X$8,0)))
/IF($E22=Nominal,W$11,INDEX($I$11:$X$11,,MATCH($E22,$I$8:$X$8,0)))
*IF($H22=Mid_Period,1/(1+IF($G22=Nominal,W$10,INDEX($I$10:$X$10,,MATCH($G22,$I$8:$X$8,0))))^INDEX(Timing_Adj,MATCH($H22,Cash_Timing,0)),1)
*IF($F22=Mid_Period,(1+IF($E22=Nominal,W$10,INDEX($I$10:$X$10,,MATCH($E22,$I$8:$X$8,0))))^INDEX(Timing_Adj,MATCH($F22,Cash_Timing,0)),1),"N/A")</f>
        <v>1.3670409741873288</v>
      </c>
      <c r="X22" s="111" cm="1">
        <f t="array" ref="X22">IFERROR(IF($G22=Nominal,X$11:X$11,INDEX($I$11:$X$11,,MATCH($G22,$I$8:$X$8,0)))
/IF($E22=Nominal,X$11,INDEX($I$11:$X$11,,MATCH($E22,$I$8:$X$8,0)))
*IF($H22=Mid_Period,1/(1+IF($G22=Nominal,X$10,INDEX($I$10:$X$10,,MATCH($G22,$I$8:$X$8,0))))^INDEX(Timing_Adj,MATCH($H22,Cash_Timing,0)),1)
*IF($F22=Mid_Period,(1+IF($E22=Nominal,X$10,INDEX($I$10:$X$10,,MATCH($E22,$I$8:$X$8,0))))^INDEX(Timing_Adj,MATCH($F22,Cash_Timing,0)),1),"N/A")</f>
        <v>1.4069536499678108</v>
      </c>
    </row>
    <row r="23" spans="2:24" ht="11.25" customHeight="1" x14ac:dyDescent="0.3">
      <c r="D23" s="6" t="str">
        <f t="shared" ref="D23" si="9">IF(E23=Nominal,"","Real ")&amp;E23&amp;" ("&amp;F23&amp;") to "
&amp;IF(G23=Nominal,"","Real ")&amp;G23&amp;" ("&amp;H23&amp;")"</f>
        <v>Real 2023 (End Period) to Nominal (Mid Period)</v>
      </c>
      <c r="E23" s="113">
        <v>2023</v>
      </c>
      <c r="F23" s="113" t="s">
        <v>55</v>
      </c>
      <c r="G23" s="113" t="s">
        <v>36</v>
      </c>
      <c r="H23" s="113" t="s">
        <v>56</v>
      </c>
      <c r="I23" s="111" cm="1">
        <f t="array" ref="I23">IFERROR(IF($G23=Nominal,I$11:I$11,INDEX($I$11:$X$11,,MATCH($G23,$I$8:$X$8,0)))
/IF($E23=Nominal,I$11,INDEX($I$11:$X$11,,MATCH($E23,$I$8:$X$8,0)))
*IF($H23=Mid_Period,1/(1+IF($G23=Nominal,I$10,INDEX($I$10:$X$10,,MATCH($G23,$I$8:$X$8,0))))^INDEX(Timing_Adj,MATCH($H23,Cash_Timing,0)),1)
*IF($F23=Mid_Period,(1+IF($E23=Nominal,I$10,INDEX($I$10:$X$10,,MATCH($E23,$I$8:$X$8,0))))^INDEX(Timing_Adj,MATCH($F23,Cash_Timing,0)),1),"N/A")</f>
        <v>0.77838809726047342</v>
      </c>
      <c r="J23" s="111" cm="1">
        <f t="array" ref="J23">IFERROR(IF($G23=Nominal,J$11:J$11,INDEX($I$11:$X$11,,MATCH($G23,$I$8:$X$8,0)))
/IF($E23=Nominal,J$11,INDEX($I$11:$X$11,,MATCH($E23,$I$8:$X$8,0)))
*IF($H23=Mid_Period,1/(1+IF($G23=Nominal,J$10,INDEX($I$10:$X$10,,MATCH($G23,$I$8:$X$8,0))))^INDEX(Timing_Adj,MATCH($H23,Cash_Timing,0)),1)
*IF($F23=Mid_Period,(1+IF($E23=Nominal,J$10,INDEX($I$10:$X$10,,MATCH($E23,$I$8:$X$8,0))))^INDEX(Timing_Adj,MATCH($F23,Cash_Timing,0)),1),"N/A")</f>
        <v>0.79598312569096918</v>
      </c>
      <c r="K23" s="111" cm="1">
        <f t="array" ref="K23">IFERROR(IF($G23=Nominal,K$11:K$11,INDEX($I$11:$X$11,,MATCH($G23,$I$8:$X$8,0)))
/IF($E23=Nominal,K$11,INDEX($I$11:$X$11,,MATCH($E23,$I$8:$X$8,0)))
*IF($H23=Mid_Period,1/(1+IF($G23=Nominal,K$10,INDEX($I$10:$X$10,,MATCH($G23,$I$8:$X$8,0))))^INDEX(Timing_Adj,MATCH($H23,Cash_Timing,0)),1)
*IF($F23=Mid_Period,(1+IF($E23=Nominal,K$10,INDEX($I$10:$X$10,,MATCH($E23,$I$8:$X$8,0))))^INDEX(Timing_Adj,MATCH($F23,Cash_Timing,0)),1),"N/A")</f>
        <v>0.80606635400410098</v>
      </c>
      <c r="L23" s="111" cm="1">
        <f t="array" ref="L23">IFERROR(IF($G23=Nominal,L$11:L$11,INDEX($I$11:$X$11,,MATCH($G23,$I$8:$X$8,0)))
/IF($E23=Nominal,L$11,INDEX($I$11:$X$11,,MATCH($E23,$I$8:$X$8,0)))
*IF($H23=Mid_Period,1/(1+IF($G23=Nominal,L$10,INDEX($I$10:$X$10,,MATCH($G23,$I$8:$X$8,0))))^INDEX(Timing_Adj,MATCH($H23,Cash_Timing,0)),1)
*IF($F23=Mid_Period,(1+IF($E23=Nominal,L$10,INDEX($I$10:$X$10,,MATCH($E23,$I$8:$X$8,0))))^INDEX(Timing_Adj,MATCH($F23,Cash_Timing,0)),1),"N/A")</f>
        <v>0.81797564331316985</v>
      </c>
      <c r="M23" s="111" cm="1">
        <f t="array" ref="M23">IFERROR(IF($G23=Nominal,M$11:M$11,INDEX($I$11:$X$11,,MATCH($G23,$I$8:$X$8,0)))
/IF($E23=Nominal,M$11,INDEX($I$11:$X$11,,MATCH($E23,$I$8:$X$8,0)))
*IF($H23=Mid_Period,1/(1+IF($G23=Nominal,M$10,INDEX($I$10:$X$10,,MATCH($G23,$I$8:$X$8,0))))^INDEX(Timing_Adj,MATCH($H23,Cash_Timing,0)),1)
*IF($F23=Mid_Period,(1+IF($E23=Nominal,M$10,INDEX($I$10:$X$10,,MATCH($E23,$I$8:$X$8,0))))^INDEX(Timing_Adj,MATCH($F23,Cash_Timing,0)),1),"N/A")</f>
        <v>0.83438152840608115</v>
      </c>
      <c r="N23" s="111" cm="1">
        <f t="array" ref="N23">IFERROR(IF($G23=Nominal,N$11:N$11,INDEX($I$11:$X$11,,MATCH($G23,$I$8:$X$8,0)))
/IF($E23=Nominal,N$11,INDEX($I$11:$X$11,,MATCH($E23,$I$8:$X$8,0)))
*IF($H23=Mid_Period,1/(1+IF($G23=Nominal,N$10,INDEX($I$10:$X$10,,MATCH($G23,$I$8:$X$8,0))))^INDEX(Timing_Adj,MATCH($H23,Cash_Timing,0)),1)
*IF($F23=Mid_Period,(1+IF($E23=Nominal,N$10,INDEX($I$10:$X$10,,MATCH($E23,$I$8:$X$8,0))))^INDEX(Timing_Adj,MATCH($F23,Cash_Timing,0)),1),"N/A")</f>
        <v>0.84969255830973633</v>
      </c>
      <c r="O23" s="111" cm="1">
        <f t="array" ref="O23">IFERROR(IF($G23=Nominal,O$11:O$11,INDEX($I$11:$X$11,,MATCH($G23,$I$8:$X$8,0)))
/IF($E23=Nominal,O$11,INDEX($I$11:$X$11,,MATCH($E23,$I$8:$X$8,0)))
*IF($H23=Mid_Period,1/(1+IF($G23=Nominal,O$10,INDEX($I$10:$X$10,,MATCH($G23,$I$8:$X$8,0))))^INDEX(Timing_Adj,MATCH($H23,Cash_Timing,0)),1)
*IF($F23=Mid_Period,(1+IF($E23=Nominal,O$10,INDEX($I$10:$X$10,,MATCH($E23,$I$8:$X$8,0))))^INDEX(Timing_Adj,MATCH($F23,Cash_Timing,0)),1),"N/A")</f>
        <v>0.85493993761612652</v>
      </c>
      <c r="P23" s="111" cm="1">
        <f t="array" ref="P23">IFERROR(IF($G23=Nominal,P$11:P$11,INDEX($I$11:$X$11,,MATCH($G23,$I$8:$X$8,0)))
/IF($E23=Nominal,P$11,INDEX($I$11:$X$11,,MATCH($E23,$I$8:$X$8,0)))
*IF($H23=Mid_Period,1/(1+IF($G23=Nominal,P$10,INDEX($I$10:$X$10,,MATCH($G23,$I$8:$X$8,0))))^INDEX(Timing_Adj,MATCH($H23,Cash_Timing,0)),1)
*IF($F23=Mid_Period,(1+IF($E23=Nominal,P$10,INDEX($I$10:$X$10,,MATCH($E23,$I$8:$X$8,0))))^INDEX(Timing_Adj,MATCH($F23,Cash_Timing,0)),1),"N/A")</f>
        <v>0.86970683151411587</v>
      </c>
      <c r="Q23" s="111" cm="1">
        <f t="array" ref="Q23">IFERROR(IF($G23=Nominal,Q$11:Q$11,INDEX($I$11:$X$11,,MATCH($G23,$I$8:$X$8,0)))
/IF($E23=Nominal,Q$11,INDEX($I$11:$X$11,,MATCH($E23,$I$8:$X$8,0)))
*IF($H23=Mid_Period,1/(1+IF($G23=Nominal,Q$10,INDEX($I$10:$X$10,,MATCH($G23,$I$8:$X$8,0))))^INDEX(Timing_Adj,MATCH($H23,Cash_Timing,0)),1)
*IF($F23=Mid_Period,(1+IF($E23=Nominal,Q$10,INDEX($I$10:$X$10,,MATCH($E23,$I$8:$X$8,0))))^INDEX(Timing_Adj,MATCH($F23,Cash_Timing,0)),1),"N/A")</f>
        <v>0.91309804412259832</v>
      </c>
      <c r="R23" s="111" cm="1">
        <f t="array" ref="R23">IFERROR(IF($G23=Nominal,R$11:R$11,INDEX($I$11:$X$11,,MATCH($G23,$I$8:$X$8,0)))
/IF($E23=Nominal,R$11,INDEX($I$11:$X$11,,MATCH($E23,$I$8:$X$8,0)))
*IF($H23=Mid_Period,1/(1+IF($G23=Nominal,R$10,INDEX($I$10:$X$10,,MATCH($G23,$I$8:$X$8,0))))^INDEX(Timing_Adj,MATCH($H23,Cash_Timing,0)),1)
*IF($F23=Mid_Period,(1+IF($E23=Nominal,R$10,INDEX($I$10:$X$10,,MATCH($E23,$I$8:$X$8,0))))^INDEX(Timing_Adj,MATCH($F23,Cash_Timing,0)),1),"N/A")</f>
        <v>0.96991431185565424</v>
      </c>
      <c r="S23" s="111" cm="1">
        <f t="array" ref="S23">IFERROR(IF($G23=Nominal,S$11:S$11,INDEX($I$11:$X$11,,MATCH($G23,$I$8:$X$8,0)))
/IF($E23=Nominal,S$11,INDEX($I$11:$X$11,,MATCH($E23,$I$8:$X$8,0)))
*IF($H23=Mid_Period,1/(1+IF($G23=Nominal,S$10,INDEX($I$10:$X$10,,MATCH($G23,$I$8:$X$8,0))))^INDEX(Timing_Adj,MATCH($H23,Cash_Timing,0)),1)
*IF($F23=Mid_Period,(1+IF($E23=Nominal,S$10,INDEX($I$10:$X$10,,MATCH($E23,$I$8:$X$8,0))))^INDEX(Timing_Adj,MATCH($F23,Cash_Timing,0)),1),"N/A")</f>
        <v>1.0207840124139878</v>
      </c>
      <c r="T23" s="111" cm="1">
        <f t="array" ref="T23">IFERROR(IF($G23=Nominal,T$11:T$11,INDEX($I$11:$X$11,,MATCH($G23,$I$8:$X$8,0)))
/IF($E23=Nominal,T$11,INDEX($I$11:$X$11,,MATCH($E23,$I$8:$X$8,0)))
*IF($H23=Mid_Period,1/(1+IF($G23=Nominal,T$10,INDEX($I$10:$X$10,,MATCH($G23,$I$8:$X$8,0))))^INDEX(Timing_Adj,MATCH($H23,Cash_Timing,0)),1)
*IF($F23=Mid_Period,(1+IF($E23=Nominal,T$10,INDEX($I$10:$X$10,,MATCH($E23,$I$8:$X$8,0))))^INDEX(Timing_Adj,MATCH($F23,Cash_Timing,0)),1),"N/A")</f>
        <v>1.0571018875165492</v>
      </c>
      <c r="U23" s="111" cm="1">
        <f t="array" ref="U23">IFERROR(IF($G23=Nominal,U$11:U$11,INDEX($I$11:$X$11,,MATCH($G23,$I$8:$X$8,0)))
/IF($E23=Nominal,U$11,INDEX($I$11:$X$11,,MATCH($E23,$I$8:$X$8,0)))
*IF($H23=Mid_Period,1/(1+IF($G23=Nominal,U$10,INDEX($I$10:$X$10,,MATCH($G23,$I$8:$X$8,0))))^INDEX(Timing_Adj,MATCH($H23,Cash_Timing,0)),1)
*IF($F23=Mid_Period,(1+IF($E23=Nominal,U$10,INDEX($I$10:$X$10,,MATCH($E23,$I$8:$X$8,0))))^INDEX(Timing_Adj,MATCH($F23,Cash_Timing,0)),1),"N/A")</f>
        <v>1.0879654575923952</v>
      </c>
      <c r="V23" s="111" cm="1">
        <f t="array" ref="V23">IFERROR(IF($G23=Nominal,V$11:V$11,INDEX($I$11:$X$11,,MATCH($G23,$I$8:$X$8,0)))
/IF($E23=Nominal,V$11,INDEX($I$11:$X$11,,MATCH($E23,$I$8:$X$8,0)))
*IF($H23=Mid_Period,1/(1+IF($G23=Nominal,V$10,INDEX($I$10:$X$10,,MATCH($G23,$I$8:$X$8,0))))^INDEX(Timing_Adj,MATCH($H23,Cash_Timing,0)),1)
*IF($F23=Mid_Period,(1+IF($E23=Nominal,V$10,INDEX($I$10:$X$10,,MATCH($E23,$I$8:$X$8,0))))^INDEX(Timing_Adj,MATCH($F23,Cash_Timing,0)),1),"N/A")</f>
        <v>1.119730132820995</v>
      </c>
      <c r="W23" s="111" cm="1">
        <f t="array" ref="W23">IFERROR(IF($G23=Nominal,W$11:W$11,INDEX($I$11:$X$11,,MATCH($G23,$I$8:$X$8,0)))
/IF($E23=Nominal,W$11,INDEX($I$11:$X$11,,MATCH($E23,$I$8:$X$8,0)))
*IF($H23=Mid_Period,1/(1+IF($G23=Nominal,W$10,INDEX($I$10:$X$10,,MATCH($G23,$I$8:$X$8,0))))^INDEX(Timing_Adj,MATCH($H23,Cash_Timing,0)),1)
*IF($F23=Mid_Period,(1+IF($E23=Nominal,W$10,INDEX($I$10:$X$10,,MATCH($E23,$I$8:$X$8,0))))^INDEX(Timing_Adj,MATCH($F23,Cash_Timing,0)),1),"N/A")</f>
        <v>1.1524222222292793</v>
      </c>
      <c r="X23" s="111" cm="1">
        <f t="array" ref="X23">IFERROR(IF($G23=Nominal,X$11:X$11,INDEX($I$11:$X$11,,MATCH($G23,$I$8:$X$8,0)))
/IF($E23=Nominal,X$11,INDEX($I$11:$X$11,,MATCH($E23,$I$8:$X$8,0)))
*IF($H23=Mid_Period,1/(1+IF($G23=Nominal,X$10,INDEX($I$10:$X$10,,MATCH($G23,$I$8:$X$8,0))))^INDEX(Timing_Adj,MATCH($H23,Cash_Timing,0)),1)
*IF($F23=Mid_Period,(1+IF($E23=Nominal,X$10,INDEX($I$10:$X$10,,MATCH($E23,$I$8:$X$8,0))))^INDEX(Timing_Adj,MATCH($F23,Cash_Timing,0)),1),"N/A")</f>
        <v>1.1860688029730668</v>
      </c>
    </row>
    <row r="24" spans="2:24" ht="11.25" customHeight="1" x14ac:dyDescent="0.3">
      <c r="D24" s="6" t="str">
        <f t="shared" ref="D24" si="10">IF(E24=Nominal,"","Real ")&amp;E24&amp;" ("&amp;F24&amp;") to "
&amp;IF(G24=Nominal,"","Real ")&amp;G24&amp;" ("&amp;H24&amp;")"</f>
        <v>Real 2022 (End Period) to Real 2024 (End Period)</v>
      </c>
      <c r="E24" s="113">
        <v>2022</v>
      </c>
      <c r="F24" s="113" t="s">
        <v>55</v>
      </c>
      <c r="G24" s="113">
        <v>2024</v>
      </c>
      <c r="H24" s="113" t="s">
        <v>55</v>
      </c>
      <c r="I24" s="111" cm="1">
        <f t="array" ref="I24">IFERROR(IF($G24=Nominal,I$11:I$11,INDEX($I$11:$X$11,,MATCH($G24,$I$8:$X$8,0)))
/IF($E24=Nominal,I$11,INDEX($I$11:$X$11,,MATCH($E24,$I$8:$X$8,0)))
*IF($H24=Mid_Period,1/(1+IF($G24=Nominal,I$10,INDEX($I$10:$X$10,,MATCH($G24,$I$8:$X$8,0))))^INDEX(Timing_Adj,MATCH($H24,Cash_Timing,0)),1)
*IF($F24=Mid_Period,(1+IF($E24=Nominal,I$10,INDEX($I$10:$X$10,,MATCH($E24,$I$8:$X$8,0))))^INDEX(Timing_Adj,MATCH($F24,Cash_Timing,0)),1),"N/A")</f>
        <v>1.1076460000000001</v>
      </c>
      <c r="J24" s="111" cm="1">
        <f t="array" ref="J24">IFERROR(IF($G24=Nominal,J$11:J$11,INDEX($I$11:$X$11,,MATCH($G24,$I$8:$X$8,0)))
/IF($E24=Nominal,J$11,INDEX($I$11:$X$11,,MATCH($E24,$I$8:$X$8,0)))
*IF($H24=Mid_Period,1/(1+IF($G24=Nominal,J$10,INDEX($I$10:$X$10,,MATCH($G24,$I$8:$X$8,0))))^INDEX(Timing_Adj,MATCH($H24,Cash_Timing,0)),1)
*IF($F24=Mid_Period,(1+IF($E24=Nominal,J$10,INDEX($I$10:$X$10,,MATCH($E24,$I$8:$X$8,0))))^INDEX(Timing_Adj,MATCH($F24,Cash_Timing,0)),1),"N/A")</f>
        <v>1.1076460000000001</v>
      </c>
      <c r="K24" s="111" cm="1">
        <f t="array" ref="K24">IFERROR(IF($G24=Nominal,K$11:K$11,INDEX($I$11:$X$11,,MATCH($G24,$I$8:$X$8,0)))
/IF($E24=Nominal,K$11,INDEX($I$11:$X$11,,MATCH($E24,$I$8:$X$8,0)))
*IF($H24=Mid_Period,1/(1+IF($G24=Nominal,K$10,INDEX($I$10:$X$10,,MATCH($G24,$I$8:$X$8,0))))^INDEX(Timing_Adj,MATCH($H24,Cash_Timing,0)),1)
*IF($F24=Mid_Period,(1+IF($E24=Nominal,K$10,INDEX($I$10:$X$10,,MATCH($E24,$I$8:$X$8,0))))^INDEX(Timing_Adj,MATCH($F24,Cash_Timing,0)),1),"N/A")</f>
        <v>1.1076460000000001</v>
      </c>
      <c r="L24" s="111" cm="1">
        <f t="array" ref="L24">IFERROR(IF($G24=Nominal,L$11:L$11,INDEX($I$11:$X$11,,MATCH($G24,$I$8:$X$8,0)))
/IF($E24=Nominal,L$11,INDEX($I$11:$X$11,,MATCH($E24,$I$8:$X$8,0)))
*IF($H24=Mid_Period,1/(1+IF($G24=Nominal,L$10,INDEX($I$10:$X$10,,MATCH($G24,$I$8:$X$8,0))))^INDEX(Timing_Adj,MATCH($H24,Cash_Timing,0)),1)
*IF($F24=Mid_Period,(1+IF($E24=Nominal,L$10,INDEX($I$10:$X$10,,MATCH($E24,$I$8:$X$8,0))))^INDEX(Timing_Adj,MATCH($F24,Cash_Timing,0)),1),"N/A")</f>
        <v>1.1076460000000001</v>
      </c>
      <c r="M24" s="111" cm="1">
        <f t="array" ref="M24">IFERROR(IF($G24=Nominal,M$11:M$11,INDEX($I$11:$X$11,,MATCH($G24,$I$8:$X$8,0)))
/IF($E24=Nominal,M$11,INDEX($I$11:$X$11,,MATCH($E24,$I$8:$X$8,0)))
*IF($H24=Mid_Period,1/(1+IF($G24=Nominal,M$10,INDEX($I$10:$X$10,,MATCH($G24,$I$8:$X$8,0))))^INDEX(Timing_Adj,MATCH($H24,Cash_Timing,0)),1)
*IF($F24=Mid_Period,(1+IF($E24=Nominal,M$10,INDEX($I$10:$X$10,,MATCH($E24,$I$8:$X$8,0))))^INDEX(Timing_Adj,MATCH($F24,Cash_Timing,0)),1),"N/A")</f>
        <v>1.1076460000000001</v>
      </c>
      <c r="N24" s="111" cm="1">
        <f t="array" ref="N24">IFERROR(IF($G24=Nominal,N$11:N$11,INDEX($I$11:$X$11,,MATCH($G24,$I$8:$X$8,0)))
/IF($E24=Nominal,N$11,INDEX($I$11:$X$11,,MATCH($E24,$I$8:$X$8,0)))
*IF($H24=Mid_Period,1/(1+IF($G24=Nominal,N$10,INDEX($I$10:$X$10,,MATCH($G24,$I$8:$X$8,0))))^INDEX(Timing_Adj,MATCH($H24,Cash_Timing,0)),1)
*IF($F24=Mid_Period,(1+IF($E24=Nominal,N$10,INDEX($I$10:$X$10,,MATCH($E24,$I$8:$X$8,0))))^INDEX(Timing_Adj,MATCH($F24,Cash_Timing,0)),1),"N/A")</f>
        <v>1.1076460000000001</v>
      </c>
      <c r="O24" s="111" cm="1">
        <f t="array" ref="O24">IFERROR(IF($G24=Nominal,O$11:O$11,INDEX($I$11:$X$11,,MATCH($G24,$I$8:$X$8,0)))
/IF($E24=Nominal,O$11,INDEX($I$11:$X$11,,MATCH($E24,$I$8:$X$8,0)))
*IF($H24=Mid_Period,1/(1+IF($G24=Nominal,O$10,INDEX($I$10:$X$10,,MATCH($G24,$I$8:$X$8,0))))^INDEX(Timing_Adj,MATCH($H24,Cash_Timing,0)),1)
*IF($F24=Mid_Period,(1+IF($E24=Nominal,O$10,INDEX($I$10:$X$10,,MATCH($E24,$I$8:$X$8,0))))^INDEX(Timing_Adj,MATCH($F24,Cash_Timing,0)),1),"N/A")</f>
        <v>1.1076460000000001</v>
      </c>
      <c r="P24" s="111" cm="1">
        <f t="array" ref="P24">IFERROR(IF($G24=Nominal,P$11:P$11,INDEX($I$11:$X$11,,MATCH($G24,$I$8:$X$8,0)))
/IF($E24=Nominal,P$11,INDEX($I$11:$X$11,,MATCH($E24,$I$8:$X$8,0)))
*IF($H24=Mid_Period,1/(1+IF($G24=Nominal,P$10,INDEX($I$10:$X$10,,MATCH($G24,$I$8:$X$8,0))))^INDEX(Timing_Adj,MATCH($H24,Cash_Timing,0)),1)
*IF($F24=Mid_Period,(1+IF($E24=Nominal,P$10,INDEX($I$10:$X$10,,MATCH($E24,$I$8:$X$8,0))))^INDEX(Timing_Adj,MATCH($F24,Cash_Timing,0)),1),"N/A")</f>
        <v>1.1076460000000001</v>
      </c>
      <c r="Q24" s="111" cm="1">
        <f t="array" ref="Q24">IFERROR(IF($G24=Nominal,Q$11:Q$11,INDEX($I$11:$X$11,,MATCH($G24,$I$8:$X$8,0)))
/IF($E24=Nominal,Q$11,INDEX($I$11:$X$11,,MATCH($E24,$I$8:$X$8,0)))
*IF($H24=Mid_Period,1/(1+IF($G24=Nominal,Q$10,INDEX($I$10:$X$10,,MATCH($G24,$I$8:$X$8,0))))^INDEX(Timing_Adj,MATCH($H24,Cash_Timing,0)),1)
*IF($F24=Mid_Period,(1+IF($E24=Nominal,Q$10,INDEX($I$10:$X$10,,MATCH($E24,$I$8:$X$8,0))))^INDEX(Timing_Adj,MATCH($F24,Cash_Timing,0)),1),"N/A")</f>
        <v>1.1076460000000001</v>
      </c>
      <c r="R24" s="111" cm="1">
        <f t="array" ref="R24">IFERROR(IF($G24=Nominal,R$11:R$11,INDEX($I$11:$X$11,,MATCH($G24,$I$8:$X$8,0)))
/IF($E24=Nominal,R$11,INDEX($I$11:$X$11,,MATCH($E24,$I$8:$X$8,0)))
*IF($H24=Mid_Period,1/(1+IF($G24=Nominal,R$10,INDEX($I$10:$X$10,,MATCH($G24,$I$8:$X$8,0))))^INDEX(Timing_Adj,MATCH($H24,Cash_Timing,0)),1)
*IF($F24=Mid_Period,(1+IF($E24=Nominal,R$10,INDEX($I$10:$X$10,,MATCH($E24,$I$8:$X$8,0))))^INDEX(Timing_Adj,MATCH($F24,Cash_Timing,0)),1),"N/A")</f>
        <v>1.1076460000000001</v>
      </c>
      <c r="S24" s="111" cm="1">
        <f t="array" ref="S24">IFERROR(IF($G24=Nominal,S$11:S$11,INDEX($I$11:$X$11,,MATCH($G24,$I$8:$X$8,0)))
/IF($E24=Nominal,S$11,INDEX($I$11:$X$11,,MATCH($E24,$I$8:$X$8,0)))
*IF($H24=Mid_Period,1/(1+IF($G24=Nominal,S$10,INDEX($I$10:$X$10,,MATCH($G24,$I$8:$X$8,0))))^INDEX(Timing_Adj,MATCH($H24,Cash_Timing,0)),1)
*IF($F24=Mid_Period,(1+IF($E24=Nominal,S$10,INDEX($I$10:$X$10,,MATCH($E24,$I$8:$X$8,0))))^INDEX(Timing_Adj,MATCH($F24,Cash_Timing,0)),1),"N/A")</f>
        <v>1.1076460000000001</v>
      </c>
      <c r="T24" s="111" cm="1">
        <f t="array" ref="T24">IFERROR(IF($G24=Nominal,T$11:T$11,INDEX($I$11:$X$11,,MATCH($G24,$I$8:$X$8,0)))
/IF($E24=Nominal,T$11,INDEX($I$11:$X$11,,MATCH($E24,$I$8:$X$8,0)))
*IF($H24=Mid_Period,1/(1+IF($G24=Nominal,T$10,INDEX($I$10:$X$10,,MATCH($G24,$I$8:$X$8,0))))^INDEX(Timing_Adj,MATCH($H24,Cash_Timing,0)),1)
*IF($F24=Mid_Period,(1+IF($E24=Nominal,T$10,INDEX($I$10:$X$10,,MATCH($E24,$I$8:$X$8,0))))^INDEX(Timing_Adj,MATCH($F24,Cash_Timing,0)),1),"N/A")</f>
        <v>1.1076460000000001</v>
      </c>
      <c r="U24" s="111" cm="1">
        <f t="array" ref="U24">IFERROR(IF($G24=Nominal,U$11:U$11,INDEX($I$11:$X$11,,MATCH($G24,$I$8:$X$8,0)))
/IF($E24=Nominal,U$11,INDEX($I$11:$X$11,,MATCH($E24,$I$8:$X$8,0)))
*IF($H24=Mid_Period,1/(1+IF($G24=Nominal,U$10,INDEX($I$10:$X$10,,MATCH($G24,$I$8:$X$8,0))))^INDEX(Timing_Adj,MATCH($H24,Cash_Timing,0)),1)
*IF($F24=Mid_Period,(1+IF($E24=Nominal,U$10,INDEX($I$10:$X$10,,MATCH($E24,$I$8:$X$8,0))))^INDEX(Timing_Adj,MATCH($F24,Cash_Timing,0)),1),"N/A")</f>
        <v>1.1076460000000001</v>
      </c>
      <c r="V24" s="111" cm="1">
        <f t="array" ref="V24">IFERROR(IF($G24=Nominal,V$11:V$11,INDEX($I$11:$X$11,,MATCH($G24,$I$8:$X$8,0)))
/IF($E24=Nominal,V$11,INDEX($I$11:$X$11,,MATCH($E24,$I$8:$X$8,0)))
*IF($H24=Mid_Period,1/(1+IF($G24=Nominal,V$10,INDEX($I$10:$X$10,,MATCH($G24,$I$8:$X$8,0))))^INDEX(Timing_Adj,MATCH($H24,Cash_Timing,0)),1)
*IF($F24=Mid_Period,(1+IF($E24=Nominal,V$10,INDEX($I$10:$X$10,,MATCH($E24,$I$8:$X$8,0))))^INDEX(Timing_Adj,MATCH($F24,Cash_Timing,0)),1),"N/A")</f>
        <v>1.1076460000000001</v>
      </c>
      <c r="W24" s="111" cm="1">
        <f t="array" ref="W24">IFERROR(IF($G24=Nominal,W$11:W$11,INDEX($I$11:$X$11,,MATCH($G24,$I$8:$X$8,0)))
/IF($E24=Nominal,W$11,INDEX($I$11:$X$11,,MATCH($E24,$I$8:$X$8,0)))
*IF($H24=Mid_Period,1/(1+IF($G24=Nominal,W$10,INDEX($I$10:$X$10,,MATCH($G24,$I$8:$X$8,0))))^INDEX(Timing_Adj,MATCH($H24,Cash_Timing,0)),1)
*IF($F24=Mid_Period,(1+IF($E24=Nominal,W$10,INDEX($I$10:$X$10,,MATCH($E24,$I$8:$X$8,0))))^INDEX(Timing_Adj,MATCH($F24,Cash_Timing,0)),1),"N/A")</f>
        <v>1.1076460000000001</v>
      </c>
      <c r="X24" s="111" cm="1">
        <f t="array" ref="X24">IFERROR(IF($G24=Nominal,X$11:X$11,INDEX($I$11:$X$11,,MATCH($G24,$I$8:$X$8,0)))
/IF($E24=Nominal,X$11,INDEX($I$11:$X$11,,MATCH($E24,$I$8:$X$8,0)))
*IF($H24=Mid_Period,1/(1+IF($G24=Nominal,X$10,INDEX($I$10:$X$10,,MATCH($G24,$I$8:$X$8,0))))^INDEX(Timing_Adj,MATCH($H24,Cash_Timing,0)),1)
*IF($F24=Mid_Period,(1+IF($E24=Nominal,X$10,INDEX($I$10:$X$10,,MATCH($E24,$I$8:$X$8,0))))^INDEX(Timing_Adj,MATCH($F24,Cash_Timing,0)),1),"N/A")</f>
        <v>1.1076460000000001</v>
      </c>
    </row>
    <row r="25" spans="2:24" ht="11.25" customHeight="1" x14ac:dyDescent="0.3">
      <c r="D25" s="6" t="str">
        <f t="shared" ref="D25" si="11">IF(E25=Nominal,"","Real ")&amp;E25&amp;" ("&amp;F25&amp;") to "
&amp;IF(G25=Nominal,"","Real ")&amp;G25&amp;" ("&amp;H25&amp;")"</f>
        <v>Real 2022 (End Period) to Nominal (Mid Period)</v>
      </c>
      <c r="E25" s="113">
        <v>2022</v>
      </c>
      <c r="F25" s="113" t="s">
        <v>55</v>
      </c>
      <c r="G25" s="113" t="s">
        <v>36</v>
      </c>
      <c r="H25" s="113" t="s">
        <v>56</v>
      </c>
      <c r="I25" s="111" cm="1">
        <f t="array" ref="I25">IFERROR(IF($G25=Nominal,I$11:I$11,INDEX($I$11:$X$11,,MATCH($G25,$I$8:$X$8,0)))
/IF($E25=Nominal,I$11,INDEX($I$11:$X$11,,MATCH($E25,$I$8:$X$8,0)))
*IF($H25=Mid_Period,1/(1+IF($G25=Nominal,I$10,INDEX($I$10:$X$10,,MATCH($G25,$I$8:$X$8,0))))^INDEX(Timing_Adj,MATCH($H25,Cash_Timing,0)),1)
*IF($F25=Mid_Period,(1+IF($E25=Nominal,I$10,INDEX($I$10:$X$10,,MATCH($E25,$I$8:$X$8,0))))^INDEX(Timing_Adj,MATCH($F25,Cash_Timing,0)),1),"N/A")</f>
        <v>0.82742654738788324</v>
      </c>
      <c r="J25" s="111" cm="1">
        <f t="array" ref="J25">IFERROR(IF($G25=Nominal,J$11:J$11,INDEX($I$11:$X$11,,MATCH($G25,$I$8:$X$8,0)))
/IF($E25=Nominal,J$11,INDEX($I$11:$X$11,,MATCH($E25,$I$8:$X$8,0)))
*IF($H25=Mid_Period,1/(1+IF($G25=Nominal,J$10,INDEX($I$10:$X$10,,MATCH($G25,$I$8:$X$8,0))))^INDEX(Timing_Adj,MATCH($H25,Cash_Timing,0)),1)
*IF($F25=Mid_Period,(1+IF($E25=Nominal,J$10,INDEX($I$10:$X$10,,MATCH($E25,$I$8:$X$8,0))))^INDEX(Timing_Adj,MATCH($F25,Cash_Timing,0)),1),"N/A")</f>
        <v>0.8461300626095003</v>
      </c>
      <c r="K25" s="111" cm="1">
        <f t="array" ref="K25">IFERROR(IF($G25=Nominal,K$11:K$11,INDEX($I$11:$X$11,,MATCH($G25,$I$8:$X$8,0)))
/IF($E25=Nominal,K$11,INDEX($I$11:$X$11,,MATCH($E25,$I$8:$X$8,0)))
*IF($H25=Mid_Period,1/(1+IF($G25=Nominal,K$10,INDEX($I$10:$X$10,,MATCH($G25,$I$8:$X$8,0))))^INDEX(Timing_Adj,MATCH($H25,Cash_Timing,0)),1)
*IF($F25=Mid_Period,(1+IF($E25=Nominal,K$10,INDEX($I$10:$X$10,,MATCH($E25,$I$8:$X$8,0))))^INDEX(Timing_Adj,MATCH($F25,Cash_Timing,0)),1),"N/A")</f>
        <v>0.85684853430635932</v>
      </c>
      <c r="L25" s="111" cm="1">
        <f t="array" ref="L25">IFERROR(IF($G25=Nominal,L$11:L$11,INDEX($I$11:$X$11,,MATCH($G25,$I$8:$X$8,0)))
/IF($E25=Nominal,L$11,INDEX($I$11:$X$11,,MATCH($E25,$I$8:$X$8,0)))
*IF($H25=Mid_Period,1/(1+IF($G25=Nominal,L$10,INDEX($I$10:$X$10,,MATCH($G25,$I$8:$X$8,0))))^INDEX(Timing_Adj,MATCH($H25,Cash_Timing,0)),1)
*IF($F25=Mid_Period,(1+IF($E25=Nominal,L$10,INDEX($I$10:$X$10,,MATCH($E25,$I$8:$X$8,0))))^INDEX(Timing_Adj,MATCH($F25,Cash_Timing,0)),1),"N/A")</f>
        <v>0.86950810884189955</v>
      </c>
      <c r="M25" s="111" cm="1">
        <f t="array" ref="M25">IFERROR(IF($G25=Nominal,M$11:M$11,INDEX($I$11:$X$11,,MATCH($G25,$I$8:$X$8,0)))
/IF($E25=Nominal,M$11,INDEX($I$11:$X$11,,MATCH($E25,$I$8:$X$8,0)))
*IF($H25=Mid_Period,1/(1+IF($G25=Nominal,M$10,INDEX($I$10:$X$10,,MATCH($G25,$I$8:$X$8,0))))^INDEX(Timing_Adj,MATCH($H25,Cash_Timing,0)),1)
*IF($F25=Mid_Period,(1+IF($E25=Nominal,M$10,INDEX($I$10:$X$10,,MATCH($E25,$I$8:$X$8,0))))^INDEX(Timing_Adj,MATCH($F25,Cash_Timing,0)),1),"N/A")</f>
        <v>0.88694756469566427</v>
      </c>
      <c r="N25" s="111" cm="1">
        <f t="array" ref="N25">IFERROR(IF($G25=Nominal,N$11:N$11,INDEX($I$11:$X$11,,MATCH($G25,$I$8:$X$8,0)))
/IF($E25=Nominal,N$11,INDEX($I$11:$X$11,,MATCH($E25,$I$8:$X$8,0)))
*IF($H25=Mid_Period,1/(1+IF($G25=Nominal,N$10,INDEX($I$10:$X$10,,MATCH($G25,$I$8:$X$8,0))))^INDEX(Timing_Adj,MATCH($H25,Cash_Timing,0)),1)
*IF($F25=Mid_Period,(1+IF($E25=Nominal,N$10,INDEX($I$10:$X$10,,MATCH($E25,$I$8:$X$8,0))))^INDEX(Timing_Adj,MATCH($F25,Cash_Timing,0)),1),"N/A")</f>
        <v>0.90322318948324976</v>
      </c>
      <c r="O25" s="111" cm="1">
        <f t="array" ref="O25">IFERROR(IF($G25=Nominal,O$11:O$11,INDEX($I$11:$X$11,,MATCH($G25,$I$8:$X$8,0)))
/IF($E25=Nominal,O$11,INDEX($I$11:$X$11,,MATCH($E25,$I$8:$X$8,0)))
*IF($H25=Mid_Period,1/(1+IF($G25=Nominal,O$10,INDEX($I$10:$X$10,,MATCH($G25,$I$8:$X$8,0))))^INDEX(Timing_Adj,MATCH($H25,Cash_Timing,0)),1)
*IF($F25=Mid_Period,(1+IF($E25=Nominal,O$10,INDEX($I$10:$X$10,,MATCH($E25,$I$8:$X$8,0))))^INDEX(Timing_Adj,MATCH($F25,Cash_Timing,0)),1),"N/A")</f>
        <v>0.90880115368594261</v>
      </c>
      <c r="P25" s="111" cm="1">
        <f t="array" ref="P25">IFERROR(IF($G25=Nominal,P$11:P$11,INDEX($I$11:$X$11,,MATCH($G25,$I$8:$X$8,0)))
/IF($E25=Nominal,P$11,INDEX($I$11:$X$11,,MATCH($E25,$I$8:$X$8,0)))
*IF($H25=Mid_Period,1/(1+IF($G25=Nominal,P$10,INDEX($I$10:$X$10,,MATCH($G25,$I$8:$X$8,0))))^INDEX(Timing_Adj,MATCH($H25,Cash_Timing,0)),1)
*IF($F25=Mid_Period,(1+IF($E25=Nominal,P$10,INDEX($I$10:$X$10,,MATCH($E25,$I$8:$X$8,0))))^INDEX(Timing_Adj,MATCH($F25,Cash_Timing,0)),1),"N/A")</f>
        <v>0.92449836189950529</v>
      </c>
      <c r="Q25" s="111" cm="1">
        <f t="array" ref="Q25">IFERROR(IF($G25=Nominal,Q$11:Q$11,INDEX($I$11:$X$11,,MATCH($G25,$I$8:$X$8,0)))
/IF($E25=Nominal,Q$11,INDEX($I$11:$X$11,,MATCH($E25,$I$8:$X$8,0)))
*IF($H25=Mid_Period,1/(1+IF($G25=Nominal,Q$10,INDEX($I$10:$X$10,,MATCH($G25,$I$8:$X$8,0))))^INDEX(Timing_Adj,MATCH($H25,Cash_Timing,0)),1)
*IF($F25=Mid_Period,(1+IF($E25=Nominal,Q$10,INDEX($I$10:$X$10,,MATCH($E25,$I$8:$X$8,0))))^INDEX(Timing_Adj,MATCH($F25,Cash_Timing,0)),1),"N/A")</f>
        <v>0.970623220902322</v>
      </c>
      <c r="R25" s="111" cm="1">
        <f t="array" ref="R25">IFERROR(IF($G25=Nominal,R$11:R$11,INDEX($I$11:$X$11,,MATCH($G25,$I$8:$X$8,0)))
/IF($E25=Nominal,R$11,INDEX($I$11:$X$11,,MATCH($E25,$I$8:$X$8,0)))
*IF($H25=Mid_Period,1/(1+IF($G25=Nominal,R$10,INDEX($I$10:$X$10,,MATCH($G25,$I$8:$X$8,0))))^INDEX(Timing_Adj,MATCH($H25,Cash_Timing,0)),1)
*IF($F25=Mid_Period,(1+IF($E25=Nominal,R$10,INDEX($I$10:$X$10,,MATCH($E25,$I$8:$X$8,0))))^INDEX(Timing_Adj,MATCH($F25,Cash_Timing,0)),1),"N/A")</f>
        <v>1.0310189135025605</v>
      </c>
      <c r="S25" s="111" cm="1">
        <f t="array" ref="S25">IFERROR(IF($G25=Nominal,S$11:S$11,INDEX($I$11:$X$11,,MATCH($G25,$I$8:$X$8,0)))
/IF($E25=Nominal,S$11,INDEX($I$11:$X$11,,MATCH($E25,$I$8:$X$8,0)))
*IF($H25=Mid_Period,1/(1+IF($G25=Nominal,S$10,INDEX($I$10:$X$10,,MATCH($G25,$I$8:$X$8,0))))^INDEX(Timing_Adj,MATCH($H25,Cash_Timing,0)),1)
*IF($F25=Mid_Period,(1+IF($E25=Nominal,S$10,INDEX($I$10:$X$10,,MATCH($E25,$I$8:$X$8,0))))^INDEX(Timing_Adj,MATCH($F25,Cash_Timing,0)),1),"N/A")</f>
        <v>1.085093405196069</v>
      </c>
      <c r="T25" s="111" cm="1">
        <f t="array" ref="T25">IFERROR(IF($G25=Nominal,T$11:T$11,INDEX($I$11:$X$11,,MATCH($G25,$I$8:$X$8,0)))
/IF($E25=Nominal,T$11,INDEX($I$11:$X$11,,MATCH($E25,$I$8:$X$8,0)))
*IF($H25=Mid_Period,1/(1+IF($G25=Nominal,T$10,INDEX($I$10:$X$10,,MATCH($G25,$I$8:$X$8,0))))^INDEX(Timing_Adj,MATCH($H25,Cash_Timing,0)),1)
*IF($F25=Mid_Period,(1+IF($E25=Nominal,T$10,INDEX($I$10:$X$10,,MATCH($E25,$I$8:$X$8,0))))^INDEX(Timing_Adj,MATCH($F25,Cash_Timing,0)),1),"N/A")</f>
        <v>1.123699306430092</v>
      </c>
      <c r="U25" s="111" cm="1">
        <f t="array" ref="U25">IFERROR(IF($G25=Nominal,U$11:U$11,INDEX($I$11:$X$11,,MATCH($G25,$I$8:$X$8,0)))
/IF($E25=Nominal,U$11,INDEX($I$11:$X$11,,MATCH($E25,$I$8:$X$8,0)))
*IF($H25=Mid_Period,1/(1+IF($G25=Nominal,U$10,INDEX($I$10:$X$10,,MATCH($G25,$I$8:$X$8,0))))^INDEX(Timing_Adj,MATCH($H25,Cash_Timing,0)),1)
*IF($F25=Mid_Period,(1+IF($E25=Nominal,U$10,INDEX($I$10:$X$10,,MATCH($E25,$I$8:$X$8,0))))^INDEX(Timing_Adj,MATCH($F25,Cash_Timing,0)),1),"N/A")</f>
        <v>1.1565072814207162</v>
      </c>
      <c r="V25" s="111" cm="1">
        <f t="array" ref="V25">IFERROR(IF($G25=Nominal,V$11:V$11,INDEX($I$11:$X$11,,MATCH($G25,$I$8:$X$8,0)))
/IF($E25=Nominal,V$11,INDEX($I$11:$X$11,,MATCH($E25,$I$8:$X$8,0)))
*IF($H25=Mid_Period,1/(1+IF($G25=Nominal,V$10,INDEX($I$10:$X$10,,MATCH($G25,$I$8:$X$8,0))))^INDEX(Timing_Adj,MATCH($H25,Cash_Timing,0)),1)
*IF($F25=Mid_Period,(1+IF($E25=Nominal,V$10,INDEX($I$10:$X$10,,MATCH($E25,$I$8:$X$8,0))))^INDEX(Timing_Adj,MATCH($F25,Cash_Timing,0)),1),"N/A")</f>
        <v>1.1902731311887176</v>
      </c>
      <c r="W25" s="111" cm="1">
        <f t="array" ref="W25">IFERROR(IF($G25=Nominal,W$11:W$11,INDEX($I$11:$X$11,,MATCH($G25,$I$8:$X$8,0)))
/IF($E25=Nominal,W$11,INDEX($I$11:$X$11,,MATCH($E25,$I$8:$X$8,0)))
*IF($H25=Mid_Period,1/(1+IF($G25=Nominal,W$10,INDEX($I$10:$X$10,,MATCH($G25,$I$8:$X$8,0))))^INDEX(Timing_Adj,MATCH($H25,Cash_Timing,0)),1)
*IF($F25=Mid_Period,(1+IF($E25=Nominal,W$10,INDEX($I$10:$X$10,,MATCH($E25,$I$8:$X$8,0))))^INDEX(Timing_Adj,MATCH($F25,Cash_Timing,0)),1),"N/A")</f>
        <v>1.225024822229724</v>
      </c>
      <c r="X25" s="111" cm="1">
        <f t="array" ref="X25">IFERROR(IF($G25=Nominal,X$11:X$11,INDEX($I$11:$X$11,,MATCH($G25,$I$8:$X$8,0)))
/IF($E25=Nominal,X$11,INDEX($I$11:$X$11,,MATCH($E25,$I$8:$X$8,0)))
*IF($H25=Mid_Period,1/(1+IF($G25=Nominal,X$10,INDEX($I$10:$X$10,,MATCH($G25,$I$8:$X$8,0))))^INDEX(Timing_Adj,MATCH($H25,Cash_Timing,0)),1)
*IF($F25=Mid_Period,(1+IF($E25=Nominal,X$10,INDEX($I$10:$X$10,,MATCH($E25,$I$8:$X$8,0))))^INDEX(Timing_Adj,MATCH($F25,Cash_Timing,0)),1),"N/A")</f>
        <v>1.26079113756037</v>
      </c>
    </row>
    <row r="26" spans="2:24" ht="11.25" customHeight="1" x14ac:dyDescent="0.3">
      <c r="D26" s="6" t="str">
        <f t="shared" ref="D26" si="12">IF(E26=Nominal,"","Real ")&amp;E26&amp;" ("&amp;F26&amp;") to "
&amp;IF(G26=Nominal,"","Real ")&amp;G26&amp;" ("&amp;H26&amp;")"</f>
        <v>Nominal (Mid Period) to Real 2022 (Mid Period)</v>
      </c>
      <c r="E26" s="113" t="s">
        <v>36</v>
      </c>
      <c r="F26" s="113" t="s">
        <v>56</v>
      </c>
      <c r="G26" s="113">
        <v>2022</v>
      </c>
      <c r="H26" s="113" t="s">
        <v>56</v>
      </c>
      <c r="I26" s="111" cm="1">
        <f t="array" ref="I26">IFERROR(IF($G26=Nominal,I$11:I$11,INDEX($I$11:$X$11,,MATCH($G26,$I$8:$X$8,0)))
/IF($E26=Nominal,I$11,INDEX($I$11:$X$11,,MATCH($E26,$I$8:$X$8,0)))
*IF($H26=Mid_Period,1/(1+IF($G26=Nominal,I$10,INDEX($I$10:$X$10,,MATCH($G26,$I$8:$X$8,0))))^INDEX(Timing_Adj,MATCH($H26,Cash_Timing,0)),1)
*IF($F26=Mid_Period,(1+IF($E26=Nominal,I$10,INDEX($I$10:$X$10,,MATCH($E26,$I$8:$X$8,0))))^INDEX(Timing_Adj,MATCH($F26,Cash_Timing,0)),1),"N/A")</f>
        <v>1.1730627014162147</v>
      </c>
      <c r="J26" s="111" cm="1">
        <f t="array" ref="J26">IFERROR(IF($G26=Nominal,J$11:J$11,INDEX($I$11:$X$11,,MATCH($G26,$I$8:$X$8,0)))
/IF($E26=Nominal,J$11,INDEX($I$11:$X$11,,MATCH($E26,$I$8:$X$8,0)))
*IF($H26=Mid_Period,1/(1+IF($G26=Nominal,J$10,INDEX($I$10:$X$10,,MATCH($G26,$I$8:$X$8,0))))^INDEX(Timing_Adj,MATCH($H26,Cash_Timing,0)),1)
*IF($F26=Mid_Period,(1+IF($E26=Nominal,J$10,INDEX($I$10:$X$10,,MATCH($E26,$I$8:$X$8,0))))^INDEX(Timing_Adj,MATCH($F26,Cash_Timing,0)),1),"N/A")</f>
        <v>1.1471324135545777</v>
      </c>
      <c r="K26" s="111" cm="1">
        <f t="array" ref="K26">IFERROR(IF($G26=Nominal,K$11:K$11,INDEX($I$11:$X$11,,MATCH($G26,$I$8:$X$8,0)))
/IF($E26=Nominal,K$11,INDEX($I$11:$X$11,,MATCH($E26,$I$8:$X$8,0)))
*IF($H26=Mid_Period,1/(1+IF($G26=Nominal,K$10,INDEX($I$10:$X$10,,MATCH($G26,$I$8:$X$8,0))))^INDEX(Timing_Adj,MATCH($H26,Cash_Timing,0)),1)
*IF($F26=Mid_Period,(1+IF($E26=Nominal,K$10,INDEX($I$10:$X$10,,MATCH($E26,$I$8:$X$8,0))))^INDEX(Timing_Adj,MATCH($F26,Cash_Timing,0)),1),"N/A")</f>
        <v>1.1327827288495815</v>
      </c>
      <c r="L26" s="111" cm="1">
        <f t="array" ref="L26">IFERROR(IF($G26=Nominal,L$11:L$11,INDEX($I$11:$X$11,,MATCH($G26,$I$8:$X$8,0)))
/IF($E26=Nominal,L$11,INDEX($I$11:$X$11,,MATCH($E26,$I$8:$X$8,0)))
*IF($H26=Mid_Period,1/(1+IF($G26=Nominal,L$10,INDEX($I$10:$X$10,,MATCH($G26,$I$8:$X$8,0))))^INDEX(Timing_Adj,MATCH($H26,Cash_Timing,0)),1)
*IF($F26=Mid_Period,(1+IF($E26=Nominal,L$10,INDEX($I$10:$X$10,,MATCH($E26,$I$8:$X$8,0))))^INDEX(Timing_Adj,MATCH($F26,Cash_Timing,0)),1),"N/A")</f>
        <v>1.1162900161967415</v>
      </c>
      <c r="M26" s="111" cm="1">
        <f t="array" ref="M26">IFERROR(IF($G26=Nominal,M$11:M$11,INDEX($I$11:$X$11,,MATCH($G26,$I$8:$X$8,0)))
/IF($E26=Nominal,M$11,INDEX($I$11:$X$11,,MATCH($E26,$I$8:$X$8,0)))
*IF($H26=Mid_Period,1/(1+IF($G26=Nominal,M$10,INDEX($I$10:$X$10,,MATCH($G26,$I$8:$X$8,0))))^INDEX(Timing_Adj,MATCH($H26,Cash_Timing,0)),1)
*IF($F26=Mid_Period,(1+IF($E26=Nominal,M$10,INDEX($I$10:$X$10,,MATCH($E26,$I$8:$X$8,0))))^INDEX(Timing_Adj,MATCH($F26,Cash_Timing,0)),1),"N/A")</f>
        <v>1.0943411533413128</v>
      </c>
      <c r="N26" s="111" cm="1">
        <f t="array" ref="N26">IFERROR(IF($G26=Nominal,N$11:N$11,INDEX($I$11:$X$11,,MATCH($G26,$I$8:$X$8,0)))
/IF($E26=Nominal,N$11,INDEX($I$11:$X$11,,MATCH($E26,$I$8:$X$8,0)))
*IF($H26=Mid_Period,1/(1+IF($G26=Nominal,N$10,INDEX($I$10:$X$10,,MATCH($G26,$I$8:$X$8,0))))^INDEX(Timing_Adj,MATCH($H26,Cash_Timing,0)),1)
*IF($F26=Mid_Period,(1+IF($E26=Nominal,N$10,INDEX($I$10:$X$10,,MATCH($E26,$I$8:$X$8,0))))^INDEX(Timing_Adj,MATCH($F26,Cash_Timing,0)),1),"N/A")</f>
        <v>1.0746216795625376</v>
      </c>
      <c r="O26" s="111" cm="1">
        <f t="array" ref="O26">IFERROR(IF($G26=Nominal,O$11:O$11,INDEX($I$11:$X$11,,MATCH($G26,$I$8:$X$8,0)))
/IF($E26=Nominal,O$11,INDEX($I$11:$X$11,,MATCH($E26,$I$8:$X$8,0)))
*IF($H26=Mid_Period,1/(1+IF($G26=Nominal,O$10,INDEX($I$10:$X$10,,MATCH($G26,$I$8:$X$8,0))))^INDEX(Timing_Adj,MATCH($H26,Cash_Timing,0)),1)
*IF($F26=Mid_Period,(1+IF($E26=Nominal,O$10,INDEX($I$10:$X$10,,MATCH($E26,$I$8:$X$8,0))))^INDEX(Timing_Adj,MATCH($F26,Cash_Timing,0)),1),"N/A")</f>
        <v>1.0680259559152623</v>
      </c>
      <c r="P26" s="111" cm="1">
        <f t="array" ref="P26">IFERROR(IF($G26=Nominal,P$11:P$11,INDEX($I$11:$X$11,,MATCH($G26,$I$8:$X$8,0)))
/IF($E26=Nominal,P$11,INDEX($I$11:$X$11,,MATCH($E26,$I$8:$X$8,0)))
*IF($H26=Mid_Period,1/(1+IF($G26=Nominal,P$10,INDEX($I$10:$X$10,,MATCH($G26,$I$8:$X$8,0))))^INDEX(Timing_Adj,MATCH($H26,Cash_Timing,0)),1)
*IF($F26=Mid_Period,(1+IF($E26=Nominal,P$10,INDEX($I$10:$X$10,,MATCH($E26,$I$8:$X$8,0))))^INDEX(Timing_Adj,MATCH($F26,Cash_Timing,0)),1),"N/A")</f>
        <v>1.049891769313736</v>
      </c>
      <c r="Q26" s="111" cm="1">
        <f t="array" ref="Q26">IFERROR(IF($G26=Nominal,Q$11:Q$11,INDEX($I$11:$X$11,,MATCH($G26,$I$8:$X$8,0)))
/IF($E26=Nominal,Q$11,INDEX($I$11:$X$11,,MATCH($E26,$I$8:$X$8,0)))
*IF($H26=Mid_Period,1/(1+IF($G26=Nominal,Q$10,INDEX($I$10:$X$10,,MATCH($G26,$I$8:$X$8,0))))^INDEX(Timing_Adj,MATCH($H26,Cash_Timing,0)),1)
*IF($F26=Mid_Period,(1+IF($E26=Nominal,Q$10,INDEX($I$10:$X$10,,MATCH($E26,$I$8:$X$8,0))))^INDEX(Timing_Adj,MATCH($F26,Cash_Timing,0)),1),"N/A")</f>
        <v>1</v>
      </c>
      <c r="R26" s="111" cm="1">
        <f t="array" ref="R26">IFERROR(IF($G26=Nominal,R$11:R$11,INDEX($I$11:$X$11,,MATCH($G26,$I$8:$X$8,0)))
/IF($E26=Nominal,R$11,INDEX($I$11:$X$11,,MATCH($E26,$I$8:$X$8,0)))
*IF($H26=Mid_Period,1/(1+IF($G26=Nominal,R$10,INDEX($I$10:$X$10,,MATCH($G26,$I$8:$X$8,0))))^INDEX(Timing_Adj,MATCH($H26,Cash_Timing,0)),1)
*IF($F26=Mid_Period,(1+IF($E26=Nominal,R$10,INDEX($I$10:$X$10,,MATCH($E26,$I$8:$X$8,0))))^INDEX(Timing_Adj,MATCH($F26,Cash_Timing,0)),1),"N/A")</f>
        <v>0.94142135337259414</v>
      </c>
      <c r="S26" s="111" cm="1">
        <f t="array" ref="S26">IFERROR(IF($G26=Nominal,S$11:S$11,INDEX($I$11:$X$11,,MATCH($G26,$I$8:$X$8,0)))
/IF($E26=Nominal,S$11,INDEX($I$11:$X$11,,MATCH($E26,$I$8:$X$8,0)))
*IF($H26=Mid_Period,1/(1+IF($G26=Nominal,S$10,INDEX($I$10:$X$10,,MATCH($G26,$I$8:$X$8,0))))^INDEX(Timing_Adj,MATCH($H26,Cash_Timing,0)),1)
*IF($F26=Mid_Period,(1+IF($E26=Nominal,S$10,INDEX($I$10:$X$10,,MATCH($E26,$I$8:$X$8,0))))^INDEX(Timing_Adj,MATCH($F26,Cash_Timing,0)),1),"N/A")</f>
        <v>0.89450660768409795</v>
      </c>
      <c r="T26" s="111" cm="1">
        <f t="array" ref="T26">IFERROR(IF($G26=Nominal,T$11:T$11,INDEX($I$11:$X$11,,MATCH($G26,$I$8:$X$8,0)))
/IF($E26=Nominal,T$11,INDEX($I$11:$X$11,,MATCH($E26,$I$8:$X$8,0)))
*IF($H26=Mid_Period,1/(1+IF($G26=Nominal,T$10,INDEX($I$10:$X$10,,MATCH($G26,$I$8:$X$8,0))))^INDEX(Timing_Adj,MATCH($H26,Cash_Timing,0)),1)
*IF($F26=Mid_Period,(1+IF($E26=Nominal,T$10,INDEX($I$10:$X$10,,MATCH($E26,$I$8:$X$8,0))))^INDEX(Timing_Adj,MATCH($F26,Cash_Timing,0)),1),"N/A")</f>
        <v>0.86377486872882292</v>
      </c>
      <c r="U26" s="111" cm="1">
        <f t="array" ref="U26">IFERROR(IF($G26=Nominal,U$11:U$11,INDEX($I$11:$X$11,,MATCH($G26,$I$8:$X$8,0)))
/IF($E26=Nominal,U$11,INDEX($I$11:$X$11,,MATCH($E26,$I$8:$X$8,0)))
*IF($H26=Mid_Period,1/(1+IF($G26=Nominal,U$10,INDEX($I$10:$X$10,,MATCH($G26,$I$8:$X$8,0))))^INDEX(Timing_Adj,MATCH($H26,Cash_Timing,0)),1)
*IF($F26=Mid_Period,(1+IF($E26=Nominal,U$10,INDEX($I$10:$X$10,,MATCH($E26,$I$8:$X$8,0))))^INDEX(Timing_Adj,MATCH($F26,Cash_Timing,0)),1),"N/A")</f>
        <v>0.83927117147931463</v>
      </c>
      <c r="V26" s="111" cm="1">
        <f t="array" ref="V26">IFERROR(IF($G26=Nominal,V$11:V$11,INDEX($I$11:$X$11,,MATCH($G26,$I$8:$X$8,0)))
/IF($E26=Nominal,V$11,INDEX($I$11:$X$11,,MATCH($E26,$I$8:$X$8,0)))
*IF($H26=Mid_Period,1/(1+IF($G26=Nominal,V$10,INDEX($I$10:$X$10,,MATCH($G26,$I$8:$X$8,0))))^INDEX(Timing_Adj,MATCH($H26,Cash_Timing,0)),1)
*IF($F26=Mid_Period,(1+IF($E26=Nominal,V$10,INDEX($I$10:$X$10,,MATCH($E26,$I$8:$X$8,0))))^INDEX(Timing_Adj,MATCH($F26,Cash_Timing,0)),1),"N/A")</f>
        <v>0.81546259885154859</v>
      </c>
      <c r="W26" s="111" cm="1">
        <f t="array" ref="W26">IFERROR(IF($G26=Nominal,W$11:W$11,INDEX($I$11:$X$11,,MATCH($G26,$I$8:$X$8,0)))
/IF($E26=Nominal,W$11,INDEX($I$11:$X$11,,MATCH($E26,$I$8:$X$8,0)))
*IF($H26=Mid_Period,1/(1+IF($G26=Nominal,W$10,INDEX($I$10:$X$10,,MATCH($G26,$I$8:$X$8,0))))^INDEX(Timing_Adj,MATCH($H26,Cash_Timing,0)),1)
*IF($F26=Mid_Period,(1+IF($E26=Nominal,W$10,INDEX($I$10:$X$10,,MATCH($E26,$I$8:$X$8,0))))^INDEX(Timing_Adj,MATCH($F26,Cash_Timing,0)),1),"N/A")</f>
        <v>0.79232943144421031</v>
      </c>
      <c r="X26" s="111" cm="1">
        <f t="array" ref="X26">IFERROR(IF($G26=Nominal,X$11:X$11,INDEX($I$11:$X$11,,MATCH($G26,$I$8:$X$8,0)))
/IF($E26=Nominal,X$11,INDEX($I$11:$X$11,,MATCH($E26,$I$8:$X$8,0)))
*IF($H26=Mid_Period,1/(1+IF($G26=Nominal,X$10,INDEX($I$10:$X$10,,MATCH($G26,$I$8:$X$8,0))))^INDEX(Timing_Adj,MATCH($H26,Cash_Timing,0)),1)
*IF($F26=Mid_Period,(1+IF($E26=Nominal,X$10,INDEX($I$10:$X$10,,MATCH($E26,$I$8:$X$8,0))))^INDEX(Timing_Adj,MATCH($F26,Cash_Timing,0)),1),"N/A")</f>
        <v>0.76985250925896997</v>
      </c>
    </row>
    <row r="27" spans="2:24" ht="11.25" customHeight="1" x14ac:dyDescent="0.3">
      <c r="D27" s="6" t="str">
        <f t="shared" ref="D27" si="13">IF(E27=Nominal,"","Real ")&amp;E27&amp;" ("&amp;F27&amp;") to "
&amp;IF(G27=Nominal,"","Real ")&amp;G27&amp;" ("&amp;H27&amp;")"</f>
        <v>Nominal (End Period) to Nominal (End Period)</v>
      </c>
      <c r="E27" s="113" t="s">
        <v>36</v>
      </c>
      <c r="F27" s="113" t="s">
        <v>55</v>
      </c>
      <c r="G27" s="113" t="s">
        <v>36</v>
      </c>
      <c r="H27" s="113" t="s">
        <v>55</v>
      </c>
      <c r="I27" s="111" cm="1">
        <f t="array" ref="I27">IFERROR(IF($G27=Nominal,I$11:I$11,INDEX($I$11:$X$11,,MATCH($G27,$I$8:$X$8,0)))
/IF($E27=Nominal,I$11,INDEX($I$11:$X$11,,MATCH($E27,$I$8:$X$8,0)))
*IF($H27=Mid_Period,1/(1+IF($G27=Nominal,I$10,INDEX($I$10:$X$10,,MATCH($G27,$I$8:$X$8,0))))^INDEX(Timing_Adj,MATCH($H27,Cash_Timing,0)),1)
*IF($F27=Mid_Period,(1+IF($E27=Nominal,I$10,INDEX($I$10:$X$10,,MATCH($E27,$I$8:$X$8,0))))^INDEX(Timing_Adj,MATCH($F27,Cash_Timing,0)),1),"N/A")</f>
        <v>1</v>
      </c>
      <c r="J27" s="111" cm="1">
        <f t="array" ref="J27">IFERROR(IF($G27=Nominal,J$11:J$11,INDEX($I$11:$X$11,,MATCH($G27,$I$8:$X$8,0)))
/IF($E27=Nominal,J$11,INDEX($I$11:$X$11,,MATCH($E27,$I$8:$X$8,0)))
*IF($H27=Mid_Period,1/(1+IF($G27=Nominal,J$10,INDEX($I$10:$X$10,,MATCH($G27,$I$8:$X$8,0))))^INDEX(Timing_Adj,MATCH($H27,Cash_Timing,0)),1)
*IF($F27=Mid_Period,(1+IF($E27=Nominal,J$10,INDEX($I$10:$X$10,,MATCH($E27,$I$8:$X$8,0))))^INDEX(Timing_Adj,MATCH($F27,Cash_Timing,0)),1),"N/A")</f>
        <v>1</v>
      </c>
      <c r="K27" s="111" cm="1">
        <f t="array" ref="K27">IFERROR(IF($G27=Nominal,K$11:K$11,INDEX($I$11:$X$11,,MATCH($G27,$I$8:$X$8,0)))
/IF($E27=Nominal,K$11,INDEX($I$11:$X$11,,MATCH($E27,$I$8:$X$8,0)))
*IF($H27=Mid_Period,1/(1+IF($G27=Nominal,K$10,INDEX($I$10:$X$10,,MATCH($G27,$I$8:$X$8,0))))^INDEX(Timing_Adj,MATCH($H27,Cash_Timing,0)),1)
*IF($F27=Mid_Period,(1+IF($E27=Nominal,K$10,INDEX($I$10:$X$10,,MATCH($E27,$I$8:$X$8,0))))^INDEX(Timing_Adj,MATCH($F27,Cash_Timing,0)),1),"N/A")</f>
        <v>1</v>
      </c>
      <c r="L27" s="111" cm="1">
        <f t="array" ref="L27">IFERROR(IF($G27=Nominal,L$11:L$11,INDEX($I$11:$X$11,,MATCH($G27,$I$8:$X$8,0)))
/IF($E27=Nominal,L$11,INDEX($I$11:$X$11,,MATCH($E27,$I$8:$X$8,0)))
*IF($H27=Mid_Period,1/(1+IF($G27=Nominal,L$10,INDEX($I$10:$X$10,,MATCH($G27,$I$8:$X$8,0))))^INDEX(Timing_Adj,MATCH($H27,Cash_Timing,0)),1)
*IF($F27=Mid_Period,(1+IF($E27=Nominal,L$10,INDEX($I$10:$X$10,,MATCH($E27,$I$8:$X$8,0))))^INDEX(Timing_Adj,MATCH($F27,Cash_Timing,0)),1),"N/A")</f>
        <v>1</v>
      </c>
      <c r="M27" s="111" cm="1">
        <f t="array" ref="M27">IFERROR(IF($G27=Nominal,M$11:M$11,INDEX($I$11:$X$11,,MATCH($G27,$I$8:$X$8,0)))
/IF($E27=Nominal,M$11,INDEX($I$11:$X$11,,MATCH($E27,$I$8:$X$8,0)))
*IF($H27=Mid_Period,1/(1+IF($G27=Nominal,M$10,INDEX($I$10:$X$10,,MATCH($G27,$I$8:$X$8,0))))^INDEX(Timing_Adj,MATCH($H27,Cash_Timing,0)),1)
*IF($F27=Mid_Period,(1+IF($E27=Nominal,M$10,INDEX($I$10:$X$10,,MATCH($E27,$I$8:$X$8,0))))^INDEX(Timing_Adj,MATCH($F27,Cash_Timing,0)),1),"N/A")</f>
        <v>1</v>
      </c>
      <c r="N27" s="111" cm="1">
        <f t="array" ref="N27">IFERROR(IF($G27=Nominal,N$11:N$11,INDEX($I$11:$X$11,,MATCH($G27,$I$8:$X$8,0)))
/IF($E27=Nominal,N$11,INDEX($I$11:$X$11,,MATCH($E27,$I$8:$X$8,0)))
*IF($H27=Mid_Period,1/(1+IF($G27=Nominal,N$10,INDEX($I$10:$X$10,,MATCH($G27,$I$8:$X$8,0))))^INDEX(Timing_Adj,MATCH($H27,Cash_Timing,0)),1)
*IF($F27=Mid_Period,(1+IF($E27=Nominal,N$10,INDEX($I$10:$X$10,,MATCH($E27,$I$8:$X$8,0))))^INDEX(Timing_Adj,MATCH($F27,Cash_Timing,0)),1),"N/A")</f>
        <v>1</v>
      </c>
      <c r="O27" s="111" cm="1">
        <f t="array" ref="O27">IFERROR(IF($G27=Nominal,O$11:O$11,INDEX($I$11:$X$11,,MATCH($G27,$I$8:$X$8,0)))
/IF($E27=Nominal,O$11,INDEX($I$11:$X$11,,MATCH($E27,$I$8:$X$8,0)))
*IF($H27=Mid_Period,1/(1+IF($G27=Nominal,O$10,INDEX($I$10:$X$10,,MATCH($G27,$I$8:$X$8,0))))^INDEX(Timing_Adj,MATCH($H27,Cash_Timing,0)),1)
*IF($F27=Mid_Period,(1+IF($E27=Nominal,O$10,INDEX($I$10:$X$10,,MATCH($E27,$I$8:$X$8,0))))^INDEX(Timing_Adj,MATCH($F27,Cash_Timing,0)),1),"N/A")</f>
        <v>1</v>
      </c>
      <c r="P27" s="111" cm="1">
        <f t="array" ref="P27">IFERROR(IF($G27=Nominal,P$11:P$11,INDEX($I$11:$X$11,,MATCH($G27,$I$8:$X$8,0)))
/IF($E27=Nominal,P$11,INDEX($I$11:$X$11,,MATCH($E27,$I$8:$X$8,0)))
*IF($H27=Mid_Period,1/(1+IF($G27=Nominal,P$10,INDEX($I$10:$X$10,,MATCH($G27,$I$8:$X$8,0))))^INDEX(Timing_Adj,MATCH($H27,Cash_Timing,0)),1)
*IF($F27=Mid_Period,(1+IF($E27=Nominal,P$10,INDEX($I$10:$X$10,,MATCH($E27,$I$8:$X$8,0))))^INDEX(Timing_Adj,MATCH($F27,Cash_Timing,0)),1),"N/A")</f>
        <v>1</v>
      </c>
      <c r="Q27" s="111" cm="1">
        <f t="array" ref="Q27">IFERROR(IF($G27=Nominal,Q$11:Q$11,INDEX($I$11:$X$11,,MATCH($G27,$I$8:$X$8,0)))
/IF($E27=Nominal,Q$11,INDEX($I$11:$X$11,,MATCH($E27,$I$8:$X$8,0)))
*IF($H27=Mid_Period,1/(1+IF($G27=Nominal,Q$10,INDEX($I$10:$X$10,,MATCH($G27,$I$8:$X$8,0))))^INDEX(Timing_Adj,MATCH($H27,Cash_Timing,0)),1)
*IF($F27=Mid_Period,(1+IF($E27=Nominal,Q$10,INDEX($I$10:$X$10,,MATCH($E27,$I$8:$X$8,0))))^INDEX(Timing_Adj,MATCH($F27,Cash_Timing,0)),1),"N/A")</f>
        <v>1</v>
      </c>
      <c r="R27" s="111" cm="1">
        <f t="array" ref="R27">IFERROR(IF($G27=Nominal,R$11:R$11,INDEX($I$11:$X$11,,MATCH($G27,$I$8:$X$8,0)))
/IF($E27=Nominal,R$11,INDEX($I$11:$X$11,,MATCH($E27,$I$8:$X$8,0)))
*IF($H27=Mid_Period,1/(1+IF($G27=Nominal,R$10,INDEX($I$10:$X$10,,MATCH($G27,$I$8:$X$8,0))))^INDEX(Timing_Adj,MATCH($H27,Cash_Timing,0)),1)
*IF($F27=Mid_Period,(1+IF($E27=Nominal,R$10,INDEX($I$10:$X$10,,MATCH($E27,$I$8:$X$8,0))))^INDEX(Timing_Adj,MATCH($F27,Cash_Timing,0)),1),"N/A")</f>
        <v>1</v>
      </c>
      <c r="S27" s="111" cm="1">
        <f t="array" ref="S27">IFERROR(IF($G27=Nominal,S$11:S$11,INDEX($I$11:$X$11,,MATCH($G27,$I$8:$X$8,0)))
/IF($E27=Nominal,S$11,INDEX($I$11:$X$11,,MATCH($E27,$I$8:$X$8,0)))
*IF($H27=Mid_Period,1/(1+IF($G27=Nominal,S$10,INDEX($I$10:$X$10,,MATCH($G27,$I$8:$X$8,0))))^INDEX(Timing_Adj,MATCH($H27,Cash_Timing,0)),1)
*IF($F27=Mid_Period,(1+IF($E27=Nominal,S$10,INDEX($I$10:$X$10,,MATCH($E27,$I$8:$X$8,0))))^INDEX(Timing_Adj,MATCH($F27,Cash_Timing,0)),1),"N/A")</f>
        <v>1</v>
      </c>
      <c r="T27" s="111" cm="1">
        <f t="array" ref="T27">IFERROR(IF($G27=Nominal,T$11:T$11,INDEX($I$11:$X$11,,MATCH($G27,$I$8:$X$8,0)))
/IF($E27=Nominal,T$11,INDEX($I$11:$X$11,,MATCH($E27,$I$8:$X$8,0)))
*IF($H27=Mid_Period,1/(1+IF($G27=Nominal,T$10,INDEX($I$10:$X$10,,MATCH($G27,$I$8:$X$8,0))))^INDEX(Timing_Adj,MATCH($H27,Cash_Timing,0)),1)
*IF($F27=Mid_Period,(1+IF($E27=Nominal,T$10,INDEX($I$10:$X$10,,MATCH($E27,$I$8:$X$8,0))))^INDEX(Timing_Adj,MATCH($F27,Cash_Timing,0)),1),"N/A")</f>
        <v>1</v>
      </c>
      <c r="U27" s="111" cm="1">
        <f t="array" ref="U27">IFERROR(IF($G27=Nominal,U$11:U$11,INDEX($I$11:$X$11,,MATCH($G27,$I$8:$X$8,0)))
/IF($E27=Nominal,U$11,INDEX($I$11:$X$11,,MATCH($E27,$I$8:$X$8,0)))
*IF($H27=Mid_Period,1/(1+IF($G27=Nominal,U$10,INDEX($I$10:$X$10,,MATCH($G27,$I$8:$X$8,0))))^INDEX(Timing_Adj,MATCH($H27,Cash_Timing,0)),1)
*IF($F27=Mid_Period,(1+IF($E27=Nominal,U$10,INDEX($I$10:$X$10,,MATCH($E27,$I$8:$X$8,0))))^INDEX(Timing_Adj,MATCH($F27,Cash_Timing,0)),1),"N/A")</f>
        <v>1</v>
      </c>
      <c r="V27" s="111" cm="1">
        <f t="array" ref="V27">IFERROR(IF($G27=Nominal,V$11:V$11,INDEX($I$11:$X$11,,MATCH($G27,$I$8:$X$8,0)))
/IF($E27=Nominal,V$11,INDEX($I$11:$X$11,,MATCH($E27,$I$8:$X$8,0)))
*IF($H27=Mid_Period,1/(1+IF($G27=Nominal,V$10,INDEX($I$10:$X$10,,MATCH($G27,$I$8:$X$8,0))))^INDEX(Timing_Adj,MATCH($H27,Cash_Timing,0)),1)
*IF($F27=Mid_Period,(1+IF($E27=Nominal,V$10,INDEX($I$10:$X$10,,MATCH($E27,$I$8:$X$8,0))))^INDEX(Timing_Adj,MATCH($F27,Cash_Timing,0)),1),"N/A")</f>
        <v>1</v>
      </c>
      <c r="W27" s="111" cm="1">
        <f t="array" ref="W27">IFERROR(IF($G27=Nominal,W$11:W$11,INDEX($I$11:$X$11,,MATCH($G27,$I$8:$X$8,0)))
/IF($E27=Nominal,W$11,INDEX($I$11:$X$11,,MATCH($E27,$I$8:$X$8,0)))
*IF($H27=Mid_Period,1/(1+IF($G27=Nominal,W$10,INDEX($I$10:$X$10,,MATCH($G27,$I$8:$X$8,0))))^INDEX(Timing_Adj,MATCH($H27,Cash_Timing,0)),1)
*IF($F27=Mid_Period,(1+IF($E27=Nominal,W$10,INDEX($I$10:$X$10,,MATCH($E27,$I$8:$X$8,0))))^INDEX(Timing_Adj,MATCH($F27,Cash_Timing,0)),1),"N/A")</f>
        <v>1</v>
      </c>
      <c r="X27" s="111" cm="1">
        <f t="array" ref="X27">IFERROR(IF($G27=Nominal,X$11:X$11,INDEX($I$11:$X$11,,MATCH($G27,$I$8:$X$8,0)))
/IF($E27=Nominal,X$11,INDEX($I$11:$X$11,,MATCH($E27,$I$8:$X$8,0)))
*IF($H27=Mid_Period,1/(1+IF($G27=Nominal,X$10,INDEX($I$10:$X$10,,MATCH($G27,$I$8:$X$8,0))))^INDEX(Timing_Adj,MATCH($H27,Cash_Timing,0)),1)
*IF($F27=Mid_Period,(1+IF($E27=Nominal,X$10,INDEX($I$10:$X$10,,MATCH($E27,$I$8:$X$8,0))))^INDEX(Timing_Adj,MATCH($F27,Cash_Timing,0)),1),"N/A")</f>
        <v>1</v>
      </c>
    </row>
    <row r="28" spans="2:24" ht="11.25" customHeight="1" x14ac:dyDescent="0.3">
      <c r="D28" s="6" t="str">
        <f t="shared" ref="D28" si="14">IF(E28=Nominal,"","Real ")&amp;E28&amp;" ("&amp;F28&amp;") to "
&amp;IF(G28=Nominal,"","Real ")&amp;G28&amp;" ("&amp;H28&amp;")"</f>
        <v>Nominal (End Period) to Nominal (End Period)</v>
      </c>
      <c r="E28" s="113" t="s">
        <v>36</v>
      </c>
      <c r="F28" s="113" t="s">
        <v>55</v>
      </c>
      <c r="G28" s="113" t="s">
        <v>36</v>
      </c>
      <c r="H28" s="113" t="s">
        <v>55</v>
      </c>
      <c r="I28" s="111" cm="1">
        <f t="array" ref="I28">IFERROR(IF($G28=Nominal,I$11:I$11,INDEX($I$11:$X$11,,MATCH($G28,$I$8:$X$8,0)))
/IF($E28=Nominal,I$11,INDEX($I$11:$X$11,,MATCH($E28,$I$8:$X$8,0)))
*IF($H28=Mid_Period,1/(1+IF($G28=Nominal,I$10,INDEX($I$10:$X$10,,MATCH($G28,$I$8:$X$8,0))))^INDEX(Timing_Adj,MATCH($H28,Cash_Timing,0)),1)
*IF($F28=Mid_Period,(1+IF($E28=Nominal,I$10,INDEX($I$10:$X$10,,MATCH($E28,$I$8:$X$8,0))))^INDEX(Timing_Adj,MATCH($F28,Cash_Timing,0)),1),"N/A")</f>
        <v>1</v>
      </c>
      <c r="J28" s="111" cm="1">
        <f t="array" ref="J28">IFERROR(IF($G28=Nominal,J$11:J$11,INDEX($I$11:$X$11,,MATCH($G28,$I$8:$X$8,0)))
/IF($E28=Nominal,J$11,INDEX($I$11:$X$11,,MATCH($E28,$I$8:$X$8,0)))
*IF($H28=Mid_Period,1/(1+IF($G28=Nominal,J$10,INDEX($I$10:$X$10,,MATCH($G28,$I$8:$X$8,0))))^INDEX(Timing_Adj,MATCH($H28,Cash_Timing,0)),1)
*IF($F28=Mid_Period,(1+IF($E28=Nominal,J$10,INDEX($I$10:$X$10,,MATCH($E28,$I$8:$X$8,0))))^INDEX(Timing_Adj,MATCH($F28,Cash_Timing,0)),1),"N/A")</f>
        <v>1</v>
      </c>
      <c r="K28" s="111" cm="1">
        <f t="array" ref="K28">IFERROR(IF($G28=Nominal,K$11:K$11,INDEX($I$11:$X$11,,MATCH($G28,$I$8:$X$8,0)))
/IF($E28=Nominal,K$11,INDEX($I$11:$X$11,,MATCH($E28,$I$8:$X$8,0)))
*IF($H28=Mid_Period,1/(1+IF($G28=Nominal,K$10,INDEX($I$10:$X$10,,MATCH($G28,$I$8:$X$8,0))))^INDEX(Timing_Adj,MATCH($H28,Cash_Timing,0)),1)
*IF($F28=Mid_Period,(1+IF($E28=Nominal,K$10,INDEX($I$10:$X$10,,MATCH($E28,$I$8:$X$8,0))))^INDEX(Timing_Adj,MATCH($F28,Cash_Timing,0)),1),"N/A")</f>
        <v>1</v>
      </c>
      <c r="L28" s="111" cm="1">
        <f t="array" ref="L28">IFERROR(IF($G28=Nominal,L$11:L$11,INDEX($I$11:$X$11,,MATCH($G28,$I$8:$X$8,0)))
/IF($E28=Nominal,L$11,INDEX($I$11:$X$11,,MATCH($E28,$I$8:$X$8,0)))
*IF($H28=Mid_Period,1/(1+IF($G28=Nominal,L$10,INDEX($I$10:$X$10,,MATCH($G28,$I$8:$X$8,0))))^INDEX(Timing_Adj,MATCH($H28,Cash_Timing,0)),1)
*IF($F28=Mid_Period,(1+IF($E28=Nominal,L$10,INDEX($I$10:$X$10,,MATCH($E28,$I$8:$X$8,0))))^INDEX(Timing_Adj,MATCH($F28,Cash_Timing,0)),1),"N/A")</f>
        <v>1</v>
      </c>
      <c r="M28" s="111" cm="1">
        <f t="array" ref="M28">IFERROR(IF($G28=Nominal,M$11:M$11,INDEX($I$11:$X$11,,MATCH($G28,$I$8:$X$8,0)))
/IF($E28=Nominal,M$11,INDEX($I$11:$X$11,,MATCH($E28,$I$8:$X$8,0)))
*IF($H28=Mid_Period,1/(1+IF($G28=Nominal,M$10,INDEX($I$10:$X$10,,MATCH($G28,$I$8:$X$8,0))))^INDEX(Timing_Adj,MATCH($H28,Cash_Timing,0)),1)
*IF($F28=Mid_Period,(1+IF($E28=Nominal,M$10,INDEX($I$10:$X$10,,MATCH($E28,$I$8:$X$8,0))))^INDEX(Timing_Adj,MATCH($F28,Cash_Timing,0)),1),"N/A")</f>
        <v>1</v>
      </c>
      <c r="N28" s="111" cm="1">
        <f t="array" ref="N28">IFERROR(IF($G28=Nominal,N$11:N$11,INDEX($I$11:$X$11,,MATCH($G28,$I$8:$X$8,0)))
/IF($E28=Nominal,N$11,INDEX($I$11:$X$11,,MATCH($E28,$I$8:$X$8,0)))
*IF($H28=Mid_Period,1/(1+IF($G28=Nominal,N$10,INDEX($I$10:$X$10,,MATCH($G28,$I$8:$X$8,0))))^INDEX(Timing_Adj,MATCH($H28,Cash_Timing,0)),1)
*IF($F28=Mid_Period,(1+IF($E28=Nominal,N$10,INDEX($I$10:$X$10,,MATCH($E28,$I$8:$X$8,0))))^INDEX(Timing_Adj,MATCH($F28,Cash_Timing,0)),1),"N/A")</f>
        <v>1</v>
      </c>
      <c r="O28" s="111" cm="1">
        <f t="array" ref="O28">IFERROR(IF($G28=Nominal,O$11:O$11,INDEX($I$11:$X$11,,MATCH($G28,$I$8:$X$8,0)))
/IF($E28=Nominal,O$11,INDEX($I$11:$X$11,,MATCH($E28,$I$8:$X$8,0)))
*IF($H28=Mid_Period,1/(1+IF($G28=Nominal,O$10,INDEX($I$10:$X$10,,MATCH($G28,$I$8:$X$8,0))))^INDEX(Timing_Adj,MATCH($H28,Cash_Timing,0)),1)
*IF($F28=Mid_Period,(1+IF($E28=Nominal,O$10,INDEX($I$10:$X$10,,MATCH($E28,$I$8:$X$8,0))))^INDEX(Timing_Adj,MATCH($F28,Cash_Timing,0)),1),"N/A")</f>
        <v>1</v>
      </c>
      <c r="P28" s="111" cm="1">
        <f t="array" ref="P28">IFERROR(IF($G28=Nominal,P$11:P$11,INDEX($I$11:$X$11,,MATCH($G28,$I$8:$X$8,0)))
/IF($E28=Nominal,P$11,INDEX($I$11:$X$11,,MATCH($E28,$I$8:$X$8,0)))
*IF($H28=Mid_Period,1/(1+IF($G28=Nominal,P$10,INDEX($I$10:$X$10,,MATCH($G28,$I$8:$X$8,0))))^INDEX(Timing_Adj,MATCH($H28,Cash_Timing,0)),1)
*IF($F28=Mid_Period,(1+IF($E28=Nominal,P$10,INDEX($I$10:$X$10,,MATCH($E28,$I$8:$X$8,0))))^INDEX(Timing_Adj,MATCH($F28,Cash_Timing,0)),1),"N/A")</f>
        <v>1</v>
      </c>
      <c r="Q28" s="111" cm="1">
        <f t="array" ref="Q28">IFERROR(IF($G28=Nominal,Q$11:Q$11,INDEX($I$11:$X$11,,MATCH($G28,$I$8:$X$8,0)))
/IF($E28=Nominal,Q$11,INDEX($I$11:$X$11,,MATCH($E28,$I$8:$X$8,0)))
*IF($H28=Mid_Period,1/(1+IF($G28=Nominal,Q$10,INDEX($I$10:$X$10,,MATCH($G28,$I$8:$X$8,0))))^INDEX(Timing_Adj,MATCH($H28,Cash_Timing,0)),1)
*IF($F28=Mid_Period,(1+IF($E28=Nominal,Q$10,INDEX($I$10:$X$10,,MATCH($E28,$I$8:$X$8,0))))^INDEX(Timing_Adj,MATCH($F28,Cash_Timing,0)),1),"N/A")</f>
        <v>1</v>
      </c>
      <c r="R28" s="111" cm="1">
        <f t="array" ref="R28">IFERROR(IF($G28=Nominal,R$11:R$11,INDEX($I$11:$X$11,,MATCH($G28,$I$8:$X$8,0)))
/IF($E28=Nominal,R$11,INDEX($I$11:$X$11,,MATCH($E28,$I$8:$X$8,0)))
*IF($H28=Mid_Period,1/(1+IF($G28=Nominal,R$10,INDEX($I$10:$X$10,,MATCH($G28,$I$8:$X$8,0))))^INDEX(Timing_Adj,MATCH($H28,Cash_Timing,0)),1)
*IF($F28=Mid_Period,(1+IF($E28=Nominal,R$10,INDEX($I$10:$X$10,,MATCH($E28,$I$8:$X$8,0))))^INDEX(Timing_Adj,MATCH($F28,Cash_Timing,0)),1),"N/A")</f>
        <v>1</v>
      </c>
      <c r="S28" s="111" cm="1">
        <f t="array" ref="S28">IFERROR(IF($G28=Nominal,S$11:S$11,INDEX($I$11:$X$11,,MATCH($G28,$I$8:$X$8,0)))
/IF($E28=Nominal,S$11,INDEX($I$11:$X$11,,MATCH($E28,$I$8:$X$8,0)))
*IF($H28=Mid_Period,1/(1+IF($G28=Nominal,S$10,INDEX($I$10:$X$10,,MATCH($G28,$I$8:$X$8,0))))^INDEX(Timing_Adj,MATCH($H28,Cash_Timing,0)),1)
*IF($F28=Mid_Period,(1+IF($E28=Nominal,S$10,INDEX($I$10:$X$10,,MATCH($E28,$I$8:$X$8,0))))^INDEX(Timing_Adj,MATCH($F28,Cash_Timing,0)),1),"N/A")</f>
        <v>1</v>
      </c>
      <c r="T28" s="111" cm="1">
        <f t="array" ref="T28">IFERROR(IF($G28=Nominal,T$11:T$11,INDEX($I$11:$X$11,,MATCH($G28,$I$8:$X$8,0)))
/IF($E28=Nominal,T$11,INDEX($I$11:$X$11,,MATCH($E28,$I$8:$X$8,0)))
*IF($H28=Mid_Period,1/(1+IF($G28=Nominal,T$10,INDEX($I$10:$X$10,,MATCH($G28,$I$8:$X$8,0))))^INDEX(Timing_Adj,MATCH($H28,Cash_Timing,0)),1)
*IF($F28=Mid_Period,(1+IF($E28=Nominal,T$10,INDEX($I$10:$X$10,,MATCH($E28,$I$8:$X$8,0))))^INDEX(Timing_Adj,MATCH($F28,Cash_Timing,0)),1),"N/A")</f>
        <v>1</v>
      </c>
      <c r="U28" s="111" cm="1">
        <f t="array" ref="U28">IFERROR(IF($G28=Nominal,U$11:U$11,INDEX($I$11:$X$11,,MATCH($G28,$I$8:$X$8,0)))
/IF($E28=Nominal,U$11,INDEX($I$11:$X$11,,MATCH($E28,$I$8:$X$8,0)))
*IF($H28=Mid_Period,1/(1+IF($G28=Nominal,U$10,INDEX($I$10:$X$10,,MATCH($G28,$I$8:$X$8,0))))^INDEX(Timing_Adj,MATCH($H28,Cash_Timing,0)),1)
*IF($F28=Mid_Period,(1+IF($E28=Nominal,U$10,INDEX($I$10:$X$10,,MATCH($E28,$I$8:$X$8,0))))^INDEX(Timing_Adj,MATCH($F28,Cash_Timing,0)),1),"N/A")</f>
        <v>1</v>
      </c>
      <c r="V28" s="111" cm="1">
        <f t="array" ref="V28">IFERROR(IF($G28=Nominal,V$11:V$11,INDEX($I$11:$X$11,,MATCH($G28,$I$8:$X$8,0)))
/IF($E28=Nominal,V$11,INDEX($I$11:$X$11,,MATCH($E28,$I$8:$X$8,0)))
*IF($H28=Mid_Period,1/(1+IF($G28=Nominal,V$10,INDEX($I$10:$X$10,,MATCH($G28,$I$8:$X$8,0))))^INDEX(Timing_Adj,MATCH($H28,Cash_Timing,0)),1)
*IF($F28=Mid_Period,(1+IF($E28=Nominal,V$10,INDEX($I$10:$X$10,,MATCH($E28,$I$8:$X$8,0))))^INDEX(Timing_Adj,MATCH($F28,Cash_Timing,0)),1),"N/A")</f>
        <v>1</v>
      </c>
      <c r="W28" s="111" cm="1">
        <f t="array" ref="W28">IFERROR(IF($G28=Nominal,W$11:W$11,INDEX($I$11:$X$11,,MATCH($G28,$I$8:$X$8,0)))
/IF($E28=Nominal,W$11,INDEX($I$11:$X$11,,MATCH($E28,$I$8:$X$8,0)))
*IF($H28=Mid_Period,1/(1+IF($G28=Nominal,W$10,INDEX($I$10:$X$10,,MATCH($G28,$I$8:$X$8,0))))^INDEX(Timing_Adj,MATCH($H28,Cash_Timing,0)),1)
*IF($F28=Mid_Period,(1+IF($E28=Nominal,W$10,INDEX($I$10:$X$10,,MATCH($E28,$I$8:$X$8,0))))^INDEX(Timing_Adj,MATCH($F28,Cash_Timing,0)),1),"N/A")</f>
        <v>1</v>
      </c>
      <c r="X28" s="111" cm="1">
        <f t="array" ref="X28">IFERROR(IF($G28=Nominal,X$11:X$11,INDEX($I$11:$X$11,,MATCH($G28,$I$8:$X$8,0)))
/IF($E28=Nominal,X$11,INDEX($I$11:$X$11,,MATCH($E28,$I$8:$X$8,0)))
*IF($H28=Mid_Period,1/(1+IF($G28=Nominal,X$10,INDEX($I$10:$X$10,,MATCH($G28,$I$8:$X$8,0))))^INDEX(Timing_Adj,MATCH($H28,Cash_Timing,0)),1)
*IF($F28=Mid_Period,(1+IF($E28=Nominal,X$10,INDEX($I$10:$X$10,,MATCH($E28,$I$8:$X$8,0))))^INDEX(Timing_Adj,MATCH($F28,Cash_Timing,0)),1),"N/A")</f>
        <v>1</v>
      </c>
    </row>
    <row r="29" spans="2:24" ht="11.25" customHeight="1" x14ac:dyDescent="0.3">
      <c r="D29" s="6" t="str">
        <f t="shared" ref="D29" si="15">IF(E29=Nominal,"","Real ")&amp;E29&amp;" ("&amp;F29&amp;") to "
&amp;IF(G29=Nominal,"","Real ")&amp;G29&amp;" ("&amp;H29&amp;")"</f>
        <v>Nominal (End Period) to Nominal (End Period)</v>
      </c>
      <c r="E29" s="113" t="s">
        <v>36</v>
      </c>
      <c r="F29" s="113" t="s">
        <v>55</v>
      </c>
      <c r="G29" s="113" t="s">
        <v>36</v>
      </c>
      <c r="H29" s="113" t="s">
        <v>55</v>
      </c>
      <c r="I29" s="111" cm="1">
        <f t="array" ref="I29">IFERROR(IF($G29=Nominal,I$11:I$11,INDEX($I$11:$X$11,,MATCH($G29,$I$8:$X$8,0)))
/IF($E29=Nominal,I$11,INDEX($I$11:$X$11,,MATCH($E29,$I$8:$X$8,0)))
*IF($H29=Mid_Period,1/(1+IF($G29=Nominal,I$10,INDEX($I$10:$X$10,,MATCH($G29,$I$8:$X$8,0))))^INDEX(Timing_Adj,MATCH($H29,Cash_Timing,0)),1)
*IF($F29=Mid_Period,(1+IF($E29=Nominal,I$10,INDEX($I$10:$X$10,,MATCH($E29,$I$8:$X$8,0))))^INDEX(Timing_Adj,MATCH($F29,Cash_Timing,0)),1),"N/A")</f>
        <v>1</v>
      </c>
      <c r="J29" s="111" cm="1">
        <f t="array" ref="J29">IFERROR(IF($G29=Nominal,J$11:J$11,INDEX($I$11:$X$11,,MATCH($G29,$I$8:$X$8,0)))
/IF($E29=Nominal,J$11,INDEX($I$11:$X$11,,MATCH($E29,$I$8:$X$8,0)))
*IF($H29=Mid_Period,1/(1+IF($G29=Nominal,J$10,INDEX($I$10:$X$10,,MATCH($G29,$I$8:$X$8,0))))^INDEX(Timing_Adj,MATCH($H29,Cash_Timing,0)),1)
*IF($F29=Mid_Period,(1+IF($E29=Nominal,J$10,INDEX($I$10:$X$10,,MATCH($E29,$I$8:$X$8,0))))^INDEX(Timing_Adj,MATCH($F29,Cash_Timing,0)),1),"N/A")</f>
        <v>1</v>
      </c>
      <c r="K29" s="111" cm="1">
        <f t="array" ref="K29">IFERROR(IF($G29=Nominal,K$11:K$11,INDEX($I$11:$X$11,,MATCH($G29,$I$8:$X$8,0)))
/IF($E29=Nominal,K$11,INDEX($I$11:$X$11,,MATCH($E29,$I$8:$X$8,0)))
*IF($H29=Mid_Period,1/(1+IF($G29=Nominal,K$10,INDEX($I$10:$X$10,,MATCH($G29,$I$8:$X$8,0))))^INDEX(Timing_Adj,MATCH($H29,Cash_Timing,0)),1)
*IF($F29=Mid_Period,(1+IF($E29=Nominal,K$10,INDEX($I$10:$X$10,,MATCH($E29,$I$8:$X$8,0))))^INDEX(Timing_Adj,MATCH($F29,Cash_Timing,0)),1),"N/A")</f>
        <v>1</v>
      </c>
      <c r="L29" s="111" cm="1">
        <f t="array" ref="L29">IFERROR(IF($G29=Nominal,L$11:L$11,INDEX($I$11:$X$11,,MATCH($G29,$I$8:$X$8,0)))
/IF($E29=Nominal,L$11,INDEX($I$11:$X$11,,MATCH($E29,$I$8:$X$8,0)))
*IF($H29=Mid_Period,1/(1+IF($G29=Nominal,L$10,INDEX($I$10:$X$10,,MATCH($G29,$I$8:$X$8,0))))^INDEX(Timing_Adj,MATCH($H29,Cash_Timing,0)),1)
*IF($F29=Mid_Period,(1+IF($E29=Nominal,L$10,INDEX($I$10:$X$10,,MATCH($E29,$I$8:$X$8,0))))^INDEX(Timing_Adj,MATCH($F29,Cash_Timing,0)),1),"N/A")</f>
        <v>1</v>
      </c>
      <c r="M29" s="111" cm="1">
        <f t="array" ref="M29">IFERROR(IF($G29=Nominal,M$11:M$11,INDEX($I$11:$X$11,,MATCH($G29,$I$8:$X$8,0)))
/IF($E29=Nominal,M$11,INDEX($I$11:$X$11,,MATCH($E29,$I$8:$X$8,0)))
*IF($H29=Mid_Period,1/(1+IF($G29=Nominal,M$10,INDEX($I$10:$X$10,,MATCH($G29,$I$8:$X$8,0))))^INDEX(Timing_Adj,MATCH($H29,Cash_Timing,0)),1)
*IF($F29=Mid_Period,(1+IF($E29=Nominal,M$10,INDEX($I$10:$X$10,,MATCH($E29,$I$8:$X$8,0))))^INDEX(Timing_Adj,MATCH($F29,Cash_Timing,0)),1),"N/A")</f>
        <v>1</v>
      </c>
      <c r="N29" s="111" cm="1">
        <f t="array" ref="N29">IFERROR(IF($G29=Nominal,N$11:N$11,INDEX($I$11:$X$11,,MATCH($G29,$I$8:$X$8,0)))
/IF($E29=Nominal,N$11,INDEX($I$11:$X$11,,MATCH($E29,$I$8:$X$8,0)))
*IF($H29=Mid_Period,1/(1+IF($G29=Nominal,N$10,INDEX($I$10:$X$10,,MATCH($G29,$I$8:$X$8,0))))^INDEX(Timing_Adj,MATCH($H29,Cash_Timing,0)),1)
*IF($F29=Mid_Period,(1+IF($E29=Nominal,N$10,INDEX($I$10:$X$10,,MATCH($E29,$I$8:$X$8,0))))^INDEX(Timing_Adj,MATCH($F29,Cash_Timing,0)),1),"N/A")</f>
        <v>1</v>
      </c>
      <c r="O29" s="111" cm="1">
        <f t="array" ref="O29">IFERROR(IF($G29=Nominal,O$11:O$11,INDEX($I$11:$X$11,,MATCH($G29,$I$8:$X$8,0)))
/IF($E29=Nominal,O$11,INDEX($I$11:$X$11,,MATCH($E29,$I$8:$X$8,0)))
*IF($H29=Mid_Period,1/(1+IF($G29=Nominal,O$10,INDEX($I$10:$X$10,,MATCH($G29,$I$8:$X$8,0))))^INDEX(Timing_Adj,MATCH($H29,Cash_Timing,0)),1)
*IF($F29=Mid_Period,(1+IF($E29=Nominal,O$10,INDEX($I$10:$X$10,,MATCH($E29,$I$8:$X$8,0))))^INDEX(Timing_Adj,MATCH($F29,Cash_Timing,0)),1),"N/A")</f>
        <v>1</v>
      </c>
      <c r="P29" s="111" cm="1">
        <f t="array" ref="P29">IFERROR(IF($G29=Nominal,P$11:P$11,INDEX($I$11:$X$11,,MATCH($G29,$I$8:$X$8,0)))
/IF($E29=Nominal,P$11,INDEX($I$11:$X$11,,MATCH($E29,$I$8:$X$8,0)))
*IF($H29=Mid_Period,1/(1+IF($G29=Nominal,P$10,INDEX($I$10:$X$10,,MATCH($G29,$I$8:$X$8,0))))^INDEX(Timing_Adj,MATCH($H29,Cash_Timing,0)),1)
*IF($F29=Mid_Period,(1+IF($E29=Nominal,P$10,INDEX($I$10:$X$10,,MATCH($E29,$I$8:$X$8,0))))^INDEX(Timing_Adj,MATCH($F29,Cash_Timing,0)),1),"N/A")</f>
        <v>1</v>
      </c>
      <c r="Q29" s="111" cm="1">
        <f t="array" ref="Q29">IFERROR(IF($G29=Nominal,Q$11:Q$11,INDEX($I$11:$X$11,,MATCH($G29,$I$8:$X$8,0)))
/IF($E29=Nominal,Q$11,INDEX($I$11:$X$11,,MATCH($E29,$I$8:$X$8,0)))
*IF($H29=Mid_Period,1/(1+IF($G29=Nominal,Q$10,INDEX($I$10:$X$10,,MATCH($G29,$I$8:$X$8,0))))^INDEX(Timing_Adj,MATCH($H29,Cash_Timing,0)),1)
*IF($F29=Mid_Period,(1+IF($E29=Nominal,Q$10,INDEX($I$10:$X$10,,MATCH($E29,$I$8:$X$8,0))))^INDEX(Timing_Adj,MATCH($F29,Cash_Timing,0)),1),"N/A")</f>
        <v>1</v>
      </c>
      <c r="R29" s="111" cm="1">
        <f t="array" ref="R29">IFERROR(IF($G29=Nominal,R$11:R$11,INDEX($I$11:$X$11,,MATCH($G29,$I$8:$X$8,0)))
/IF($E29=Nominal,R$11,INDEX($I$11:$X$11,,MATCH($E29,$I$8:$X$8,0)))
*IF($H29=Mid_Period,1/(1+IF($G29=Nominal,R$10,INDEX($I$10:$X$10,,MATCH($G29,$I$8:$X$8,0))))^INDEX(Timing_Adj,MATCH($H29,Cash_Timing,0)),1)
*IF($F29=Mid_Period,(1+IF($E29=Nominal,R$10,INDEX($I$10:$X$10,,MATCH($E29,$I$8:$X$8,0))))^INDEX(Timing_Adj,MATCH($F29,Cash_Timing,0)),1),"N/A")</f>
        <v>1</v>
      </c>
      <c r="S29" s="111" cm="1">
        <f t="array" ref="S29">IFERROR(IF($G29=Nominal,S$11:S$11,INDEX($I$11:$X$11,,MATCH($G29,$I$8:$X$8,0)))
/IF($E29=Nominal,S$11,INDEX($I$11:$X$11,,MATCH($E29,$I$8:$X$8,0)))
*IF($H29=Mid_Period,1/(1+IF($G29=Nominal,S$10,INDEX($I$10:$X$10,,MATCH($G29,$I$8:$X$8,0))))^INDEX(Timing_Adj,MATCH($H29,Cash_Timing,0)),1)
*IF($F29=Mid_Period,(1+IF($E29=Nominal,S$10,INDEX($I$10:$X$10,,MATCH($E29,$I$8:$X$8,0))))^INDEX(Timing_Adj,MATCH($F29,Cash_Timing,0)),1),"N/A")</f>
        <v>1</v>
      </c>
      <c r="T29" s="111" cm="1">
        <f t="array" ref="T29">IFERROR(IF($G29=Nominal,T$11:T$11,INDEX($I$11:$X$11,,MATCH($G29,$I$8:$X$8,0)))
/IF($E29=Nominal,T$11,INDEX($I$11:$X$11,,MATCH($E29,$I$8:$X$8,0)))
*IF($H29=Mid_Period,1/(1+IF($G29=Nominal,T$10,INDEX($I$10:$X$10,,MATCH($G29,$I$8:$X$8,0))))^INDEX(Timing_Adj,MATCH($H29,Cash_Timing,0)),1)
*IF($F29=Mid_Period,(1+IF($E29=Nominal,T$10,INDEX($I$10:$X$10,,MATCH($E29,$I$8:$X$8,0))))^INDEX(Timing_Adj,MATCH($F29,Cash_Timing,0)),1),"N/A")</f>
        <v>1</v>
      </c>
      <c r="U29" s="111" cm="1">
        <f t="array" ref="U29">IFERROR(IF($G29=Nominal,U$11:U$11,INDEX($I$11:$X$11,,MATCH($G29,$I$8:$X$8,0)))
/IF($E29=Nominal,U$11,INDEX($I$11:$X$11,,MATCH($E29,$I$8:$X$8,0)))
*IF($H29=Mid_Period,1/(1+IF($G29=Nominal,U$10,INDEX($I$10:$X$10,,MATCH($G29,$I$8:$X$8,0))))^INDEX(Timing_Adj,MATCH($H29,Cash_Timing,0)),1)
*IF($F29=Mid_Period,(1+IF($E29=Nominal,U$10,INDEX($I$10:$X$10,,MATCH($E29,$I$8:$X$8,0))))^INDEX(Timing_Adj,MATCH($F29,Cash_Timing,0)),1),"N/A")</f>
        <v>1</v>
      </c>
      <c r="V29" s="111" cm="1">
        <f t="array" ref="V29">IFERROR(IF($G29=Nominal,V$11:V$11,INDEX($I$11:$X$11,,MATCH($G29,$I$8:$X$8,0)))
/IF($E29=Nominal,V$11,INDEX($I$11:$X$11,,MATCH($E29,$I$8:$X$8,0)))
*IF($H29=Mid_Period,1/(1+IF($G29=Nominal,V$10,INDEX($I$10:$X$10,,MATCH($G29,$I$8:$X$8,0))))^INDEX(Timing_Adj,MATCH($H29,Cash_Timing,0)),1)
*IF($F29=Mid_Period,(1+IF($E29=Nominal,V$10,INDEX($I$10:$X$10,,MATCH($E29,$I$8:$X$8,0))))^INDEX(Timing_Adj,MATCH($F29,Cash_Timing,0)),1),"N/A")</f>
        <v>1</v>
      </c>
      <c r="W29" s="111" cm="1">
        <f t="array" ref="W29">IFERROR(IF($G29=Nominal,W$11:W$11,INDEX($I$11:$X$11,,MATCH($G29,$I$8:$X$8,0)))
/IF($E29=Nominal,W$11,INDEX($I$11:$X$11,,MATCH($E29,$I$8:$X$8,0)))
*IF($H29=Mid_Period,1/(1+IF($G29=Nominal,W$10,INDEX($I$10:$X$10,,MATCH($G29,$I$8:$X$8,0))))^INDEX(Timing_Adj,MATCH($H29,Cash_Timing,0)),1)
*IF($F29=Mid_Period,(1+IF($E29=Nominal,W$10,INDEX($I$10:$X$10,,MATCH($E29,$I$8:$X$8,0))))^INDEX(Timing_Adj,MATCH($F29,Cash_Timing,0)),1),"N/A")</f>
        <v>1</v>
      </c>
      <c r="X29" s="111" cm="1">
        <f t="array" ref="X29">IFERROR(IF($G29=Nominal,X$11:X$11,INDEX($I$11:$X$11,,MATCH($G29,$I$8:$X$8,0)))
/IF($E29=Nominal,X$11,INDEX($I$11:$X$11,,MATCH($E29,$I$8:$X$8,0)))
*IF($H29=Mid_Period,1/(1+IF($G29=Nominal,X$10,INDEX($I$10:$X$10,,MATCH($G29,$I$8:$X$8,0))))^INDEX(Timing_Adj,MATCH($H29,Cash_Timing,0)),1)
*IF($F29=Mid_Period,(1+IF($E29=Nominal,X$10,INDEX($I$10:$X$10,,MATCH($E29,$I$8:$X$8,0))))^INDEX(Timing_Adj,MATCH($F29,Cash_Timing,0)),1),"N/A")</f>
        <v>1</v>
      </c>
    </row>
    <row r="30" spans="2:24" ht="11.25" customHeight="1" x14ac:dyDescent="0.3">
      <c r="D30" s="6" t="str">
        <f t="shared" ref="D30" si="16">IF(E30=Nominal,"","Real ")&amp;E30&amp;" ("&amp;F30&amp;") to "
&amp;IF(G30=Nominal,"","Real ")&amp;G30&amp;" ("&amp;H30&amp;")"</f>
        <v>Nominal (End Period) to Nominal (End Period)</v>
      </c>
      <c r="E30" s="113" t="s">
        <v>36</v>
      </c>
      <c r="F30" s="113" t="s">
        <v>55</v>
      </c>
      <c r="G30" s="113" t="s">
        <v>36</v>
      </c>
      <c r="H30" s="113" t="s">
        <v>55</v>
      </c>
      <c r="I30" s="111" cm="1">
        <f t="array" ref="I30">IFERROR(IF($G30=Nominal,I$11:I$11,INDEX($I$11:$X$11,,MATCH($G30,$I$8:$X$8,0)))
/IF($E30=Nominal,I$11,INDEX($I$11:$X$11,,MATCH($E30,$I$8:$X$8,0)))
*IF($H30=Mid_Period,1/(1+IF($G30=Nominal,I$10,INDEX($I$10:$X$10,,MATCH($G30,$I$8:$X$8,0))))^INDEX(Timing_Adj,MATCH($H30,Cash_Timing,0)),1)
*IF($F30=Mid_Period,(1+IF($E30=Nominal,I$10,INDEX($I$10:$X$10,,MATCH($E30,$I$8:$X$8,0))))^INDEX(Timing_Adj,MATCH($F30,Cash_Timing,0)),1),"N/A")</f>
        <v>1</v>
      </c>
      <c r="J30" s="111" cm="1">
        <f t="array" ref="J30">IFERROR(IF($G30=Nominal,J$11:J$11,INDEX($I$11:$X$11,,MATCH($G30,$I$8:$X$8,0)))
/IF($E30=Nominal,J$11,INDEX($I$11:$X$11,,MATCH($E30,$I$8:$X$8,0)))
*IF($H30=Mid_Period,1/(1+IF($G30=Nominal,J$10,INDEX($I$10:$X$10,,MATCH($G30,$I$8:$X$8,0))))^INDEX(Timing_Adj,MATCH($H30,Cash_Timing,0)),1)
*IF($F30=Mid_Period,(1+IF($E30=Nominal,J$10,INDEX($I$10:$X$10,,MATCH($E30,$I$8:$X$8,0))))^INDEX(Timing_Adj,MATCH($F30,Cash_Timing,0)),1),"N/A")</f>
        <v>1</v>
      </c>
      <c r="K30" s="111" cm="1">
        <f t="array" ref="K30">IFERROR(IF($G30=Nominal,K$11:K$11,INDEX($I$11:$X$11,,MATCH($G30,$I$8:$X$8,0)))
/IF($E30=Nominal,K$11,INDEX($I$11:$X$11,,MATCH($E30,$I$8:$X$8,0)))
*IF($H30=Mid_Period,1/(1+IF($G30=Nominal,K$10,INDEX($I$10:$X$10,,MATCH($G30,$I$8:$X$8,0))))^INDEX(Timing_Adj,MATCH($H30,Cash_Timing,0)),1)
*IF($F30=Mid_Period,(1+IF($E30=Nominal,K$10,INDEX($I$10:$X$10,,MATCH($E30,$I$8:$X$8,0))))^INDEX(Timing_Adj,MATCH($F30,Cash_Timing,0)),1),"N/A")</f>
        <v>1</v>
      </c>
      <c r="L30" s="111" cm="1">
        <f t="array" ref="L30">IFERROR(IF($G30=Nominal,L$11:L$11,INDEX($I$11:$X$11,,MATCH($G30,$I$8:$X$8,0)))
/IF($E30=Nominal,L$11,INDEX($I$11:$X$11,,MATCH($E30,$I$8:$X$8,0)))
*IF($H30=Mid_Period,1/(1+IF($G30=Nominal,L$10,INDEX($I$10:$X$10,,MATCH($G30,$I$8:$X$8,0))))^INDEX(Timing_Adj,MATCH($H30,Cash_Timing,0)),1)
*IF($F30=Mid_Period,(1+IF($E30=Nominal,L$10,INDEX($I$10:$X$10,,MATCH($E30,$I$8:$X$8,0))))^INDEX(Timing_Adj,MATCH($F30,Cash_Timing,0)),1),"N/A")</f>
        <v>1</v>
      </c>
      <c r="M30" s="111" cm="1">
        <f t="array" ref="M30">IFERROR(IF($G30=Nominal,M$11:M$11,INDEX($I$11:$X$11,,MATCH($G30,$I$8:$X$8,0)))
/IF($E30=Nominal,M$11,INDEX($I$11:$X$11,,MATCH($E30,$I$8:$X$8,0)))
*IF($H30=Mid_Period,1/(1+IF($G30=Nominal,M$10,INDEX($I$10:$X$10,,MATCH($G30,$I$8:$X$8,0))))^INDEX(Timing_Adj,MATCH($H30,Cash_Timing,0)),1)
*IF($F30=Mid_Period,(1+IF($E30=Nominal,M$10,INDEX($I$10:$X$10,,MATCH($E30,$I$8:$X$8,0))))^INDEX(Timing_Adj,MATCH($F30,Cash_Timing,0)),1),"N/A")</f>
        <v>1</v>
      </c>
      <c r="N30" s="111" cm="1">
        <f t="array" ref="N30">IFERROR(IF($G30=Nominal,N$11:N$11,INDEX($I$11:$X$11,,MATCH($G30,$I$8:$X$8,0)))
/IF($E30=Nominal,N$11,INDEX($I$11:$X$11,,MATCH($E30,$I$8:$X$8,0)))
*IF($H30=Mid_Period,1/(1+IF($G30=Nominal,N$10,INDEX($I$10:$X$10,,MATCH($G30,$I$8:$X$8,0))))^INDEX(Timing_Adj,MATCH($H30,Cash_Timing,0)),1)
*IF($F30=Mid_Period,(1+IF($E30=Nominal,N$10,INDEX($I$10:$X$10,,MATCH($E30,$I$8:$X$8,0))))^INDEX(Timing_Adj,MATCH($F30,Cash_Timing,0)),1),"N/A")</f>
        <v>1</v>
      </c>
      <c r="O30" s="111" cm="1">
        <f t="array" ref="O30">IFERROR(IF($G30=Nominal,O$11:O$11,INDEX($I$11:$X$11,,MATCH($G30,$I$8:$X$8,0)))
/IF($E30=Nominal,O$11,INDEX($I$11:$X$11,,MATCH($E30,$I$8:$X$8,0)))
*IF($H30=Mid_Period,1/(1+IF($G30=Nominal,O$10,INDEX($I$10:$X$10,,MATCH($G30,$I$8:$X$8,0))))^INDEX(Timing_Adj,MATCH($H30,Cash_Timing,0)),1)
*IF($F30=Mid_Period,(1+IF($E30=Nominal,O$10,INDEX($I$10:$X$10,,MATCH($E30,$I$8:$X$8,0))))^INDEX(Timing_Adj,MATCH($F30,Cash_Timing,0)),1),"N/A")</f>
        <v>1</v>
      </c>
      <c r="P30" s="111" cm="1">
        <f t="array" ref="P30">IFERROR(IF($G30=Nominal,P$11:P$11,INDEX($I$11:$X$11,,MATCH($G30,$I$8:$X$8,0)))
/IF($E30=Nominal,P$11,INDEX($I$11:$X$11,,MATCH($E30,$I$8:$X$8,0)))
*IF($H30=Mid_Period,1/(1+IF($G30=Nominal,P$10,INDEX($I$10:$X$10,,MATCH($G30,$I$8:$X$8,0))))^INDEX(Timing_Adj,MATCH($H30,Cash_Timing,0)),1)
*IF($F30=Mid_Period,(1+IF($E30=Nominal,P$10,INDEX($I$10:$X$10,,MATCH($E30,$I$8:$X$8,0))))^INDEX(Timing_Adj,MATCH($F30,Cash_Timing,0)),1),"N/A")</f>
        <v>1</v>
      </c>
      <c r="Q30" s="111" cm="1">
        <f t="array" ref="Q30">IFERROR(IF($G30=Nominal,Q$11:Q$11,INDEX($I$11:$X$11,,MATCH($G30,$I$8:$X$8,0)))
/IF($E30=Nominal,Q$11,INDEX($I$11:$X$11,,MATCH($E30,$I$8:$X$8,0)))
*IF($H30=Mid_Period,1/(1+IF($G30=Nominal,Q$10,INDEX($I$10:$X$10,,MATCH($G30,$I$8:$X$8,0))))^INDEX(Timing_Adj,MATCH($H30,Cash_Timing,0)),1)
*IF($F30=Mid_Period,(1+IF($E30=Nominal,Q$10,INDEX($I$10:$X$10,,MATCH($E30,$I$8:$X$8,0))))^INDEX(Timing_Adj,MATCH($F30,Cash_Timing,0)),1),"N/A")</f>
        <v>1</v>
      </c>
      <c r="R30" s="111" cm="1">
        <f t="array" ref="R30">IFERROR(IF($G30=Nominal,R$11:R$11,INDEX($I$11:$X$11,,MATCH($G30,$I$8:$X$8,0)))
/IF($E30=Nominal,R$11,INDEX($I$11:$X$11,,MATCH($E30,$I$8:$X$8,0)))
*IF($H30=Mid_Period,1/(1+IF($G30=Nominal,R$10,INDEX($I$10:$X$10,,MATCH($G30,$I$8:$X$8,0))))^INDEX(Timing_Adj,MATCH($H30,Cash_Timing,0)),1)
*IF($F30=Mid_Period,(1+IF($E30=Nominal,R$10,INDEX($I$10:$X$10,,MATCH($E30,$I$8:$X$8,0))))^INDEX(Timing_Adj,MATCH($F30,Cash_Timing,0)),1),"N/A")</f>
        <v>1</v>
      </c>
      <c r="S30" s="111" cm="1">
        <f t="array" ref="S30">IFERROR(IF($G30=Nominal,S$11:S$11,INDEX($I$11:$X$11,,MATCH($G30,$I$8:$X$8,0)))
/IF($E30=Nominal,S$11,INDEX($I$11:$X$11,,MATCH($E30,$I$8:$X$8,0)))
*IF($H30=Mid_Period,1/(1+IF($G30=Nominal,S$10,INDEX($I$10:$X$10,,MATCH($G30,$I$8:$X$8,0))))^INDEX(Timing_Adj,MATCH($H30,Cash_Timing,0)),1)
*IF($F30=Mid_Period,(1+IF($E30=Nominal,S$10,INDEX($I$10:$X$10,,MATCH($E30,$I$8:$X$8,0))))^INDEX(Timing_Adj,MATCH($F30,Cash_Timing,0)),1),"N/A")</f>
        <v>1</v>
      </c>
      <c r="T30" s="111" cm="1">
        <f t="array" ref="T30">IFERROR(IF($G30=Nominal,T$11:T$11,INDEX($I$11:$X$11,,MATCH($G30,$I$8:$X$8,0)))
/IF($E30=Nominal,T$11,INDEX($I$11:$X$11,,MATCH($E30,$I$8:$X$8,0)))
*IF($H30=Mid_Period,1/(1+IF($G30=Nominal,T$10,INDEX($I$10:$X$10,,MATCH($G30,$I$8:$X$8,0))))^INDEX(Timing_Adj,MATCH($H30,Cash_Timing,0)),1)
*IF($F30=Mid_Period,(1+IF($E30=Nominal,T$10,INDEX($I$10:$X$10,,MATCH($E30,$I$8:$X$8,0))))^INDEX(Timing_Adj,MATCH($F30,Cash_Timing,0)),1),"N/A")</f>
        <v>1</v>
      </c>
      <c r="U30" s="111" cm="1">
        <f t="array" ref="U30">IFERROR(IF($G30=Nominal,U$11:U$11,INDEX($I$11:$X$11,,MATCH($G30,$I$8:$X$8,0)))
/IF($E30=Nominal,U$11,INDEX($I$11:$X$11,,MATCH($E30,$I$8:$X$8,0)))
*IF($H30=Mid_Period,1/(1+IF($G30=Nominal,U$10,INDEX($I$10:$X$10,,MATCH($G30,$I$8:$X$8,0))))^INDEX(Timing_Adj,MATCH($H30,Cash_Timing,0)),1)
*IF($F30=Mid_Period,(1+IF($E30=Nominal,U$10,INDEX($I$10:$X$10,,MATCH($E30,$I$8:$X$8,0))))^INDEX(Timing_Adj,MATCH($F30,Cash_Timing,0)),1),"N/A")</f>
        <v>1</v>
      </c>
      <c r="V30" s="111" cm="1">
        <f t="array" ref="V30">IFERROR(IF($G30=Nominal,V$11:V$11,INDEX($I$11:$X$11,,MATCH($G30,$I$8:$X$8,0)))
/IF($E30=Nominal,V$11,INDEX($I$11:$X$11,,MATCH($E30,$I$8:$X$8,0)))
*IF($H30=Mid_Period,1/(1+IF($G30=Nominal,V$10,INDEX($I$10:$X$10,,MATCH($G30,$I$8:$X$8,0))))^INDEX(Timing_Adj,MATCH($H30,Cash_Timing,0)),1)
*IF($F30=Mid_Period,(1+IF($E30=Nominal,V$10,INDEX($I$10:$X$10,,MATCH($E30,$I$8:$X$8,0))))^INDEX(Timing_Adj,MATCH($F30,Cash_Timing,0)),1),"N/A")</f>
        <v>1</v>
      </c>
      <c r="W30" s="111" cm="1">
        <f t="array" ref="W30">IFERROR(IF($G30=Nominal,W$11:W$11,INDEX($I$11:$X$11,,MATCH($G30,$I$8:$X$8,0)))
/IF($E30=Nominal,W$11,INDEX($I$11:$X$11,,MATCH($E30,$I$8:$X$8,0)))
*IF($H30=Mid_Period,1/(1+IF($G30=Nominal,W$10,INDEX($I$10:$X$10,,MATCH($G30,$I$8:$X$8,0))))^INDEX(Timing_Adj,MATCH($H30,Cash_Timing,0)),1)
*IF($F30=Mid_Period,(1+IF($E30=Nominal,W$10,INDEX($I$10:$X$10,,MATCH($E30,$I$8:$X$8,0))))^INDEX(Timing_Adj,MATCH($F30,Cash_Timing,0)),1),"N/A")</f>
        <v>1</v>
      </c>
      <c r="X30" s="111" cm="1">
        <f t="array" ref="X30">IFERROR(IF($G30=Nominal,X$11:X$11,INDEX($I$11:$X$11,,MATCH($G30,$I$8:$X$8,0)))
/IF($E30=Nominal,X$11,INDEX($I$11:$X$11,,MATCH($E30,$I$8:$X$8,0)))
*IF($H30=Mid_Period,1/(1+IF($G30=Nominal,X$10,INDEX($I$10:$X$10,,MATCH($G30,$I$8:$X$8,0))))^INDEX(Timing_Adj,MATCH($H30,Cash_Timing,0)),1)
*IF($F30=Mid_Period,(1+IF($E30=Nominal,X$10,INDEX($I$10:$X$10,,MATCH($E30,$I$8:$X$8,0))))^INDEX(Timing_Adj,MATCH($F30,Cash_Timing,0)),1),"N/A")</f>
        <v>1</v>
      </c>
    </row>
    <row r="31" spans="2:24" ht="11.25" customHeight="1" x14ac:dyDescent="0.3"/>
    <row r="32" spans="2:24" s="46" customFormat="1" ht="15" x14ac:dyDescent="0.3">
      <c r="B32" s="46" t="s">
        <v>16</v>
      </c>
    </row>
    <row r="37" spans="16:24" x14ac:dyDescent="0.3">
      <c r="P37" s="114"/>
      <c r="Q37" s="114"/>
      <c r="R37" s="114"/>
      <c r="S37" s="114"/>
      <c r="T37" s="114"/>
      <c r="U37" s="114"/>
      <c r="V37" s="114"/>
      <c r="W37" s="114"/>
      <c r="X37" s="114"/>
    </row>
    <row r="38" spans="16:24" x14ac:dyDescent="0.3">
      <c r="P38" s="114"/>
      <c r="Q38" s="114"/>
      <c r="R38" s="114"/>
      <c r="S38" s="114"/>
      <c r="T38" s="114"/>
      <c r="U38" s="114"/>
      <c r="V38" s="114"/>
    </row>
    <row r="39" spans="16:24" x14ac:dyDescent="0.3">
      <c r="P39" s="114"/>
      <c r="Q39" s="114"/>
      <c r="R39" s="114"/>
      <c r="S39" s="114"/>
      <c r="T39" s="114"/>
      <c r="U39" s="114"/>
      <c r="V39" s="114"/>
    </row>
    <row r="40" spans="16:24" x14ac:dyDescent="0.3">
      <c r="P40" s="114"/>
      <c r="Q40" s="114"/>
      <c r="R40" s="114"/>
      <c r="S40" s="114"/>
      <c r="T40" s="114"/>
      <c r="U40" s="114"/>
      <c r="V40" s="114"/>
    </row>
    <row r="41" spans="16:24" x14ac:dyDescent="0.3">
      <c r="P41" s="114"/>
      <c r="Q41" s="114"/>
      <c r="R41" s="114"/>
      <c r="S41" s="114"/>
      <c r="T41" s="114"/>
      <c r="U41" s="114"/>
      <c r="V41" s="114"/>
    </row>
    <row r="42" spans="16:24" x14ac:dyDescent="0.3">
      <c r="P42" s="114"/>
      <c r="Q42" s="114"/>
      <c r="R42" s="114"/>
      <c r="S42" s="114"/>
      <c r="T42" s="114"/>
      <c r="U42" s="114"/>
      <c r="V42" s="114"/>
    </row>
    <row r="43" spans="16:24" x14ac:dyDescent="0.3">
      <c r="P43" s="114"/>
      <c r="Q43" s="114"/>
      <c r="R43" s="114"/>
      <c r="S43" s="114"/>
      <c r="T43" s="114"/>
      <c r="U43" s="114"/>
      <c r="V43" s="114"/>
    </row>
    <row r="44" spans="16:24" x14ac:dyDescent="0.3">
      <c r="P44" s="114"/>
      <c r="Q44" s="114"/>
      <c r="R44" s="114"/>
      <c r="S44" s="114"/>
      <c r="T44" s="114"/>
      <c r="U44" s="114"/>
      <c r="V44" s="114"/>
    </row>
    <row r="45" spans="16:24" x14ac:dyDescent="0.3">
      <c r="P45" s="114"/>
      <c r="Q45" s="114"/>
      <c r="R45" s="114"/>
      <c r="S45" s="114"/>
      <c r="T45" s="114"/>
      <c r="U45" s="114"/>
      <c r="V45" s="114"/>
    </row>
    <row r="46" spans="16:24" x14ac:dyDescent="0.3">
      <c r="P46" s="114"/>
      <c r="Q46" s="114"/>
      <c r="R46" s="114"/>
      <c r="S46" s="114"/>
      <c r="T46" s="114"/>
      <c r="U46" s="114"/>
      <c r="V46" s="114"/>
    </row>
    <row r="47" spans="16:24" x14ac:dyDescent="0.3">
      <c r="P47" s="114"/>
      <c r="Q47" s="114"/>
      <c r="R47" s="114"/>
      <c r="S47" s="114"/>
      <c r="T47" s="114"/>
      <c r="U47" s="114"/>
      <c r="V47" s="114"/>
    </row>
    <row r="48" spans="16:24" x14ac:dyDescent="0.3">
      <c r="P48" s="114"/>
      <c r="Q48" s="114"/>
      <c r="R48" s="114"/>
      <c r="S48" s="114"/>
      <c r="T48" s="114"/>
      <c r="U48" s="114"/>
      <c r="V48" s="114"/>
    </row>
    <row r="49" spans="16:22" x14ac:dyDescent="0.3">
      <c r="P49" s="114"/>
      <c r="Q49" s="114"/>
      <c r="R49" s="114"/>
      <c r="S49" s="114"/>
      <c r="T49" s="114"/>
      <c r="U49" s="114"/>
      <c r="V49" s="114"/>
    </row>
    <row r="50" spans="16:22" x14ac:dyDescent="0.3">
      <c r="P50" s="114"/>
      <c r="Q50" s="114"/>
      <c r="R50" s="114"/>
      <c r="S50" s="114"/>
      <c r="T50" s="114"/>
      <c r="U50" s="114"/>
      <c r="V50" s="114"/>
    </row>
    <row r="51" spans="16:22" x14ac:dyDescent="0.3">
      <c r="P51" s="114"/>
      <c r="Q51" s="114"/>
      <c r="R51" s="114"/>
      <c r="S51" s="114"/>
      <c r="T51" s="114"/>
      <c r="U51" s="114"/>
      <c r="V51" s="114"/>
    </row>
    <row r="52" spans="16:22" x14ac:dyDescent="0.3">
      <c r="P52" s="114"/>
      <c r="Q52" s="114"/>
      <c r="R52" s="114"/>
      <c r="S52" s="114"/>
      <c r="T52" s="114"/>
      <c r="U52" s="114"/>
      <c r="V52" s="114"/>
    </row>
    <row r="53" spans="16:22" x14ac:dyDescent="0.3">
      <c r="P53" s="114"/>
      <c r="Q53" s="114"/>
      <c r="R53" s="114"/>
      <c r="S53" s="114"/>
      <c r="T53" s="114"/>
      <c r="U53" s="114"/>
      <c r="V53" s="114"/>
    </row>
  </sheetData>
  <conditionalFormatting sqref="B3">
    <cfRule type="cellIs" dxfId="1019" priority="1" operator="notEqual">
      <formula>"No Errors Found"</formula>
    </cfRule>
  </conditionalFormatting>
  <dataValidations count="2">
    <dataValidation type="list" allowBlank="1" showInputMessage="1" showErrorMessage="1" sqref="F16:F30 H16:H30" xr:uid="{FD82ECAF-651F-46E9-A254-A2618B2CD33A}">
      <formula1>Cash_Timing</formula1>
    </dataValidation>
    <dataValidation type="list" allowBlank="1" showInputMessage="1" showErrorMessage="1" sqref="E16:E30 G16:G30" xr:uid="{3E445DDE-290E-4FF5-B572-0AAF226DA2FD}">
      <formula1>Index_Period</formula1>
    </dataValidation>
  </dataValidations>
  <hyperlinks>
    <hyperlink ref="B2:E2" location="TOC!A1" display="TOC!A1" xr:uid="{215891F4-BE27-47F1-A8FC-A6FAEB89A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5161-A722-43E6-94CC-EE5D98D3E904}">
  <sheetPr codeName="Sheet45">
    <tabColor theme="4" tint="0.79998168889431442"/>
  </sheetPr>
  <dimension ref="A1:X95"/>
  <sheetViews>
    <sheetView showGridLines="0" zoomScaleNormal="100" workbookViewId="0">
      <pane xSplit="4" ySplit="4" topLeftCell="E5" activePane="bottomRight" state="frozen"/>
      <selection activeCell="D11" sqref="D11"/>
      <selection pane="topRight" activeCell="D11" sqref="D11"/>
      <selection pane="bottomLeft" activeCell="D11" sqref="D11"/>
      <selection pane="bottomRight" activeCell="E5" sqref="E5"/>
    </sheetView>
  </sheetViews>
  <sheetFormatPr defaultColWidth="9.33203125" defaultRowHeight="10.15" x14ac:dyDescent="0.3"/>
  <cols>
    <col min="1" max="3" width="3.6640625" style="45" customWidth="1"/>
    <col min="4" max="4" width="52" style="45" bestFit="1" customWidth="1"/>
    <col min="5" max="5" width="17" style="45" customWidth="1"/>
    <col min="6" max="8" width="14.6640625" style="45" customWidth="1"/>
    <col min="9" max="9" width="14.5" style="45" customWidth="1"/>
    <col min="10" max="20" width="14.6640625" style="45" customWidth="1"/>
    <col min="21" max="25" width="10.6640625" style="45" customWidth="1"/>
    <col min="26" max="16384" width="9.33203125" style="45"/>
  </cols>
  <sheetData>
    <row r="1" spans="1:20" ht="18.75" x14ac:dyDescent="0.3">
      <c r="A1" s="41">
        <f>IF(SUM($A3:$A95)&gt;0,1,0)</f>
        <v>0</v>
      </c>
      <c r="B1" s="3" t="s">
        <v>1060</v>
      </c>
    </row>
    <row r="2" spans="1:20" customFormat="1" x14ac:dyDescent="0.3">
      <c r="B2" s="34" t="str">
        <f>TOC!$B$1</f>
        <v>Table of contents</v>
      </c>
      <c r="C2" s="34"/>
      <c r="D2" s="34"/>
      <c r="E2" s="34"/>
      <c r="G2" s="45"/>
    </row>
    <row r="3" spans="1:20" x14ac:dyDescent="0.3">
      <c r="B3" s="9" t="str">
        <f>Title_Msg</f>
        <v>No Errors Found</v>
      </c>
    </row>
    <row r="4" spans="1:20" s="46" customFormat="1" ht="15" x14ac:dyDescent="0.3">
      <c r="B4" s="46" t="s">
        <v>1061</v>
      </c>
    </row>
    <row r="5" spans="1:20" ht="11.25" customHeight="1" x14ac:dyDescent="0.3"/>
    <row r="6" spans="1:20" s="7" customFormat="1" ht="13.9" x14ac:dyDescent="0.3">
      <c r="C6" s="7" t="s">
        <v>911</v>
      </c>
    </row>
    <row r="7" spans="1:20" ht="11.25" customHeight="1" x14ac:dyDescent="0.3"/>
    <row r="8" spans="1:20" ht="13.15" x14ac:dyDescent="0.3">
      <c r="D8" s="909" t="s">
        <v>912</v>
      </c>
      <c r="E8" s="25" t="str">
        <f>Lookup!E$20</f>
        <v>Source</v>
      </c>
      <c r="F8" s="25" t="str">
        <f>Lookup!F$20</f>
        <v>Unit</v>
      </c>
      <c r="G8" s="25" t="str">
        <f>Lookup!G$20</f>
        <v>Basis</v>
      </c>
      <c r="H8" s="25" t="str">
        <f>Lookup!H$20</f>
        <v>Timing</v>
      </c>
      <c r="J8" s="40" t="str">
        <f>Lookup!O$20</f>
        <v>FY19</v>
      </c>
      <c r="K8" s="40" t="str">
        <f>Lookup!P$20</f>
        <v>FY20</v>
      </c>
      <c r="L8" s="40" t="str">
        <f>Lookup!Q$20</f>
        <v>FY21</v>
      </c>
      <c r="M8" s="40" t="str">
        <f>Lookup!R$20</f>
        <v>FY22</v>
      </c>
      <c r="N8" s="40" t="str">
        <f>Lookup!S$20</f>
        <v>FY23</v>
      </c>
      <c r="O8" s="40" t="str">
        <f>Lookup!T$20</f>
        <v>FY24</v>
      </c>
      <c r="P8" s="40" t="str">
        <f>Lookup!U$20</f>
        <v>FY25</v>
      </c>
      <c r="Q8" s="40" t="str">
        <f>Lookup!V$20</f>
        <v>FY26</v>
      </c>
      <c r="R8" s="40" t="str">
        <f>Lookup!W$20</f>
        <v>FY27</v>
      </c>
      <c r="S8" s="40" t="str">
        <f>Lookup!X$20</f>
        <v>FY28</v>
      </c>
      <c r="T8" s="40" t="str">
        <f>Lookup!Y$20</f>
        <v>FY29</v>
      </c>
    </row>
    <row r="9" spans="1:20" ht="11.25" customHeight="1" x14ac:dyDescent="0.3"/>
    <row r="10" spans="1:20" ht="12.75" x14ac:dyDescent="0.3">
      <c r="D10" s="6" t="s">
        <v>913</v>
      </c>
      <c r="E10" s="959" t="s">
        <v>102</v>
      </c>
      <c r="F10" s="959" t="str">
        <f>Dollars</f>
        <v>Dollars</v>
      </c>
      <c r="G10" s="959" t="str">
        <f>Real2024</f>
        <v>Real $2024</v>
      </c>
      <c r="H10" s="959" t="str">
        <f>End_Period</f>
        <v>End Period</v>
      </c>
      <c r="J10" s="139"/>
      <c r="K10" s="139"/>
      <c r="L10" s="139"/>
      <c r="M10" s="139"/>
      <c r="N10" s="962">
        <f>N93*Input_CPI!R$17</f>
        <v>9900574.0530273709</v>
      </c>
      <c r="O10" s="962">
        <f>O93*Input_CPI!S$17</f>
        <v>9802291.2816584315</v>
      </c>
      <c r="P10" s="962">
        <f>P93*Input_CPI!T$17</f>
        <v>10836216.69200073</v>
      </c>
      <c r="Q10" s="962">
        <f>Q93*Input_CPI!U$17</f>
        <v>10836216.69200073</v>
      </c>
      <c r="R10" s="962">
        <f>R93*Input_CPI!V$17</f>
        <v>10836216.69200073</v>
      </c>
      <c r="S10" s="962">
        <f>S93*Input_CPI!W$17</f>
        <v>10836216.69200073</v>
      </c>
      <c r="T10" s="962">
        <f>T93*Input_CPI!X$17</f>
        <v>10836216.69200073</v>
      </c>
    </row>
    <row r="11" spans="1:20" ht="11.25" customHeight="1" x14ac:dyDescent="0.3"/>
    <row r="12" spans="1:20" ht="12.75" x14ac:dyDescent="0.3">
      <c r="D12" s="351" t="s">
        <v>918</v>
      </c>
      <c r="E12" s="959" t="s">
        <v>102</v>
      </c>
      <c r="F12" s="959" t="str">
        <f>Dollars</f>
        <v>Dollars</v>
      </c>
      <c r="G12" s="959" t="str">
        <f>Real2024</f>
        <v>Real $2024</v>
      </c>
      <c r="H12" s="959" t="str">
        <f>End_Period</f>
        <v>End Period</v>
      </c>
      <c r="J12" s="139"/>
      <c r="K12" s="139"/>
      <c r="L12" s="139"/>
      <c r="M12" s="139"/>
      <c r="N12" s="962">
        <f>N64*Input_CPI!R$17</f>
        <v>1098530.4380281661</v>
      </c>
      <c r="O12" s="962">
        <f>O64*Input_CPI!S$17</f>
        <v>1087625.3515852713</v>
      </c>
      <c r="P12" s="962">
        <f>P64*Input_CPI!T$17</f>
        <v>1080922.5868075218</v>
      </c>
      <c r="Q12" s="962">
        <f>Q64*Input_CPI!U$17</f>
        <v>1080922.586807522</v>
      </c>
      <c r="R12" s="962">
        <f>R64*Input_CPI!V$17</f>
        <v>1080922.5868075218</v>
      </c>
      <c r="S12" s="962">
        <f>S64*Input_CPI!W$17</f>
        <v>1080922.586807522</v>
      </c>
      <c r="T12" s="962">
        <f>T64*Input_CPI!X$17</f>
        <v>1080922.5868075222</v>
      </c>
    </row>
    <row r="13" spans="1:20" ht="12.75" x14ac:dyDescent="0.3">
      <c r="D13" s="351" t="s">
        <v>922</v>
      </c>
      <c r="E13" s="959" t="s">
        <v>102</v>
      </c>
      <c r="F13" s="959" t="str">
        <f>Dollars</f>
        <v>Dollars</v>
      </c>
      <c r="G13" s="959" t="str">
        <f>Real2024</f>
        <v>Real $2024</v>
      </c>
      <c r="H13" s="959" t="str">
        <f>End_Period</f>
        <v>End Period</v>
      </c>
      <c r="J13" s="139"/>
      <c r="K13" s="139"/>
      <c r="L13" s="139"/>
      <c r="M13" s="139"/>
      <c r="N13" s="962">
        <f t="shared" ref="N13:T14" si="0">N$12*N32</f>
        <v>363275.75656254508</v>
      </c>
      <c r="O13" s="962">
        <f t="shared" si="0"/>
        <v>359669.52646569553</v>
      </c>
      <c r="P13" s="962">
        <f t="shared" si="0"/>
        <v>357452.97254838358</v>
      </c>
      <c r="Q13" s="962">
        <f t="shared" si="0"/>
        <v>357452.97254838364</v>
      </c>
      <c r="R13" s="962">
        <f t="shared" si="0"/>
        <v>357452.97254838358</v>
      </c>
      <c r="S13" s="962">
        <f t="shared" si="0"/>
        <v>357452.97254838364</v>
      </c>
      <c r="T13" s="962">
        <f t="shared" si="0"/>
        <v>357452.9725483837</v>
      </c>
    </row>
    <row r="14" spans="1:20" ht="12.75" x14ac:dyDescent="0.3">
      <c r="D14" s="351" t="s">
        <v>923</v>
      </c>
      <c r="E14" s="959" t="s">
        <v>102</v>
      </c>
      <c r="F14" s="959" t="str">
        <f>Dollars</f>
        <v>Dollars</v>
      </c>
      <c r="G14" s="959" t="str">
        <f>Real2024</f>
        <v>Real $2024</v>
      </c>
      <c r="H14" s="959" t="str">
        <f>End_Period</f>
        <v>End Period</v>
      </c>
      <c r="J14" s="139"/>
      <c r="K14" s="139"/>
      <c r="L14" s="139"/>
      <c r="M14" s="139"/>
      <c r="N14" s="962">
        <f t="shared" si="0"/>
        <v>549334.18694369949</v>
      </c>
      <c r="O14" s="962">
        <f t="shared" si="0"/>
        <v>543880.95907919784</v>
      </c>
      <c r="P14" s="962">
        <f t="shared" si="0"/>
        <v>540529.15587739565</v>
      </c>
      <c r="Q14" s="962">
        <f t="shared" si="0"/>
        <v>540529.15587739577</v>
      </c>
      <c r="R14" s="962">
        <f t="shared" si="0"/>
        <v>540529.15587739565</v>
      </c>
      <c r="S14" s="962">
        <f t="shared" si="0"/>
        <v>540529.15587739577</v>
      </c>
      <c r="T14" s="962">
        <f t="shared" si="0"/>
        <v>540529.15587739588</v>
      </c>
    </row>
    <row r="15" spans="1:20" ht="12.75" x14ac:dyDescent="0.3">
      <c r="D15" s="6" t="s">
        <v>1067</v>
      </c>
      <c r="E15" s="959" t="s">
        <v>102</v>
      </c>
      <c r="F15" s="959" t="str">
        <f>Dollars</f>
        <v>Dollars</v>
      </c>
      <c r="G15" s="959" t="str">
        <f>Real2024</f>
        <v>Real $2024</v>
      </c>
      <c r="H15" s="959" t="str">
        <f>End_Period</f>
        <v>End Period</v>
      </c>
      <c r="J15" s="139"/>
      <c r="K15" s="139"/>
      <c r="L15" s="139"/>
      <c r="M15" s="139"/>
      <c r="N15" s="962">
        <f t="shared" ref="N15:T15" si="1">SUM(N12:N14)</f>
        <v>2011140.3815344106</v>
      </c>
      <c r="O15" s="962">
        <f t="shared" si="1"/>
        <v>1991175.8371301647</v>
      </c>
      <c r="P15" s="962">
        <f t="shared" si="1"/>
        <v>1978904.7152333008</v>
      </c>
      <c r="Q15" s="962">
        <f t="shared" si="1"/>
        <v>1978904.7152333015</v>
      </c>
      <c r="R15" s="962">
        <f t="shared" si="1"/>
        <v>1978904.7152333008</v>
      </c>
      <c r="S15" s="962">
        <f t="shared" si="1"/>
        <v>1978904.7152333015</v>
      </c>
      <c r="T15" s="962">
        <f t="shared" si="1"/>
        <v>1978904.7152333017</v>
      </c>
    </row>
    <row r="16" spans="1:20" ht="11.25" customHeight="1" x14ac:dyDescent="0.3"/>
    <row r="17" spans="1:20" ht="12.75" x14ac:dyDescent="0.3">
      <c r="D17" s="351" t="s">
        <v>919</v>
      </c>
      <c r="E17" s="959" t="s">
        <v>102</v>
      </c>
      <c r="F17" s="959" t="str">
        <f>Dollars</f>
        <v>Dollars</v>
      </c>
      <c r="G17" s="959" t="str">
        <f>Real2024</f>
        <v>Real $2024</v>
      </c>
      <c r="H17" s="959" t="str">
        <f>End_Period</f>
        <v>End Period</v>
      </c>
      <c r="J17" s="139"/>
      <c r="K17" s="139"/>
      <c r="L17" s="139"/>
      <c r="M17" s="139"/>
      <c r="N17" s="962">
        <f>N$65*Input_CPI!R$17</f>
        <v>4309387.4035421414</v>
      </c>
      <c r="O17" s="962">
        <f>O$65*Input_CPI!S$17</f>
        <v>4266608.2137038494</v>
      </c>
      <c r="P17" s="962">
        <f>P$65*Input_CPI!T$17</f>
        <v>4240314.1674924511</v>
      </c>
      <c r="Q17" s="962">
        <f>Q$65*Input_CPI!U$17</f>
        <v>4240314.1674924521</v>
      </c>
      <c r="R17" s="962">
        <f>R$65*Input_CPI!V$17</f>
        <v>4240314.1674924521</v>
      </c>
      <c r="S17" s="962">
        <f>S$65*Input_CPI!W$17</f>
        <v>4240314.1674924511</v>
      </c>
      <c r="T17" s="962">
        <f>T$65*Input_CPI!X$17</f>
        <v>4240314.1674924521</v>
      </c>
    </row>
    <row r="18" spans="1:20" ht="12.75" x14ac:dyDescent="0.3">
      <c r="D18" s="351" t="s">
        <v>922</v>
      </c>
      <c r="E18" s="959"/>
      <c r="F18" s="959"/>
      <c r="G18" s="959"/>
      <c r="H18" s="959"/>
      <c r="J18" s="139"/>
      <c r="K18" s="139"/>
      <c r="L18" s="139"/>
      <c r="M18" s="139"/>
      <c r="N18" s="962">
        <f t="shared" ref="N18:T19" si="2">N$17*N32</f>
        <v>1425082.014252512</v>
      </c>
      <c r="O18" s="962">
        <f t="shared" si="2"/>
        <v>1410935.2578080266</v>
      </c>
      <c r="P18" s="962">
        <f t="shared" si="2"/>
        <v>1402240.0144175189</v>
      </c>
      <c r="Q18" s="962">
        <f t="shared" si="2"/>
        <v>1402240.0144175191</v>
      </c>
      <c r="R18" s="962">
        <f t="shared" si="2"/>
        <v>1402240.0144175191</v>
      </c>
      <c r="S18" s="962">
        <f t="shared" si="2"/>
        <v>1402240.0144175189</v>
      </c>
      <c r="T18" s="962">
        <f t="shared" si="2"/>
        <v>1402240.0144175191</v>
      </c>
    </row>
    <row r="19" spans="1:20" ht="12.75" x14ac:dyDescent="0.3">
      <c r="D19" s="351" t="s">
        <v>923</v>
      </c>
      <c r="E19" s="959" t="s">
        <v>102</v>
      </c>
      <c r="F19" s="959" t="str">
        <f>Dollars</f>
        <v>Dollars</v>
      </c>
      <c r="G19" s="959" t="str">
        <f>Real2024</f>
        <v>Real $2024</v>
      </c>
      <c r="H19" s="959" t="str">
        <f>End_Period</f>
        <v>End Period</v>
      </c>
      <c r="J19" s="139"/>
      <c r="K19" s="139"/>
      <c r="L19" s="139"/>
      <c r="M19" s="139"/>
      <c r="N19" s="962">
        <f t="shared" si="2"/>
        <v>2154964.253698308</v>
      </c>
      <c r="O19" s="962">
        <f t="shared" si="2"/>
        <v>2133571.9730163906</v>
      </c>
      <c r="P19" s="962">
        <f t="shared" si="2"/>
        <v>2120423.2991180816</v>
      </c>
      <c r="Q19" s="962">
        <f t="shared" si="2"/>
        <v>2120423.299118082</v>
      </c>
      <c r="R19" s="962">
        <f t="shared" si="2"/>
        <v>2120423.299118082</v>
      </c>
      <c r="S19" s="962">
        <f t="shared" si="2"/>
        <v>2120423.2991180816</v>
      </c>
      <c r="T19" s="962">
        <f t="shared" si="2"/>
        <v>2120423.299118082</v>
      </c>
    </row>
    <row r="20" spans="1:20" ht="12.75" x14ac:dyDescent="0.3">
      <c r="D20" s="6" t="s">
        <v>1068</v>
      </c>
      <c r="E20" s="959" t="s">
        <v>102</v>
      </c>
      <c r="F20" s="959" t="str">
        <f>Dollars</f>
        <v>Dollars</v>
      </c>
      <c r="G20" s="959" t="str">
        <f>Real2024</f>
        <v>Real $2024</v>
      </c>
      <c r="H20" s="959" t="str">
        <f>End_Period</f>
        <v>End Period</v>
      </c>
      <c r="J20" s="139"/>
      <c r="K20" s="139"/>
      <c r="L20" s="139"/>
      <c r="M20" s="139"/>
      <c r="N20" s="962">
        <f>SUM(N17:N19)</f>
        <v>7889433.6714929612</v>
      </c>
      <c r="O20" s="962">
        <f t="shared" ref="O20:T20" si="3">SUM(O17:O19)</f>
        <v>7811115.4445282668</v>
      </c>
      <c r="P20" s="962">
        <f t="shared" si="3"/>
        <v>7762977.481028052</v>
      </c>
      <c r="Q20" s="962">
        <f t="shared" si="3"/>
        <v>7762977.481028053</v>
      </c>
      <c r="R20" s="962">
        <f t="shared" si="3"/>
        <v>7762977.481028053</v>
      </c>
      <c r="S20" s="962">
        <f t="shared" si="3"/>
        <v>7762977.481028052</v>
      </c>
      <c r="T20" s="962">
        <f t="shared" si="3"/>
        <v>7762977.481028053</v>
      </c>
    </row>
    <row r="21" spans="1:20" ht="11.25" customHeight="1" x14ac:dyDescent="0.3"/>
    <row r="22" spans="1:20" ht="11.25" customHeight="1" x14ac:dyDescent="0.3">
      <c r="A22" s="41">
        <f>IF(SUM(N22:T22)=0,0,1)</f>
        <v>0</v>
      </c>
      <c r="D22" s="6" t="s">
        <v>926</v>
      </c>
      <c r="E22" s="959" t="s">
        <v>102</v>
      </c>
      <c r="F22" s="959" t="str">
        <f t="shared" ref="F22:H24" si="4">NA</f>
        <v>N/A</v>
      </c>
      <c r="G22" s="959" t="str">
        <f t="shared" si="4"/>
        <v>N/A</v>
      </c>
      <c r="H22" s="959" t="str">
        <f t="shared" si="4"/>
        <v>N/A</v>
      </c>
      <c r="J22" s="139"/>
      <c r="K22" s="139"/>
      <c r="L22" s="139"/>
      <c r="M22" s="139"/>
      <c r="N22" s="62">
        <f>IF(ROUND(N10-N93*Input_CPI!R$17,3)=0,0,1)</f>
        <v>0</v>
      </c>
      <c r="O22" s="62">
        <f>IF(ROUND(O10-O93*Input_CPI!S$17,3)=0,0,1)</f>
        <v>0</v>
      </c>
      <c r="P22" s="62">
        <f>IF(ROUND(P10-P93*Input_CPI!T$17,3)=0,0,1)</f>
        <v>0</v>
      </c>
      <c r="Q22" s="62">
        <f>IF(ROUND(Q10-Q93*Input_CPI!U$17,3)=0,0,1)</f>
        <v>0</v>
      </c>
      <c r="R22" s="62">
        <f>IF(ROUND(R10-R93*Input_CPI!V$17,3)=0,0,1)</f>
        <v>0</v>
      </c>
      <c r="S22" s="62">
        <f>IF(ROUND(S10-S93*Input_CPI!W$17,3)=0,0,1)</f>
        <v>0</v>
      </c>
      <c r="T22" s="62">
        <f>IF(ROUND(T10-T93*Input_CPI!X$17,3)=0,0,1)</f>
        <v>0</v>
      </c>
    </row>
    <row r="23" spans="1:20" ht="11.25" customHeight="1" x14ac:dyDescent="0.3">
      <c r="A23" s="41">
        <f>IF(SUM(N23:T23)=0,0,1)</f>
        <v>0</v>
      </c>
      <c r="D23" s="6" t="s">
        <v>927</v>
      </c>
      <c r="E23" s="959" t="s">
        <v>102</v>
      </c>
      <c r="F23" s="959" t="str">
        <f t="shared" si="4"/>
        <v>N/A</v>
      </c>
      <c r="G23" s="959" t="str">
        <f t="shared" si="4"/>
        <v>N/A</v>
      </c>
      <c r="H23" s="959" t="str">
        <f t="shared" si="4"/>
        <v>N/A</v>
      </c>
      <c r="J23" s="139"/>
      <c r="K23" s="139"/>
      <c r="L23" s="139"/>
      <c r="M23" s="139"/>
      <c r="N23" s="62">
        <f>IF(ROUND(N12-N64*Input_CPI!R$17,3)=0,0,1)</f>
        <v>0</v>
      </c>
      <c r="O23" s="62">
        <f>IF(ROUND(O12-O64*Input_CPI!S$17,3)=0,0,1)</f>
        <v>0</v>
      </c>
      <c r="P23" s="62">
        <f>IF(ROUND(P12-P64*Input_CPI!T$17,3)=0,0,1)</f>
        <v>0</v>
      </c>
      <c r="Q23" s="62">
        <f>IF(ROUND(Q12-Q64*Input_CPI!U$17,3)=0,0,1)</f>
        <v>0</v>
      </c>
      <c r="R23" s="62">
        <f>IF(ROUND(R12-R64*Input_CPI!V$17,3)=0,0,1)</f>
        <v>0</v>
      </c>
      <c r="S23" s="62">
        <f>IF(ROUND(S12-S64*Input_CPI!W$17,3)=0,0,1)</f>
        <v>0</v>
      </c>
      <c r="T23" s="62">
        <f>IF(ROUND(T12-T64*Input_CPI!X$17,3)=0,0,1)</f>
        <v>0</v>
      </c>
    </row>
    <row r="24" spans="1:20" ht="11.25" customHeight="1" x14ac:dyDescent="0.3">
      <c r="A24" s="41">
        <f>IF(SUM(N24:T24)=0,0,1)</f>
        <v>0</v>
      </c>
      <c r="D24" s="6" t="s">
        <v>928</v>
      </c>
      <c r="E24" s="959" t="s">
        <v>102</v>
      </c>
      <c r="F24" s="959" t="str">
        <f t="shared" si="4"/>
        <v>N/A</v>
      </c>
      <c r="G24" s="959" t="str">
        <f t="shared" si="4"/>
        <v>N/A</v>
      </c>
      <c r="H24" s="959" t="str">
        <f t="shared" si="4"/>
        <v>N/A</v>
      </c>
      <c r="J24" s="139"/>
      <c r="K24" s="139"/>
      <c r="L24" s="139"/>
      <c r="M24" s="139"/>
      <c r="N24" s="62">
        <f>IF(ROUND(N17-N65*Input_CPI!R$17,3)=0,0,1)</f>
        <v>0</v>
      </c>
      <c r="O24" s="62">
        <f>IF(ROUND(O17-O65*Input_CPI!S$17,3)=0,0,1)</f>
        <v>0</v>
      </c>
      <c r="P24" s="62">
        <f>IF(ROUND(P17-P65*Input_CPI!T$17,3)=0,0,1)</f>
        <v>0</v>
      </c>
      <c r="Q24" s="62">
        <f>IF(ROUND(Q17-Q65*Input_CPI!U$17,3)=0,0,1)</f>
        <v>0</v>
      </c>
      <c r="R24" s="62">
        <f>IF(ROUND(R17-R65*Input_CPI!V$17,3)=0,0,1)</f>
        <v>0</v>
      </c>
      <c r="S24" s="62">
        <f>IF(ROUND(S17-S65*Input_CPI!W$17,3)=0,0,1)</f>
        <v>0</v>
      </c>
      <c r="T24" s="62">
        <f>IF(ROUND(T17-T65*Input_CPI!X$17,3)=0,0,1)</f>
        <v>0</v>
      </c>
    </row>
    <row r="25" spans="1:20" ht="11.25" customHeight="1" x14ac:dyDescent="0.3"/>
    <row r="26" spans="1:20" s="7" customFormat="1" ht="13.9" x14ac:dyDescent="0.3">
      <c r="C26" s="7" t="s">
        <v>920</v>
      </c>
    </row>
    <row r="27" spans="1:20" ht="11.25" customHeight="1" x14ac:dyDescent="0.3"/>
    <row r="28" spans="1:20" ht="13.15" x14ac:dyDescent="0.3">
      <c r="D28" s="909" t="s">
        <v>912</v>
      </c>
      <c r="E28" s="25" t="str">
        <f>Lookup!E$20</f>
        <v>Source</v>
      </c>
      <c r="F28" s="25" t="str">
        <f>Lookup!F$20</f>
        <v>Unit</v>
      </c>
      <c r="G28" s="25" t="str">
        <f>Lookup!G$20</f>
        <v>Basis</v>
      </c>
      <c r="H28" s="25" t="str">
        <f>Lookup!H$20</f>
        <v>Timing</v>
      </c>
      <c r="J28" s="40" t="str">
        <f>Lookup!O$20</f>
        <v>FY19</v>
      </c>
      <c r="K28" s="40" t="str">
        <f>Lookup!P$20</f>
        <v>FY20</v>
      </c>
      <c r="L28" s="40" t="str">
        <f>Lookup!Q$20</f>
        <v>FY21</v>
      </c>
      <c r="M28" s="40" t="str">
        <f>Lookup!R$20</f>
        <v>FY22</v>
      </c>
      <c r="N28" s="40" t="str">
        <f>Lookup!S$20</f>
        <v>FY23</v>
      </c>
      <c r="O28" s="40" t="str">
        <f>Lookup!T$20</f>
        <v>FY24</v>
      </c>
      <c r="P28" s="40" t="str">
        <f>Lookup!U$20</f>
        <v>FY25</v>
      </c>
      <c r="Q28" s="40" t="str">
        <f>Lookup!V$20</f>
        <v>FY26</v>
      </c>
      <c r="R28" s="40" t="str">
        <f>Lookup!W$20</f>
        <v>FY27</v>
      </c>
      <c r="S28" s="40" t="str">
        <f>Lookup!X$20</f>
        <v>FY28</v>
      </c>
      <c r="T28" s="40" t="str">
        <f>Lookup!Y$20</f>
        <v>FY29</v>
      </c>
    </row>
    <row r="29" spans="1:20" ht="11.25" customHeight="1" x14ac:dyDescent="0.3"/>
    <row r="30" spans="1:20" ht="12.75" x14ac:dyDescent="0.3">
      <c r="D30" s="798" t="s">
        <v>935</v>
      </c>
      <c r="E30" s="31" t="s">
        <v>921</v>
      </c>
      <c r="F30" s="959" t="str">
        <f>Percent</f>
        <v>Percent</v>
      </c>
      <c r="G30" s="959" t="str">
        <f t="shared" ref="G30:H33" si="5">NA</f>
        <v>N/A</v>
      </c>
      <c r="H30" s="959" t="str">
        <f t="shared" si="5"/>
        <v>N/A</v>
      </c>
      <c r="J30" s="139"/>
      <c r="K30" s="139"/>
      <c r="L30" s="139"/>
      <c r="M30" s="139"/>
      <c r="N30" s="139"/>
      <c r="O30" s="139"/>
      <c r="P30" s="965">
        <v>0.06</v>
      </c>
      <c r="Q30" s="965">
        <f>P30</f>
        <v>0.06</v>
      </c>
      <c r="R30" s="965">
        <f t="shared" ref="R30:T30" si="6">Q30</f>
        <v>0.06</v>
      </c>
      <c r="S30" s="965">
        <f t="shared" si="6"/>
        <v>0.06</v>
      </c>
      <c r="T30" s="965">
        <f t="shared" si="6"/>
        <v>0.06</v>
      </c>
    </row>
    <row r="31" spans="1:20" ht="12.75" x14ac:dyDescent="0.3">
      <c r="D31" s="798" t="s">
        <v>934</v>
      </c>
      <c r="E31" s="959" t="str">
        <f>E30</f>
        <v>FB + QS Model</v>
      </c>
      <c r="F31" s="959" t="str">
        <f>Percent</f>
        <v>Percent</v>
      </c>
      <c r="G31" s="959" t="str">
        <f t="shared" si="5"/>
        <v>N/A</v>
      </c>
      <c r="H31" s="959" t="str">
        <f t="shared" si="5"/>
        <v>N/A</v>
      </c>
      <c r="J31" s="139"/>
      <c r="K31" s="139"/>
      <c r="L31" s="139"/>
      <c r="M31" s="139"/>
      <c r="N31" s="139"/>
      <c r="O31" s="139"/>
      <c r="P31" s="965">
        <v>6.1956091044166717E-2</v>
      </c>
      <c r="Q31" s="965">
        <f t="shared" ref="Q31:T31" si="7">P31</f>
        <v>6.1956091044166717E-2</v>
      </c>
      <c r="R31" s="965">
        <f t="shared" si="7"/>
        <v>6.1956091044166717E-2</v>
      </c>
      <c r="S31" s="965">
        <f t="shared" si="7"/>
        <v>6.1956091044166717E-2</v>
      </c>
      <c r="T31" s="965">
        <f t="shared" si="7"/>
        <v>6.1956091044166717E-2</v>
      </c>
    </row>
    <row r="32" spans="1:20" ht="12.75" x14ac:dyDescent="0.3">
      <c r="D32" s="6" t="s">
        <v>922</v>
      </c>
      <c r="E32" s="959" t="str">
        <f t="shared" ref="E32:E33" si="8">E31</f>
        <v>FB + QS Model</v>
      </c>
      <c r="F32" s="959" t="str">
        <f>Percent</f>
        <v>Percent</v>
      </c>
      <c r="G32" s="959" t="str">
        <f t="shared" si="5"/>
        <v>N/A</v>
      </c>
      <c r="H32" s="959" t="str">
        <f t="shared" si="5"/>
        <v>N/A</v>
      </c>
      <c r="J32" s="139"/>
      <c r="K32" s="139"/>
      <c r="L32" s="139"/>
      <c r="M32" s="139"/>
      <c r="N32" s="965">
        <v>0.33069248150703567</v>
      </c>
      <c r="O32" s="965">
        <f>N32</f>
        <v>0.33069248150703567</v>
      </c>
      <c r="P32" s="965">
        <f t="shared" ref="P32:T32" si="9">O32</f>
        <v>0.33069248150703567</v>
      </c>
      <c r="Q32" s="965">
        <f t="shared" si="9"/>
        <v>0.33069248150703567</v>
      </c>
      <c r="R32" s="965">
        <f t="shared" si="9"/>
        <v>0.33069248150703567</v>
      </c>
      <c r="S32" s="965">
        <f t="shared" si="9"/>
        <v>0.33069248150703567</v>
      </c>
      <c r="T32" s="965">
        <f t="shared" si="9"/>
        <v>0.33069248150703567</v>
      </c>
    </row>
    <row r="33" spans="3:24" ht="12.75" x14ac:dyDescent="0.3">
      <c r="D33" s="6" t="s">
        <v>923</v>
      </c>
      <c r="E33" s="959" t="str">
        <f t="shared" si="8"/>
        <v>FB + QS Model</v>
      </c>
      <c r="F33" s="959" t="str">
        <f>Percent</f>
        <v>Percent</v>
      </c>
      <c r="G33" s="959" t="str">
        <f t="shared" si="5"/>
        <v>N/A</v>
      </c>
      <c r="H33" s="959" t="str">
        <f t="shared" si="5"/>
        <v>N/A</v>
      </c>
      <c r="J33" s="139"/>
      <c r="K33" s="139"/>
      <c r="L33" s="139"/>
      <c r="M33" s="139"/>
      <c r="N33" s="965">
        <v>0.5000627819924045</v>
      </c>
      <c r="O33" s="965">
        <f t="shared" ref="O33:T33" si="10">N33</f>
        <v>0.5000627819924045</v>
      </c>
      <c r="P33" s="965">
        <f t="shared" si="10"/>
        <v>0.5000627819924045</v>
      </c>
      <c r="Q33" s="965">
        <f t="shared" si="10"/>
        <v>0.5000627819924045</v>
      </c>
      <c r="R33" s="965">
        <f t="shared" si="10"/>
        <v>0.5000627819924045</v>
      </c>
      <c r="S33" s="965">
        <f t="shared" si="10"/>
        <v>0.5000627819924045</v>
      </c>
      <c r="T33" s="965">
        <f t="shared" si="10"/>
        <v>0.5000627819924045</v>
      </c>
    </row>
    <row r="35" spans="3:24" s="7" customFormat="1" ht="13.9" x14ac:dyDescent="0.3">
      <c r="C35" s="7" t="s">
        <v>1062</v>
      </c>
    </row>
    <row r="36" spans="3:24" ht="11.25" customHeight="1" x14ac:dyDescent="0.3"/>
    <row r="37" spans="3:24" ht="26.25" x14ac:dyDescent="0.3">
      <c r="D37" s="909" t="s">
        <v>867</v>
      </c>
      <c r="E37" s="25" t="str">
        <f>Lookup!E$20</f>
        <v>Source</v>
      </c>
      <c r="F37" s="25" t="str">
        <f>Lookup!F$20</f>
        <v>Unit</v>
      </c>
      <c r="G37" s="25" t="str">
        <f>Lookup!G$20</f>
        <v>Basis</v>
      </c>
      <c r="H37" s="25" t="str">
        <f>Lookup!H$20</f>
        <v>Timing</v>
      </c>
      <c r="I37" s="969" t="s">
        <v>1063</v>
      </c>
      <c r="J37" s="40" t="str">
        <f>Lookup!O$20</f>
        <v>FY19</v>
      </c>
      <c r="K37" s="40" t="str">
        <f>Lookup!P$20</f>
        <v>FY20</v>
      </c>
      <c r="L37" s="40" t="str">
        <f>Lookup!Q$20</f>
        <v>FY21</v>
      </c>
      <c r="M37" s="40" t="str">
        <f>Lookup!R$20</f>
        <v>FY22</v>
      </c>
      <c r="N37" s="40" t="str">
        <f>Lookup!S$20</f>
        <v>FY23</v>
      </c>
      <c r="O37" s="40" t="str">
        <f>Lookup!T$20</f>
        <v>FY24</v>
      </c>
      <c r="P37" s="40" t="str">
        <f>Lookup!U$20</f>
        <v>FY25</v>
      </c>
      <c r="Q37" s="40" t="str">
        <f>Lookup!V$20</f>
        <v>FY26</v>
      </c>
      <c r="R37" s="40" t="str">
        <f>Lookup!W$20</f>
        <v>FY27</v>
      </c>
      <c r="S37" s="40" t="str">
        <f>Lookup!X$20</f>
        <v>FY28</v>
      </c>
      <c r="T37" s="40" t="str">
        <f>Lookup!Y$20</f>
        <v>FY29</v>
      </c>
      <c r="V37" s="973" t="s">
        <v>864</v>
      </c>
      <c r="W37" s="973" t="s">
        <v>865</v>
      </c>
      <c r="X37" s="973" t="s">
        <v>866</v>
      </c>
    </row>
    <row r="38" spans="3:24" ht="11.25" customHeight="1" x14ac:dyDescent="0.3"/>
    <row r="39" spans="3:24" ht="12.75" x14ac:dyDescent="0.3">
      <c r="D39" s="958" t="s">
        <v>845</v>
      </c>
      <c r="E39" s="31" t="s">
        <v>904</v>
      </c>
      <c r="F39" s="959" t="str">
        <f t="shared" ref="F39:F57" si="11">Dollars</f>
        <v>Dollars</v>
      </c>
      <c r="G39" s="959" t="str">
        <f t="shared" ref="G39:G57" si="12">Nominal</f>
        <v>Nominal</v>
      </c>
      <c r="H39" s="959" t="str">
        <f t="shared" ref="H39:H57" si="13">Mid_Period</f>
        <v>Mid Period</v>
      </c>
      <c r="I39" s="31" t="s">
        <v>63</v>
      </c>
      <c r="J39" s="961">
        <v>10890</v>
      </c>
      <c r="K39" s="961">
        <v>39847</v>
      </c>
      <c r="L39" s="961">
        <v>59098</v>
      </c>
      <c r="M39" s="961">
        <v>166424</v>
      </c>
      <c r="N39" s="962">
        <f>IF($M39&lt;&gt;0,$M39,
SUMPRODUCT($J39:$M39,Input_CPI!$N$26:$Q$26)/COUNTA($J$37:$M$37))*Input_CPI!R$11/Input_CPI!$Q$11</f>
        <v>176908.712</v>
      </c>
      <c r="O39" s="962">
        <f>IF($M39&lt;&gt;0,$M39,
SUMPRODUCT($J39:$M39,Input_CPI!$N$26:$Q$26)/COUNTA($J$37:$M$37))*Input_CPI!S$11/Input_CPI!$Q$11</f>
        <v>184338.87790400002</v>
      </c>
      <c r="P39" s="962">
        <f>IF($M39&lt;&gt;0,$M39,
SUMPRODUCT($J39:$M39,Input_CPI!$N$26:$Q$26)/COUNTA($J$37:$M$37))*Input_CPI!T$11/Input_CPI!$Q$11</f>
        <v>189720.90961076287</v>
      </c>
      <c r="Q39" s="962">
        <f>IF($M39&lt;&gt;0,$M39,
SUMPRODUCT($J39:$M39,Input_CPI!$N$26:$Q$26)/COUNTA($J$37:$M$37))*Input_CPI!U$11/Input_CPI!$Q$11</f>
        <v>195260.07727073299</v>
      </c>
      <c r="R39" s="962">
        <f>IF($M39&lt;&gt;0,$M39,
SUMPRODUCT($J39:$M39,Input_CPI!$N$26:$Q$26)/COUNTA($J$37:$M$37))*Input_CPI!V$11/Input_CPI!$Q$11</f>
        <v>200960.96868813297</v>
      </c>
      <c r="S39" s="962">
        <f>IF($M39&lt;&gt;0,$M39,
SUMPRODUCT($J39:$M39,Input_CPI!$N$26:$Q$26)/COUNTA($J$37:$M$37))*Input_CPI!W$11/Input_CPI!$Q$11</f>
        <v>206828.30561455479</v>
      </c>
      <c r="T39" s="962">
        <f>IF($M39&lt;&gt;0,$M39,
SUMPRODUCT($J39:$M39,Input_CPI!$N$26:$Q$26)/COUNTA($J$37:$M$37))*Input_CPI!X$11/Input_CPI!$Q$11</f>
        <v>212866.94765974118</v>
      </c>
      <c r="V39" s="960">
        <v>1</v>
      </c>
      <c r="W39" s="960">
        <v>1</v>
      </c>
      <c r="X39" s="960">
        <v>1</v>
      </c>
    </row>
    <row r="40" spans="3:24" ht="12.75" x14ac:dyDescent="0.3">
      <c r="D40" s="958" t="s">
        <v>846</v>
      </c>
      <c r="E40" s="959" t="str">
        <f>E39</f>
        <v>CA RIN 4.4.1</v>
      </c>
      <c r="F40" s="959" t="str">
        <f t="shared" si="11"/>
        <v>Dollars</v>
      </c>
      <c r="G40" s="959" t="str">
        <f t="shared" si="12"/>
        <v>Nominal</v>
      </c>
      <c r="H40" s="959" t="str">
        <f t="shared" si="13"/>
        <v>Mid Period</v>
      </c>
      <c r="I40" s="31" t="s">
        <v>63</v>
      </c>
      <c r="J40" s="961">
        <v>213006</v>
      </c>
      <c r="K40" s="961">
        <v>17325</v>
      </c>
      <c r="L40" s="961">
        <v>178426</v>
      </c>
      <c r="M40" s="961">
        <v>341558</v>
      </c>
      <c r="N40" s="962">
        <f>IF($M40&lt;&gt;0,$M40,
SUMPRODUCT($J40:$M40,Input_CPI!$N$26:$Q$26)/COUNTA($J$37:$M$37))*Input_CPI!R$11/Input_CPI!$Q$11</f>
        <v>363076.15399999998</v>
      </c>
      <c r="O40" s="962">
        <f>IF($M40&lt;&gt;0,$M40,
SUMPRODUCT($J40:$M40,Input_CPI!$N$26:$Q$26)/COUNTA($J$37:$M$37))*Input_CPI!S$11/Input_CPI!$Q$11</f>
        <v>378325.35246800003</v>
      </c>
      <c r="P40" s="962">
        <f>IF($M40&lt;&gt;0,$M40,
SUMPRODUCT($J40:$M40,Input_CPI!$N$26:$Q$26)/COUNTA($J$37:$M$37))*Input_CPI!T$11/Input_CPI!$Q$11</f>
        <v>389371.09097746084</v>
      </c>
      <c r="Q40" s="962">
        <f>IF($M40&lt;&gt;0,$M40,
SUMPRODUCT($J40:$M40,Input_CPI!$N$26:$Q$26)/COUNTA($J$37:$M$37))*Input_CPI!U$11/Input_CPI!$Q$11</f>
        <v>400739.32529224764</v>
      </c>
      <c r="R40" s="962">
        <f>IF($M40&lt;&gt;0,$M40,
SUMPRODUCT($J40:$M40,Input_CPI!$N$26:$Q$26)/COUNTA($J$37:$M$37))*Input_CPI!V$11/Input_CPI!$Q$11</f>
        <v>412439.47112905176</v>
      </c>
      <c r="S40" s="962">
        <f>IF($M40&lt;&gt;0,$M40,
SUMPRODUCT($J40:$M40,Input_CPI!$N$26:$Q$26)/COUNTA($J$37:$M$37))*Input_CPI!W$11/Input_CPI!$Q$11</f>
        <v>424481.21910960024</v>
      </c>
      <c r="T40" s="962">
        <f>IF($M40&lt;&gt;0,$M40,
SUMPRODUCT($J40:$M40,Input_CPI!$N$26:$Q$26)/COUNTA($J$37:$M$37))*Input_CPI!X$11/Input_CPI!$Q$11</f>
        <v>436874.54278689303</v>
      </c>
      <c r="V40" s="960">
        <v>2</v>
      </c>
      <c r="W40" s="960">
        <v>2</v>
      </c>
      <c r="X40" s="960">
        <v>2</v>
      </c>
    </row>
    <row r="41" spans="3:24" ht="12.75" x14ac:dyDescent="0.3">
      <c r="D41" s="958" t="s">
        <v>847</v>
      </c>
      <c r="E41" s="959" t="str">
        <f t="shared" ref="E41:E57" si="14">E40</f>
        <v>CA RIN 4.4.1</v>
      </c>
      <c r="F41" s="959" t="str">
        <f t="shared" si="11"/>
        <v>Dollars</v>
      </c>
      <c r="G41" s="959" t="str">
        <f t="shared" si="12"/>
        <v>Nominal</v>
      </c>
      <c r="H41" s="959" t="str">
        <f t="shared" si="13"/>
        <v>Mid Period</v>
      </c>
      <c r="I41" s="31" t="s">
        <v>63</v>
      </c>
      <c r="J41" s="961">
        <v>165580</v>
      </c>
      <c r="K41" s="961">
        <v>60210</v>
      </c>
      <c r="L41" s="961">
        <v>105191</v>
      </c>
      <c r="M41" s="961">
        <v>345135</v>
      </c>
      <c r="N41" s="962">
        <f>IF($M41&lt;&gt;0,$M41,
SUMPRODUCT($J41:$M41,Input_CPI!$N$26:$Q$26)/COUNTA($J$37:$M$37))*Input_CPI!R$11/Input_CPI!$Q$11</f>
        <v>366878.505</v>
      </c>
      <c r="O41" s="962">
        <f>IF($M41&lt;&gt;0,$M41,
SUMPRODUCT($J41:$M41,Input_CPI!$N$26:$Q$26)/COUNTA($J$37:$M$37))*Input_CPI!S$11/Input_CPI!$Q$11</f>
        <v>382287.40221000003</v>
      </c>
      <c r="P41" s="962">
        <f>IF($M41&lt;&gt;0,$M41,
SUMPRODUCT($J41:$M41,Input_CPI!$N$26:$Q$26)/COUNTA($J$37:$M$37))*Input_CPI!T$11/Input_CPI!$Q$11</f>
        <v>393448.81831052399</v>
      </c>
      <c r="Q41" s="962">
        <f>IF($M41&lt;&gt;0,$M41,
SUMPRODUCT($J41:$M41,Input_CPI!$N$26:$Q$26)/COUNTA($J$37:$M$37))*Input_CPI!U$11/Input_CPI!$Q$11</f>
        <v>404936.10758565133</v>
      </c>
      <c r="R41" s="962">
        <f>IF($M41&lt;&gt;0,$M41,
SUMPRODUCT($J41:$M41,Input_CPI!$N$26:$Q$26)/COUNTA($J$37:$M$37))*Input_CPI!V$11/Input_CPI!$Q$11</f>
        <v>416758.78435909946</v>
      </c>
      <c r="S41" s="962">
        <f>IF($M41&lt;&gt;0,$M41,
SUMPRODUCT($J41:$M41,Input_CPI!$N$26:$Q$26)/COUNTA($J$37:$M$37))*Input_CPI!W$11/Input_CPI!$Q$11</f>
        <v>428926.64073859161</v>
      </c>
      <c r="T41" s="962">
        <f>IF($M41&lt;&gt;0,$M41,
SUMPRODUCT($J41:$M41,Input_CPI!$N$26:$Q$26)/COUNTA($J$37:$M$37))*Input_CPI!X$11/Input_CPI!$Q$11</f>
        <v>441449.7547261499</v>
      </c>
      <c r="V41" s="960">
        <v>3</v>
      </c>
      <c r="W41" s="960">
        <v>3</v>
      </c>
      <c r="X41" s="960">
        <v>3</v>
      </c>
    </row>
    <row r="42" spans="3:24" ht="12.75" x14ac:dyDescent="0.3">
      <c r="D42" s="958" t="s">
        <v>848</v>
      </c>
      <c r="E42" s="959" t="str">
        <f t="shared" si="14"/>
        <v>CA RIN 4.4.1</v>
      </c>
      <c r="F42" s="959" t="str">
        <f t="shared" si="11"/>
        <v>Dollars</v>
      </c>
      <c r="G42" s="959" t="str">
        <f t="shared" si="12"/>
        <v>Nominal</v>
      </c>
      <c r="H42" s="959" t="str">
        <f t="shared" si="13"/>
        <v>Mid Period</v>
      </c>
      <c r="I42" s="31" t="s">
        <v>63</v>
      </c>
      <c r="J42" s="961">
        <v>0</v>
      </c>
      <c r="K42" s="961">
        <v>0</v>
      </c>
      <c r="L42" s="961">
        <v>0</v>
      </c>
      <c r="M42" s="961">
        <v>0</v>
      </c>
      <c r="N42" s="962">
        <f>IF($M42&lt;&gt;0,$M42,
SUMPRODUCT($J42:$M42,Input_CPI!$N$26:$Q$26)/COUNTA($J$37:$M$37))*Input_CPI!R$11/Input_CPI!$Q$11</f>
        <v>0</v>
      </c>
      <c r="O42" s="962">
        <f>IF($M42&lt;&gt;0,$M42,
SUMPRODUCT($J42:$M42,Input_CPI!$N$26:$Q$26)/COUNTA($J$37:$M$37))*Input_CPI!S$11/Input_CPI!$Q$11</f>
        <v>0</v>
      </c>
      <c r="P42" s="962">
        <f>IF($M42&lt;&gt;0,$M42,
SUMPRODUCT($J42:$M42,Input_CPI!$N$26:$Q$26)/COUNTA($J$37:$M$37))*Input_CPI!T$11/Input_CPI!$Q$11</f>
        <v>0</v>
      </c>
      <c r="Q42" s="962">
        <f>IF($M42&lt;&gt;0,$M42,
SUMPRODUCT($J42:$M42,Input_CPI!$N$26:$Q$26)/COUNTA($J$37:$M$37))*Input_CPI!U$11/Input_CPI!$Q$11</f>
        <v>0</v>
      </c>
      <c r="R42" s="962">
        <f>IF($M42&lt;&gt;0,$M42,
SUMPRODUCT($J42:$M42,Input_CPI!$N$26:$Q$26)/COUNTA($J$37:$M$37))*Input_CPI!V$11/Input_CPI!$Q$11</f>
        <v>0</v>
      </c>
      <c r="S42" s="962">
        <f>IF($M42&lt;&gt;0,$M42,
SUMPRODUCT($J42:$M42,Input_CPI!$N$26:$Q$26)/COUNTA($J$37:$M$37))*Input_CPI!W$11/Input_CPI!$Q$11</f>
        <v>0</v>
      </c>
      <c r="T42" s="962">
        <f>IF($M42&lt;&gt;0,$M42,
SUMPRODUCT($J42:$M42,Input_CPI!$N$26:$Q$26)/COUNTA($J$37:$M$37))*Input_CPI!X$11/Input_CPI!$Q$11</f>
        <v>0</v>
      </c>
      <c r="V42" s="960">
        <v>4</v>
      </c>
      <c r="W42" s="960">
        <v>4</v>
      </c>
      <c r="X42" s="960">
        <v>4</v>
      </c>
    </row>
    <row r="43" spans="3:24" ht="12.75" x14ac:dyDescent="0.3">
      <c r="D43" s="958" t="s">
        <v>849</v>
      </c>
      <c r="E43" s="959" t="str">
        <f t="shared" si="14"/>
        <v>CA RIN 4.4.1</v>
      </c>
      <c r="F43" s="959" t="str">
        <f t="shared" si="11"/>
        <v>Dollars</v>
      </c>
      <c r="G43" s="959" t="str">
        <f t="shared" si="12"/>
        <v>Nominal</v>
      </c>
      <c r="H43" s="959" t="str">
        <f t="shared" si="13"/>
        <v>Mid Period</v>
      </c>
      <c r="I43" s="31" t="s">
        <v>63</v>
      </c>
      <c r="J43" s="961">
        <v>5099</v>
      </c>
      <c r="K43" s="961">
        <v>9035</v>
      </c>
      <c r="L43" s="961">
        <v>833</v>
      </c>
      <c r="M43" s="961">
        <v>0</v>
      </c>
      <c r="N43" s="962">
        <f>IF($M43&lt;&gt;0,$M43,
SUMPRODUCT($J43:$M43,Input_CPI!$N$26:$Q$26)/COUNTA($J$37:$M$37))*Input_CPI!R$11/Input_CPI!$Q$11</f>
        <v>4252.9753821245777</v>
      </c>
      <c r="O43" s="962">
        <f>IF($M43&lt;&gt;0,$M43,
SUMPRODUCT($J43:$M43,Input_CPI!$N$26:$Q$26)/COUNTA($J$37:$M$37))*Input_CPI!S$11/Input_CPI!$Q$11</f>
        <v>4431.6003481738098</v>
      </c>
      <c r="P43" s="962">
        <f>IF($M43&lt;&gt;0,$M43,
SUMPRODUCT($J43:$M43,Input_CPI!$N$26:$Q$26)/COUNTA($J$37:$M$37))*Input_CPI!T$11/Input_CPI!$Q$11</f>
        <v>4560.9871267891922</v>
      </c>
      <c r="Q43" s="962">
        <f>IF($M43&lt;&gt;0,$M43,
SUMPRODUCT($J43:$M43,Input_CPI!$N$26:$Q$26)/COUNTA($J$37:$M$37))*Input_CPI!U$11/Input_CPI!$Q$11</f>
        <v>4694.1515336122638</v>
      </c>
      <c r="R43" s="962">
        <f>IF($M43&lt;&gt;0,$M43,
SUMPRODUCT($J43:$M43,Input_CPI!$N$26:$Q$26)/COUNTA($J$37:$M$37))*Input_CPI!V$11/Input_CPI!$Q$11</f>
        <v>4831.2038617891103</v>
      </c>
      <c r="S43" s="962">
        <f>IF($M43&lt;&gt;0,$M43,
SUMPRODUCT($J43:$M43,Input_CPI!$N$26:$Q$26)/COUNTA($J$37:$M$37))*Input_CPI!W$11/Input_CPI!$Q$11</f>
        <v>4972.2576246286853</v>
      </c>
      <c r="T43" s="962">
        <f>IF($M43&lt;&gt;0,$M43,
SUMPRODUCT($J43:$M43,Input_CPI!$N$26:$Q$26)/COUNTA($J$37:$M$37))*Input_CPI!X$11/Input_CPI!$Q$11</f>
        <v>5117.4296496199704</v>
      </c>
      <c r="V43" s="960">
        <v>5</v>
      </c>
      <c r="W43" s="960">
        <v>5</v>
      </c>
      <c r="X43" s="960">
        <v>5</v>
      </c>
    </row>
    <row r="44" spans="3:24" ht="12.75" x14ac:dyDescent="0.3">
      <c r="D44" s="958" t="s">
        <v>850</v>
      </c>
      <c r="E44" s="959" t="str">
        <f t="shared" si="14"/>
        <v>CA RIN 4.4.1</v>
      </c>
      <c r="F44" s="959" t="str">
        <f t="shared" si="11"/>
        <v>Dollars</v>
      </c>
      <c r="G44" s="959" t="str">
        <f t="shared" si="12"/>
        <v>Nominal</v>
      </c>
      <c r="H44" s="959" t="str">
        <f t="shared" si="13"/>
        <v>Mid Period</v>
      </c>
      <c r="I44" s="31" t="s">
        <v>63</v>
      </c>
      <c r="J44" s="961">
        <v>0</v>
      </c>
      <c r="K44" s="961">
        <v>18940</v>
      </c>
      <c r="L44" s="961">
        <v>0</v>
      </c>
      <c r="M44" s="961">
        <v>0</v>
      </c>
      <c r="N44" s="962">
        <f>IF($M44&lt;&gt;0,$M44,
SUMPRODUCT($J44:$M44,Input_CPI!$N$26:$Q$26)/COUNTA($J$37:$M$37))*Input_CPI!R$11/Input_CPI!$Q$11</f>
        <v>5375.7003840380694</v>
      </c>
      <c r="O44" s="962">
        <f>IF($M44&lt;&gt;0,$M44,
SUMPRODUCT($J44:$M44,Input_CPI!$N$26:$Q$26)/COUNTA($J$37:$M$37))*Input_CPI!S$11/Input_CPI!$Q$11</f>
        <v>5601.4798001676691</v>
      </c>
      <c r="P44" s="962">
        <f>IF($M44&lt;&gt;0,$M44,
SUMPRODUCT($J44:$M44,Input_CPI!$N$26:$Q$26)/COUNTA($J$37:$M$37))*Input_CPI!T$11/Input_CPI!$Q$11</f>
        <v>5765.022847798642</v>
      </c>
      <c r="Q44" s="962">
        <f>IF($M44&lt;&gt;0,$M44,
SUMPRODUCT($J44:$M44,Input_CPI!$N$26:$Q$26)/COUNTA($J$37:$M$37))*Input_CPI!U$11/Input_CPI!$Q$11</f>
        <v>5933.3407637470245</v>
      </c>
      <c r="R44" s="962">
        <f>IF($M44&lt;&gt;0,$M44,
SUMPRODUCT($J44:$M44,Input_CPI!$N$26:$Q$26)/COUNTA($J$37:$M$37))*Input_CPI!V$11/Input_CPI!$Q$11</f>
        <v>6106.5729569805389</v>
      </c>
      <c r="S44" s="962">
        <f>IF($M44&lt;&gt;0,$M44,
SUMPRODUCT($J44:$M44,Input_CPI!$N$26:$Q$26)/COUNTA($J$37:$M$37))*Input_CPI!W$11/Input_CPI!$Q$11</f>
        <v>6284.8629067069651</v>
      </c>
      <c r="T44" s="962">
        <f>IF($M44&lt;&gt;0,$M44,
SUMPRODUCT($J44:$M44,Input_CPI!$N$26:$Q$26)/COUNTA($J$37:$M$37))*Input_CPI!X$11/Input_CPI!$Q$11</f>
        <v>6468.3582812104942</v>
      </c>
      <c r="V44" s="960">
        <v>6</v>
      </c>
      <c r="W44" s="960">
        <v>6</v>
      </c>
      <c r="X44" s="960">
        <v>6</v>
      </c>
    </row>
    <row r="45" spans="3:24" ht="12.75" x14ac:dyDescent="0.3">
      <c r="D45" s="958" t="s">
        <v>851</v>
      </c>
      <c r="E45" s="959" t="str">
        <f t="shared" si="14"/>
        <v>CA RIN 4.4.1</v>
      </c>
      <c r="F45" s="959" t="str">
        <f t="shared" si="11"/>
        <v>Dollars</v>
      </c>
      <c r="G45" s="959" t="str">
        <f t="shared" si="12"/>
        <v>Nominal</v>
      </c>
      <c r="H45" s="959" t="str">
        <f t="shared" si="13"/>
        <v>Mid Period</v>
      </c>
      <c r="I45" s="31" t="s">
        <v>63</v>
      </c>
      <c r="J45" s="961">
        <v>35397</v>
      </c>
      <c r="K45" s="961">
        <v>0</v>
      </c>
      <c r="L45" s="961">
        <v>2775</v>
      </c>
      <c r="M45" s="961">
        <v>11083</v>
      </c>
      <c r="N45" s="962">
        <f>IF($M45&lt;&gt;0,$M45,
SUMPRODUCT($J45:$M45,Input_CPI!$N$26:$Q$26)/COUNTA($J$37:$M$37))*Input_CPI!R$11/Input_CPI!$Q$11</f>
        <v>11781.229000000001</v>
      </c>
      <c r="O45" s="962">
        <f>IF($M45&lt;&gt;0,$M45,
SUMPRODUCT($J45:$M45,Input_CPI!$N$26:$Q$26)/COUNTA($J$37:$M$37))*Input_CPI!S$11/Input_CPI!$Q$11</f>
        <v>12276.040618000001</v>
      </c>
      <c r="P45" s="962">
        <f>IF($M45&lt;&gt;0,$M45,
SUMPRODUCT($J45:$M45,Input_CPI!$N$26:$Q$26)/COUNTA($J$37:$M$37))*Input_CPI!T$11/Input_CPI!$Q$11</f>
        <v>12634.45681642122</v>
      </c>
      <c r="Q45" s="962">
        <f>IF($M45&lt;&gt;0,$M45,
SUMPRODUCT($J45:$M45,Input_CPI!$N$26:$Q$26)/COUNTA($J$37:$M$37))*Input_CPI!U$11/Input_CPI!$Q$11</f>
        <v>13003.337477716759</v>
      </c>
      <c r="R45" s="962">
        <f>IF($M45&lt;&gt;0,$M45,
SUMPRODUCT($J45:$M45,Input_CPI!$N$26:$Q$26)/COUNTA($J$37:$M$37))*Input_CPI!V$11/Input_CPI!$Q$11</f>
        <v>13382.9881265357</v>
      </c>
      <c r="S45" s="962">
        <f>IF($M45&lt;&gt;0,$M45,
SUMPRODUCT($J45:$M45,Input_CPI!$N$26:$Q$26)/COUNTA($J$37:$M$37))*Input_CPI!W$11/Input_CPI!$Q$11</f>
        <v>13773.723207747147</v>
      </c>
      <c r="T45" s="962">
        <f>IF($M45&lt;&gt;0,$M45,
SUMPRODUCT($J45:$M45,Input_CPI!$N$26:$Q$26)/COUNTA($J$37:$M$37))*Input_CPI!X$11/Input_CPI!$Q$11</f>
        <v>14175.866346878525</v>
      </c>
      <c r="V45" s="960">
        <v>7</v>
      </c>
      <c r="W45" s="960">
        <v>7</v>
      </c>
      <c r="X45" s="960">
        <v>7</v>
      </c>
    </row>
    <row r="46" spans="3:24" ht="12.75" x14ac:dyDescent="0.3">
      <c r="D46" s="958" t="s">
        <v>852</v>
      </c>
      <c r="E46" s="959" t="str">
        <f t="shared" si="14"/>
        <v>CA RIN 4.4.1</v>
      </c>
      <c r="F46" s="959" t="str">
        <f t="shared" si="11"/>
        <v>Dollars</v>
      </c>
      <c r="G46" s="959" t="str">
        <f t="shared" si="12"/>
        <v>Nominal</v>
      </c>
      <c r="H46" s="959" t="str">
        <f t="shared" si="13"/>
        <v>Mid Period</v>
      </c>
      <c r="I46" s="31" t="s">
        <v>63</v>
      </c>
      <c r="J46" s="961">
        <v>0</v>
      </c>
      <c r="K46" s="961">
        <v>0</v>
      </c>
      <c r="L46" s="961">
        <v>0</v>
      </c>
      <c r="M46" s="961">
        <v>0</v>
      </c>
      <c r="N46" s="962">
        <f>IF($M46&lt;&gt;0,$M46,
SUMPRODUCT($J46:$M46,Input_CPI!$N$26:$Q$26)/COUNTA($J$37:$M$37))*Input_CPI!R$11/Input_CPI!$Q$11</f>
        <v>0</v>
      </c>
      <c r="O46" s="962">
        <f>IF($M46&lt;&gt;0,$M46,
SUMPRODUCT($J46:$M46,Input_CPI!$N$26:$Q$26)/COUNTA($J$37:$M$37))*Input_CPI!S$11/Input_CPI!$Q$11</f>
        <v>0</v>
      </c>
      <c r="P46" s="962">
        <f>IF($M46&lt;&gt;0,$M46,
SUMPRODUCT($J46:$M46,Input_CPI!$N$26:$Q$26)/COUNTA($J$37:$M$37))*Input_CPI!T$11/Input_CPI!$Q$11</f>
        <v>0</v>
      </c>
      <c r="Q46" s="962">
        <f>IF($M46&lt;&gt;0,$M46,
SUMPRODUCT($J46:$M46,Input_CPI!$N$26:$Q$26)/COUNTA($J$37:$M$37))*Input_CPI!U$11/Input_CPI!$Q$11</f>
        <v>0</v>
      </c>
      <c r="R46" s="962">
        <f>IF($M46&lt;&gt;0,$M46,
SUMPRODUCT($J46:$M46,Input_CPI!$N$26:$Q$26)/COUNTA($J$37:$M$37))*Input_CPI!V$11/Input_CPI!$Q$11</f>
        <v>0</v>
      </c>
      <c r="S46" s="962">
        <f>IF($M46&lt;&gt;0,$M46,
SUMPRODUCT($J46:$M46,Input_CPI!$N$26:$Q$26)/COUNTA($J$37:$M$37))*Input_CPI!W$11/Input_CPI!$Q$11</f>
        <v>0</v>
      </c>
      <c r="T46" s="962">
        <f>IF($M46&lt;&gt;0,$M46,
SUMPRODUCT($J46:$M46,Input_CPI!$N$26:$Q$26)/COUNTA($J$37:$M$37))*Input_CPI!X$11/Input_CPI!$Q$11</f>
        <v>0</v>
      </c>
      <c r="V46" s="960">
        <v>8</v>
      </c>
      <c r="W46" s="960">
        <v>8</v>
      </c>
      <c r="X46" s="960">
        <v>8</v>
      </c>
    </row>
    <row r="47" spans="3:24" ht="12.75" x14ac:dyDescent="0.3">
      <c r="D47" s="958" t="s">
        <v>853</v>
      </c>
      <c r="E47" s="959" t="str">
        <f t="shared" si="14"/>
        <v>CA RIN 4.4.1</v>
      </c>
      <c r="F47" s="959" t="str">
        <f t="shared" si="11"/>
        <v>Dollars</v>
      </c>
      <c r="G47" s="959" t="str">
        <f t="shared" si="12"/>
        <v>Nominal</v>
      </c>
      <c r="H47" s="959" t="str">
        <f t="shared" si="13"/>
        <v>Mid Period</v>
      </c>
      <c r="I47" s="31" t="s">
        <v>63</v>
      </c>
      <c r="J47" s="961">
        <v>0</v>
      </c>
      <c r="K47" s="961">
        <v>0</v>
      </c>
      <c r="L47" s="961">
        <v>27037</v>
      </c>
      <c r="M47" s="961">
        <v>87644</v>
      </c>
      <c r="N47" s="962">
        <f>IF($M47&lt;&gt;0,$M47,
SUMPRODUCT($J47:$M47,Input_CPI!$N$26:$Q$26)/COUNTA($J$37:$M$37))*Input_CPI!R$11/Input_CPI!$Q$11</f>
        <v>93165.572</v>
      </c>
      <c r="O47" s="962">
        <f>IF($M47&lt;&gt;0,$M47,
SUMPRODUCT($J47:$M47,Input_CPI!$N$26:$Q$26)/COUNTA($J$37:$M$37))*Input_CPI!S$11/Input_CPI!$Q$11</f>
        <v>97078.526024000006</v>
      </c>
      <c r="P47" s="962">
        <f>IF($M47&lt;&gt;0,$M47,
SUMPRODUCT($J47:$M47,Input_CPI!$N$26:$Q$26)/COUNTA($J$37:$M$37))*Input_CPI!T$11/Input_CPI!$Q$11</f>
        <v>99912.869549618452</v>
      </c>
      <c r="Q47" s="962">
        <f>IF($M47&lt;&gt;0,$M47,
SUMPRODUCT($J47:$M47,Input_CPI!$N$26:$Q$26)/COUNTA($J$37:$M$37))*Input_CPI!U$11/Input_CPI!$Q$11</f>
        <v>102829.9657039617</v>
      </c>
      <c r="R47" s="962">
        <f>IF($M47&lt;&gt;0,$M47,
SUMPRODUCT($J47:$M47,Input_CPI!$N$26:$Q$26)/COUNTA($J$37:$M$37))*Input_CPI!V$11/Input_CPI!$Q$11</f>
        <v>105832.23056592033</v>
      </c>
      <c r="S47" s="962">
        <f>IF($M47&lt;&gt;0,$M47,
SUMPRODUCT($J47:$M47,Input_CPI!$N$26:$Q$26)/COUNTA($J$37:$M$37))*Input_CPI!W$11/Input_CPI!$Q$11</f>
        <v>108922.15075519182</v>
      </c>
      <c r="T47" s="962">
        <f>IF($M47&lt;&gt;0,$M47,
SUMPRODUCT($J47:$M47,Input_CPI!$N$26:$Q$26)/COUNTA($J$37:$M$37))*Input_CPI!X$11/Input_CPI!$Q$11</f>
        <v>112102.28549181821</v>
      </c>
      <c r="V47" s="960">
        <v>9</v>
      </c>
      <c r="W47" s="960">
        <v>9</v>
      </c>
      <c r="X47" s="960">
        <v>9</v>
      </c>
    </row>
    <row r="48" spans="3:24" ht="12.75" x14ac:dyDescent="0.3">
      <c r="D48" s="958" t="s">
        <v>854</v>
      </c>
      <c r="E48" s="959" t="str">
        <f t="shared" si="14"/>
        <v>CA RIN 4.4.1</v>
      </c>
      <c r="F48" s="959" t="str">
        <f t="shared" si="11"/>
        <v>Dollars</v>
      </c>
      <c r="G48" s="959" t="str">
        <f t="shared" si="12"/>
        <v>Nominal</v>
      </c>
      <c r="H48" s="959" t="str">
        <f t="shared" si="13"/>
        <v>Mid Period</v>
      </c>
      <c r="I48" s="31" t="s">
        <v>63</v>
      </c>
      <c r="J48" s="961">
        <v>0</v>
      </c>
      <c r="K48" s="961">
        <v>0</v>
      </c>
      <c r="L48" s="961">
        <v>0</v>
      </c>
      <c r="M48" s="961">
        <v>0</v>
      </c>
      <c r="N48" s="962">
        <f>IF($M48&lt;&gt;0,$M48,
SUMPRODUCT($J48:$M48,Input_CPI!$N$26:$Q$26)/COUNTA($J$37:$M$37))*Input_CPI!R$11/Input_CPI!$Q$11</f>
        <v>0</v>
      </c>
      <c r="O48" s="962">
        <f>IF($M48&lt;&gt;0,$M48,
SUMPRODUCT($J48:$M48,Input_CPI!$N$26:$Q$26)/COUNTA($J$37:$M$37))*Input_CPI!S$11/Input_CPI!$Q$11</f>
        <v>0</v>
      </c>
      <c r="P48" s="962">
        <f>IF($M48&lt;&gt;0,$M48,
SUMPRODUCT($J48:$M48,Input_CPI!$N$26:$Q$26)/COUNTA($J$37:$M$37))*Input_CPI!T$11/Input_CPI!$Q$11</f>
        <v>0</v>
      </c>
      <c r="Q48" s="962">
        <f>IF($M48&lt;&gt;0,$M48,
SUMPRODUCT($J48:$M48,Input_CPI!$N$26:$Q$26)/COUNTA($J$37:$M$37))*Input_CPI!U$11/Input_CPI!$Q$11</f>
        <v>0</v>
      </c>
      <c r="R48" s="962">
        <f>IF($M48&lt;&gt;0,$M48,
SUMPRODUCT($J48:$M48,Input_CPI!$N$26:$Q$26)/COUNTA($J$37:$M$37))*Input_CPI!V$11/Input_CPI!$Q$11</f>
        <v>0</v>
      </c>
      <c r="S48" s="962">
        <f>IF($M48&lt;&gt;0,$M48,
SUMPRODUCT($J48:$M48,Input_CPI!$N$26:$Q$26)/COUNTA($J$37:$M$37))*Input_CPI!W$11/Input_CPI!$Q$11</f>
        <v>0</v>
      </c>
      <c r="T48" s="962">
        <f>IF($M48&lt;&gt;0,$M48,
SUMPRODUCT($J48:$M48,Input_CPI!$N$26:$Q$26)/COUNTA($J$37:$M$37))*Input_CPI!X$11/Input_CPI!$Q$11</f>
        <v>0</v>
      </c>
      <c r="V48" s="960">
        <v>10</v>
      </c>
      <c r="W48" s="960">
        <v>10</v>
      </c>
      <c r="X48" s="960">
        <v>10</v>
      </c>
    </row>
    <row r="49" spans="1:24" ht="12.75" x14ac:dyDescent="0.3">
      <c r="D49" s="958" t="s">
        <v>855</v>
      </c>
      <c r="E49" s="959" t="str">
        <f t="shared" si="14"/>
        <v>CA RIN 4.4.1</v>
      </c>
      <c r="F49" s="959" t="str">
        <f t="shared" si="11"/>
        <v>Dollars</v>
      </c>
      <c r="G49" s="959" t="str">
        <f t="shared" si="12"/>
        <v>Nominal</v>
      </c>
      <c r="H49" s="959" t="str">
        <f t="shared" si="13"/>
        <v>Mid Period</v>
      </c>
      <c r="I49" s="31" t="s">
        <v>63</v>
      </c>
      <c r="J49" s="961">
        <v>0</v>
      </c>
      <c r="K49" s="961">
        <v>0</v>
      </c>
      <c r="L49" s="961">
        <v>0</v>
      </c>
      <c r="M49" s="961">
        <v>0</v>
      </c>
      <c r="N49" s="962">
        <f>IF($M49&lt;&gt;0,$M49,
SUMPRODUCT($J49:$M49,Input_CPI!$N$26:$Q$26)/COUNTA($J$37:$M$37))*Input_CPI!R$11/Input_CPI!$Q$11</f>
        <v>0</v>
      </c>
      <c r="O49" s="962">
        <f>IF($M49&lt;&gt;0,$M49,
SUMPRODUCT($J49:$M49,Input_CPI!$N$26:$Q$26)/COUNTA($J$37:$M$37))*Input_CPI!S$11/Input_CPI!$Q$11</f>
        <v>0</v>
      </c>
      <c r="P49" s="962">
        <f>IF($M49&lt;&gt;0,$M49,
SUMPRODUCT($J49:$M49,Input_CPI!$N$26:$Q$26)/COUNTA($J$37:$M$37))*Input_CPI!T$11/Input_CPI!$Q$11</f>
        <v>0</v>
      </c>
      <c r="Q49" s="962">
        <f>IF($M49&lt;&gt;0,$M49,
SUMPRODUCT($J49:$M49,Input_CPI!$N$26:$Q$26)/COUNTA($J$37:$M$37))*Input_CPI!U$11/Input_CPI!$Q$11</f>
        <v>0</v>
      </c>
      <c r="R49" s="962">
        <f>IF($M49&lt;&gt;0,$M49,
SUMPRODUCT($J49:$M49,Input_CPI!$N$26:$Q$26)/COUNTA($J$37:$M$37))*Input_CPI!V$11/Input_CPI!$Q$11</f>
        <v>0</v>
      </c>
      <c r="S49" s="962">
        <f>IF($M49&lt;&gt;0,$M49,
SUMPRODUCT($J49:$M49,Input_CPI!$N$26:$Q$26)/COUNTA($J$37:$M$37))*Input_CPI!W$11/Input_CPI!$Q$11</f>
        <v>0</v>
      </c>
      <c r="T49" s="962">
        <f>IF($M49&lt;&gt;0,$M49,
SUMPRODUCT($J49:$M49,Input_CPI!$N$26:$Q$26)/COUNTA($J$37:$M$37))*Input_CPI!X$11/Input_CPI!$Q$11</f>
        <v>0</v>
      </c>
      <c r="V49" s="960">
        <v>11</v>
      </c>
      <c r="W49" s="960">
        <v>11</v>
      </c>
      <c r="X49" s="960">
        <v>11</v>
      </c>
    </row>
    <row r="50" spans="1:24" ht="12.75" x14ac:dyDescent="0.3">
      <c r="D50" s="958" t="s">
        <v>856</v>
      </c>
      <c r="E50" s="959" t="str">
        <f t="shared" si="14"/>
        <v>CA RIN 4.4.1</v>
      </c>
      <c r="F50" s="959" t="str">
        <f t="shared" si="11"/>
        <v>Dollars</v>
      </c>
      <c r="G50" s="959" t="str">
        <f t="shared" si="12"/>
        <v>Nominal</v>
      </c>
      <c r="H50" s="959" t="str">
        <f t="shared" si="13"/>
        <v>Mid Period</v>
      </c>
      <c r="I50" s="31" t="s">
        <v>63</v>
      </c>
      <c r="J50" s="961">
        <v>0</v>
      </c>
      <c r="K50" s="961">
        <v>2839</v>
      </c>
      <c r="L50" s="961">
        <v>1037</v>
      </c>
      <c r="M50" s="961">
        <v>0</v>
      </c>
      <c r="N50" s="962">
        <f>IF($M50&lt;&gt;0,$M50,
SUMPRODUCT($J50:$M50,Input_CPI!$N$26:$Q$26)/COUNTA($J$37:$M$37))*Input_CPI!R$11/Input_CPI!$Q$11</f>
        <v>1095.1194627999864</v>
      </c>
      <c r="O50" s="962">
        <f>IF($M50&lt;&gt;0,$M50,
SUMPRODUCT($J50:$M50,Input_CPI!$N$26:$Q$26)/COUNTA($J$37:$M$37))*Input_CPI!S$11/Input_CPI!$Q$11</f>
        <v>1141.1144802375861</v>
      </c>
      <c r="P50" s="962">
        <f>IF($M50&lt;&gt;0,$M50,
SUMPRODUCT($J50:$M50,Input_CPI!$N$26:$Q$26)/COUNTA($J$37:$M$37))*Input_CPI!T$11/Input_CPI!$Q$11</f>
        <v>1174.4309156174481</v>
      </c>
      <c r="Q50" s="962">
        <f>IF($M50&lt;&gt;0,$M50,
SUMPRODUCT($J50:$M50,Input_CPI!$N$26:$Q$26)/COUNTA($J$37:$M$37))*Input_CPI!U$11/Input_CPI!$Q$11</f>
        <v>1208.7200709878491</v>
      </c>
      <c r="R50" s="962">
        <f>IF($M50&lt;&gt;0,$M50,
SUMPRODUCT($J50:$M50,Input_CPI!$N$26:$Q$26)/COUNTA($J$37:$M$37))*Input_CPI!V$11/Input_CPI!$Q$11</f>
        <v>1244.0103462712061</v>
      </c>
      <c r="S50" s="962">
        <f>IF($M50&lt;&gt;0,$M50,
SUMPRODUCT($J50:$M50,Input_CPI!$N$26:$Q$26)/COUNTA($J$37:$M$37))*Input_CPI!W$11/Input_CPI!$Q$11</f>
        <v>1280.3309705654444</v>
      </c>
      <c r="T50" s="962">
        <f>IF($M50&lt;&gt;0,$M50,
SUMPRODUCT($J50:$M50,Input_CPI!$N$26:$Q$26)/COUNTA($J$37:$M$37))*Input_CPI!X$11/Input_CPI!$Q$11</f>
        <v>1317.7120263529398</v>
      </c>
      <c r="V50" s="960">
        <v>12</v>
      </c>
      <c r="W50" s="960">
        <v>12</v>
      </c>
      <c r="X50" s="960">
        <v>12</v>
      </c>
    </row>
    <row r="51" spans="1:24" ht="12.75" x14ac:dyDescent="0.3">
      <c r="D51" s="958" t="s">
        <v>857</v>
      </c>
      <c r="E51" s="959" t="str">
        <f t="shared" si="14"/>
        <v>CA RIN 4.4.1</v>
      </c>
      <c r="F51" s="959" t="str">
        <f t="shared" si="11"/>
        <v>Dollars</v>
      </c>
      <c r="G51" s="959" t="str">
        <f t="shared" si="12"/>
        <v>Nominal</v>
      </c>
      <c r="H51" s="959" t="str">
        <f t="shared" si="13"/>
        <v>Mid Period</v>
      </c>
      <c r="I51" s="31" t="s">
        <v>63</v>
      </c>
      <c r="J51" s="961">
        <v>0</v>
      </c>
      <c r="K51" s="961">
        <v>0</v>
      </c>
      <c r="L51" s="961">
        <v>0</v>
      </c>
      <c r="M51" s="961">
        <v>0</v>
      </c>
      <c r="N51" s="962">
        <f>IF($M51&lt;&gt;0,$M51,
SUMPRODUCT($J51:$M51,Input_CPI!$N$26:$Q$26)/COUNTA($J$37:$M$37))*Input_CPI!R$11/Input_CPI!$Q$11</f>
        <v>0</v>
      </c>
      <c r="O51" s="962">
        <f>IF($M51&lt;&gt;0,$M51,
SUMPRODUCT($J51:$M51,Input_CPI!$N$26:$Q$26)/COUNTA($J$37:$M$37))*Input_CPI!S$11/Input_CPI!$Q$11</f>
        <v>0</v>
      </c>
      <c r="P51" s="962">
        <f>IF($M51&lt;&gt;0,$M51,
SUMPRODUCT($J51:$M51,Input_CPI!$N$26:$Q$26)/COUNTA($J$37:$M$37))*Input_CPI!T$11/Input_CPI!$Q$11</f>
        <v>0</v>
      </c>
      <c r="Q51" s="962">
        <f>IF($M51&lt;&gt;0,$M51,
SUMPRODUCT($J51:$M51,Input_CPI!$N$26:$Q$26)/COUNTA($J$37:$M$37))*Input_CPI!U$11/Input_CPI!$Q$11</f>
        <v>0</v>
      </c>
      <c r="R51" s="962">
        <f>IF($M51&lt;&gt;0,$M51,
SUMPRODUCT($J51:$M51,Input_CPI!$N$26:$Q$26)/COUNTA($J$37:$M$37))*Input_CPI!V$11/Input_CPI!$Q$11</f>
        <v>0</v>
      </c>
      <c r="S51" s="962">
        <f>IF($M51&lt;&gt;0,$M51,
SUMPRODUCT($J51:$M51,Input_CPI!$N$26:$Q$26)/COUNTA($J$37:$M$37))*Input_CPI!W$11/Input_CPI!$Q$11</f>
        <v>0</v>
      </c>
      <c r="T51" s="962">
        <f>IF($M51&lt;&gt;0,$M51,
SUMPRODUCT($J51:$M51,Input_CPI!$N$26:$Q$26)/COUNTA($J$37:$M$37))*Input_CPI!X$11/Input_CPI!$Q$11</f>
        <v>0</v>
      </c>
      <c r="V51" s="960">
        <v>13</v>
      </c>
      <c r="W51" s="960">
        <v>13</v>
      </c>
      <c r="X51" s="960">
        <v>13</v>
      </c>
    </row>
    <row r="52" spans="1:24" ht="12.75" x14ac:dyDescent="0.3">
      <c r="D52" s="958" t="s">
        <v>858</v>
      </c>
      <c r="E52" s="959" t="str">
        <f t="shared" si="14"/>
        <v>CA RIN 4.4.1</v>
      </c>
      <c r="F52" s="959" t="str">
        <f t="shared" si="11"/>
        <v>Dollars</v>
      </c>
      <c r="G52" s="959" t="str">
        <f t="shared" si="12"/>
        <v>Nominal</v>
      </c>
      <c r="H52" s="959" t="str">
        <f t="shared" si="13"/>
        <v>Mid Period</v>
      </c>
      <c r="I52" s="31" t="s">
        <v>63</v>
      </c>
      <c r="J52" s="961">
        <v>0</v>
      </c>
      <c r="K52" s="961">
        <v>0</v>
      </c>
      <c r="L52" s="961">
        <v>0</v>
      </c>
      <c r="M52" s="961">
        <v>0</v>
      </c>
      <c r="N52" s="962">
        <f>IF($M52&lt;&gt;0,$M52,
SUMPRODUCT($J52:$M52,Input_CPI!$N$26:$Q$26)/COUNTA($J$37:$M$37))*Input_CPI!R$11/Input_CPI!$Q$11</f>
        <v>0</v>
      </c>
      <c r="O52" s="962">
        <f>IF($M52&lt;&gt;0,$M52,
SUMPRODUCT($J52:$M52,Input_CPI!$N$26:$Q$26)/COUNTA($J$37:$M$37))*Input_CPI!S$11/Input_CPI!$Q$11</f>
        <v>0</v>
      </c>
      <c r="P52" s="962">
        <f>IF($M52&lt;&gt;0,$M52,
SUMPRODUCT($J52:$M52,Input_CPI!$N$26:$Q$26)/COUNTA($J$37:$M$37))*Input_CPI!T$11/Input_CPI!$Q$11</f>
        <v>0</v>
      </c>
      <c r="Q52" s="962">
        <f>IF($M52&lt;&gt;0,$M52,
SUMPRODUCT($J52:$M52,Input_CPI!$N$26:$Q$26)/COUNTA($J$37:$M$37))*Input_CPI!U$11/Input_CPI!$Q$11</f>
        <v>0</v>
      </c>
      <c r="R52" s="962">
        <f>IF($M52&lt;&gt;0,$M52,
SUMPRODUCT($J52:$M52,Input_CPI!$N$26:$Q$26)/COUNTA($J$37:$M$37))*Input_CPI!V$11/Input_CPI!$Q$11</f>
        <v>0</v>
      </c>
      <c r="S52" s="962">
        <f>IF($M52&lt;&gt;0,$M52,
SUMPRODUCT($J52:$M52,Input_CPI!$N$26:$Q$26)/COUNTA($J$37:$M$37))*Input_CPI!W$11/Input_CPI!$Q$11</f>
        <v>0</v>
      </c>
      <c r="T52" s="962">
        <f>IF($M52&lt;&gt;0,$M52,
SUMPRODUCT($J52:$M52,Input_CPI!$N$26:$Q$26)/COUNTA($J$37:$M$37))*Input_CPI!X$11/Input_CPI!$Q$11</f>
        <v>0</v>
      </c>
      <c r="V52" s="960">
        <v>14</v>
      </c>
      <c r="W52" s="960">
        <v>14</v>
      </c>
      <c r="X52" s="960">
        <v>14</v>
      </c>
    </row>
    <row r="53" spans="1:24" ht="12.75" x14ac:dyDescent="0.3">
      <c r="D53" s="958" t="s">
        <v>859</v>
      </c>
      <c r="E53" s="959" t="str">
        <f t="shared" si="14"/>
        <v>CA RIN 4.4.1</v>
      </c>
      <c r="F53" s="959" t="str">
        <f t="shared" si="11"/>
        <v>Dollars</v>
      </c>
      <c r="G53" s="959" t="str">
        <f t="shared" si="12"/>
        <v>Nominal</v>
      </c>
      <c r="H53" s="959" t="str">
        <f t="shared" si="13"/>
        <v>Mid Period</v>
      </c>
      <c r="I53" s="31" t="s">
        <v>64</v>
      </c>
      <c r="J53" s="961">
        <v>2010841</v>
      </c>
      <c r="K53" s="961">
        <v>1727984</v>
      </c>
      <c r="L53" s="961">
        <v>1929454</v>
      </c>
      <c r="M53" s="961">
        <v>3773531</v>
      </c>
      <c r="N53" s="962">
        <f>IF($M53&lt;&gt;0,$M53,
SUMPRODUCT($J53:$M53,Input_CPI!$N$26:$Q$26)/COUNTA($J$37:$M$37))*Input_CPI!R$11/Input_CPI!$Q$11</f>
        <v>4011263.4530000002</v>
      </c>
      <c r="O53" s="962">
        <f>IF($M53&lt;&gt;0,$M53,
SUMPRODUCT($J53:$M53,Input_CPI!$N$26:$Q$26)/COUNTA($J$37:$M$37))*Input_CPI!S$11/Input_CPI!$Q$11</f>
        <v>4179736.5180260004</v>
      </c>
      <c r="P53" s="962">
        <f>IF($M53&lt;&gt;0,$M53,
SUMPRODUCT($J53:$M53,Input_CPI!$N$26:$Q$26)/COUNTA($J$37:$M$37))*Input_CPI!T$11/Input_CPI!$Q$11</f>
        <v>4301769.7793852547</v>
      </c>
      <c r="Q53" s="962">
        <f>IF($M53&lt;&gt;0,$M53,
SUMPRODUCT($J53:$M53,Input_CPI!$N$26:$Q$26)/COUNTA($J$37:$M$37))*Input_CPI!U$11/Input_CPI!$Q$11</f>
        <v>4427365.972717315</v>
      </c>
      <c r="R53" s="962">
        <f>IF($M53&lt;&gt;0,$M53,
SUMPRODUCT($J53:$M53,Input_CPI!$N$26:$Q$26)/COUNTA($J$37:$M$37))*Input_CPI!V$11/Input_CPI!$Q$11</f>
        <v>4556629.1228110073</v>
      </c>
      <c r="S53" s="962">
        <f>IF($M53&lt;&gt;0,$M53,
SUMPRODUCT($J53:$M53,Input_CPI!$N$26:$Q$26)/COUNTA($J$37:$M$37))*Input_CPI!W$11/Input_CPI!$Q$11</f>
        <v>4689666.2916045561</v>
      </c>
      <c r="T53" s="962">
        <f>IF($M53&lt;&gt;0,$M53,
SUMPRODUCT($J53:$M53,Input_CPI!$N$26:$Q$26)/COUNTA($J$37:$M$37))*Input_CPI!X$11/Input_CPI!$Q$11</f>
        <v>4826587.6668594126</v>
      </c>
      <c r="V53" s="960">
        <v>15</v>
      </c>
      <c r="W53" s="960">
        <v>15</v>
      </c>
      <c r="X53" s="960">
        <v>15</v>
      </c>
    </row>
    <row r="54" spans="1:24" ht="12.75" x14ac:dyDescent="0.3">
      <c r="D54" s="958" t="s">
        <v>860</v>
      </c>
      <c r="E54" s="959" t="str">
        <f t="shared" si="14"/>
        <v>CA RIN 4.4.1</v>
      </c>
      <c r="F54" s="959" t="str">
        <f t="shared" si="11"/>
        <v>Dollars</v>
      </c>
      <c r="G54" s="959" t="str">
        <f t="shared" si="12"/>
        <v>Nominal</v>
      </c>
      <c r="H54" s="959" t="str">
        <f t="shared" si="13"/>
        <v>Mid Period</v>
      </c>
      <c r="I54" s="31" t="s">
        <v>63</v>
      </c>
      <c r="J54" s="961">
        <v>0</v>
      </c>
      <c r="K54" s="961">
        <v>0</v>
      </c>
      <c r="L54" s="961">
        <v>0</v>
      </c>
      <c r="M54" s="961">
        <v>0</v>
      </c>
      <c r="N54" s="962">
        <f>IF($M54&lt;&gt;0,$M54,
SUMPRODUCT($J54:$M54,Input_CPI!$N$26:$Q$26)/COUNTA($J$37:$M$37))*Input_CPI!R$11/Input_CPI!$Q$11</f>
        <v>0</v>
      </c>
      <c r="O54" s="962">
        <f>IF($M54&lt;&gt;0,$M54,
SUMPRODUCT($J54:$M54,Input_CPI!$N$26:$Q$26)/COUNTA($J$37:$M$37))*Input_CPI!S$11/Input_CPI!$Q$11</f>
        <v>0</v>
      </c>
      <c r="P54" s="962">
        <f>IF($M54&lt;&gt;0,$M54,
SUMPRODUCT($J54:$M54,Input_CPI!$N$26:$Q$26)/COUNTA($J$37:$M$37))*Input_CPI!T$11/Input_CPI!$Q$11</f>
        <v>0</v>
      </c>
      <c r="Q54" s="962">
        <f>IF($M54&lt;&gt;0,$M54,
SUMPRODUCT($J54:$M54,Input_CPI!$N$26:$Q$26)/COUNTA($J$37:$M$37))*Input_CPI!U$11/Input_CPI!$Q$11</f>
        <v>0</v>
      </c>
      <c r="R54" s="962">
        <f>IF($M54&lt;&gt;0,$M54,
SUMPRODUCT($J54:$M54,Input_CPI!$N$26:$Q$26)/COUNTA($J$37:$M$37))*Input_CPI!V$11/Input_CPI!$Q$11</f>
        <v>0</v>
      </c>
      <c r="S54" s="962">
        <f>IF($M54&lt;&gt;0,$M54,
SUMPRODUCT($J54:$M54,Input_CPI!$N$26:$Q$26)/COUNTA($J$37:$M$37))*Input_CPI!W$11/Input_CPI!$Q$11</f>
        <v>0</v>
      </c>
      <c r="T54" s="962">
        <f>IF($M54&lt;&gt;0,$M54,
SUMPRODUCT($J54:$M54,Input_CPI!$N$26:$Q$26)/COUNTA($J$37:$M$37))*Input_CPI!X$11/Input_CPI!$Q$11</f>
        <v>0</v>
      </c>
      <c r="V54" s="960">
        <v>16</v>
      </c>
      <c r="W54" s="960">
        <v>16</v>
      </c>
      <c r="X54" s="960">
        <v>16</v>
      </c>
    </row>
    <row r="55" spans="1:24" ht="12.75" x14ac:dyDescent="0.3">
      <c r="D55" s="958" t="s">
        <v>861</v>
      </c>
      <c r="E55" s="959" t="str">
        <f t="shared" si="14"/>
        <v>CA RIN 4.4.1</v>
      </c>
      <c r="F55" s="959" t="str">
        <f t="shared" si="11"/>
        <v>Dollars</v>
      </c>
      <c r="G55" s="959" t="str">
        <f t="shared" si="12"/>
        <v>Nominal</v>
      </c>
      <c r="H55" s="959" t="str">
        <f t="shared" si="13"/>
        <v>Mid Period</v>
      </c>
      <c r="I55" s="31" t="s">
        <v>63</v>
      </c>
      <c r="J55" s="961">
        <v>0</v>
      </c>
      <c r="K55" s="961">
        <v>0</v>
      </c>
      <c r="L55" s="961">
        <v>0</v>
      </c>
      <c r="M55" s="961">
        <v>0</v>
      </c>
      <c r="N55" s="962">
        <f>IF($M55&lt;&gt;0,$M55,
SUMPRODUCT($J55:$M55,Input_CPI!$N$26:$Q$26)/COUNTA($J$37:$M$37))*Input_CPI!R$11/Input_CPI!$Q$11</f>
        <v>0</v>
      </c>
      <c r="O55" s="962">
        <f>IF($M55&lt;&gt;0,$M55,
SUMPRODUCT($J55:$M55,Input_CPI!$N$26:$Q$26)/COUNTA($J$37:$M$37))*Input_CPI!S$11/Input_CPI!$Q$11</f>
        <v>0</v>
      </c>
      <c r="P55" s="962">
        <f>IF($M55&lt;&gt;0,$M55,
SUMPRODUCT($J55:$M55,Input_CPI!$N$26:$Q$26)/COUNTA($J$37:$M$37))*Input_CPI!T$11/Input_CPI!$Q$11</f>
        <v>0</v>
      </c>
      <c r="Q55" s="962">
        <f>IF($M55&lt;&gt;0,$M55,
SUMPRODUCT($J55:$M55,Input_CPI!$N$26:$Q$26)/COUNTA($J$37:$M$37))*Input_CPI!U$11/Input_CPI!$Q$11</f>
        <v>0</v>
      </c>
      <c r="R55" s="962">
        <f>IF($M55&lt;&gt;0,$M55,
SUMPRODUCT($J55:$M55,Input_CPI!$N$26:$Q$26)/COUNTA($J$37:$M$37))*Input_CPI!V$11/Input_CPI!$Q$11</f>
        <v>0</v>
      </c>
      <c r="S55" s="962">
        <f>IF($M55&lt;&gt;0,$M55,
SUMPRODUCT($J55:$M55,Input_CPI!$N$26:$Q$26)/COUNTA($J$37:$M$37))*Input_CPI!W$11/Input_CPI!$Q$11</f>
        <v>0</v>
      </c>
      <c r="T55" s="962">
        <f>IF($M55&lt;&gt;0,$M55,
SUMPRODUCT($J55:$M55,Input_CPI!$N$26:$Q$26)/COUNTA($J$37:$M$37))*Input_CPI!X$11/Input_CPI!$Q$11</f>
        <v>0</v>
      </c>
      <c r="V55" s="960">
        <v>0</v>
      </c>
      <c r="W55" s="960">
        <v>0</v>
      </c>
      <c r="X55" s="960">
        <v>0</v>
      </c>
    </row>
    <row r="56" spans="1:24" ht="12.75" x14ac:dyDescent="0.3">
      <c r="D56" s="958" t="s">
        <v>862</v>
      </c>
      <c r="E56" s="959" t="str">
        <f t="shared" si="14"/>
        <v>CA RIN 4.4.1</v>
      </c>
      <c r="F56" s="959" t="str">
        <f t="shared" si="11"/>
        <v>Dollars</v>
      </c>
      <c r="G56" s="959" t="str">
        <f t="shared" si="12"/>
        <v>Nominal</v>
      </c>
      <c r="H56" s="959" t="str">
        <f t="shared" si="13"/>
        <v>Mid Period</v>
      </c>
      <c r="I56" s="31" t="s">
        <v>63</v>
      </c>
      <c r="J56" s="961">
        <v>0</v>
      </c>
      <c r="K56" s="961">
        <v>0</v>
      </c>
      <c r="L56" s="961">
        <v>0</v>
      </c>
      <c r="M56" s="961">
        <v>0</v>
      </c>
      <c r="N56" s="962">
        <f>IF($M56&lt;&gt;0,$M56,
SUMPRODUCT($J56:$M56,Input_CPI!$N$26:$Q$26)/COUNTA($J$37:$M$37))*Input_CPI!R$11/Input_CPI!$Q$11</f>
        <v>0</v>
      </c>
      <c r="O56" s="962">
        <f>IF($M56&lt;&gt;0,$M56,
SUMPRODUCT($J56:$M56,Input_CPI!$N$26:$Q$26)/COUNTA($J$37:$M$37))*Input_CPI!S$11/Input_CPI!$Q$11</f>
        <v>0</v>
      </c>
      <c r="P56" s="962">
        <f>IF($M56&lt;&gt;0,$M56,
SUMPRODUCT($J56:$M56,Input_CPI!$N$26:$Q$26)/COUNTA($J$37:$M$37))*Input_CPI!T$11/Input_CPI!$Q$11</f>
        <v>0</v>
      </c>
      <c r="Q56" s="962">
        <f>IF($M56&lt;&gt;0,$M56,
SUMPRODUCT($J56:$M56,Input_CPI!$N$26:$Q$26)/COUNTA($J$37:$M$37))*Input_CPI!U$11/Input_CPI!$Q$11</f>
        <v>0</v>
      </c>
      <c r="R56" s="962">
        <f>IF($M56&lt;&gt;0,$M56,
SUMPRODUCT($J56:$M56,Input_CPI!$N$26:$Q$26)/COUNTA($J$37:$M$37))*Input_CPI!V$11/Input_CPI!$Q$11</f>
        <v>0</v>
      </c>
      <c r="S56" s="962">
        <f>IF($M56&lt;&gt;0,$M56,
SUMPRODUCT($J56:$M56,Input_CPI!$N$26:$Q$26)/COUNTA($J$37:$M$37))*Input_CPI!W$11/Input_CPI!$Q$11</f>
        <v>0</v>
      </c>
      <c r="T56" s="962">
        <f>IF($M56&lt;&gt;0,$M56,
SUMPRODUCT($J56:$M56,Input_CPI!$N$26:$Q$26)/COUNTA($J$37:$M$37))*Input_CPI!X$11/Input_CPI!$Q$11</f>
        <v>0</v>
      </c>
      <c r="V56" s="960">
        <v>0</v>
      </c>
      <c r="W56" s="960">
        <v>0</v>
      </c>
      <c r="X56" s="960">
        <v>0</v>
      </c>
    </row>
    <row r="57" spans="1:24" ht="12.75" x14ac:dyDescent="0.3">
      <c r="D57" s="958" t="s">
        <v>863</v>
      </c>
      <c r="E57" s="959" t="str">
        <f t="shared" si="14"/>
        <v>CA RIN 4.4.1</v>
      </c>
      <c r="F57" s="959" t="str">
        <f t="shared" si="11"/>
        <v>Dollars</v>
      </c>
      <c r="G57" s="959" t="str">
        <f t="shared" si="12"/>
        <v>Nominal</v>
      </c>
      <c r="H57" s="959" t="str">
        <f t="shared" si="13"/>
        <v>Mid Period</v>
      </c>
      <c r="I57" s="31" t="s">
        <v>63</v>
      </c>
      <c r="J57" s="961">
        <v>0</v>
      </c>
      <c r="K57" s="961">
        <v>0</v>
      </c>
      <c r="L57" s="961">
        <v>0</v>
      </c>
      <c r="M57" s="961">
        <v>0</v>
      </c>
      <c r="N57" s="962">
        <f>IF($M57&lt;&gt;0,$M57,
SUMPRODUCT($J57:$M57,Input_CPI!$N$26:$Q$26)/COUNTA($J$37:$M$37))*Input_CPI!R$11/Input_CPI!$Q$11</f>
        <v>0</v>
      </c>
      <c r="O57" s="962">
        <f>IF($M57&lt;&gt;0,$M57,
SUMPRODUCT($J57:$M57,Input_CPI!$N$26:$Q$26)/COUNTA($J$37:$M$37))*Input_CPI!S$11/Input_CPI!$Q$11</f>
        <v>0</v>
      </c>
      <c r="P57" s="962">
        <f>IF($M57&lt;&gt;0,$M57,
SUMPRODUCT($J57:$M57,Input_CPI!$N$26:$Q$26)/COUNTA($J$37:$M$37))*Input_CPI!T$11/Input_CPI!$Q$11</f>
        <v>0</v>
      </c>
      <c r="Q57" s="962">
        <f>IF($M57&lt;&gt;0,$M57,
SUMPRODUCT($J57:$M57,Input_CPI!$N$26:$Q$26)/COUNTA($J$37:$M$37))*Input_CPI!U$11/Input_CPI!$Q$11</f>
        <v>0</v>
      </c>
      <c r="R57" s="962">
        <f>IF($M57&lt;&gt;0,$M57,
SUMPRODUCT($J57:$M57,Input_CPI!$N$26:$Q$26)/COUNTA($J$37:$M$37))*Input_CPI!V$11/Input_CPI!$Q$11</f>
        <v>0</v>
      </c>
      <c r="S57" s="962">
        <f>IF($M57&lt;&gt;0,$M57,
SUMPRODUCT($J57:$M57,Input_CPI!$N$26:$Q$26)/COUNTA($J$37:$M$37))*Input_CPI!W$11/Input_CPI!$Q$11</f>
        <v>0</v>
      </c>
      <c r="T57" s="962">
        <f>IF($M57&lt;&gt;0,$M57,
SUMPRODUCT($J57:$M57,Input_CPI!$N$26:$Q$26)/COUNTA($J$37:$M$37))*Input_CPI!X$11/Input_CPI!$Q$11</f>
        <v>0</v>
      </c>
      <c r="V57" s="960">
        <v>0</v>
      </c>
      <c r="W57" s="960">
        <v>0</v>
      </c>
      <c r="X57" s="960">
        <v>0</v>
      </c>
    </row>
    <row r="58" spans="1:24" ht="11.25" customHeight="1" x14ac:dyDescent="0.3"/>
    <row r="59" spans="1:24" ht="11.25" customHeight="1" x14ac:dyDescent="0.3">
      <c r="D59" s="402" t="s">
        <v>1064</v>
      </c>
      <c r="E59" s="963" t="s">
        <v>102</v>
      </c>
      <c r="F59" s="963" t="str">
        <f>Dollars</f>
        <v>Dollars</v>
      </c>
      <c r="G59" s="963" t="str">
        <f>Nominal</f>
        <v>Nominal</v>
      </c>
      <c r="H59" s="963" t="str">
        <f>Mid_Period</f>
        <v>Mid Period</v>
      </c>
      <c r="I59" s="963" t="str">
        <f>NA</f>
        <v>N/A</v>
      </c>
      <c r="J59" s="964">
        <f t="shared" ref="J59:T59" si="15">SUM(J39:J57)</f>
        <v>2440813</v>
      </c>
      <c r="K59" s="964">
        <f t="shared" si="15"/>
        <v>1876180</v>
      </c>
      <c r="L59" s="964">
        <f t="shared" si="15"/>
        <v>2303851</v>
      </c>
      <c r="M59" s="964">
        <f t="shared" si="15"/>
        <v>4725375</v>
      </c>
      <c r="N59" s="964">
        <f t="shared" si="15"/>
        <v>5033797.4202289628</v>
      </c>
      <c r="O59" s="964">
        <f t="shared" si="15"/>
        <v>5245216.9118785793</v>
      </c>
      <c r="P59" s="964">
        <f t="shared" si="15"/>
        <v>5398358.3655402474</v>
      </c>
      <c r="Q59" s="964">
        <f t="shared" si="15"/>
        <v>5555970.998415973</v>
      </c>
      <c r="R59" s="964">
        <f t="shared" si="15"/>
        <v>5718185.3528447878</v>
      </c>
      <c r="S59" s="964">
        <f t="shared" si="15"/>
        <v>5885135.7825321425</v>
      </c>
      <c r="T59" s="964">
        <f t="shared" si="15"/>
        <v>6056960.5638280772</v>
      </c>
    </row>
    <row r="60" spans="1:24" ht="11.25" customHeight="1" x14ac:dyDescent="0.3"/>
    <row r="61" spans="1:24" ht="11.25" customHeight="1" x14ac:dyDescent="0.3">
      <c r="D61" s="6" t="s">
        <v>903</v>
      </c>
      <c r="E61" s="959" t="str">
        <f>E39</f>
        <v>CA RIN 4.4.1</v>
      </c>
      <c r="F61" s="959" t="str">
        <f>Dollars</f>
        <v>Dollars</v>
      </c>
      <c r="G61" s="959" t="str">
        <f>Nominal</f>
        <v>Nominal</v>
      </c>
      <c r="H61" s="959" t="str">
        <f>Mid_Period</f>
        <v>Mid Period</v>
      </c>
      <c r="J61" s="961">
        <v>2440813</v>
      </c>
      <c r="K61" s="961">
        <v>1876180</v>
      </c>
      <c r="L61" s="961">
        <v>2303851</v>
      </c>
      <c r="M61" s="961">
        <v>4725375</v>
      </c>
      <c r="N61" s="139"/>
      <c r="O61" s="139"/>
      <c r="P61" s="139"/>
      <c r="Q61" s="139"/>
      <c r="R61" s="139"/>
      <c r="S61" s="139"/>
      <c r="T61" s="139"/>
      <c r="V61" s="139"/>
      <c r="W61" s="139"/>
      <c r="X61" s="139"/>
    </row>
    <row r="62" spans="1:24" ht="11.25" customHeight="1" x14ac:dyDescent="0.3">
      <c r="A62" s="41">
        <f>IF(SUM(J62:M62)=0,0,1)</f>
        <v>0</v>
      </c>
      <c r="D62" s="6" t="s">
        <v>193</v>
      </c>
      <c r="E62" s="959" t="str">
        <f>NA</f>
        <v>N/A</v>
      </c>
      <c r="F62" s="959" t="str">
        <f>NA</f>
        <v>N/A</v>
      </c>
      <c r="G62" s="959" t="str">
        <f>NA</f>
        <v>N/A</v>
      </c>
      <c r="H62" s="959" t="str">
        <f>NA</f>
        <v>N/A</v>
      </c>
      <c r="J62" s="62">
        <f>IF(SUM(J39:J57)-J61=0,0,1)</f>
        <v>0</v>
      </c>
      <c r="K62" s="62">
        <f t="shared" ref="K62:M62" si="16">IF(SUM(K39:K57)-K61=0,0,1)</f>
        <v>0</v>
      </c>
      <c r="L62" s="62">
        <f t="shared" si="16"/>
        <v>0</v>
      </c>
      <c r="M62" s="62">
        <f t="shared" si="16"/>
        <v>0</v>
      </c>
      <c r="N62" s="139"/>
      <c r="O62" s="139"/>
      <c r="P62" s="139"/>
      <c r="Q62" s="139"/>
      <c r="R62" s="139"/>
      <c r="S62" s="139"/>
      <c r="T62" s="139"/>
      <c r="V62" s="139"/>
      <c r="W62" s="139"/>
      <c r="X62" s="139"/>
    </row>
    <row r="63" spans="1:24" ht="11.25" customHeight="1" x14ac:dyDescent="0.3"/>
    <row r="64" spans="1:24" ht="11.25" customHeight="1" x14ac:dyDescent="0.3">
      <c r="D64" s="6" t="s">
        <v>63</v>
      </c>
      <c r="E64" s="959" t="s">
        <v>102</v>
      </c>
      <c r="F64" s="959" t="str">
        <f>Dollars</f>
        <v>Dollars</v>
      </c>
      <c r="G64" s="959" t="str">
        <f>Nominal</f>
        <v>Nominal</v>
      </c>
      <c r="H64" s="959" t="str">
        <f>Mid_Period</f>
        <v>Mid Period</v>
      </c>
      <c r="J64" s="962">
        <f>SUMIF($I$39:$I$57,$D64,J$39:J$57)</f>
        <v>429972</v>
      </c>
      <c r="K64" s="962">
        <f t="shared" ref="K64:T65" si="17">SUMIF($I$39:$I$57,$D64,K$39:K$57)</f>
        <v>148196</v>
      </c>
      <c r="L64" s="962">
        <f t="shared" si="17"/>
        <v>374397</v>
      </c>
      <c r="M64" s="962">
        <f t="shared" si="17"/>
        <v>951844</v>
      </c>
      <c r="N64" s="962">
        <f t="shared" si="17"/>
        <v>1022533.9672289626</v>
      </c>
      <c r="O64" s="962">
        <f t="shared" si="17"/>
        <v>1065480.3938525789</v>
      </c>
      <c r="P64" s="962">
        <f t="shared" si="17"/>
        <v>1096588.5861549927</v>
      </c>
      <c r="Q64" s="962">
        <f t="shared" si="17"/>
        <v>1128605.0256986576</v>
      </c>
      <c r="R64" s="962">
        <f t="shared" si="17"/>
        <v>1161556.2300337809</v>
      </c>
      <c r="S64" s="962">
        <f t="shared" si="17"/>
        <v>1195469.4909275868</v>
      </c>
      <c r="T64" s="962">
        <f t="shared" si="17"/>
        <v>1230372.8969686646</v>
      </c>
    </row>
    <row r="65" spans="3:20" ht="11.25" customHeight="1" x14ac:dyDescent="0.3">
      <c r="D65" s="6" t="s">
        <v>64</v>
      </c>
      <c r="E65" s="959" t="s">
        <v>102</v>
      </c>
      <c r="F65" s="959" t="str">
        <f>Dollars</f>
        <v>Dollars</v>
      </c>
      <c r="G65" s="959" t="str">
        <f>Nominal</f>
        <v>Nominal</v>
      </c>
      <c r="H65" s="959" t="str">
        <f>Mid_Period</f>
        <v>Mid Period</v>
      </c>
      <c r="J65" s="962">
        <f>SUMIF($I$39:$I$57,$D65,J$39:J$57)</f>
        <v>2010841</v>
      </c>
      <c r="K65" s="962">
        <f t="shared" si="17"/>
        <v>1727984</v>
      </c>
      <c r="L65" s="962">
        <f t="shared" si="17"/>
        <v>1929454</v>
      </c>
      <c r="M65" s="962">
        <f t="shared" si="17"/>
        <v>3773531</v>
      </c>
      <c r="N65" s="962">
        <f t="shared" si="17"/>
        <v>4011263.4530000002</v>
      </c>
      <c r="O65" s="962">
        <f t="shared" si="17"/>
        <v>4179736.5180260004</v>
      </c>
      <c r="P65" s="962">
        <f t="shared" si="17"/>
        <v>4301769.7793852547</v>
      </c>
      <c r="Q65" s="962">
        <f t="shared" si="17"/>
        <v>4427365.972717315</v>
      </c>
      <c r="R65" s="962">
        <f t="shared" si="17"/>
        <v>4556629.1228110073</v>
      </c>
      <c r="S65" s="962">
        <f t="shared" si="17"/>
        <v>4689666.2916045561</v>
      </c>
      <c r="T65" s="962">
        <f t="shared" si="17"/>
        <v>4826587.6668594126</v>
      </c>
    </row>
    <row r="66" spans="3:20" ht="11.25" customHeight="1" x14ac:dyDescent="0.3"/>
    <row r="67" spans="3:20" ht="12.75" x14ac:dyDescent="0.3">
      <c r="D67" s="6" t="s">
        <v>955</v>
      </c>
    </row>
    <row r="68" spans="3:20" ht="11.25" customHeight="1" x14ac:dyDescent="0.3"/>
    <row r="69" spans="3:20" s="7" customFormat="1" ht="13.9" x14ac:dyDescent="0.3">
      <c r="C69" s="7" t="s">
        <v>870</v>
      </c>
    </row>
    <row r="70" spans="3:20" ht="11.25" customHeight="1" x14ac:dyDescent="0.3"/>
    <row r="71" spans="3:20" ht="26.25" x14ac:dyDescent="0.3">
      <c r="D71" s="909" t="str">
        <f>D37</f>
        <v>Quoted service category</v>
      </c>
      <c r="E71" s="25" t="str">
        <f>Lookup!E$20</f>
        <v>Source</v>
      </c>
      <c r="F71" s="25" t="str">
        <f>Lookup!F$20</f>
        <v>Unit</v>
      </c>
      <c r="G71" s="25" t="str">
        <f>Lookup!G$20</f>
        <v>Basis</v>
      </c>
      <c r="H71" s="25" t="str">
        <f>Lookup!H$20</f>
        <v>Timing</v>
      </c>
      <c r="I71" s="969" t="s">
        <v>868</v>
      </c>
      <c r="J71" s="40" t="str">
        <f>Lookup!O$20</f>
        <v>FY19</v>
      </c>
      <c r="K71" s="40" t="str">
        <f>Lookup!P$20</f>
        <v>FY20</v>
      </c>
      <c r="L71" s="40" t="str">
        <f>Lookup!Q$20</f>
        <v>FY21</v>
      </c>
      <c r="M71" s="40" t="str">
        <f>Lookup!R$20</f>
        <v>FY22</v>
      </c>
      <c r="N71" s="40" t="str">
        <f>Lookup!S$20</f>
        <v>FY23</v>
      </c>
      <c r="O71" s="40" t="str">
        <f>Lookup!T$20</f>
        <v>FY24</v>
      </c>
      <c r="P71" s="40" t="str">
        <f>Lookup!U$20</f>
        <v>FY25</v>
      </c>
      <c r="Q71" s="40" t="str">
        <f>Lookup!V$20</f>
        <v>FY26</v>
      </c>
      <c r="R71" s="40" t="str">
        <f>Lookup!W$20</f>
        <v>FY27</v>
      </c>
      <c r="S71" s="40" t="str">
        <f>Lookup!X$20</f>
        <v>FY28</v>
      </c>
      <c r="T71" s="40" t="str">
        <f>Lookup!Y$20</f>
        <v>FY29</v>
      </c>
    </row>
    <row r="72" spans="3:20" ht="11.25" customHeight="1" x14ac:dyDescent="0.3"/>
    <row r="73" spans="3:20" ht="12.75" x14ac:dyDescent="0.3">
      <c r="D73" s="6" t="str">
        <f t="shared" ref="D73:D91" si="18">D39</f>
        <v>Design related services</v>
      </c>
      <c r="E73" s="31" t="s">
        <v>102</v>
      </c>
      <c r="F73" s="959" t="str">
        <f t="shared" ref="F73:F91" si="19">Dollars</f>
        <v>Dollars</v>
      </c>
      <c r="G73" s="959" t="str">
        <f t="shared" ref="G73:G91" si="20">Nominal</f>
        <v>Nominal</v>
      </c>
      <c r="H73" s="959" t="str">
        <f t="shared" ref="H73:H91" si="21">Mid_Period</f>
        <v>Mid Period</v>
      </c>
      <c r="I73" s="139"/>
      <c r="J73" s="139"/>
      <c r="K73" s="139"/>
      <c r="L73" s="139"/>
      <c r="M73" s="139"/>
      <c r="N73" s="962">
        <f>N39*(1+(N$32+N$33))*(1+N$30)*IF($I39&lt;&gt;"Capex",1,(1+N$31))</f>
        <v>323876.55565290659</v>
      </c>
      <c r="O73" s="962">
        <f t="shared" ref="O73:T73" si="22">O39*(1+(O$32+O$33))*(1+O$30)*IF($I39&lt;&gt;"Capex",1,(1+O$31))</f>
        <v>337479.37099032867</v>
      </c>
      <c r="P73" s="962">
        <f t="shared" si="22"/>
        <v>368172.50709775405</v>
      </c>
      <c r="Q73" s="962">
        <f t="shared" si="22"/>
        <v>378921.81906758394</v>
      </c>
      <c r="R73" s="962">
        <f t="shared" si="22"/>
        <v>389984.97225477034</v>
      </c>
      <c r="S73" s="962">
        <f t="shared" si="22"/>
        <v>401371.12969318806</v>
      </c>
      <c r="T73" s="962">
        <f t="shared" si="22"/>
        <v>413089.72194431885</v>
      </c>
    </row>
    <row r="74" spans="3:20" ht="12.75" x14ac:dyDescent="0.3">
      <c r="D74" s="6" t="str">
        <f t="shared" si="18"/>
        <v>Connection applications</v>
      </c>
      <c r="E74" s="959" t="str">
        <f>E73</f>
        <v>Calculated</v>
      </c>
      <c r="F74" s="959" t="str">
        <f t="shared" si="19"/>
        <v>Dollars</v>
      </c>
      <c r="G74" s="959" t="str">
        <f t="shared" si="20"/>
        <v>Nominal</v>
      </c>
      <c r="H74" s="959" t="str">
        <f t="shared" si="21"/>
        <v>Mid Period</v>
      </c>
      <c r="I74" s="139"/>
      <c r="J74" s="139"/>
      <c r="K74" s="139"/>
      <c r="L74" s="139"/>
      <c r="M74" s="139"/>
      <c r="N74" s="962">
        <f t="shared" ref="N74:T74" si="23">N40*(1+(N$32+N$33))*(1+N$30)*IF($I40&lt;&gt;"Capex",1,(1+N$31))</f>
        <v>664703.57998663327</v>
      </c>
      <c r="O74" s="962">
        <f t="shared" si="23"/>
        <v>692621.13034607202</v>
      </c>
      <c r="P74" s="962">
        <f t="shared" si="23"/>
        <v>755613.76471719623</v>
      </c>
      <c r="Q74" s="962">
        <f t="shared" si="23"/>
        <v>777674.96681419644</v>
      </c>
      <c r="R74" s="962">
        <f t="shared" si="23"/>
        <v>800380.27660310315</v>
      </c>
      <c r="S74" s="962">
        <f t="shared" si="23"/>
        <v>823748.49971005344</v>
      </c>
      <c r="T74" s="962">
        <f t="shared" si="23"/>
        <v>847798.99081777676</v>
      </c>
    </row>
    <row r="75" spans="3:20" ht="12.75" x14ac:dyDescent="0.3">
      <c r="D75" s="6" t="str">
        <f t="shared" si="18"/>
        <v>Access permits, oversights and facilitation</v>
      </c>
      <c r="E75" s="959" t="str">
        <f t="shared" ref="E75:E91" si="24">E74</f>
        <v>Calculated</v>
      </c>
      <c r="F75" s="959" t="str">
        <f t="shared" si="19"/>
        <v>Dollars</v>
      </c>
      <c r="G75" s="959" t="str">
        <f t="shared" si="20"/>
        <v>Nominal</v>
      </c>
      <c r="H75" s="959" t="str">
        <f t="shared" si="21"/>
        <v>Mid Period</v>
      </c>
      <c r="I75" s="139"/>
      <c r="J75" s="139"/>
      <c r="K75" s="139"/>
      <c r="L75" s="139"/>
      <c r="M75" s="139"/>
      <c r="N75" s="962">
        <f t="shared" ref="N75:T75" si="25">N41*(1+(N$32+N$33))*(1+N$30)*IF($I41&lt;&gt;"Capex",1,(1+N$31))</f>
        <v>671664.75409355573</v>
      </c>
      <c r="O75" s="962">
        <f t="shared" si="25"/>
        <v>699874.67376548506</v>
      </c>
      <c r="P75" s="962">
        <f t="shared" si="25"/>
        <v>763527.00474200433</v>
      </c>
      <c r="Q75" s="962">
        <f t="shared" si="25"/>
        <v>785819.24496401113</v>
      </c>
      <c r="R75" s="962">
        <f t="shared" si="25"/>
        <v>808762.33835955244</v>
      </c>
      <c r="S75" s="962">
        <f t="shared" si="25"/>
        <v>832375.28749854863</v>
      </c>
      <c r="T75" s="962">
        <f t="shared" si="25"/>
        <v>856677.64975756197</v>
      </c>
    </row>
    <row r="76" spans="3:20" ht="12.75" x14ac:dyDescent="0.3">
      <c r="D76" s="6" t="str">
        <f t="shared" si="18"/>
        <v>Notices of arrangement and completion notices</v>
      </c>
      <c r="E76" s="959" t="str">
        <f t="shared" si="24"/>
        <v>Calculated</v>
      </c>
      <c r="F76" s="959" t="str">
        <f t="shared" si="19"/>
        <v>Dollars</v>
      </c>
      <c r="G76" s="959" t="str">
        <f t="shared" si="20"/>
        <v>Nominal</v>
      </c>
      <c r="H76" s="959" t="str">
        <f t="shared" si="21"/>
        <v>Mid Period</v>
      </c>
      <c r="I76" s="139"/>
      <c r="J76" s="139"/>
      <c r="K76" s="139"/>
      <c r="L76" s="139"/>
      <c r="M76" s="139"/>
      <c r="N76" s="962">
        <f t="shared" ref="N76:T76" si="26">N42*(1+(N$32+N$33))*(1+N$30)*IF($I42&lt;&gt;"Capex",1,(1+N$31))</f>
        <v>0</v>
      </c>
      <c r="O76" s="962">
        <f t="shared" si="26"/>
        <v>0</v>
      </c>
      <c r="P76" s="962">
        <f t="shared" si="26"/>
        <v>0</v>
      </c>
      <c r="Q76" s="962">
        <f t="shared" si="26"/>
        <v>0</v>
      </c>
      <c r="R76" s="962">
        <f t="shared" si="26"/>
        <v>0</v>
      </c>
      <c r="S76" s="962">
        <f t="shared" si="26"/>
        <v>0</v>
      </c>
      <c r="T76" s="962">
        <f t="shared" si="26"/>
        <v>0</v>
      </c>
    </row>
    <row r="77" spans="3:20" ht="12.75" x14ac:dyDescent="0.3">
      <c r="D77" s="6" t="str">
        <f t="shared" si="18"/>
        <v>Network related property services</v>
      </c>
      <c r="E77" s="959" t="str">
        <f t="shared" si="24"/>
        <v>Calculated</v>
      </c>
      <c r="F77" s="959" t="str">
        <f t="shared" si="19"/>
        <v>Dollars</v>
      </c>
      <c r="G77" s="959" t="str">
        <f t="shared" si="20"/>
        <v>Nominal</v>
      </c>
      <c r="H77" s="959" t="str">
        <f t="shared" si="21"/>
        <v>Mid Period</v>
      </c>
      <c r="I77" s="139"/>
      <c r="J77" s="139"/>
      <c r="K77" s="139"/>
      <c r="L77" s="139"/>
      <c r="M77" s="139"/>
      <c r="N77" s="962">
        <f t="shared" ref="N77:T77" si="27">N43*(1+(N$32+N$33))*(1+N$30)*IF($I43&lt;&gt;"Capex",1,(1+N$31))</f>
        <v>7786.1570663581133</v>
      </c>
      <c r="O77" s="962">
        <f t="shared" si="27"/>
        <v>8113.1756631451544</v>
      </c>
      <c r="P77" s="962">
        <f t="shared" si="27"/>
        <v>8851.0542604698512</v>
      </c>
      <c r="Q77" s="962">
        <f t="shared" si="27"/>
        <v>9109.4731854940983</v>
      </c>
      <c r="R77" s="962">
        <f t="shared" si="27"/>
        <v>9375.4370129497911</v>
      </c>
      <c r="S77" s="962">
        <f t="shared" si="27"/>
        <v>9649.1660268300402</v>
      </c>
      <c r="T77" s="962">
        <f t="shared" si="27"/>
        <v>9930.8869426276488</v>
      </c>
    </row>
    <row r="78" spans="3:20" ht="12.75" x14ac:dyDescent="0.3">
      <c r="D78" s="6" t="str">
        <f t="shared" si="18"/>
        <v>Site establishment services</v>
      </c>
      <c r="E78" s="959" t="str">
        <f t="shared" si="24"/>
        <v>Calculated</v>
      </c>
      <c r="F78" s="959" t="str">
        <f t="shared" si="19"/>
        <v>Dollars</v>
      </c>
      <c r="G78" s="959" t="str">
        <f t="shared" si="20"/>
        <v>Nominal</v>
      </c>
      <c r="H78" s="959" t="str">
        <f t="shared" si="21"/>
        <v>Mid Period</v>
      </c>
      <c r="I78" s="139"/>
      <c r="J78" s="139"/>
      <c r="K78" s="139"/>
      <c r="L78" s="139"/>
      <c r="M78" s="139"/>
      <c r="N78" s="962">
        <f t="shared" ref="N78:T78" si="28">N44*(1+(N$32+N$33))*(1+N$30)*IF($I44&lt;&gt;"Capex",1,(1+N$31))</f>
        <v>9841.5917730736583</v>
      </c>
      <c r="O78" s="962">
        <f t="shared" si="28"/>
        <v>10254.938627542753</v>
      </c>
      <c r="P78" s="962">
        <f t="shared" si="28"/>
        <v>11187.60667817001</v>
      </c>
      <c r="Q78" s="962">
        <f t="shared" si="28"/>
        <v>11514.244523367594</v>
      </c>
      <c r="R78" s="962">
        <f t="shared" si="28"/>
        <v>11850.41901791159</v>
      </c>
      <c r="S78" s="962">
        <f t="shared" si="28"/>
        <v>12196.408597635738</v>
      </c>
      <c r="T78" s="962">
        <f t="shared" si="28"/>
        <v>12552.499827697884</v>
      </c>
    </row>
    <row r="79" spans="3:20" ht="12.75" x14ac:dyDescent="0.3">
      <c r="D79" s="6" t="str">
        <f t="shared" si="18"/>
        <v>Network safety services</v>
      </c>
      <c r="E79" s="959" t="str">
        <f t="shared" si="24"/>
        <v>Calculated</v>
      </c>
      <c r="F79" s="959" t="str">
        <f t="shared" si="19"/>
        <v>Dollars</v>
      </c>
      <c r="G79" s="959" t="str">
        <f t="shared" si="20"/>
        <v>Nominal</v>
      </c>
      <c r="H79" s="959" t="str">
        <f t="shared" si="21"/>
        <v>Mid Period</v>
      </c>
      <c r="I79" s="139"/>
      <c r="J79" s="139"/>
      <c r="K79" s="139"/>
      <c r="L79" s="139"/>
      <c r="M79" s="139"/>
      <c r="N79" s="962">
        <f t="shared" ref="N79:T79" si="29">N45*(1+(N$32+N$33))*(1+N$30)*IF($I45&lt;&gt;"Capex",1,(1+N$31))</f>
        <v>21568.547002242249</v>
      </c>
      <c r="O79" s="962">
        <f t="shared" si="29"/>
        <v>22474.425976336421</v>
      </c>
      <c r="P79" s="962">
        <f t="shared" si="29"/>
        <v>24518.434217206704</v>
      </c>
      <c r="Q79" s="962">
        <f t="shared" si="29"/>
        <v>25234.28424221286</v>
      </c>
      <c r="R79" s="962">
        <f t="shared" si="29"/>
        <v>25971.034511246093</v>
      </c>
      <c r="S79" s="962">
        <f t="shared" si="29"/>
        <v>26729.295236201535</v>
      </c>
      <c r="T79" s="962">
        <f t="shared" si="29"/>
        <v>27509.694444965189</v>
      </c>
    </row>
    <row r="80" spans="3:20" ht="12.75" x14ac:dyDescent="0.3">
      <c r="D80" s="6" t="str">
        <f t="shared" si="18"/>
        <v>Network tariff change request</v>
      </c>
      <c r="E80" s="959" t="str">
        <f t="shared" si="24"/>
        <v>Calculated</v>
      </c>
      <c r="F80" s="959" t="str">
        <f t="shared" si="19"/>
        <v>Dollars</v>
      </c>
      <c r="G80" s="959" t="str">
        <f t="shared" si="20"/>
        <v>Nominal</v>
      </c>
      <c r="H80" s="959" t="str">
        <f t="shared" si="21"/>
        <v>Mid Period</v>
      </c>
      <c r="I80" s="139"/>
      <c r="J80" s="139"/>
      <c r="K80" s="139"/>
      <c r="L80" s="139"/>
      <c r="M80" s="139"/>
      <c r="N80" s="962">
        <f t="shared" ref="N80:T80" si="30">N46*(1+(N$32+N$33))*(1+N$30)*IF($I46&lt;&gt;"Capex",1,(1+N$31))</f>
        <v>0</v>
      </c>
      <c r="O80" s="962">
        <f t="shared" si="30"/>
        <v>0</v>
      </c>
      <c r="P80" s="962">
        <f t="shared" si="30"/>
        <v>0</v>
      </c>
      <c r="Q80" s="962">
        <f t="shared" si="30"/>
        <v>0</v>
      </c>
      <c r="R80" s="962">
        <f t="shared" si="30"/>
        <v>0</v>
      </c>
      <c r="S80" s="962">
        <f t="shared" si="30"/>
        <v>0</v>
      </c>
      <c r="T80" s="962">
        <f t="shared" si="30"/>
        <v>0</v>
      </c>
    </row>
    <row r="81" spans="2:20" ht="12.75" x14ac:dyDescent="0.3">
      <c r="D81" s="6" t="str">
        <f t="shared" si="18"/>
        <v>Planned interruption - customer request</v>
      </c>
      <c r="E81" s="959" t="str">
        <f t="shared" si="24"/>
        <v>Calculated</v>
      </c>
      <c r="F81" s="959" t="str">
        <f t="shared" si="19"/>
        <v>Dollars</v>
      </c>
      <c r="G81" s="959" t="str">
        <f t="shared" si="20"/>
        <v>Nominal</v>
      </c>
      <c r="H81" s="959" t="str">
        <f t="shared" si="21"/>
        <v>Mid Period</v>
      </c>
      <c r="I81" s="139"/>
      <c r="J81" s="139"/>
      <c r="K81" s="139"/>
      <c r="L81" s="139"/>
      <c r="M81" s="139"/>
      <c r="N81" s="962">
        <f t="shared" ref="N81:T81" si="31">N47*(1+(N$32+N$33))*(1+N$30)*IF($I47&lt;&gt;"Capex",1,(1+N$31))</f>
        <v>170563.36131593605</v>
      </c>
      <c r="O81" s="962">
        <f t="shared" si="31"/>
        <v>177727.0224912054</v>
      </c>
      <c r="P81" s="962">
        <f t="shared" si="31"/>
        <v>193890.97252845476</v>
      </c>
      <c r="Q81" s="962">
        <f t="shared" si="31"/>
        <v>199551.89101547451</v>
      </c>
      <c r="R81" s="962">
        <f t="shared" si="31"/>
        <v>205378.08794583168</v>
      </c>
      <c r="S81" s="962">
        <f t="shared" si="31"/>
        <v>211374.38885515177</v>
      </c>
      <c r="T81" s="962">
        <f t="shared" si="31"/>
        <v>217545.76016733091</v>
      </c>
    </row>
    <row r="82" spans="2:20" ht="12.75" x14ac:dyDescent="0.3">
      <c r="D82" s="6" t="str">
        <f t="shared" si="18"/>
        <v>Performance of a statutory right (access prevented)</v>
      </c>
      <c r="E82" s="959" t="str">
        <f t="shared" si="24"/>
        <v>Calculated</v>
      </c>
      <c r="F82" s="959" t="str">
        <f t="shared" si="19"/>
        <v>Dollars</v>
      </c>
      <c r="G82" s="959" t="str">
        <f t="shared" si="20"/>
        <v>Nominal</v>
      </c>
      <c r="H82" s="959" t="str">
        <f t="shared" si="21"/>
        <v>Mid Period</v>
      </c>
      <c r="I82" s="139"/>
      <c r="J82" s="139"/>
      <c r="K82" s="139"/>
      <c r="L82" s="139"/>
      <c r="M82" s="139"/>
      <c r="N82" s="962">
        <f t="shared" ref="N82:T82" si="32">N48*(1+(N$32+N$33))*(1+N$30)*IF($I48&lt;&gt;"Capex",1,(1+N$31))</f>
        <v>0</v>
      </c>
      <c r="O82" s="962">
        <f t="shared" si="32"/>
        <v>0</v>
      </c>
      <c r="P82" s="962">
        <f t="shared" si="32"/>
        <v>0</v>
      </c>
      <c r="Q82" s="962">
        <f t="shared" si="32"/>
        <v>0</v>
      </c>
      <c r="R82" s="962">
        <f t="shared" si="32"/>
        <v>0</v>
      </c>
      <c r="S82" s="962">
        <f t="shared" si="32"/>
        <v>0</v>
      </c>
      <c r="T82" s="962">
        <f t="shared" si="32"/>
        <v>0</v>
      </c>
    </row>
    <row r="83" spans="2:20" ht="12.75" x14ac:dyDescent="0.3">
      <c r="D83" s="6" t="str">
        <f t="shared" si="18"/>
        <v>Provision of network related training to third parties</v>
      </c>
      <c r="E83" s="959" t="str">
        <f t="shared" si="24"/>
        <v>Calculated</v>
      </c>
      <c r="F83" s="959" t="str">
        <f t="shared" si="19"/>
        <v>Dollars</v>
      </c>
      <c r="G83" s="959" t="str">
        <f t="shared" si="20"/>
        <v>Nominal</v>
      </c>
      <c r="H83" s="959" t="str">
        <f t="shared" si="21"/>
        <v>Mid Period</v>
      </c>
      <c r="I83" s="139"/>
      <c r="J83" s="139"/>
      <c r="K83" s="139"/>
      <c r="L83" s="139"/>
      <c r="M83" s="139"/>
      <c r="N83" s="962">
        <f t="shared" ref="N83:T83" si="33">N49*(1+(N$32+N$33))*(1+N$30)*IF($I49&lt;&gt;"Capex",1,(1+N$31))</f>
        <v>0</v>
      </c>
      <c r="O83" s="962">
        <f t="shared" si="33"/>
        <v>0</v>
      </c>
      <c r="P83" s="962">
        <f t="shared" si="33"/>
        <v>0</v>
      </c>
      <c r="Q83" s="962">
        <f t="shared" si="33"/>
        <v>0</v>
      </c>
      <c r="R83" s="962">
        <f t="shared" si="33"/>
        <v>0</v>
      </c>
      <c r="S83" s="962">
        <f t="shared" si="33"/>
        <v>0</v>
      </c>
      <c r="T83" s="962">
        <f t="shared" si="33"/>
        <v>0</v>
      </c>
    </row>
    <row r="84" spans="2:20" ht="12.75" x14ac:dyDescent="0.3">
      <c r="D84" s="6" t="str">
        <f t="shared" si="18"/>
        <v>Non-standard reporting services</v>
      </c>
      <c r="E84" s="959" t="str">
        <f t="shared" si="24"/>
        <v>Calculated</v>
      </c>
      <c r="F84" s="959" t="str">
        <f t="shared" si="19"/>
        <v>Dollars</v>
      </c>
      <c r="G84" s="959" t="str">
        <f t="shared" si="20"/>
        <v>Nominal</v>
      </c>
      <c r="H84" s="959" t="str">
        <f t="shared" si="21"/>
        <v>Mid Period</v>
      </c>
      <c r="I84" s="139"/>
      <c r="J84" s="139"/>
      <c r="K84" s="139"/>
      <c r="L84" s="139"/>
      <c r="M84" s="139"/>
      <c r="N84" s="962">
        <f t="shared" ref="N84:T84" si="34">N50*(1+(N$32+N$33))*(1+N$30)*IF($I50&lt;&gt;"Capex",1,(1+N$31))</f>
        <v>2004.8957206817545</v>
      </c>
      <c r="O84" s="962">
        <f t="shared" si="34"/>
        <v>2089.1013409503885</v>
      </c>
      <c r="P84" s="962">
        <f t="shared" si="34"/>
        <v>2279.1013152060968</v>
      </c>
      <c r="Q84" s="962">
        <f t="shared" si="34"/>
        <v>2345.6428699819276</v>
      </c>
      <c r="R84" s="962">
        <f t="shared" si="34"/>
        <v>2414.1271986407983</v>
      </c>
      <c r="S84" s="962">
        <f t="shared" si="34"/>
        <v>2484.6110231870762</v>
      </c>
      <c r="T84" s="962">
        <f t="shared" si="34"/>
        <v>2557.1527217034868</v>
      </c>
    </row>
    <row r="85" spans="2:20" ht="12.75" x14ac:dyDescent="0.3">
      <c r="D85" s="6" t="str">
        <f t="shared" si="18"/>
        <v>Services provided for retailer of last resort event</v>
      </c>
      <c r="E85" s="959" t="str">
        <f t="shared" si="24"/>
        <v>Calculated</v>
      </c>
      <c r="F85" s="959" t="str">
        <f t="shared" si="19"/>
        <v>Dollars</v>
      </c>
      <c r="G85" s="959" t="str">
        <f t="shared" si="20"/>
        <v>Nominal</v>
      </c>
      <c r="H85" s="959" t="str">
        <f t="shared" si="21"/>
        <v>Mid Period</v>
      </c>
      <c r="I85" s="139"/>
      <c r="J85" s="139"/>
      <c r="K85" s="139"/>
      <c r="L85" s="139"/>
      <c r="M85" s="139"/>
      <c r="N85" s="962">
        <f t="shared" ref="N85:T85" si="35">N51*(1+(N$32+N$33))*(1+N$30)*IF($I51&lt;&gt;"Capex",1,(1+N$31))</f>
        <v>0</v>
      </c>
      <c r="O85" s="962">
        <f t="shared" si="35"/>
        <v>0</v>
      </c>
      <c r="P85" s="962">
        <f t="shared" si="35"/>
        <v>0</v>
      </c>
      <c r="Q85" s="962">
        <f t="shared" si="35"/>
        <v>0</v>
      </c>
      <c r="R85" s="962">
        <f t="shared" si="35"/>
        <v>0</v>
      </c>
      <c r="S85" s="962">
        <f t="shared" si="35"/>
        <v>0</v>
      </c>
      <c r="T85" s="962">
        <f t="shared" si="35"/>
        <v>0</v>
      </c>
    </row>
    <row r="86" spans="2:20" ht="12.75" x14ac:dyDescent="0.3">
      <c r="D86" s="6" t="str">
        <f t="shared" si="18"/>
        <v>Rectification of illegal connections service</v>
      </c>
      <c r="E86" s="959" t="str">
        <f t="shared" si="24"/>
        <v>Calculated</v>
      </c>
      <c r="F86" s="959" t="str">
        <f t="shared" si="19"/>
        <v>Dollars</v>
      </c>
      <c r="G86" s="959" t="str">
        <f t="shared" si="20"/>
        <v>Nominal</v>
      </c>
      <c r="H86" s="959" t="str">
        <f t="shared" si="21"/>
        <v>Mid Period</v>
      </c>
      <c r="I86" s="139"/>
      <c r="J86" s="139"/>
      <c r="K86" s="139"/>
      <c r="L86" s="139"/>
      <c r="M86" s="139"/>
      <c r="N86" s="962">
        <f t="shared" ref="N86:T86" si="36">N52*(1+(N$32+N$33))*(1+N$30)*IF($I52&lt;&gt;"Capex",1,(1+N$31))</f>
        <v>0</v>
      </c>
      <c r="O86" s="962">
        <f t="shared" si="36"/>
        <v>0</v>
      </c>
      <c r="P86" s="962">
        <f t="shared" si="36"/>
        <v>0</v>
      </c>
      <c r="Q86" s="962">
        <f t="shared" si="36"/>
        <v>0</v>
      </c>
      <c r="R86" s="962">
        <f t="shared" si="36"/>
        <v>0</v>
      </c>
      <c r="S86" s="962">
        <f t="shared" si="36"/>
        <v>0</v>
      </c>
      <c r="T86" s="962">
        <f t="shared" si="36"/>
        <v>0</v>
      </c>
    </row>
    <row r="87" spans="2:20" ht="12.75" x14ac:dyDescent="0.3">
      <c r="D87" s="6" t="str">
        <f t="shared" si="18"/>
        <v>Network changes at customer or retailer's request</v>
      </c>
      <c r="E87" s="959" t="str">
        <f t="shared" si="24"/>
        <v>Calculated</v>
      </c>
      <c r="F87" s="959" t="str">
        <f t="shared" si="19"/>
        <v>Dollars</v>
      </c>
      <c r="G87" s="959" t="str">
        <f t="shared" si="20"/>
        <v>Nominal</v>
      </c>
      <c r="H87" s="959" t="str">
        <f t="shared" si="21"/>
        <v>Mid Period</v>
      </c>
      <c r="I87" s="139"/>
      <c r="J87" s="139"/>
      <c r="K87" s="139"/>
      <c r="L87" s="139"/>
      <c r="M87" s="139"/>
      <c r="N87" s="962">
        <f t="shared" ref="N87:T87" si="37">N53*(1+(N$32+N$33))*(1+N$30)*IF($I53&lt;&gt;"Capex",1,(1+N$31))</f>
        <v>7343641.6798626892</v>
      </c>
      <c r="O87" s="962">
        <f t="shared" si="37"/>
        <v>7652074.6304169232</v>
      </c>
      <c r="P87" s="962">
        <f t="shared" si="37"/>
        <v>8865227.4226319343</v>
      </c>
      <c r="Q87" s="962">
        <f t="shared" si="37"/>
        <v>9124060.1529749967</v>
      </c>
      <c r="R87" s="962">
        <f t="shared" si="37"/>
        <v>9390449.8673753217</v>
      </c>
      <c r="S87" s="962">
        <f t="shared" si="37"/>
        <v>9664617.202566009</v>
      </c>
      <c r="T87" s="962">
        <f t="shared" si="37"/>
        <v>9946789.2370785791</v>
      </c>
    </row>
    <row r="88" spans="2:20" ht="12.75" x14ac:dyDescent="0.3">
      <c r="D88" s="6" t="str">
        <f t="shared" si="18"/>
        <v>Annual prepayment meter licensing fee</v>
      </c>
      <c r="E88" s="959" t="str">
        <f t="shared" si="24"/>
        <v>Calculated</v>
      </c>
      <c r="F88" s="959" t="str">
        <f t="shared" si="19"/>
        <v>Dollars</v>
      </c>
      <c r="G88" s="959" t="str">
        <f t="shared" si="20"/>
        <v>Nominal</v>
      </c>
      <c r="H88" s="959" t="str">
        <f t="shared" si="21"/>
        <v>Mid Period</v>
      </c>
      <c r="I88" s="139"/>
      <c r="J88" s="139"/>
      <c r="K88" s="139"/>
      <c r="L88" s="139"/>
      <c r="M88" s="139"/>
      <c r="N88" s="962">
        <f t="shared" ref="N88:T88" si="38">N54*(1+(N$32+N$33))*(1+N$30)*IF($I54&lt;&gt;"Capex",1,(1+N$31))</f>
        <v>0</v>
      </c>
      <c r="O88" s="962">
        <f t="shared" si="38"/>
        <v>0</v>
      </c>
      <c r="P88" s="962">
        <f t="shared" si="38"/>
        <v>0</v>
      </c>
      <c r="Q88" s="962">
        <f t="shared" si="38"/>
        <v>0</v>
      </c>
      <c r="R88" s="962">
        <f t="shared" si="38"/>
        <v>0</v>
      </c>
      <c r="S88" s="962">
        <f t="shared" si="38"/>
        <v>0</v>
      </c>
      <c r="T88" s="962">
        <f t="shared" si="38"/>
        <v>0</v>
      </c>
    </row>
    <row r="89" spans="2:20" ht="12.75" x14ac:dyDescent="0.3">
      <c r="D89" s="6" t="str">
        <f t="shared" si="18"/>
        <v>[Spare 1]</v>
      </c>
      <c r="E89" s="959" t="str">
        <f t="shared" si="24"/>
        <v>Calculated</v>
      </c>
      <c r="F89" s="959" t="str">
        <f t="shared" si="19"/>
        <v>Dollars</v>
      </c>
      <c r="G89" s="959" t="str">
        <f t="shared" si="20"/>
        <v>Nominal</v>
      </c>
      <c r="H89" s="959" t="str">
        <f t="shared" si="21"/>
        <v>Mid Period</v>
      </c>
      <c r="I89" s="139"/>
      <c r="J89" s="139"/>
      <c r="K89" s="139"/>
      <c r="L89" s="139"/>
      <c r="M89" s="139"/>
      <c r="N89" s="962">
        <f t="shared" ref="N89:T89" si="39">N55*(1+(N$32+N$33))*(1+N$30)*IF($I55&lt;&gt;"Capex",1,(1+N$31))</f>
        <v>0</v>
      </c>
      <c r="O89" s="962">
        <f t="shared" si="39"/>
        <v>0</v>
      </c>
      <c r="P89" s="962">
        <f t="shared" si="39"/>
        <v>0</v>
      </c>
      <c r="Q89" s="962">
        <f t="shared" si="39"/>
        <v>0</v>
      </c>
      <c r="R89" s="962">
        <f t="shared" si="39"/>
        <v>0</v>
      </c>
      <c r="S89" s="962">
        <f t="shared" si="39"/>
        <v>0</v>
      </c>
      <c r="T89" s="962">
        <f t="shared" si="39"/>
        <v>0</v>
      </c>
    </row>
    <row r="90" spans="2:20" ht="12.75" x14ac:dyDescent="0.3">
      <c r="D90" s="6" t="str">
        <f t="shared" si="18"/>
        <v>[Spare 2]</v>
      </c>
      <c r="E90" s="959" t="str">
        <f t="shared" si="24"/>
        <v>Calculated</v>
      </c>
      <c r="F90" s="959" t="str">
        <f t="shared" si="19"/>
        <v>Dollars</v>
      </c>
      <c r="G90" s="959" t="str">
        <f t="shared" si="20"/>
        <v>Nominal</v>
      </c>
      <c r="H90" s="959" t="str">
        <f t="shared" si="21"/>
        <v>Mid Period</v>
      </c>
      <c r="I90" s="139"/>
      <c r="J90" s="139"/>
      <c r="K90" s="139"/>
      <c r="L90" s="139"/>
      <c r="M90" s="139"/>
      <c r="N90" s="962">
        <f t="shared" ref="N90:T90" si="40">N56*(1+(N$32+N$33))*(1+N$30)*IF($I56&lt;&gt;"Capex",1,(1+N$31))</f>
        <v>0</v>
      </c>
      <c r="O90" s="962">
        <f t="shared" si="40"/>
        <v>0</v>
      </c>
      <c r="P90" s="962">
        <f t="shared" si="40"/>
        <v>0</v>
      </c>
      <c r="Q90" s="962">
        <f t="shared" si="40"/>
        <v>0</v>
      </c>
      <c r="R90" s="962">
        <f t="shared" si="40"/>
        <v>0</v>
      </c>
      <c r="S90" s="962">
        <f t="shared" si="40"/>
        <v>0</v>
      </c>
      <c r="T90" s="962">
        <f t="shared" si="40"/>
        <v>0</v>
      </c>
    </row>
    <row r="91" spans="2:20" ht="12.75" x14ac:dyDescent="0.3">
      <c r="D91" s="6" t="str">
        <f t="shared" si="18"/>
        <v>[Spare 3]</v>
      </c>
      <c r="E91" s="959" t="str">
        <f t="shared" si="24"/>
        <v>Calculated</v>
      </c>
      <c r="F91" s="959" t="str">
        <f t="shared" si="19"/>
        <v>Dollars</v>
      </c>
      <c r="G91" s="959" t="str">
        <f t="shared" si="20"/>
        <v>Nominal</v>
      </c>
      <c r="H91" s="959" t="str">
        <f t="shared" si="21"/>
        <v>Mid Period</v>
      </c>
      <c r="I91" s="139"/>
      <c r="J91" s="139"/>
      <c r="K91" s="139"/>
      <c r="L91" s="139"/>
      <c r="M91" s="139"/>
      <c r="N91" s="962">
        <f t="shared" ref="N91:T91" si="41">N57*(1+(N$32+N$33))*(1+N$30)*IF($I57&lt;&gt;"Capex",1,(1+N$31))</f>
        <v>0</v>
      </c>
      <c r="O91" s="962">
        <f t="shared" si="41"/>
        <v>0</v>
      </c>
      <c r="P91" s="962">
        <f t="shared" si="41"/>
        <v>0</v>
      </c>
      <c r="Q91" s="962">
        <f t="shared" si="41"/>
        <v>0</v>
      </c>
      <c r="R91" s="962">
        <f t="shared" si="41"/>
        <v>0</v>
      </c>
      <c r="S91" s="962">
        <f t="shared" si="41"/>
        <v>0</v>
      </c>
      <c r="T91" s="962">
        <f t="shared" si="41"/>
        <v>0</v>
      </c>
    </row>
    <row r="92" spans="2:20" ht="11.25" customHeight="1" x14ac:dyDescent="0.3"/>
    <row r="93" spans="2:20" ht="11.25" customHeight="1" x14ac:dyDescent="0.3">
      <c r="D93" s="402" t="s">
        <v>1065</v>
      </c>
      <c r="E93" s="963" t="s">
        <v>102</v>
      </c>
      <c r="F93" s="963" t="str">
        <f>Dollars</f>
        <v>Dollars</v>
      </c>
      <c r="G93" s="963" t="str">
        <f>Nominal</f>
        <v>Nominal</v>
      </c>
      <c r="H93" s="963" t="str">
        <f>Mid_Period</f>
        <v>Mid Period</v>
      </c>
      <c r="I93" s="963" t="str">
        <f>NA</f>
        <v>N/A</v>
      </c>
      <c r="J93" s="964">
        <f t="shared" ref="J93:T93" si="42">SUM(J73:J91)</f>
        <v>0</v>
      </c>
      <c r="K93" s="964">
        <f t="shared" si="42"/>
        <v>0</v>
      </c>
      <c r="L93" s="964">
        <f t="shared" si="42"/>
        <v>0</v>
      </c>
      <c r="M93" s="964">
        <f t="shared" si="42"/>
        <v>0</v>
      </c>
      <c r="N93" s="964">
        <f t="shared" si="42"/>
        <v>9215651.1224740762</v>
      </c>
      <c r="O93" s="964">
        <f t="shared" si="42"/>
        <v>9602708.4696179889</v>
      </c>
      <c r="P93" s="964">
        <f t="shared" si="42"/>
        <v>10993267.868188396</v>
      </c>
      <c r="Q93" s="964">
        <f t="shared" si="42"/>
        <v>11314231.719657319</v>
      </c>
      <c r="R93" s="964">
        <f t="shared" si="42"/>
        <v>11644566.560279328</v>
      </c>
      <c r="S93" s="964">
        <f t="shared" si="42"/>
        <v>11984545.989206806</v>
      </c>
      <c r="T93" s="964">
        <f t="shared" si="42"/>
        <v>12334451.593702562</v>
      </c>
    </row>
    <row r="94" spans="2:20" ht="11.25" customHeight="1" x14ac:dyDescent="0.3"/>
    <row r="95" spans="2:20" s="46" customFormat="1" ht="15" x14ac:dyDescent="0.3">
      <c r="B95" s="46" t="s">
        <v>16</v>
      </c>
    </row>
  </sheetData>
  <conditionalFormatting sqref="B3">
    <cfRule type="cellIs" dxfId="1018" priority="1" operator="notEqual">
      <formula>"No Errors Found"</formula>
    </cfRule>
  </conditionalFormatting>
  <dataValidations count="1">
    <dataValidation type="list" allowBlank="1" showInputMessage="1" showErrorMessage="1" sqref="I39:I57" xr:uid="{3FB33AA8-F0DD-4551-AE12-C2A3F7084BF8}">
      <formula1>"Opex, Capex"</formula1>
    </dataValidation>
  </dataValidations>
  <hyperlinks>
    <hyperlink ref="B2:E2" location="TOC!A1" display="TOC!A1" xr:uid="{7EE40FD1-8FEA-4D17-A171-E66FE23CD494}"/>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B16A-6959-404D-A35D-C6EAE903D517}">
  <sheetPr codeName="Sheet46">
    <tabColor theme="4" tint="0.79998168889431442"/>
  </sheetPr>
  <dimension ref="A1:Y251"/>
  <sheetViews>
    <sheetView showGridLines="0" zoomScaleNormal="100" workbookViewId="0">
      <pane xSplit="4" ySplit="4" topLeftCell="E5" activePane="bottomRight" state="frozen"/>
      <selection activeCell="D11" sqref="D11"/>
      <selection pane="topRight" activeCell="D11" sqref="D11"/>
      <selection pane="bottomLeft" activeCell="D11" sqref="D11"/>
      <selection pane="bottomRight" activeCell="E5" sqref="E5"/>
    </sheetView>
  </sheetViews>
  <sheetFormatPr defaultColWidth="9.33203125" defaultRowHeight="10.15" x14ac:dyDescent="0.3"/>
  <cols>
    <col min="1" max="3" width="3.6640625" style="45" customWidth="1"/>
    <col min="4" max="4" width="79" style="45" customWidth="1"/>
    <col min="5" max="5" width="17.33203125" style="45" customWidth="1"/>
    <col min="6" max="8" width="14.6640625" style="45" customWidth="1"/>
    <col min="9" max="9" width="34" style="45" bestFit="1" customWidth="1"/>
    <col min="10" max="13" width="14.6640625" style="45" customWidth="1"/>
    <col min="14" max="20" width="17.6640625" style="45" customWidth="1"/>
    <col min="21" max="25" width="10.6640625" style="45" customWidth="1"/>
    <col min="26" max="16384" width="9.33203125" style="45"/>
  </cols>
  <sheetData>
    <row r="1" spans="1:20" ht="18.75" x14ac:dyDescent="0.3">
      <c r="A1" s="41">
        <f>IF(SUM($A3:$A251)&gt;0,1,0)</f>
        <v>0</v>
      </c>
      <c r="B1" s="3" t="s">
        <v>946</v>
      </c>
      <c r="N1" s="993"/>
    </row>
    <row r="2" spans="1:20" customFormat="1" x14ac:dyDescent="0.3">
      <c r="B2" s="34" t="str">
        <f>TOC!$B$1</f>
        <v>Table of contents</v>
      </c>
      <c r="C2" s="34"/>
      <c r="D2" s="34"/>
      <c r="E2" s="34"/>
    </row>
    <row r="3" spans="1:20" x14ac:dyDescent="0.3">
      <c r="B3" s="9" t="str">
        <f>Title_Msg</f>
        <v>No Errors Found</v>
      </c>
    </row>
    <row r="4" spans="1:20" s="46" customFormat="1" ht="15" x14ac:dyDescent="0.3">
      <c r="B4" s="46" t="str">
        <f>Input_QS!$B$4</f>
        <v>Data required to populate Power and Water Corporation 2024-29 regulatory submission</v>
      </c>
    </row>
    <row r="5" spans="1:20" ht="11.25" customHeight="1" x14ac:dyDescent="0.3"/>
    <row r="6" spans="1:20" s="7" customFormat="1" ht="13.9" x14ac:dyDescent="0.3">
      <c r="C6" s="7" t="s">
        <v>1066</v>
      </c>
    </row>
    <row r="7" spans="1:20" ht="11.25" customHeight="1" x14ac:dyDescent="0.3"/>
    <row r="8" spans="1:20" ht="13.15" x14ac:dyDescent="0.3">
      <c r="D8" s="909" t="s">
        <v>932</v>
      </c>
      <c r="E8" s="25" t="str">
        <f>Lookup!E$20</f>
        <v>Source</v>
      </c>
      <c r="F8" s="25" t="str">
        <f>Lookup!F$20</f>
        <v>Unit</v>
      </c>
      <c r="G8" s="25" t="str">
        <f>Lookup!G$20</f>
        <v>Basis</v>
      </c>
      <c r="H8" s="25" t="str">
        <f>Lookup!H$20</f>
        <v>Timing</v>
      </c>
      <c r="J8" s="40" t="str">
        <f>Lookup!O$20</f>
        <v>FY19</v>
      </c>
      <c r="K8" s="40" t="str">
        <f>Lookup!P$20</f>
        <v>FY20</v>
      </c>
      <c r="L8" s="40" t="str">
        <f>Lookup!Q$20</f>
        <v>FY21</v>
      </c>
      <c r="M8" s="40" t="str">
        <f>Lookup!R$20</f>
        <v>FY22</v>
      </c>
      <c r="N8" s="40" t="str">
        <f>Lookup!S$20</f>
        <v>FY23</v>
      </c>
      <c r="O8" s="40" t="str">
        <f>Lookup!T$20</f>
        <v>FY24</v>
      </c>
      <c r="P8" s="40" t="str">
        <f>Lookup!U$20</f>
        <v>FY25</v>
      </c>
      <c r="Q8" s="40" t="str">
        <f>Lookup!V$20</f>
        <v>FY26</v>
      </c>
      <c r="R8" s="40" t="str">
        <f>Lookup!W$20</f>
        <v>FY27</v>
      </c>
      <c r="S8" s="40" t="str">
        <f>Lookup!X$20</f>
        <v>FY28</v>
      </c>
      <c r="T8" s="40" t="str">
        <f>Lookup!Y$20</f>
        <v>FY29</v>
      </c>
    </row>
    <row r="9" spans="1:20" ht="11.25" customHeight="1" x14ac:dyDescent="0.3"/>
    <row r="10" spans="1:20" ht="12.75" x14ac:dyDescent="0.3">
      <c r="D10" s="351" t="str">
        <f>D164</f>
        <v>Connection Services</v>
      </c>
      <c r="E10" s="959" t="s">
        <v>102</v>
      </c>
      <c r="F10" s="959" t="str">
        <f>Dollars</f>
        <v>Dollars</v>
      </c>
      <c r="G10" s="959" t="str">
        <f>Real2024</f>
        <v>Real $2024</v>
      </c>
      <c r="H10" s="959" t="str">
        <f>Mid_Period</f>
        <v>Mid Period</v>
      </c>
      <c r="J10" s="139"/>
      <c r="K10" s="139"/>
      <c r="L10" s="139"/>
      <c r="M10" s="139"/>
      <c r="N10" s="962">
        <f>SUMIF($I$45:$I$76,$D10,N$216:N$247)*Input_CPI!R$17</f>
        <v>2169404.1420696857</v>
      </c>
      <c r="O10" s="962">
        <f>SUMIF($I$45:$I$76,$D10,O$216:O$247)*Input_CPI!S$17</f>
        <v>2147868.5169473556</v>
      </c>
      <c r="P10" s="962">
        <f>SUMIF($I$45:$I$76,$D10,P$216:P$247)*Input_CPI!T$17</f>
        <v>3696223.839830779</v>
      </c>
      <c r="Q10" s="962">
        <f>SUMIF($I$45:$I$76,$D10,Q$216:Q$247)*Input_CPI!U$17</f>
        <v>3696223.8398307799</v>
      </c>
      <c r="R10" s="962">
        <f>SUMIF($I$45:$I$76,$D10,R$216:R$247)*Input_CPI!V$17</f>
        <v>3696223.8398307799</v>
      </c>
      <c r="S10" s="962">
        <f>SUMIF($I$45:$I$76,$D10,S$216:S$247)*Input_CPI!W$17</f>
        <v>3696223.8398307799</v>
      </c>
      <c r="T10" s="962">
        <f>SUMIF($I$45:$I$76,$D10,T$216:T$247)*Input_CPI!X$17</f>
        <v>3696223.8398307804</v>
      </c>
    </row>
    <row r="11" spans="1:20" ht="12.75" x14ac:dyDescent="0.3">
      <c r="D11" s="351" t="str">
        <f>D167</f>
        <v>Meter Servicing (Fee based)</v>
      </c>
      <c r="E11" s="959" t="s">
        <v>102</v>
      </c>
      <c r="F11" s="959" t="str">
        <f>Dollars</f>
        <v>Dollars</v>
      </c>
      <c r="G11" s="959" t="str">
        <f>Real2024</f>
        <v>Real $2024</v>
      </c>
      <c r="H11" s="959" t="str">
        <f>Mid_Period</f>
        <v>Mid Period</v>
      </c>
      <c r="J11" s="139"/>
      <c r="K11" s="139"/>
      <c r="L11" s="139"/>
      <c r="M11" s="139"/>
      <c r="N11" s="962">
        <f>SUMIF($I$45:$I$76,$D11,N$216:N$247)*Input_CPI!R$17</f>
        <v>1619569.841440296</v>
      </c>
      <c r="O11" s="962">
        <f>SUMIF($I$45:$I$76,$D11,O$216:O$247)*Input_CPI!S$17</f>
        <v>1603492.4087995456</v>
      </c>
      <c r="P11" s="962">
        <f>SUMIF($I$45:$I$76,$D11,P$216:P$247)*Input_CPI!T$17</f>
        <v>1953101.6664698883</v>
      </c>
      <c r="Q11" s="962">
        <f>SUMIF($I$45:$I$76,$D11,Q$216:Q$247)*Input_CPI!U$17</f>
        <v>1953101.6664698885</v>
      </c>
      <c r="R11" s="962">
        <f>SUMIF($I$45:$I$76,$D11,R$216:R$247)*Input_CPI!V$17</f>
        <v>1953101.6664698892</v>
      </c>
      <c r="S11" s="962">
        <f>SUMIF($I$45:$I$76,$D11,S$216:S$247)*Input_CPI!W$17</f>
        <v>1953101.6664698885</v>
      </c>
      <c r="T11" s="962">
        <f>SUMIF($I$45:$I$76,$D11,T$216:T$247)*Input_CPI!X$17</f>
        <v>1953101.666469889</v>
      </c>
    </row>
    <row r="12" spans="1:20" ht="12.75" x14ac:dyDescent="0.3">
      <c r="D12" s="351" t="s">
        <v>925</v>
      </c>
      <c r="E12" s="959" t="s">
        <v>102</v>
      </c>
      <c r="F12" s="959" t="str">
        <f>Dollars</f>
        <v>Dollars</v>
      </c>
      <c r="G12" s="959" t="str">
        <f>Real2024</f>
        <v>Real $2024</v>
      </c>
      <c r="H12" s="959" t="str">
        <f>Mid_Period</f>
        <v>Mid Period</v>
      </c>
      <c r="J12" s="139"/>
      <c r="K12" s="139"/>
      <c r="L12" s="139"/>
      <c r="M12" s="139"/>
      <c r="N12" s="962">
        <f>N249*Input_CPI!R$17-SUM(N10:N11)</f>
        <v>260777.17836991046</v>
      </c>
      <c r="O12" s="962">
        <f>O249*Input_CPI!S$17-SUM(O10:O11)</f>
        <v>258188.44930605171</v>
      </c>
      <c r="P12" s="962">
        <f>P249*Input_CPI!T$17-SUM(P10:P11)</f>
        <v>424800.5607624026</v>
      </c>
      <c r="Q12" s="962">
        <f>Q249*Input_CPI!U$17-SUM(Q10:Q11)</f>
        <v>424800.56076240167</v>
      </c>
      <c r="R12" s="962">
        <f>R249*Input_CPI!V$17-SUM(R10:R11)</f>
        <v>424800.56076239888</v>
      </c>
      <c r="S12" s="962">
        <f>S249*Input_CPI!W$17-SUM(S10:S11)</f>
        <v>424800.56076240167</v>
      </c>
      <c r="T12" s="962">
        <f>T249*Input_CPI!X$17-SUM(T10:T11)</f>
        <v>424800.56076240167</v>
      </c>
    </row>
    <row r="13" spans="1:20" ht="11.25" customHeight="1" x14ac:dyDescent="0.3">
      <c r="D13" s="6" t="s">
        <v>913</v>
      </c>
      <c r="E13" s="959" t="s">
        <v>102</v>
      </c>
      <c r="F13" s="959" t="str">
        <f>Dollars</f>
        <v>Dollars</v>
      </c>
      <c r="G13" s="959" t="str">
        <f>Real2024</f>
        <v>Real $2024</v>
      </c>
      <c r="H13" s="959" t="str">
        <f>Mid_Period</f>
        <v>Mid Period</v>
      </c>
      <c r="J13" s="139"/>
      <c r="K13" s="139"/>
      <c r="L13" s="139"/>
      <c r="M13" s="139"/>
      <c r="N13" s="962">
        <f t="shared" ref="N13:T13" si="0">SUM(N10:N12)</f>
        <v>4049751.1618798925</v>
      </c>
      <c r="O13" s="962">
        <f t="shared" si="0"/>
        <v>4009549.3750529527</v>
      </c>
      <c r="P13" s="962">
        <f t="shared" si="0"/>
        <v>6074126.0670630699</v>
      </c>
      <c r="Q13" s="962">
        <f t="shared" si="0"/>
        <v>6074126.0670630699</v>
      </c>
      <c r="R13" s="962">
        <f t="shared" si="0"/>
        <v>6074126.067063068</v>
      </c>
      <c r="S13" s="962">
        <f t="shared" si="0"/>
        <v>6074126.0670630699</v>
      </c>
      <c r="T13" s="962">
        <f t="shared" si="0"/>
        <v>6074126.0670630708</v>
      </c>
    </row>
    <row r="14" spans="1:20" ht="11.25" customHeight="1" x14ac:dyDescent="0.3"/>
    <row r="15" spans="1:20" ht="12.75" x14ac:dyDescent="0.3">
      <c r="D15" s="971" t="str">
        <f>D164</f>
        <v>Connection Services</v>
      </c>
      <c r="E15" s="959" t="s">
        <v>102</v>
      </c>
      <c r="F15" s="959" t="str">
        <f t="shared" ref="F15:F24" si="1">Dollars</f>
        <v>Dollars</v>
      </c>
      <c r="G15" s="959" t="str">
        <f t="shared" ref="G15:G24" si="2">Real2024</f>
        <v>Real $2024</v>
      </c>
      <c r="H15" s="959" t="str">
        <f t="shared" ref="H15:H24" si="3">Mid_Period</f>
        <v>Mid Period</v>
      </c>
      <c r="J15" s="139"/>
      <c r="K15" s="139"/>
      <c r="L15" s="139"/>
      <c r="M15" s="139"/>
      <c r="N15" s="962" cm="1">
        <f t="array" ref="N15">SUMPRODUCT(($I$45:$I$76=$D15)*($I$122:$I$153="Opex")*(N$122:N$153))*Input_CPI!R$17</f>
        <v>1184977.6894389081</v>
      </c>
      <c r="O15" s="962" cm="1">
        <f t="array" ref="O15">SUMPRODUCT(($I$45:$I$76=$D15)*($I$122:$I$153="Opex")*(O$122:O$153))*Input_CPI!S$17</f>
        <v>1173214.4431155489</v>
      </c>
      <c r="P15" s="962" cm="1">
        <f t="array" ref="P15">SUMPRODUCT(($I$45:$I$76=$D15)*($I$122:$I$153="Opex")*(P$122:P$153))*Input_CPI!T$17</f>
        <v>2018961.1978859187</v>
      </c>
      <c r="Q15" s="962" cm="1">
        <f t="array" ref="Q15">SUMPRODUCT(($I$45:$I$76=$D15)*($I$122:$I$153="Opex")*(Q$122:Q$153))*Input_CPI!U$17</f>
        <v>2018961.1978859182</v>
      </c>
      <c r="R15" s="962" cm="1">
        <f t="array" ref="R15">SUMPRODUCT(($I$45:$I$76=$D15)*($I$122:$I$153="Opex")*(R$122:R$153))*Input_CPI!V$17</f>
        <v>2018961.1978859187</v>
      </c>
      <c r="S15" s="962" cm="1">
        <f t="array" ref="S15">SUMPRODUCT(($I$45:$I$76=$D15)*($I$122:$I$153="Opex")*(S$122:S$153))*Input_CPI!W$17</f>
        <v>2018961.1978859184</v>
      </c>
      <c r="T15" s="962" cm="1">
        <f t="array" ref="T15">SUMPRODUCT(($I$45:$I$76=$D15)*($I$122:$I$153="Opex")*(T$122:T$153))*Input_CPI!X$17</f>
        <v>2018961.1978859184</v>
      </c>
    </row>
    <row r="16" spans="1:20" ht="12.75" x14ac:dyDescent="0.3">
      <c r="D16" s="971" t="str">
        <f>D167</f>
        <v>Meter Servicing (Fee based)</v>
      </c>
      <c r="E16" s="959" t="s">
        <v>102</v>
      </c>
      <c r="F16" s="959" t="str">
        <f t="shared" si="1"/>
        <v>Dollars</v>
      </c>
      <c r="G16" s="959" t="str">
        <f t="shared" si="2"/>
        <v>Real $2024</v>
      </c>
      <c r="H16" s="959" t="str">
        <f t="shared" si="3"/>
        <v>Mid Period</v>
      </c>
      <c r="J16" s="139"/>
      <c r="K16" s="139"/>
      <c r="L16" s="139"/>
      <c r="M16" s="139"/>
      <c r="N16" s="962" cm="1">
        <f t="array" ref="N16">SUMPRODUCT(($I$45:$I$76=$D16)*($I$122:$I$153="Opex")*(N$122:N$153))*Input_CPI!R$17</f>
        <v>116137.56346300451</v>
      </c>
      <c r="O16" s="962" cm="1">
        <f t="array" ref="O16">SUMPRODUCT(($I$45:$I$76=$D16)*($I$122:$I$153="Opex")*(O$122:O$153))*Input_CPI!S$17</f>
        <v>114984.66853630179</v>
      </c>
      <c r="P16" s="962" cm="1">
        <f t="array" ref="P16">SUMPRODUCT(($I$45:$I$76=$D16)*($I$122:$I$153="Opex")*(P$122:P$153))*Input_CPI!T$17</f>
        <v>163128.30319467443</v>
      </c>
      <c r="Q16" s="962" cm="1">
        <f t="array" ref="Q16">SUMPRODUCT(($I$45:$I$76=$D16)*($I$122:$I$153="Opex")*(Q$122:Q$153))*Input_CPI!U$17</f>
        <v>163128.30319467443</v>
      </c>
      <c r="R16" s="962" cm="1">
        <f t="array" ref="R16">SUMPRODUCT(($I$45:$I$76=$D16)*($I$122:$I$153="Opex")*(R$122:R$153))*Input_CPI!V$17</f>
        <v>163128.3031946744</v>
      </c>
      <c r="S16" s="962" cm="1">
        <f t="array" ref="S16">SUMPRODUCT(($I$45:$I$76=$D16)*($I$122:$I$153="Opex")*(S$122:S$153))*Input_CPI!W$17</f>
        <v>163128.30319467443</v>
      </c>
      <c r="T16" s="962" cm="1">
        <f t="array" ref="T16">SUMPRODUCT(($I$45:$I$76=$D16)*($I$122:$I$153="Opex")*(T$122:T$153))*Input_CPI!X$17</f>
        <v>163128.30319467443</v>
      </c>
    </row>
    <row r="17" spans="4:20" ht="12.75" x14ac:dyDescent="0.3">
      <c r="D17" s="971" t="str">
        <f>D165</f>
        <v>De-energisation / Re-energisation</v>
      </c>
      <c r="E17" s="959" t="s">
        <v>102</v>
      </c>
      <c r="F17" s="959" t="str">
        <f t="shared" si="1"/>
        <v>Dollars</v>
      </c>
      <c r="G17" s="959" t="str">
        <f t="shared" si="2"/>
        <v>Real $2024</v>
      </c>
      <c r="H17" s="959" t="str">
        <f t="shared" si="3"/>
        <v>Mid Period</v>
      </c>
      <c r="J17" s="139"/>
      <c r="K17" s="139"/>
      <c r="L17" s="139"/>
      <c r="M17" s="139"/>
      <c r="N17" s="962" cm="1">
        <f t="array" ref="N17">SUMPRODUCT(($I$45:$I$76=$D17)*($I$122:$I$153="Opex")*(N$122:N$153))*Input_CPI!R$17</f>
        <v>65427.257754840699</v>
      </c>
      <c r="O17" s="962" cm="1">
        <f t="array" ref="O17">SUMPRODUCT(($I$45:$I$76=$D17)*($I$122:$I$153="Opex")*(O$122:O$153))*Input_CPI!S$17</f>
        <v>64777.762868910366</v>
      </c>
      <c r="P17" s="962" cm="1">
        <f t="array" ref="P17">SUMPRODUCT(($I$45:$I$76=$D17)*($I$122:$I$153="Opex")*(P$122:P$153))*Input_CPI!T$17</f>
        <v>144040.34222064586</v>
      </c>
      <c r="Q17" s="962" cm="1">
        <f t="array" ref="Q17">SUMPRODUCT(($I$45:$I$76=$D17)*($I$122:$I$153="Opex")*(Q$122:Q$153))*Input_CPI!U$17</f>
        <v>144040.34222064583</v>
      </c>
      <c r="R17" s="962" cm="1">
        <f t="array" ref="R17">SUMPRODUCT(($I$45:$I$76=$D17)*($I$122:$I$153="Opex")*(R$122:R$153))*Input_CPI!V$17</f>
        <v>144040.34222064586</v>
      </c>
      <c r="S17" s="962" cm="1">
        <f t="array" ref="S17">SUMPRODUCT(($I$45:$I$76=$D17)*($I$122:$I$153="Opex")*(S$122:S$153))*Input_CPI!W$17</f>
        <v>144040.34222064586</v>
      </c>
      <c r="T17" s="962" cm="1">
        <f t="array" ref="T17">SUMPRODUCT(($I$45:$I$76=$D17)*($I$122:$I$153="Opex")*(T$122:T$153))*Input_CPI!X$17</f>
        <v>144040.34222064589</v>
      </c>
    </row>
    <row r="18" spans="4:20" ht="12.75" x14ac:dyDescent="0.3">
      <c r="D18" s="971" t="str">
        <f>D166</f>
        <v>Other</v>
      </c>
      <c r="E18" s="959" t="s">
        <v>102</v>
      </c>
      <c r="F18" s="959" t="str">
        <f t="shared" si="1"/>
        <v>Dollars</v>
      </c>
      <c r="G18" s="959" t="str">
        <f t="shared" si="2"/>
        <v>Real $2024</v>
      </c>
      <c r="H18" s="959" t="str">
        <f t="shared" si="3"/>
        <v>Mid Period</v>
      </c>
      <c r="J18" s="139"/>
      <c r="K18" s="139"/>
      <c r="L18" s="139"/>
      <c r="M18" s="139"/>
      <c r="N18" s="962" cm="1">
        <f t="array" ref="N18">SUMPRODUCT(($I$45:$I$76=$D18)*($I$122:$I$153="Opex")*(N$122:N$153))*Input_CPI!R$17</f>
        <v>0</v>
      </c>
      <c r="O18" s="962" cm="1">
        <f t="array" ref="O18">SUMPRODUCT(($I$45:$I$76=$D18)*($I$122:$I$153="Opex")*(O$122:O$153))*Input_CPI!S$17</f>
        <v>0</v>
      </c>
      <c r="P18" s="962" cm="1">
        <f t="array" ref="P18">SUMPRODUCT(($I$45:$I$76=$D18)*($I$122:$I$153="Opex")*(P$122:P$153))*Input_CPI!T$17</f>
        <v>0</v>
      </c>
      <c r="Q18" s="962" cm="1">
        <f t="array" ref="Q18">SUMPRODUCT(($I$45:$I$76=$D18)*($I$122:$I$153="Opex")*(Q$122:Q$153))*Input_CPI!U$17</f>
        <v>0</v>
      </c>
      <c r="R18" s="962" cm="1">
        <f t="array" ref="R18">SUMPRODUCT(($I$45:$I$76=$D18)*($I$122:$I$153="Opex")*(R$122:R$153))*Input_CPI!V$17</f>
        <v>0</v>
      </c>
      <c r="S18" s="962" cm="1">
        <f t="array" ref="S18">SUMPRODUCT(($I$45:$I$76=$D18)*($I$122:$I$153="Opex")*(S$122:S$153))*Input_CPI!W$17</f>
        <v>0</v>
      </c>
      <c r="T18" s="962" cm="1">
        <f t="array" ref="T18">SUMPRODUCT(($I$45:$I$76=$D18)*($I$122:$I$153="Opex")*(T$122:T$153))*Input_CPI!X$17</f>
        <v>0</v>
      </c>
    </row>
    <row r="19" spans="4:20" ht="12.75" x14ac:dyDescent="0.3">
      <c r="D19" s="971" t="str">
        <f>D168</f>
        <v>Non Standard Data Services</v>
      </c>
      <c r="E19" s="959" t="s">
        <v>102</v>
      </c>
      <c r="F19" s="959" t="str">
        <f t="shared" si="1"/>
        <v>Dollars</v>
      </c>
      <c r="G19" s="959" t="str">
        <f t="shared" si="2"/>
        <v>Real $2024</v>
      </c>
      <c r="H19" s="959" t="str">
        <f t="shared" si="3"/>
        <v>Mid Period</v>
      </c>
      <c r="J19" s="139"/>
      <c r="K19" s="139"/>
      <c r="L19" s="139"/>
      <c r="M19" s="139"/>
      <c r="N19" s="962" cm="1">
        <f t="array" ref="N19">SUMPRODUCT(($I$45:$I$76=$D19)*($I$122:$I$153="Opex")*(N$122:N$153))*Input_CPI!R$17</f>
        <v>76444.690566307108</v>
      </c>
      <c r="O19" s="962" cm="1">
        <f t="array" ref="O19">SUMPRODUCT(($I$45:$I$76=$D19)*($I$122:$I$153="Opex")*(O$122:O$153))*Input_CPI!S$17</f>
        <v>75685.825877748939</v>
      </c>
      <c r="P19" s="962" cm="1">
        <f t="array" ref="P19">SUMPRODUCT(($I$45:$I$76=$D19)*($I$122:$I$153="Opex")*(P$122:P$153))*Input_CPI!T$17</f>
        <v>87107.585680550997</v>
      </c>
      <c r="Q19" s="962" cm="1">
        <f t="array" ref="Q19">SUMPRODUCT(($I$45:$I$76=$D19)*($I$122:$I$153="Opex")*(Q$122:Q$153))*Input_CPI!U$17</f>
        <v>87107.585680550997</v>
      </c>
      <c r="R19" s="962" cm="1">
        <f t="array" ref="R19">SUMPRODUCT(($I$45:$I$76=$D19)*($I$122:$I$153="Opex")*(R$122:R$153))*Input_CPI!V$17</f>
        <v>87107.585680551012</v>
      </c>
      <c r="S19" s="962" cm="1">
        <f t="array" ref="S19">SUMPRODUCT(($I$45:$I$76=$D19)*($I$122:$I$153="Opex")*(S$122:S$153))*Input_CPI!W$17</f>
        <v>87107.585680550997</v>
      </c>
      <c r="T19" s="962" cm="1">
        <f t="array" ref="T19">SUMPRODUCT(($I$45:$I$76=$D19)*($I$122:$I$153="Opex")*(T$122:T$153))*Input_CPI!X$17</f>
        <v>87107.585680551012</v>
      </c>
    </row>
    <row r="20" spans="4:20" ht="12.75" x14ac:dyDescent="0.3">
      <c r="D20" s="971" t="str">
        <f>D169</f>
        <v>Miscellaneous services</v>
      </c>
      <c r="E20" s="959" t="s">
        <v>102</v>
      </c>
      <c r="F20" s="959" t="str">
        <f t="shared" si="1"/>
        <v>Dollars</v>
      </c>
      <c r="G20" s="959" t="str">
        <f t="shared" si="2"/>
        <v>Real $2024</v>
      </c>
      <c r="H20" s="959" t="str">
        <f t="shared" si="3"/>
        <v>Mid Period</v>
      </c>
      <c r="J20" s="139"/>
      <c r="K20" s="139"/>
      <c r="L20" s="139"/>
      <c r="M20" s="139"/>
      <c r="N20" s="962" cm="1">
        <f t="array" ref="N20">SUMPRODUCT(($I$45:$I$76=$D20)*($I$122:$I$153="Opex")*(N$122:N$153))*Input_CPI!R$17</f>
        <v>570.45431405870215</v>
      </c>
      <c r="O20" s="962" cm="1">
        <f t="array" ref="O20">SUMPRODUCT(($I$45:$I$76=$D20)*($I$122:$I$153="Opex")*(O$122:O$153))*Input_CPI!S$17</f>
        <v>564.79142717711647</v>
      </c>
      <c r="P20" s="962" cm="1">
        <f t="array" ref="P20">SUMPRODUCT(($I$45:$I$76=$D20)*($I$122:$I$153="Opex")*(P$122:P$153))*Input_CPI!T$17</f>
        <v>887.76208524398658</v>
      </c>
      <c r="Q20" s="962" cm="1">
        <f t="array" ref="Q20">SUMPRODUCT(($I$45:$I$76=$D20)*($I$122:$I$153="Opex")*(Q$122:Q$153))*Input_CPI!U$17</f>
        <v>887.76208524398669</v>
      </c>
      <c r="R20" s="962" cm="1">
        <f t="array" ref="R20">SUMPRODUCT(($I$45:$I$76=$D20)*($I$122:$I$153="Opex")*(R$122:R$153))*Input_CPI!V$17</f>
        <v>887.76208524398669</v>
      </c>
      <c r="S20" s="962" cm="1">
        <f t="array" ref="S20">SUMPRODUCT(($I$45:$I$76=$D20)*($I$122:$I$153="Opex")*(S$122:S$153))*Input_CPI!W$17</f>
        <v>887.7620852439868</v>
      </c>
      <c r="T20" s="962" cm="1">
        <f t="array" ref="T20">SUMPRODUCT(($I$45:$I$76=$D20)*($I$122:$I$153="Opex")*(T$122:T$153))*Input_CPI!X$17</f>
        <v>887.76208524398692</v>
      </c>
    </row>
    <row r="21" spans="4:20" ht="12.75" x14ac:dyDescent="0.3">
      <c r="D21" s="351" t="s">
        <v>918</v>
      </c>
      <c r="E21" s="959" t="s">
        <v>102</v>
      </c>
      <c r="F21" s="959" t="str">
        <f t="shared" si="1"/>
        <v>Dollars</v>
      </c>
      <c r="G21" s="959" t="str">
        <f t="shared" si="2"/>
        <v>Real $2024</v>
      </c>
      <c r="H21" s="959" t="str">
        <f t="shared" si="3"/>
        <v>Mid Period</v>
      </c>
      <c r="J21" s="139"/>
      <c r="K21" s="139"/>
      <c r="L21" s="139"/>
      <c r="M21" s="139"/>
      <c r="N21" s="962">
        <f>SUM(N15:N20)</f>
        <v>1443557.6555371191</v>
      </c>
      <c r="O21" s="962">
        <f t="shared" ref="O21:T21" si="4">SUM(O15:O20)</f>
        <v>1429227.491825687</v>
      </c>
      <c r="P21" s="962">
        <f t="shared" si="4"/>
        <v>2414125.1910670339</v>
      </c>
      <c r="Q21" s="962">
        <f t="shared" si="4"/>
        <v>2414125.1910670334</v>
      </c>
      <c r="R21" s="962">
        <f t="shared" si="4"/>
        <v>2414125.1910670339</v>
      </c>
      <c r="S21" s="962">
        <f t="shared" si="4"/>
        <v>2414125.1910670339</v>
      </c>
      <c r="T21" s="962">
        <f t="shared" si="4"/>
        <v>2414125.1910670339</v>
      </c>
    </row>
    <row r="22" spans="4:20" ht="12.75" x14ac:dyDescent="0.3">
      <c r="D22" s="351" t="s">
        <v>922</v>
      </c>
      <c r="E22" s="959" t="s">
        <v>102</v>
      </c>
      <c r="F22" s="959" t="str">
        <f t="shared" si="1"/>
        <v>Dollars</v>
      </c>
      <c r="G22" s="959" t="str">
        <f t="shared" si="2"/>
        <v>Real $2024</v>
      </c>
      <c r="H22" s="959" t="str">
        <f t="shared" si="3"/>
        <v>Mid Period</v>
      </c>
      <c r="J22" s="139"/>
      <c r="K22" s="139"/>
      <c r="L22" s="139"/>
      <c r="M22" s="139"/>
      <c r="N22" s="962">
        <f>N$21*Input_QS!N32</f>
        <v>477373.66330804856</v>
      </c>
      <c r="O22" s="962">
        <f>O$21*Input_QS!O32</f>
        <v>472634.78590991296</v>
      </c>
      <c r="P22" s="962">
        <f>P$21*Input_QS!P32</f>
        <v>798333.05010260409</v>
      </c>
      <c r="Q22" s="962">
        <f>Q$21*Input_QS!Q32</f>
        <v>798333.05010260397</v>
      </c>
      <c r="R22" s="962">
        <f>R$21*Input_QS!R32</f>
        <v>798333.05010260409</v>
      </c>
      <c r="S22" s="962">
        <f>S$21*Input_QS!S32</f>
        <v>798333.05010260409</v>
      </c>
      <c r="T22" s="962">
        <f>T$21*Input_QS!T32</f>
        <v>798333.05010260409</v>
      </c>
    </row>
    <row r="23" spans="4:20" ht="12.75" x14ac:dyDescent="0.3">
      <c r="D23" s="351" t="s">
        <v>923</v>
      </c>
      <c r="E23" s="959" t="s">
        <v>102</v>
      </c>
      <c r="F23" s="959" t="str">
        <f t="shared" si="1"/>
        <v>Dollars</v>
      </c>
      <c r="G23" s="959" t="str">
        <f t="shared" si="2"/>
        <v>Real $2024</v>
      </c>
      <c r="H23" s="959" t="str">
        <f t="shared" si="3"/>
        <v>Mid Period</v>
      </c>
      <c r="J23" s="139"/>
      <c r="K23" s="139"/>
      <c r="L23" s="139"/>
      <c r="M23" s="139"/>
      <c r="N23" s="962">
        <f>N$21*Input_QS!N33</f>
        <v>721869.45719432493</v>
      </c>
      <c r="O23" s="962">
        <f>O$21*Input_QS!O33</f>
        <v>714703.47566237964</v>
      </c>
      <c r="P23" s="962">
        <f>P$21*Input_QS!P33</f>
        <v>1207214.159122926</v>
      </c>
      <c r="Q23" s="962">
        <f>Q$21*Input_QS!Q33</f>
        <v>1207214.1591229257</v>
      </c>
      <c r="R23" s="962">
        <f>R$21*Input_QS!R33</f>
        <v>1207214.159122926</v>
      </c>
      <c r="S23" s="962">
        <f>S$21*Input_QS!S33</f>
        <v>1207214.159122926</v>
      </c>
      <c r="T23" s="962">
        <f>T$21*Input_QS!T33</f>
        <v>1207214.159122926</v>
      </c>
    </row>
    <row r="24" spans="4:20" ht="12.75" x14ac:dyDescent="0.3">
      <c r="D24" s="6" t="s">
        <v>1067</v>
      </c>
      <c r="E24" s="959" t="s">
        <v>102</v>
      </c>
      <c r="F24" s="959" t="str">
        <f t="shared" si="1"/>
        <v>Dollars</v>
      </c>
      <c r="G24" s="959" t="str">
        <f t="shared" si="2"/>
        <v>Real $2024</v>
      </c>
      <c r="H24" s="959" t="str">
        <f t="shared" si="3"/>
        <v>Mid Period</v>
      </c>
      <c r="J24" s="139"/>
      <c r="K24" s="139"/>
      <c r="L24" s="139"/>
      <c r="M24" s="139"/>
      <c r="N24" s="962">
        <f>SUM(N21:N23)</f>
        <v>2642800.7760394928</v>
      </c>
      <c r="O24" s="962">
        <f t="shared" ref="O24:T24" si="5">SUM(O21:O23)</f>
        <v>2616565.7533979798</v>
      </c>
      <c r="P24" s="962">
        <f t="shared" si="5"/>
        <v>4419672.4002925642</v>
      </c>
      <c r="Q24" s="962">
        <f t="shared" si="5"/>
        <v>4419672.4002925633</v>
      </c>
      <c r="R24" s="962">
        <f t="shared" si="5"/>
        <v>4419672.4002925642</v>
      </c>
      <c r="S24" s="962">
        <f t="shared" si="5"/>
        <v>4419672.4002925642</v>
      </c>
      <c r="T24" s="962">
        <f t="shared" si="5"/>
        <v>4419672.4002925642</v>
      </c>
    </row>
    <row r="25" spans="4:20" ht="11.25" customHeight="1" x14ac:dyDescent="0.3"/>
    <row r="26" spans="4:20" ht="12.75" x14ac:dyDescent="0.3">
      <c r="D26" s="971" t="str">
        <f>D15</f>
        <v>Connection Services</v>
      </c>
      <c r="E26" s="959" t="s">
        <v>102</v>
      </c>
      <c r="F26" s="959" t="str">
        <f t="shared" ref="F26:F35" si="6">Dollars</f>
        <v>Dollars</v>
      </c>
      <c r="G26" s="959" t="str">
        <f t="shared" ref="G26:G35" si="7">Real2024</f>
        <v>Real $2024</v>
      </c>
      <c r="H26" s="959" t="str">
        <f t="shared" ref="H26:H35" si="8">Mid_Period</f>
        <v>Mid Period</v>
      </c>
      <c r="J26" s="139"/>
      <c r="K26" s="139"/>
      <c r="L26" s="139"/>
      <c r="M26" s="139"/>
      <c r="N26" s="962" cm="1">
        <f t="array" ref="N26">SUMPRODUCT(($I$45:$I$76=$D26)*($I$122:$I$153="Capex")*(N$122:N$153))*Input_CPI!R$17</f>
        <v>0</v>
      </c>
      <c r="O26" s="962" cm="1">
        <f t="array" ref="O26">SUMPRODUCT(($I$45:$I$76=$D26)*($I$122:$I$153="Capex")*(O$122:O$153))*Input_CPI!S$17</f>
        <v>0</v>
      </c>
      <c r="P26" s="962" cm="1">
        <f t="array" ref="P26">SUMPRODUCT(($I$45:$I$76=$D26)*($I$122:$I$153="Capex")*(P$122:P$153))*Input_CPI!T$17</f>
        <v>0</v>
      </c>
      <c r="Q26" s="962" cm="1">
        <f t="array" ref="Q26">SUMPRODUCT(($I$45:$I$76=$D26)*($I$122:$I$153="Capex")*(Q$122:Q$153))*Input_CPI!U$17</f>
        <v>0</v>
      </c>
      <c r="R26" s="962" cm="1">
        <f t="array" ref="R26">SUMPRODUCT(($I$45:$I$76=$D26)*($I$122:$I$153="Capex")*(R$122:R$153))*Input_CPI!V$17</f>
        <v>0</v>
      </c>
      <c r="S26" s="962" cm="1">
        <f t="array" ref="S26">SUMPRODUCT(($I$45:$I$76=$D26)*($I$122:$I$153="Capex")*(S$122:S$153))*Input_CPI!W$17</f>
        <v>0</v>
      </c>
      <c r="T26" s="962" cm="1">
        <f t="array" ref="T26">SUMPRODUCT(($I$45:$I$76=$D26)*($I$122:$I$153="Capex")*(T$122:T$153))*Input_CPI!X$17</f>
        <v>0</v>
      </c>
    </row>
    <row r="27" spans="4:20" ht="12.75" x14ac:dyDescent="0.3">
      <c r="D27" s="971" t="str">
        <f t="shared" ref="D27:D31" si="9">D16</f>
        <v>Meter Servicing (Fee based)</v>
      </c>
      <c r="E27" s="959" t="s">
        <v>102</v>
      </c>
      <c r="F27" s="959" t="str">
        <f t="shared" si="6"/>
        <v>Dollars</v>
      </c>
      <c r="G27" s="959" t="str">
        <f t="shared" si="7"/>
        <v>Real $2024</v>
      </c>
      <c r="H27" s="959" t="str">
        <f t="shared" si="8"/>
        <v>Mid Period</v>
      </c>
      <c r="J27" s="139"/>
      <c r="K27" s="139"/>
      <c r="L27" s="139"/>
      <c r="M27" s="139"/>
      <c r="N27" s="962" cm="1">
        <f t="array" ref="N27">SUMPRODUCT(($I$45:$I$76=$D27)*($I$122:$I$153="Capex")*(N$122:N$153))*Input_CPI!R$17</f>
        <v>768508.1746814436</v>
      </c>
      <c r="O27" s="962" cm="1">
        <f t="array" ref="O27">SUMPRODUCT(($I$45:$I$76=$D27)*($I$122:$I$153="Capex")*(O$122:O$153))*Input_CPI!S$17</f>
        <v>760879.21167153819</v>
      </c>
      <c r="P27" s="962" cm="1">
        <f t="array" ref="P27">SUMPRODUCT(($I$45:$I$76=$D27)*($I$122:$I$153="Capex")*(P$122:P$153))*Input_CPI!T$17</f>
        <v>850976.87318811729</v>
      </c>
      <c r="Q27" s="962" cm="1">
        <f t="array" ref="Q27">SUMPRODUCT(($I$45:$I$76=$D27)*($I$122:$I$153="Capex")*(Q$122:Q$153))*Input_CPI!U$17</f>
        <v>850976.87318811729</v>
      </c>
      <c r="R27" s="962" cm="1">
        <f t="array" ref="R27">SUMPRODUCT(($I$45:$I$76=$D27)*($I$122:$I$153="Capex")*(R$122:R$153))*Input_CPI!V$17</f>
        <v>850976.87318811729</v>
      </c>
      <c r="S27" s="962" cm="1">
        <f t="array" ref="S27">SUMPRODUCT(($I$45:$I$76=$D27)*($I$122:$I$153="Capex")*(S$122:S$153))*Input_CPI!W$17</f>
        <v>850976.87318811729</v>
      </c>
      <c r="T27" s="962" cm="1">
        <f t="array" ref="T27">SUMPRODUCT(($I$45:$I$76=$D27)*($I$122:$I$153="Capex")*(T$122:T$153))*Input_CPI!X$17</f>
        <v>850976.8731881174</v>
      </c>
    </row>
    <row r="28" spans="4:20" ht="12.75" x14ac:dyDescent="0.3">
      <c r="D28" s="971" t="str">
        <f t="shared" si="9"/>
        <v>De-energisation / Re-energisation</v>
      </c>
      <c r="E28" s="959" t="s">
        <v>102</v>
      </c>
      <c r="F28" s="959" t="str">
        <f t="shared" si="6"/>
        <v>Dollars</v>
      </c>
      <c r="G28" s="959" t="str">
        <f t="shared" si="7"/>
        <v>Real $2024</v>
      </c>
      <c r="H28" s="959" t="str">
        <f t="shared" si="8"/>
        <v>Mid Period</v>
      </c>
      <c r="J28" s="139"/>
      <c r="K28" s="139"/>
      <c r="L28" s="139"/>
      <c r="M28" s="139"/>
      <c r="N28" s="962" cm="1">
        <f t="array" ref="N28">SUMPRODUCT(($I$45:$I$76=$D28)*($I$122:$I$153="Capex")*(N$122:N$153))*Input_CPI!R$17</f>
        <v>0</v>
      </c>
      <c r="O28" s="962" cm="1">
        <f t="array" ref="O28">SUMPRODUCT(($I$45:$I$76=$D28)*($I$122:$I$153="Capex")*(O$122:O$153))*Input_CPI!S$17</f>
        <v>0</v>
      </c>
      <c r="P28" s="962" cm="1">
        <f t="array" ref="P28">SUMPRODUCT(($I$45:$I$76=$D28)*($I$122:$I$153="Capex")*(P$122:P$153))*Input_CPI!T$17</f>
        <v>0</v>
      </c>
      <c r="Q28" s="962" cm="1">
        <f t="array" ref="Q28">SUMPRODUCT(($I$45:$I$76=$D28)*($I$122:$I$153="Capex")*(Q$122:Q$153))*Input_CPI!U$17</f>
        <v>0</v>
      </c>
      <c r="R28" s="962" cm="1">
        <f t="array" ref="R28">SUMPRODUCT(($I$45:$I$76=$D28)*($I$122:$I$153="Capex")*(R$122:R$153))*Input_CPI!V$17</f>
        <v>0</v>
      </c>
      <c r="S28" s="962" cm="1">
        <f t="array" ref="S28">SUMPRODUCT(($I$45:$I$76=$D28)*($I$122:$I$153="Capex")*(S$122:S$153))*Input_CPI!W$17</f>
        <v>0</v>
      </c>
      <c r="T28" s="962" cm="1">
        <f t="array" ref="T28">SUMPRODUCT(($I$45:$I$76=$D28)*($I$122:$I$153="Capex")*(T$122:T$153))*Input_CPI!X$17</f>
        <v>0</v>
      </c>
    </row>
    <row r="29" spans="4:20" ht="12.75" x14ac:dyDescent="0.3">
      <c r="D29" s="971" t="str">
        <f t="shared" si="9"/>
        <v>Other</v>
      </c>
      <c r="E29" s="959" t="s">
        <v>102</v>
      </c>
      <c r="F29" s="959" t="str">
        <f t="shared" si="6"/>
        <v>Dollars</v>
      </c>
      <c r="G29" s="959" t="str">
        <f t="shared" si="7"/>
        <v>Real $2024</v>
      </c>
      <c r="H29" s="959" t="str">
        <f t="shared" si="8"/>
        <v>Mid Period</v>
      </c>
      <c r="J29" s="139"/>
      <c r="K29" s="139"/>
      <c r="L29" s="139"/>
      <c r="M29" s="139"/>
      <c r="N29" s="962" cm="1">
        <f t="array" ref="N29">SUMPRODUCT(($I$45:$I$76=$D29)*($I$122:$I$153="Capex")*(N$122:N$153))*Input_CPI!R$17</f>
        <v>0</v>
      </c>
      <c r="O29" s="962" cm="1">
        <f t="array" ref="O29">SUMPRODUCT(($I$45:$I$76=$D29)*($I$122:$I$153="Capex")*(O$122:O$153))*Input_CPI!S$17</f>
        <v>0</v>
      </c>
      <c r="P29" s="962" cm="1">
        <f t="array" ref="P29">SUMPRODUCT(($I$45:$I$76=$D29)*($I$122:$I$153="Capex")*(P$122:P$153))*Input_CPI!T$17</f>
        <v>0</v>
      </c>
      <c r="Q29" s="962" cm="1">
        <f t="array" ref="Q29">SUMPRODUCT(($I$45:$I$76=$D29)*($I$122:$I$153="Capex")*(Q$122:Q$153))*Input_CPI!U$17</f>
        <v>0</v>
      </c>
      <c r="R29" s="962" cm="1">
        <f t="array" ref="R29">SUMPRODUCT(($I$45:$I$76=$D29)*($I$122:$I$153="Capex")*(R$122:R$153))*Input_CPI!V$17</f>
        <v>0</v>
      </c>
      <c r="S29" s="962" cm="1">
        <f t="array" ref="S29">SUMPRODUCT(($I$45:$I$76=$D29)*($I$122:$I$153="Capex")*(S$122:S$153))*Input_CPI!W$17</f>
        <v>0</v>
      </c>
      <c r="T29" s="962" cm="1">
        <f t="array" ref="T29">SUMPRODUCT(($I$45:$I$76=$D29)*($I$122:$I$153="Capex")*(T$122:T$153))*Input_CPI!X$17</f>
        <v>0</v>
      </c>
    </row>
    <row r="30" spans="4:20" ht="12.75" x14ac:dyDescent="0.3">
      <c r="D30" s="971" t="str">
        <f t="shared" si="9"/>
        <v>Non Standard Data Services</v>
      </c>
      <c r="E30" s="959" t="s">
        <v>102</v>
      </c>
      <c r="F30" s="959" t="str">
        <f t="shared" si="6"/>
        <v>Dollars</v>
      </c>
      <c r="G30" s="959" t="str">
        <f t="shared" si="7"/>
        <v>Real $2024</v>
      </c>
      <c r="H30" s="959" t="str">
        <f t="shared" si="8"/>
        <v>Mid Period</v>
      </c>
      <c r="J30" s="139"/>
      <c r="K30" s="139"/>
      <c r="L30" s="139"/>
      <c r="M30" s="139"/>
      <c r="N30" s="962" cm="1">
        <f t="array" ref="N30">SUMPRODUCT(($I$45:$I$76=$D30)*($I$122:$I$153="Capex")*(N$122:N$153))*Input_CPI!R$17</f>
        <v>0</v>
      </c>
      <c r="O30" s="962" cm="1">
        <f t="array" ref="O30">SUMPRODUCT(($I$45:$I$76=$D30)*($I$122:$I$153="Capex")*(O$122:O$153))*Input_CPI!S$17</f>
        <v>0</v>
      </c>
      <c r="P30" s="962" cm="1">
        <f t="array" ref="P30">SUMPRODUCT(($I$45:$I$76=$D30)*($I$122:$I$153="Capex")*(P$122:P$153))*Input_CPI!T$17</f>
        <v>0</v>
      </c>
      <c r="Q30" s="962" cm="1">
        <f t="array" ref="Q30">SUMPRODUCT(($I$45:$I$76=$D30)*($I$122:$I$153="Capex")*(Q$122:Q$153))*Input_CPI!U$17</f>
        <v>0</v>
      </c>
      <c r="R30" s="962" cm="1">
        <f t="array" ref="R30">SUMPRODUCT(($I$45:$I$76=$D30)*($I$122:$I$153="Capex")*(R$122:R$153))*Input_CPI!V$17</f>
        <v>0</v>
      </c>
      <c r="S30" s="962" cm="1">
        <f t="array" ref="S30">SUMPRODUCT(($I$45:$I$76=$D30)*($I$122:$I$153="Capex")*(S$122:S$153))*Input_CPI!W$17</f>
        <v>0</v>
      </c>
      <c r="T30" s="962" cm="1">
        <f t="array" ref="T30">SUMPRODUCT(($I$45:$I$76=$D30)*($I$122:$I$153="Capex")*(T$122:T$153))*Input_CPI!X$17</f>
        <v>0</v>
      </c>
    </row>
    <row r="31" spans="4:20" ht="12.75" x14ac:dyDescent="0.3">
      <c r="D31" s="971" t="str">
        <f t="shared" si="9"/>
        <v>Miscellaneous services</v>
      </c>
      <c r="E31" s="959" t="s">
        <v>102</v>
      </c>
      <c r="F31" s="959" t="str">
        <f t="shared" si="6"/>
        <v>Dollars</v>
      </c>
      <c r="G31" s="959" t="str">
        <f t="shared" si="7"/>
        <v>Real $2024</v>
      </c>
      <c r="H31" s="959" t="str">
        <f t="shared" si="8"/>
        <v>Mid Period</v>
      </c>
      <c r="J31" s="139"/>
      <c r="K31" s="139"/>
      <c r="L31" s="139"/>
      <c r="M31" s="139"/>
      <c r="N31" s="962" cm="1">
        <f t="array" ref="N31">SUMPRODUCT(($I$45:$I$76=$D31)*($I$122:$I$153="Capex")*(N$122:N$153))*Input_CPI!R$17</f>
        <v>0</v>
      </c>
      <c r="O31" s="962" cm="1">
        <f t="array" ref="O31">SUMPRODUCT(($I$45:$I$76=$D31)*($I$122:$I$153="Capex")*(O$122:O$153))*Input_CPI!S$17</f>
        <v>0</v>
      </c>
      <c r="P31" s="962" cm="1">
        <f t="array" ref="P31">SUMPRODUCT(($I$45:$I$76=$D31)*($I$122:$I$153="Capex")*(P$122:P$153))*Input_CPI!T$17</f>
        <v>0</v>
      </c>
      <c r="Q31" s="962" cm="1">
        <f t="array" ref="Q31">SUMPRODUCT(($I$45:$I$76=$D31)*($I$122:$I$153="Capex")*(Q$122:Q$153))*Input_CPI!U$17</f>
        <v>0</v>
      </c>
      <c r="R31" s="962" cm="1">
        <f t="array" ref="R31">SUMPRODUCT(($I$45:$I$76=$D31)*($I$122:$I$153="Capex")*(R$122:R$153))*Input_CPI!V$17</f>
        <v>0</v>
      </c>
      <c r="S31" s="962" cm="1">
        <f t="array" ref="S31">SUMPRODUCT(($I$45:$I$76=$D31)*($I$122:$I$153="Capex")*(S$122:S$153))*Input_CPI!W$17</f>
        <v>0</v>
      </c>
      <c r="T31" s="962" cm="1">
        <f t="array" ref="T31">SUMPRODUCT(($I$45:$I$76=$D31)*($I$122:$I$153="Capex")*(T$122:T$153))*Input_CPI!X$17</f>
        <v>0</v>
      </c>
    </row>
    <row r="32" spans="4:20" ht="12.75" x14ac:dyDescent="0.3">
      <c r="D32" s="351" t="s">
        <v>919</v>
      </c>
      <c r="E32" s="959" t="s">
        <v>102</v>
      </c>
      <c r="F32" s="959" t="str">
        <f t="shared" si="6"/>
        <v>Dollars</v>
      </c>
      <c r="G32" s="959" t="str">
        <f t="shared" si="7"/>
        <v>Real $2024</v>
      </c>
      <c r="H32" s="959" t="str">
        <f t="shared" si="8"/>
        <v>Mid Period</v>
      </c>
      <c r="J32" s="139"/>
      <c r="K32" s="139"/>
      <c r="L32" s="139"/>
      <c r="M32" s="139"/>
      <c r="N32" s="962">
        <f>SUM(N26:N31)</f>
        <v>768508.1746814436</v>
      </c>
      <c r="O32" s="962">
        <f t="shared" ref="O32:T32" si="10">SUM(O26:O31)</f>
        <v>760879.21167153819</v>
      </c>
      <c r="P32" s="962">
        <f t="shared" si="10"/>
        <v>850976.87318811729</v>
      </c>
      <c r="Q32" s="962">
        <f t="shared" si="10"/>
        <v>850976.87318811729</v>
      </c>
      <c r="R32" s="962">
        <f t="shared" si="10"/>
        <v>850976.87318811729</v>
      </c>
      <c r="S32" s="962">
        <f t="shared" si="10"/>
        <v>850976.87318811729</v>
      </c>
      <c r="T32" s="962">
        <f t="shared" si="10"/>
        <v>850976.8731881174</v>
      </c>
    </row>
    <row r="33" spans="1:24" ht="12.75" x14ac:dyDescent="0.3">
      <c r="D33" s="351" t="s">
        <v>922</v>
      </c>
      <c r="E33" s="959" t="s">
        <v>102</v>
      </c>
      <c r="F33" s="959" t="str">
        <f t="shared" si="6"/>
        <v>Dollars</v>
      </c>
      <c r="G33" s="959" t="str">
        <f t="shared" si="7"/>
        <v>Real $2024</v>
      </c>
      <c r="H33" s="959" t="str">
        <f t="shared" si="8"/>
        <v>Mid Period</v>
      </c>
      <c r="J33" s="139"/>
      <c r="K33" s="139"/>
      <c r="L33" s="139"/>
      <c r="M33" s="139"/>
      <c r="N33" s="962">
        <f>N$32*Input_QS!N32</f>
        <v>254139.87534384904</v>
      </c>
      <c r="O33" s="962">
        <f>O$32*Input_QS!O32</f>
        <v>251617.03463477801</v>
      </c>
      <c r="P33" s="962">
        <f>P$32*Input_QS!P32</f>
        <v>281411.65389967652</v>
      </c>
      <c r="Q33" s="962">
        <f>Q$32*Input_QS!Q32</f>
        <v>281411.65389967652</v>
      </c>
      <c r="R33" s="962">
        <f>R$32*Input_QS!R32</f>
        <v>281411.65389967652</v>
      </c>
      <c r="S33" s="962">
        <f>S$32*Input_QS!S32</f>
        <v>281411.65389967652</v>
      </c>
      <c r="T33" s="962">
        <f>T$32*Input_QS!T32</f>
        <v>281411.65389967657</v>
      </c>
    </row>
    <row r="34" spans="1:24" ht="12.75" x14ac:dyDescent="0.3">
      <c r="D34" s="351" t="s">
        <v>923</v>
      </c>
      <c r="E34" s="959" t="s">
        <v>102</v>
      </c>
      <c r="F34" s="959" t="str">
        <f t="shared" si="6"/>
        <v>Dollars</v>
      </c>
      <c r="G34" s="959" t="str">
        <f t="shared" si="7"/>
        <v>Real $2024</v>
      </c>
      <c r="H34" s="959" t="str">
        <f t="shared" si="8"/>
        <v>Mid Period</v>
      </c>
      <c r="J34" s="139"/>
      <c r="K34" s="139"/>
      <c r="L34" s="139"/>
      <c r="M34" s="139"/>
      <c r="N34" s="962">
        <f>N$32*Input_QS!N33</f>
        <v>384302.33581510745</v>
      </c>
      <c r="O34" s="962">
        <f>O$32*Input_QS!O33</f>
        <v>380487.37534865702</v>
      </c>
      <c r="P34" s="962">
        <f>P$32*Input_QS!P33</f>
        <v>425541.86261764757</v>
      </c>
      <c r="Q34" s="962">
        <f>Q$32*Input_QS!Q33</f>
        <v>425541.86261764757</v>
      </c>
      <c r="R34" s="962">
        <f>R$32*Input_QS!R33</f>
        <v>425541.86261764757</v>
      </c>
      <c r="S34" s="962">
        <f>S$32*Input_QS!S33</f>
        <v>425541.86261764757</v>
      </c>
      <c r="T34" s="962">
        <f>T$32*Input_QS!T33</f>
        <v>425541.86261764762</v>
      </c>
    </row>
    <row r="35" spans="1:24" ht="12.75" x14ac:dyDescent="0.3">
      <c r="D35" s="6" t="s">
        <v>1068</v>
      </c>
      <c r="E35" s="959" t="s">
        <v>102</v>
      </c>
      <c r="F35" s="959" t="str">
        <f t="shared" si="6"/>
        <v>Dollars</v>
      </c>
      <c r="G35" s="959" t="str">
        <f t="shared" si="7"/>
        <v>Real $2024</v>
      </c>
      <c r="H35" s="959" t="str">
        <f t="shared" si="8"/>
        <v>Mid Period</v>
      </c>
      <c r="J35" s="139"/>
      <c r="K35" s="139"/>
      <c r="L35" s="139"/>
      <c r="M35" s="139"/>
      <c r="N35" s="962">
        <f>SUM(N32:N34)</f>
        <v>1406950.3858404001</v>
      </c>
      <c r="O35" s="962">
        <f t="shared" ref="O35:T35" si="11">SUM(O32:O34)</f>
        <v>1392983.6216549734</v>
      </c>
      <c r="P35" s="962">
        <f t="shared" si="11"/>
        <v>1557930.3897054412</v>
      </c>
      <c r="Q35" s="962">
        <f t="shared" si="11"/>
        <v>1557930.3897054412</v>
      </c>
      <c r="R35" s="962">
        <f t="shared" si="11"/>
        <v>1557930.3897054412</v>
      </c>
      <c r="S35" s="962">
        <f t="shared" si="11"/>
        <v>1557930.3897054412</v>
      </c>
      <c r="T35" s="962">
        <f t="shared" si="11"/>
        <v>1557930.3897054414</v>
      </c>
    </row>
    <row r="36" spans="1:24" ht="11.25" customHeight="1" x14ac:dyDescent="0.3"/>
    <row r="37" spans="1:24" ht="11.25" customHeight="1" x14ac:dyDescent="0.3">
      <c r="A37" s="41">
        <f>IF(SUM(N37:T37)=0,0,1)</f>
        <v>0</v>
      </c>
      <c r="D37" s="6" t="s">
        <v>926</v>
      </c>
      <c r="E37" s="959" t="s">
        <v>102</v>
      </c>
      <c r="F37" s="959" t="str">
        <f t="shared" ref="F37:H39" si="12">NA</f>
        <v>N/A</v>
      </c>
      <c r="G37" s="959" t="str">
        <f t="shared" si="12"/>
        <v>N/A</v>
      </c>
      <c r="H37" s="959" t="str">
        <f t="shared" si="12"/>
        <v>N/A</v>
      </c>
      <c r="J37" s="139"/>
      <c r="K37" s="139"/>
      <c r="L37" s="139"/>
      <c r="M37" s="139"/>
      <c r="N37" s="62">
        <f>IF(ROUND(N13-N249*Input_CPI!R$17,3)=0,0,1)</f>
        <v>0</v>
      </c>
      <c r="O37" s="62">
        <f>IF(ROUND(O13-O249*Input_CPI!S$17,3)=0,0,1)</f>
        <v>0</v>
      </c>
      <c r="P37" s="62">
        <f>IF(ROUND(P13-P249*Input_CPI!T$17,3)=0,0,1)</f>
        <v>0</v>
      </c>
      <c r="Q37" s="62">
        <f>IF(ROUND(Q13-Q249*Input_CPI!U$17,3)=0,0,1)</f>
        <v>0</v>
      </c>
      <c r="R37" s="62">
        <f>IF(ROUND(R13-R249*Input_CPI!V$17,3)=0,0,1)</f>
        <v>0</v>
      </c>
      <c r="S37" s="62">
        <f>IF(ROUND(S13-S249*Input_CPI!W$17,3)=0,0,1)</f>
        <v>0</v>
      </c>
      <c r="T37" s="62">
        <f>IF(ROUND(T13-T249*Input_CPI!X$17,3)=0,0,1)</f>
        <v>0</v>
      </c>
    </row>
    <row r="38" spans="1:24" ht="11.25" customHeight="1" x14ac:dyDescent="0.3">
      <c r="A38" s="41">
        <f>IF(SUM(N38:T38)=0,0,1)</f>
        <v>0</v>
      </c>
      <c r="D38" s="6" t="s">
        <v>927</v>
      </c>
      <c r="E38" s="959" t="s">
        <v>102</v>
      </c>
      <c r="F38" s="959" t="str">
        <f t="shared" si="12"/>
        <v>N/A</v>
      </c>
      <c r="G38" s="959" t="str">
        <f t="shared" si="12"/>
        <v>N/A</v>
      </c>
      <c r="H38" s="959" t="str">
        <f t="shared" si="12"/>
        <v>N/A</v>
      </c>
      <c r="J38" s="139"/>
      <c r="K38" s="139"/>
      <c r="L38" s="139"/>
      <c r="M38" s="139"/>
      <c r="N38" s="62">
        <f>IF(ROUND(N21-N160*Input_CPI!R$17,3)=0,0,1)</f>
        <v>0</v>
      </c>
      <c r="O38" s="62">
        <f>IF(ROUND(O21-O160*Input_CPI!S$17,3)=0,0,1)</f>
        <v>0</v>
      </c>
      <c r="P38" s="62">
        <f>IF(ROUND(P21-P160*Input_CPI!T$17,3)=0,0,1)</f>
        <v>0</v>
      </c>
      <c r="Q38" s="62">
        <f>IF(ROUND(Q21-Q160*Input_CPI!U$17,3)=0,0,1)</f>
        <v>0</v>
      </c>
      <c r="R38" s="62">
        <f>IF(ROUND(R21-R160*Input_CPI!V$17,3)=0,0,1)</f>
        <v>0</v>
      </c>
      <c r="S38" s="62">
        <f>IF(ROUND(S21-S160*Input_CPI!W$17,3)=0,0,1)</f>
        <v>0</v>
      </c>
      <c r="T38" s="62">
        <f>IF(ROUND(T21-T160*Input_CPI!X$17,3)=0,0,1)</f>
        <v>0</v>
      </c>
    </row>
    <row r="39" spans="1:24" ht="11.25" customHeight="1" x14ac:dyDescent="0.3">
      <c r="A39" s="41">
        <f>IF(SUM(N39:T39)=0,0,1)</f>
        <v>0</v>
      </c>
      <c r="D39" s="6" t="s">
        <v>928</v>
      </c>
      <c r="E39" s="959" t="s">
        <v>102</v>
      </c>
      <c r="F39" s="959" t="str">
        <f t="shared" si="12"/>
        <v>N/A</v>
      </c>
      <c r="G39" s="959" t="str">
        <f t="shared" si="12"/>
        <v>N/A</v>
      </c>
      <c r="H39" s="959" t="str">
        <f t="shared" si="12"/>
        <v>N/A</v>
      </c>
      <c r="J39" s="139"/>
      <c r="K39" s="139"/>
      <c r="L39" s="139"/>
      <c r="M39" s="139"/>
      <c r="N39" s="62">
        <f>IF(ROUND(N32-N161*Input_CPI!R$17,3)=0,0,1)</f>
        <v>0</v>
      </c>
      <c r="O39" s="62">
        <f>IF(ROUND(O32-O161*Input_CPI!S$17,3)=0,0,1)</f>
        <v>0</v>
      </c>
      <c r="P39" s="62">
        <f>IF(ROUND(P32-P161*Input_CPI!T$17,3)=0,0,1)</f>
        <v>0</v>
      </c>
      <c r="Q39" s="62">
        <f>IF(ROUND(Q32-Q161*Input_CPI!U$17,3)=0,0,1)</f>
        <v>0</v>
      </c>
      <c r="R39" s="62">
        <f>IF(ROUND(R32-R161*Input_CPI!V$17,3)=0,0,1)</f>
        <v>0</v>
      </c>
      <c r="S39" s="62">
        <f>IF(ROUND(S32-S161*Input_CPI!W$17,3)=0,0,1)</f>
        <v>0</v>
      </c>
      <c r="T39" s="62">
        <f>IF(ROUND(T32-T161*Input_CPI!X$17,3)=0,0,1)</f>
        <v>0</v>
      </c>
    </row>
    <row r="40" spans="1:24" ht="11.25" customHeight="1" x14ac:dyDescent="0.3"/>
    <row r="41" spans="1:24" s="7" customFormat="1" ht="13.9" x14ac:dyDescent="0.3">
      <c r="C41" s="7" t="s">
        <v>869</v>
      </c>
    </row>
    <row r="42" spans="1:24" ht="11.25" customHeight="1" x14ac:dyDescent="0.3"/>
    <row r="43" spans="1:24" ht="13.15" x14ac:dyDescent="0.3">
      <c r="D43" s="909" t="s">
        <v>871</v>
      </c>
      <c r="E43" s="25" t="str">
        <f>Lookup!E$20</f>
        <v>Source</v>
      </c>
      <c r="F43" s="25" t="str">
        <f>Lookup!F$20</f>
        <v>Unit</v>
      </c>
      <c r="G43" s="25" t="str">
        <f>Lookup!G$20</f>
        <v>Basis</v>
      </c>
      <c r="H43" s="25" t="str">
        <f>Lookup!H$20</f>
        <v>Timing</v>
      </c>
      <c r="I43" s="968" t="s">
        <v>1069</v>
      </c>
      <c r="J43" s="40" t="str">
        <f>Lookup!O$20</f>
        <v>FY19</v>
      </c>
      <c r="K43" s="40" t="str">
        <f>Lookup!P$20</f>
        <v>FY20</v>
      </c>
      <c r="L43" s="40" t="str">
        <f>Lookup!Q$20</f>
        <v>FY21</v>
      </c>
      <c r="M43" s="40" t="str">
        <f>Lookup!R$20</f>
        <v>FY22</v>
      </c>
      <c r="N43" s="40" t="str">
        <f>Lookup!S$20</f>
        <v>FY23</v>
      </c>
      <c r="O43" s="40" t="str">
        <f>Lookup!T$20</f>
        <v>FY24</v>
      </c>
      <c r="P43" s="40" t="str">
        <f>Lookup!U$20</f>
        <v>FY25</v>
      </c>
      <c r="Q43" s="40" t="str">
        <f>Lookup!V$20</f>
        <v>FY26</v>
      </c>
      <c r="R43" s="40" t="str">
        <f>Lookup!W$20</f>
        <v>FY27</v>
      </c>
      <c r="S43" s="40" t="str">
        <f>Lookup!X$20</f>
        <v>FY28</v>
      </c>
      <c r="T43" s="40" t="str">
        <f>Lookup!Y$20</f>
        <v>FY29</v>
      </c>
      <c r="V43" s="40" t="s">
        <v>864</v>
      </c>
      <c r="W43" s="40" t="s">
        <v>865</v>
      </c>
      <c r="X43" s="40" t="s">
        <v>866</v>
      </c>
    </row>
    <row r="44" spans="1:24" ht="11.25" customHeight="1" x14ac:dyDescent="0.3">
      <c r="M44" s="970"/>
      <c r="N44" s="970"/>
    </row>
    <row r="45" spans="1:24" ht="12.75" x14ac:dyDescent="0.3">
      <c r="D45" s="958" t="s">
        <v>872</v>
      </c>
      <c r="E45" s="31" t="s">
        <v>905</v>
      </c>
      <c r="F45" s="959" t="str">
        <f t="shared" ref="F45:F76" si="13">Number</f>
        <v>Number</v>
      </c>
      <c r="G45" s="959" t="str">
        <f t="shared" ref="G45:G76" si="14">NA</f>
        <v>N/A</v>
      </c>
      <c r="H45" s="959" t="str">
        <f t="shared" ref="H45:H76" si="15">End_Period</f>
        <v>End Period</v>
      </c>
      <c r="I45" s="31" t="s">
        <v>906</v>
      </c>
      <c r="J45" s="960">
        <v>0</v>
      </c>
      <c r="K45" s="960">
        <v>0</v>
      </c>
      <c r="L45" s="960">
        <v>0</v>
      </c>
      <c r="M45" s="960">
        <v>0</v>
      </c>
      <c r="N45" s="17">
        <f>AVERAGE($J45:$M45)</f>
        <v>0</v>
      </c>
      <c r="O45" s="17">
        <f t="shared" ref="O45:T69" si="16">AVERAGE($J45:$M45)</f>
        <v>0</v>
      </c>
      <c r="P45" s="17">
        <f t="shared" si="16"/>
        <v>0</v>
      </c>
      <c r="Q45" s="17">
        <f t="shared" si="16"/>
        <v>0</v>
      </c>
      <c r="R45" s="17">
        <f t="shared" si="16"/>
        <v>0</v>
      </c>
      <c r="S45" s="17">
        <f t="shared" si="16"/>
        <v>0</v>
      </c>
      <c r="T45" s="17">
        <f t="shared" si="16"/>
        <v>0</v>
      </c>
      <c r="V45" s="960">
        <v>1</v>
      </c>
      <c r="W45" s="960">
        <v>1</v>
      </c>
      <c r="X45" s="960">
        <v>1</v>
      </c>
    </row>
    <row r="46" spans="1:24" ht="12.75" x14ac:dyDescent="0.3">
      <c r="D46" s="958" t="s">
        <v>873</v>
      </c>
      <c r="E46" s="959" t="str">
        <f>E45</f>
        <v>CA RIN 4.3.1</v>
      </c>
      <c r="F46" s="959" t="str">
        <f t="shared" si="13"/>
        <v>Number</v>
      </c>
      <c r="G46" s="959" t="str">
        <f t="shared" si="14"/>
        <v>N/A</v>
      </c>
      <c r="H46" s="959" t="str">
        <f t="shared" si="15"/>
        <v>End Period</v>
      </c>
      <c r="I46" s="31" t="s">
        <v>906</v>
      </c>
      <c r="J46" s="960">
        <v>3057</v>
      </c>
      <c r="K46" s="960">
        <v>12623</v>
      </c>
      <c r="L46" s="960">
        <v>9061</v>
      </c>
      <c r="M46" s="960">
        <v>10301</v>
      </c>
      <c r="N46" s="17">
        <f t="shared" ref="N46:N76" si="17">AVERAGE($J46:$M46)</f>
        <v>8760.5</v>
      </c>
      <c r="O46" s="17">
        <f t="shared" si="16"/>
        <v>8760.5</v>
      </c>
      <c r="P46" s="17">
        <f t="shared" si="16"/>
        <v>8760.5</v>
      </c>
      <c r="Q46" s="17">
        <f t="shared" si="16"/>
        <v>8760.5</v>
      </c>
      <c r="R46" s="17">
        <f t="shared" si="16"/>
        <v>8760.5</v>
      </c>
      <c r="S46" s="17">
        <f t="shared" si="16"/>
        <v>8760.5</v>
      </c>
      <c r="T46" s="17">
        <f t="shared" si="16"/>
        <v>8760.5</v>
      </c>
      <c r="V46" s="960">
        <v>2</v>
      </c>
      <c r="W46" s="960">
        <v>2</v>
      </c>
      <c r="X46" s="960">
        <v>2</v>
      </c>
    </row>
    <row r="47" spans="1:24" ht="12.75" x14ac:dyDescent="0.3">
      <c r="D47" s="958" t="s">
        <v>874</v>
      </c>
      <c r="E47" s="959" t="str">
        <f t="shared" ref="E47:E62" si="18">E46</f>
        <v>CA RIN 4.3.1</v>
      </c>
      <c r="F47" s="959" t="str">
        <f t="shared" si="13"/>
        <v>Number</v>
      </c>
      <c r="G47" s="959" t="str">
        <f t="shared" si="14"/>
        <v>N/A</v>
      </c>
      <c r="H47" s="959" t="str">
        <f t="shared" si="15"/>
        <v>End Period</v>
      </c>
      <c r="I47" s="31" t="s">
        <v>906</v>
      </c>
      <c r="J47" s="960">
        <v>3057</v>
      </c>
      <c r="K47" s="960">
        <v>23916</v>
      </c>
      <c r="L47" s="960">
        <v>21125</v>
      </c>
      <c r="M47" s="960">
        <v>22434</v>
      </c>
      <c r="N47" s="17">
        <f t="shared" si="17"/>
        <v>17633</v>
      </c>
      <c r="O47" s="17">
        <f t="shared" si="16"/>
        <v>17633</v>
      </c>
      <c r="P47" s="17">
        <f t="shared" si="16"/>
        <v>17633</v>
      </c>
      <c r="Q47" s="17">
        <f t="shared" si="16"/>
        <v>17633</v>
      </c>
      <c r="R47" s="17">
        <f t="shared" si="16"/>
        <v>17633</v>
      </c>
      <c r="S47" s="17">
        <f t="shared" si="16"/>
        <v>17633</v>
      </c>
      <c r="T47" s="17">
        <f t="shared" si="16"/>
        <v>17633</v>
      </c>
      <c r="V47" s="960">
        <v>3</v>
      </c>
      <c r="W47" s="960">
        <v>3</v>
      </c>
      <c r="X47" s="960">
        <v>3</v>
      </c>
    </row>
    <row r="48" spans="1:24" ht="12.75" x14ac:dyDescent="0.3">
      <c r="D48" s="958" t="s">
        <v>875</v>
      </c>
      <c r="E48" s="959" t="str">
        <f t="shared" si="18"/>
        <v>CA RIN 4.3.1</v>
      </c>
      <c r="F48" s="959" t="str">
        <f t="shared" si="13"/>
        <v>Number</v>
      </c>
      <c r="G48" s="959" t="str">
        <f t="shared" si="14"/>
        <v>N/A</v>
      </c>
      <c r="H48" s="959" t="str">
        <f t="shared" si="15"/>
        <v>End Period</v>
      </c>
      <c r="I48" s="31" t="s">
        <v>907</v>
      </c>
      <c r="J48" s="960">
        <v>0</v>
      </c>
      <c r="K48" s="960">
        <v>291</v>
      </c>
      <c r="L48" s="960">
        <v>264</v>
      </c>
      <c r="M48" s="960">
        <v>241</v>
      </c>
      <c r="N48" s="17">
        <f t="shared" si="17"/>
        <v>199</v>
      </c>
      <c r="O48" s="17">
        <f t="shared" si="16"/>
        <v>199</v>
      </c>
      <c r="P48" s="17">
        <f t="shared" si="16"/>
        <v>199</v>
      </c>
      <c r="Q48" s="17">
        <f t="shared" si="16"/>
        <v>199</v>
      </c>
      <c r="R48" s="17">
        <f t="shared" si="16"/>
        <v>199</v>
      </c>
      <c r="S48" s="17">
        <f t="shared" si="16"/>
        <v>199</v>
      </c>
      <c r="T48" s="17">
        <f t="shared" si="16"/>
        <v>199</v>
      </c>
      <c r="V48" s="960">
        <v>0</v>
      </c>
      <c r="W48" s="960">
        <v>6</v>
      </c>
      <c r="X48" s="960">
        <v>6</v>
      </c>
    </row>
    <row r="49" spans="4:24" ht="12.75" x14ac:dyDescent="0.3">
      <c r="D49" s="958" t="s">
        <v>876</v>
      </c>
      <c r="E49" s="959" t="str">
        <f t="shared" si="18"/>
        <v>CA RIN 4.3.1</v>
      </c>
      <c r="F49" s="959" t="str">
        <f t="shared" si="13"/>
        <v>Number</v>
      </c>
      <c r="G49" s="959" t="str">
        <f t="shared" si="14"/>
        <v>N/A</v>
      </c>
      <c r="H49" s="959" t="str">
        <f t="shared" si="15"/>
        <v>End Period</v>
      </c>
      <c r="I49" s="31" t="s">
        <v>907</v>
      </c>
      <c r="J49" s="960">
        <v>0</v>
      </c>
      <c r="K49" s="960">
        <v>3</v>
      </c>
      <c r="L49" s="960">
        <v>70</v>
      </c>
      <c r="M49" s="960">
        <v>68</v>
      </c>
      <c r="N49" s="17">
        <f t="shared" si="17"/>
        <v>35.25</v>
      </c>
      <c r="O49" s="17">
        <f t="shared" si="16"/>
        <v>35.25</v>
      </c>
      <c r="P49" s="17">
        <f t="shared" si="16"/>
        <v>35.25</v>
      </c>
      <c r="Q49" s="17">
        <f t="shared" si="16"/>
        <v>35.25</v>
      </c>
      <c r="R49" s="17">
        <f t="shared" si="16"/>
        <v>35.25</v>
      </c>
      <c r="S49" s="17">
        <f t="shared" si="16"/>
        <v>35.25</v>
      </c>
      <c r="T49" s="17">
        <f t="shared" si="16"/>
        <v>35.25</v>
      </c>
      <c r="V49" s="960">
        <v>0</v>
      </c>
      <c r="W49" s="960">
        <v>7</v>
      </c>
      <c r="X49" s="960">
        <v>7</v>
      </c>
    </row>
    <row r="50" spans="4:24" ht="12.75" x14ac:dyDescent="0.3">
      <c r="D50" s="958" t="s">
        <v>877</v>
      </c>
      <c r="E50" s="959" t="str">
        <f t="shared" si="18"/>
        <v>CA RIN 4.3.1</v>
      </c>
      <c r="F50" s="959" t="str">
        <f t="shared" si="13"/>
        <v>Number</v>
      </c>
      <c r="G50" s="959" t="str">
        <f t="shared" si="14"/>
        <v>N/A</v>
      </c>
      <c r="H50" s="959" t="str">
        <f t="shared" si="15"/>
        <v>End Period</v>
      </c>
      <c r="I50" s="31" t="s">
        <v>907</v>
      </c>
      <c r="J50" s="960">
        <v>0</v>
      </c>
      <c r="K50" s="960">
        <v>0</v>
      </c>
      <c r="L50" s="960">
        <v>0</v>
      </c>
      <c r="M50" s="960">
        <v>1</v>
      </c>
      <c r="N50" s="17">
        <f t="shared" si="17"/>
        <v>0.25</v>
      </c>
      <c r="O50" s="17">
        <f t="shared" si="16"/>
        <v>0.25</v>
      </c>
      <c r="P50" s="17">
        <f t="shared" si="16"/>
        <v>0.25</v>
      </c>
      <c r="Q50" s="17">
        <f t="shared" si="16"/>
        <v>0.25</v>
      </c>
      <c r="R50" s="17">
        <f t="shared" si="16"/>
        <v>0.25</v>
      </c>
      <c r="S50" s="17">
        <f t="shared" si="16"/>
        <v>0.25</v>
      </c>
      <c r="T50" s="17">
        <f t="shared" si="16"/>
        <v>0.25</v>
      </c>
      <c r="V50" s="960">
        <v>0</v>
      </c>
      <c r="W50" s="960">
        <v>0</v>
      </c>
      <c r="X50" s="960">
        <v>0</v>
      </c>
    </row>
    <row r="51" spans="4:24" ht="12.75" x14ac:dyDescent="0.3">
      <c r="D51" s="958" t="s">
        <v>878</v>
      </c>
      <c r="E51" s="959" t="str">
        <f t="shared" si="18"/>
        <v>CA RIN 4.3.1</v>
      </c>
      <c r="F51" s="959" t="str">
        <f t="shared" si="13"/>
        <v>Number</v>
      </c>
      <c r="G51" s="959" t="str">
        <f t="shared" si="14"/>
        <v>N/A</v>
      </c>
      <c r="H51" s="959" t="str">
        <f t="shared" si="15"/>
        <v>End Period</v>
      </c>
      <c r="I51" s="31" t="s">
        <v>907</v>
      </c>
      <c r="J51" s="960">
        <v>0</v>
      </c>
      <c r="K51" s="960">
        <v>123</v>
      </c>
      <c r="L51" s="960">
        <v>32</v>
      </c>
      <c r="M51" s="960">
        <v>98</v>
      </c>
      <c r="N51" s="17">
        <f t="shared" si="17"/>
        <v>63.25</v>
      </c>
      <c r="O51" s="17">
        <f t="shared" si="16"/>
        <v>63.25</v>
      </c>
      <c r="P51" s="17">
        <f t="shared" si="16"/>
        <v>63.25</v>
      </c>
      <c r="Q51" s="17">
        <f t="shared" si="16"/>
        <v>63.25</v>
      </c>
      <c r="R51" s="17">
        <f t="shared" si="16"/>
        <v>63.25</v>
      </c>
      <c r="S51" s="17">
        <f t="shared" si="16"/>
        <v>63.25</v>
      </c>
      <c r="T51" s="17">
        <f t="shared" si="16"/>
        <v>63.25</v>
      </c>
      <c r="V51" s="960">
        <v>0</v>
      </c>
      <c r="W51" s="960">
        <v>8</v>
      </c>
      <c r="X51" s="960">
        <v>8</v>
      </c>
    </row>
    <row r="52" spans="4:24" ht="12.75" x14ac:dyDescent="0.3">
      <c r="D52" s="958" t="s">
        <v>879</v>
      </c>
      <c r="E52" s="959" t="str">
        <f t="shared" si="18"/>
        <v>CA RIN 4.3.1</v>
      </c>
      <c r="F52" s="959" t="str">
        <f t="shared" si="13"/>
        <v>Number</v>
      </c>
      <c r="G52" s="959" t="str">
        <f t="shared" si="14"/>
        <v>N/A</v>
      </c>
      <c r="H52" s="959" t="str">
        <f t="shared" si="15"/>
        <v>End Period</v>
      </c>
      <c r="I52" s="31" t="s">
        <v>906</v>
      </c>
      <c r="J52" s="960">
        <v>0</v>
      </c>
      <c r="K52" s="960">
        <v>0</v>
      </c>
      <c r="L52" s="960">
        <v>0</v>
      </c>
      <c r="M52" s="960">
        <v>0</v>
      </c>
      <c r="N52" s="17">
        <f t="shared" si="17"/>
        <v>0</v>
      </c>
      <c r="O52" s="17">
        <f t="shared" si="16"/>
        <v>0</v>
      </c>
      <c r="P52" s="17">
        <f t="shared" si="16"/>
        <v>0</v>
      </c>
      <c r="Q52" s="17">
        <f t="shared" si="16"/>
        <v>0</v>
      </c>
      <c r="R52" s="17">
        <f t="shared" si="16"/>
        <v>0</v>
      </c>
      <c r="S52" s="17">
        <f t="shared" si="16"/>
        <v>0</v>
      </c>
      <c r="T52" s="17">
        <f t="shared" si="16"/>
        <v>0</v>
      </c>
      <c r="V52" s="960">
        <v>6</v>
      </c>
      <c r="W52" s="960">
        <v>9</v>
      </c>
      <c r="X52" s="960">
        <v>9</v>
      </c>
    </row>
    <row r="53" spans="4:24" ht="12.75" x14ac:dyDescent="0.3">
      <c r="D53" s="958" t="s">
        <v>880</v>
      </c>
      <c r="E53" s="959" t="str">
        <f t="shared" si="18"/>
        <v>CA RIN 4.3.1</v>
      </c>
      <c r="F53" s="959" t="str">
        <f t="shared" si="13"/>
        <v>Number</v>
      </c>
      <c r="G53" s="959" t="str">
        <f t="shared" si="14"/>
        <v>N/A</v>
      </c>
      <c r="H53" s="959" t="str">
        <f t="shared" si="15"/>
        <v>End Period</v>
      </c>
      <c r="I53" s="31" t="s">
        <v>906</v>
      </c>
      <c r="J53" s="960">
        <v>57</v>
      </c>
      <c r="K53" s="960">
        <v>53</v>
      </c>
      <c r="L53" s="960">
        <v>72</v>
      </c>
      <c r="M53" s="960">
        <v>65</v>
      </c>
      <c r="N53" s="17">
        <f t="shared" si="17"/>
        <v>61.75</v>
      </c>
      <c r="O53" s="17">
        <f t="shared" si="16"/>
        <v>61.75</v>
      </c>
      <c r="P53" s="17">
        <f t="shared" si="16"/>
        <v>61.75</v>
      </c>
      <c r="Q53" s="17">
        <f t="shared" si="16"/>
        <v>61.75</v>
      </c>
      <c r="R53" s="17">
        <f t="shared" si="16"/>
        <v>61.75</v>
      </c>
      <c r="S53" s="17">
        <f t="shared" si="16"/>
        <v>61.75</v>
      </c>
      <c r="T53" s="17">
        <f t="shared" si="16"/>
        <v>61.75</v>
      </c>
      <c r="V53" s="960">
        <v>7</v>
      </c>
      <c r="W53" s="960">
        <v>10</v>
      </c>
      <c r="X53" s="960">
        <v>10</v>
      </c>
    </row>
    <row r="54" spans="4:24" ht="12.75" x14ac:dyDescent="0.3">
      <c r="D54" s="958" t="s">
        <v>881</v>
      </c>
      <c r="E54" s="959" t="str">
        <f t="shared" si="18"/>
        <v>CA RIN 4.3.1</v>
      </c>
      <c r="F54" s="959" t="str">
        <f t="shared" si="13"/>
        <v>Number</v>
      </c>
      <c r="G54" s="959" t="str">
        <f t="shared" si="14"/>
        <v>N/A</v>
      </c>
      <c r="H54" s="959" t="str">
        <f t="shared" si="15"/>
        <v>End Period</v>
      </c>
      <c r="I54" s="31" t="s">
        <v>906</v>
      </c>
      <c r="J54" s="960">
        <v>31</v>
      </c>
      <c r="K54" s="960">
        <v>47</v>
      </c>
      <c r="L54" s="960">
        <v>33</v>
      </c>
      <c r="M54" s="960">
        <v>32</v>
      </c>
      <c r="N54" s="17">
        <f t="shared" si="17"/>
        <v>35.75</v>
      </c>
      <c r="O54" s="17">
        <f t="shared" si="16"/>
        <v>35.75</v>
      </c>
      <c r="P54" s="17">
        <f t="shared" si="16"/>
        <v>35.75</v>
      </c>
      <c r="Q54" s="17">
        <f t="shared" si="16"/>
        <v>35.75</v>
      </c>
      <c r="R54" s="17">
        <f t="shared" si="16"/>
        <v>35.75</v>
      </c>
      <c r="S54" s="17">
        <f t="shared" si="16"/>
        <v>35.75</v>
      </c>
      <c r="T54" s="17">
        <f t="shared" si="16"/>
        <v>35.75</v>
      </c>
      <c r="V54" s="972">
        <v>8</v>
      </c>
      <c r="W54" s="960">
        <v>11</v>
      </c>
      <c r="X54" s="960">
        <v>11</v>
      </c>
    </row>
    <row r="55" spans="4:24" ht="12.75" x14ac:dyDescent="0.3">
      <c r="D55" s="958" t="s">
        <v>882</v>
      </c>
      <c r="E55" s="959" t="str">
        <f t="shared" si="18"/>
        <v>CA RIN 4.3.1</v>
      </c>
      <c r="F55" s="959" t="str">
        <f t="shared" si="13"/>
        <v>Number</v>
      </c>
      <c r="G55" s="959" t="str">
        <f t="shared" si="14"/>
        <v>N/A</v>
      </c>
      <c r="H55" s="959" t="str">
        <f t="shared" si="15"/>
        <v>End Period</v>
      </c>
      <c r="I55" s="31" t="s">
        <v>906</v>
      </c>
      <c r="J55" s="960">
        <v>0</v>
      </c>
      <c r="K55" s="960">
        <v>3598</v>
      </c>
      <c r="L55" s="960">
        <v>1601</v>
      </c>
      <c r="M55" s="960">
        <v>1461</v>
      </c>
      <c r="N55" s="17">
        <f t="shared" si="17"/>
        <v>1665</v>
      </c>
      <c r="O55" s="17">
        <f t="shared" si="16"/>
        <v>1665</v>
      </c>
      <c r="P55" s="17">
        <f t="shared" si="16"/>
        <v>1665</v>
      </c>
      <c r="Q55" s="17">
        <f t="shared" si="16"/>
        <v>1665</v>
      </c>
      <c r="R55" s="17">
        <f t="shared" si="16"/>
        <v>1665</v>
      </c>
      <c r="S55" s="17">
        <f t="shared" si="16"/>
        <v>1665</v>
      </c>
      <c r="T55" s="17">
        <f t="shared" si="16"/>
        <v>1665</v>
      </c>
      <c r="V55" s="960">
        <v>9</v>
      </c>
      <c r="W55" s="960">
        <v>12</v>
      </c>
      <c r="X55" s="960">
        <v>12</v>
      </c>
    </row>
    <row r="56" spans="4:24" ht="12.75" x14ac:dyDescent="0.3">
      <c r="D56" s="958" t="s">
        <v>883</v>
      </c>
      <c r="E56" s="959" t="str">
        <f t="shared" si="18"/>
        <v>CA RIN 4.3.1</v>
      </c>
      <c r="F56" s="959" t="str">
        <f t="shared" si="13"/>
        <v>Number</v>
      </c>
      <c r="G56" s="959" t="str">
        <f t="shared" si="14"/>
        <v>N/A</v>
      </c>
      <c r="H56" s="959" t="str">
        <f t="shared" si="15"/>
        <v>End Period</v>
      </c>
      <c r="I56" s="31" t="s">
        <v>906</v>
      </c>
      <c r="J56" s="960">
        <v>0</v>
      </c>
      <c r="K56" s="960">
        <v>60</v>
      </c>
      <c r="L56" s="960">
        <v>48</v>
      </c>
      <c r="M56" s="960">
        <v>57</v>
      </c>
      <c r="N56" s="17">
        <f t="shared" si="17"/>
        <v>41.25</v>
      </c>
      <c r="O56" s="17">
        <f t="shared" si="16"/>
        <v>41.25</v>
      </c>
      <c r="P56" s="17">
        <f t="shared" si="16"/>
        <v>41.25</v>
      </c>
      <c r="Q56" s="17">
        <f t="shared" si="16"/>
        <v>41.25</v>
      </c>
      <c r="R56" s="17">
        <f t="shared" si="16"/>
        <v>41.25</v>
      </c>
      <c r="S56" s="17">
        <f t="shared" si="16"/>
        <v>41.25</v>
      </c>
      <c r="T56" s="17">
        <f t="shared" si="16"/>
        <v>41.25</v>
      </c>
      <c r="V56" s="960">
        <v>10</v>
      </c>
      <c r="W56" s="960">
        <v>13</v>
      </c>
      <c r="X56" s="960">
        <v>13</v>
      </c>
    </row>
    <row r="57" spans="4:24" ht="12.75" x14ac:dyDescent="0.3">
      <c r="D57" s="958" t="s">
        <v>884</v>
      </c>
      <c r="E57" s="959" t="str">
        <f t="shared" si="18"/>
        <v>CA RIN 4.3.1</v>
      </c>
      <c r="F57" s="959" t="str">
        <f t="shared" si="13"/>
        <v>Number</v>
      </c>
      <c r="G57" s="959" t="str">
        <f t="shared" si="14"/>
        <v>N/A</v>
      </c>
      <c r="H57" s="959" t="str">
        <f t="shared" si="15"/>
        <v>End Period</v>
      </c>
      <c r="I57" s="31" t="s">
        <v>906</v>
      </c>
      <c r="J57" s="960">
        <v>0</v>
      </c>
      <c r="K57" s="960">
        <v>5</v>
      </c>
      <c r="L57" s="960">
        <v>10</v>
      </c>
      <c r="M57" s="960">
        <v>10</v>
      </c>
      <c r="N57" s="17">
        <f t="shared" si="17"/>
        <v>6.25</v>
      </c>
      <c r="O57" s="17">
        <f t="shared" si="16"/>
        <v>6.25</v>
      </c>
      <c r="P57" s="17">
        <f t="shared" si="16"/>
        <v>6.25</v>
      </c>
      <c r="Q57" s="17">
        <f t="shared" si="16"/>
        <v>6.25</v>
      </c>
      <c r="R57" s="17">
        <f t="shared" si="16"/>
        <v>6.25</v>
      </c>
      <c r="S57" s="17">
        <f t="shared" si="16"/>
        <v>6.25</v>
      </c>
      <c r="T57" s="17">
        <f t="shared" si="16"/>
        <v>6.25</v>
      </c>
      <c r="V57" s="972">
        <v>11</v>
      </c>
      <c r="W57" s="972">
        <v>14</v>
      </c>
      <c r="X57" s="960">
        <v>14</v>
      </c>
    </row>
    <row r="58" spans="4:24" ht="12.75" x14ac:dyDescent="0.3">
      <c r="D58" s="958" t="s">
        <v>885</v>
      </c>
      <c r="E58" s="959" t="str">
        <f t="shared" si="18"/>
        <v>CA RIN 4.3.1</v>
      </c>
      <c r="F58" s="959" t="str">
        <f t="shared" si="13"/>
        <v>Number</v>
      </c>
      <c r="G58" s="959" t="str">
        <f t="shared" si="14"/>
        <v>N/A</v>
      </c>
      <c r="H58" s="959" t="str">
        <f t="shared" si="15"/>
        <v>End Period</v>
      </c>
      <c r="I58" s="31" t="s">
        <v>908</v>
      </c>
      <c r="J58" s="960">
        <v>47</v>
      </c>
      <c r="K58" s="960">
        <v>8</v>
      </c>
      <c r="L58" s="960">
        <v>18</v>
      </c>
      <c r="M58" s="960">
        <v>19</v>
      </c>
      <c r="N58" s="17">
        <f t="shared" si="17"/>
        <v>23</v>
      </c>
      <c r="O58" s="17">
        <f t="shared" si="16"/>
        <v>23</v>
      </c>
      <c r="P58" s="17">
        <f t="shared" si="16"/>
        <v>23</v>
      </c>
      <c r="Q58" s="17">
        <f t="shared" si="16"/>
        <v>23</v>
      </c>
      <c r="R58" s="17">
        <f t="shared" si="16"/>
        <v>23</v>
      </c>
      <c r="S58" s="17">
        <f t="shared" si="16"/>
        <v>23</v>
      </c>
      <c r="T58" s="17">
        <f t="shared" si="16"/>
        <v>23</v>
      </c>
      <c r="V58" s="960">
        <v>12</v>
      </c>
      <c r="W58" s="960">
        <v>15</v>
      </c>
      <c r="X58" s="960">
        <v>15</v>
      </c>
    </row>
    <row r="59" spans="4:24" ht="12.75" x14ac:dyDescent="0.3">
      <c r="D59" s="958" t="s">
        <v>886</v>
      </c>
      <c r="E59" s="959" t="str">
        <f t="shared" si="18"/>
        <v>CA RIN 4.3.1</v>
      </c>
      <c r="F59" s="959" t="str">
        <f t="shared" si="13"/>
        <v>Number</v>
      </c>
      <c r="G59" s="959" t="str">
        <f t="shared" si="14"/>
        <v>N/A</v>
      </c>
      <c r="H59" s="959" t="str">
        <f t="shared" si="15"/>
        <v>End Period</v>
      </c>
      <c r="I59" s="31" t="s">
        <v>908</v>
      </c>
      <c r="J59" s="960">
        <v>537</v>
      </c>
      <c r="K59" s="960">
        <v>652</v>
      </c>
      <c r="L59" s="960">
        <v>305</v>
      </c>
      <c r="M59" s="960">
        <v>276</v>
      </c>
      <c r="N59" s="17">
        <f t="shared" si="17"/>
        <v>442.5</v>
      </c>
      <c r="O59" s="17">
        <f t="shared" si="16"/>
        <v>442.5</v>
      </c>
      <c r="P59" s="17">
        <f t="shared" si="16"/>
        <v>442.5</v>
      </c>
      <c r="Q59" s="17">
        <f t="shared" si="16"/>
        <v>442.5</v>
      </c>
      <c r="R59" s="17">
        <f t="shared" si="16"/>
        <v>442.5</v>
      </c>
      <c r="S59" s="17">
        <f t="shared" si="16"/>
        <v>442.5</v>
      </c>
      <c r="T59" s="17">
        <f t="shared" si="16"/>
        <v>442.5</v>
      </c>
      <c r="V59" s="960">
        <v>13</v>
      </c>
      <c r="W59" s="960">
        <v>16</v>
      </c>
      <c r="X59" s="960">
        <v>16</v>
      </c>
    </row>
    <row r="60" spans="4:24" ht="12.75" x14ac:dyDescent="0.3">
      <c r="D60" s="958" t="s">
        <v>887</v>
      </c>
      <c r="E60" s="959" t="str">
        <f t="shared" si="18"/>
        <v>CA RIN 4.3.1</v>
      </c>
      <c r="F60" s="959" t="str">
        <f t="shared" si="13"/>
        <v>Number</v>
      </c>
      <c r="G60" s="959" t="str">
        <f t="shared" si="14"/>
        <v>N/A</v>
      </c>
      <c r="H60" s="959" t="str">
        <f t="shared" si="15"/>
        <v>End Period</v>
      </c>
      <c r="I60" s="31" t="s">
        <v>908</v>
      </c>
      <c r="J60" s="960">
        <v>1690</v>
      </c>
      <c r="K60" s="960">
        <v>2230</v>
      </c>
      <c r="L60" s="960">
        <v>971</v>
      </c>
      <c r="M60" s="960">
        <v>906</v>
      </c>
      <c r="N60" s="17">
        <f t="shared" si="17"/>
        <v>1449.25</v>
      </c>
      <c r="O60" s="17">
        <f t="shared" si="16"/>
        <v>1449.25</v>
      </c>
      <c r="P60" s="17">
        <f t="shared" si="16"/>
        <v>1449.25</v>
      </c>
      <c r="Q60" s="17">
        <f t="shared" si="16"/>
        <v>1449.25</v>
      </c>
      <c r="R60" s="17">
        <f t="shared" si="16"/>
        <v>1449.25</v>
      </c>
      <c r="S60" s="17">
        <f t="shared" si="16"/>
        <v>1449.25</v>
      </c>
      <c r="T60" s="17">
        <f t="shared" si="16"/>
        <v>1449.25</v>
      </c>
      <c r="V60" s="960">
        <v>14</v>
      </c>
      <c r="W60" s="960">
        <v>17</v>
      </c>
      <c r="X60" s="960">
        <v>17</v>
      </c>
    </row>
    <row r="61" spans="4:24" ht="12.75" x14ac:dyDescent="0.3">
      <c r="D61" s="958" t="s">
        <v>888</v>
      </c>
      <c r="E61" s="959" t="str">
        <f t="shared" si="18"/>
        <v>CA RIN 4.3.1</v>
      </c>
      <c r="F61" s="959" t="str">
        <f t="shared" si="13"/>
        <v>Number</v>
      </c>
      <c r="G61" s="959" t="str">
        <f t="shared" si="14"/>
        <v>N/A</v>
      </c>
      <c r="H61" s="959" t="str">
        <f t="shared" si="15"/>
        <v>End Period</v>
      </c>
      <c r="I61" s="31" t="s">
        <v>908</v>
      </c>
      <c r="J61" s="960">
        <v>0</v>
      </c>
      <c r="K61" s="960">
        <v>0</v>
      </c>
      <c r="L61" s="960">
        <v>0</v>
      </c>
      <c r="M61" s="960">
        <v>1</v>
      </c>
      <c r="N61" s="17">
        <f t="shared" si="17"/>
        <v>0.25</v>
      </c>
      <c r="O61" s="17">
        <f t="shared" si="16"/>
        <v>0.25</v>
      </c>
      <c r="P61" s="17">
        <f t="shared" si="16"/>
        <v>0.25</v>
      </c>
      <c r="Q61" s="17">
        <f t="shared" si="16"/>
        <v>0.25</v>
      </c>
      <c r="R61" s="17">
        <f t="shared" si="16"/>
        <v>0.25</v>
      </c>
      <c r="S61" s="17">
        <f t="shared" si="16"/>
        <v>0.25</v>
      </c>
      <c r="T61" s="17">
        <f t="shared" si="16"/>
        <v>0.25</v>
      </c>
      <c r="V61" s="960">
        <v>0</v>
      </c>
      <c r="W61" s="960">
        <v>0</v>
      </c>
      <c r="X61" s="960">
        <v>0</v>
      </c>
    </row>
    <row r="62" spans="4:24" ht="12.75" x14ac:dyDescent="0.3">
      <c r="D62" s="958" t="s">
        <v>889</v>
      </c>
      <c r="E62" s="959" t="str">
        <f t="shared" si="18"/>
        <v>CA RIN 4.3.1</v>
      </c>
      <c r="F62" s="959" t="str">
        <f t="shared" si="13"/>
        <v>Number</v>
      </c>
      <c r="G62" s="959" t="str">
        <f t="shared" si="14"/>
        <v>N/A</v>
      </c>
      <c r="H62" s="959" t="str">
        <f t="shared" si="15"/>
        <v>End Period</v>
      </c>
      <c r="I62" s="31" t="s">
        <v>908</v>
      </c>
      <c r="J62" s="960">
        <v>1</v>
      </c>
      <c r="K62" s="960">
        <v>0</v>
      </c>
      <c r="L62" s="960">
        <v>0</v>
      </c>
      <c r="M62" s="960">
        <v>0</v>
      </c>
      <c r="N62" s="17">
        <f t="shared" si="17"/>
        <v>0.25</v>
      </c>
      <c r="O62" s="17">
        <f t="shared" si="16"/>
        <v>0.25</v>
      </c>
      <c r="P62" s="17">
        <f t="shared" si="16"/>
        <v>0.25</v>
      </c>
      <c r="Q62" s="17">
        <f t="shared" si="16"/>
        <v>0.25</v>
      </c>
      <c r="R62" s="17">
        <f t="shared" si="16"/>
        <v>0.25</v>
      </c>
      <c r="S62" s="17">
        <f t="shared" si="16"/>
        <v>0.25</v>
      </c>
      <c r="T62" s="17">
        <f t="shared" si="16"/>
        <v>0.25</v>
      </c>
      <c r="V62" s="960">
        <v>15</v>
      </c>
      <c r="W62" s="960">
        <v>18</v>
      </c>
      <c r="X62" s="960">
        <v>18</v>
      </c>
    </row>
    <row r="63" spans="4:24" ht="12.75" x14ac:dyDescent="0.3">
      <c r="D63" s="958" t="s">
        <v>890</v>
      </c>
      <c r="E63" s="959" t="str">
        <f t="shared" ref="E63:E76" si="19">E62</f>
        <v>CA RIN 4.3.1</v>
      </c>
      <c r="F63" s="959" t="str">
        <f t="shared" si="13"/>
        <v>Number</v>
      </c>
      <c r="G63" s="959" t="str">
        <f t="shared" si="14"/>
        <v>N/A</v>
      </c>
      <c r="H63" s="959" t="str">
        <f t="shared" si="15"/>
        <v>End Period</v>
      </c>
      <c r="I63" s="31" t="s">
        <v>908</v>
      </c>
      <c r="J63" s="960">
        <v>90</v>
      </c>
      <c r="K63" s="960">
        <v>12</v>
      </c>
      <c r="L63" s="960">
        <v>17</v>
      </c>
      <c r="M63" s="960">
        <v>19</v>
      </c>
      <c r="N63" s="17">
        <f t="shared" si="17"/>
        <v>34.5</v>
      </c>
      <c r="O63" s="17">
        <f t="shared" si="16"/>
        <v>34.5</v>
      </c>
      <c r="P63" s="17">
        <f t="shared" si="16"/>
        <v>34.5</v>
      </c>
      <c r="Q63" s="17">
        <f t="shared" si="16"/>
        <v>34.5</v>
      </c>
      <c r="R63" s="17">
        <f t="shared" si="16"/>
        <v>34.5</v>
      </c>
      <c r="S63" s="17">
        <f t="shared" si="16"/>
        <v>34.5</v>
      </c>
      <c r="T63" s="17">
        <f t="shared" si="16"/>
        <v>34.5</v>
      </c>
      <c r="V63" s="960">
        <v>16</v>
      </c>
      <c r="W63" s="960">
        <v>19</v>
      </c>
      <c r="X63" s="960">
        <v>19</v>
      </c>
    </row>
    <row r="64" spans="4:24" ht="12.75" x14ac:dyDescent="0.3">
      <c r="D64" s="958" t="s">
        <v>891</v>
      </c>
      <c r="E64" s="959" t="str">
        <f t="shared" si="19"/>
        <v>CA RIN 4.3.1</v>
      </c>
      <c r="F64" s="959" t="str">
        <f t="shared" si="13"/>
        <v>Number</v>
      </c>
      <c r="G64" s="959" t="str">
        <f t="shared" si="14"/>
        <v>N/A</v>
      </c>
      <c r="H64" s="959" t="str">
        <f t="shared" si="15"/>
        <v>End Period</v>
      </c>
      <c r="I64" s="31" t="s">
        <v>908</v>
      </c>
      <c r="J64" s="960">
        <v>13</v>
      </c>
      <c r="K64" s="960">
        <v>8</v>
      </c>
      <c r="L64" s="960">
        <v>3</v>
      </c>
      <c r="M64" s="960">
        <v>5</v>
      </c>
      <c r="N64" s="17">
        <f t="shared" si="17"/>
        <v>7.25</v>
      </c>
      <c r="O64" s="17">
        <f t="shared" si="16"/>
        <v>7.25</v>
      </c>
      <c r="P64" s="17">
        <f t="shared" si="16"/>
        <v>7.25</v>
      </c>
      <c r="Q64" s="17">
        <f t="shared" si="16"/>
        <v>7.25</v>
      </c>
      <c r="R64" s="17">
        <f t="shared" si="16"/>
        <v>7.25</v>
      </c>
      <c r="S64" s="17">
        <f t="shared" si="16"/>
        <v>7.25</v>
      </c>
      <c r="T64" s="17">
        <f t="shared" si="16"/>
        <v>7.25</v>
      </c>
      <c r="V64" s="960">
        <v>17</v>
      </c>
      <c r="W64" s="960">
        <v>20</v>
      </c>
      <c r="X64" s="960">
        <v>20</v>
      </c>
    </row>
    <row r="65" spans="1:24" ht="12.75" x14ac:dyDescent="0.3">
      <c r="D65" s="958" t="s">
        <v>892</v>
      </c>
      <c r="E65" s="959" t="str">
        <f t="shared" si="19"/>
        <v>CA RIN 4.3.1</v>
      </c>
      <c r="F65" s="959" t="str">
        <f t="shared" si="13"/>
        <v>Number</v>
      </c>
      <c r="G65" s="959" t="str">
        <f t="shared" si="14"/>
        <v>N/A</v>
      </c>
      <c r="H65" s="959" t="str">
        <f t="shared" si="15"/>
        <v>End Period</v>
      </c>
      <c r="I65" s="31" t="s">
        <v>908</v>
      </c>
      <c r="J65" s="960">
        <v>767</v>
      </c>
      <c r="K65" s="960">
        <v>467</v>
      </c>
      <c r="L65" s="960">
        <v>117</v>
      </c>
      <c r="M65" s="960">
        <v>85</v>
      </c>
      <c r="N65" s="17">
        <f t="shared" si="17"/>
        <v>359</v>
      </c>
      <c r="O65" s="17">
        <f t="shared" si="16"/>
        <v>359</v>
      </c>
      <c r="P65" s="17">
        <f t="shared" si="16"/>
        <v>359</v>
      </c>
      <c r="Q65" s="17">
        <f t="shared" si="16"/>
        <v>359</v>
      </c>
      <c r="R65" s="17">
        <f t="shared" si="16"/>
        <v>359</v>
      </c>
      <c r="S65" s="17">
        <f t="shared" si="16"/>
        <v>359</v>
      </c>
      <c r="T65" s="17">
        <f t="shared" si="16"/>
        <v>359</v>
      </c>
      <c r="V65" s="960">
        <v>18</v>
      </c>
      <c r="W65" s="960">
        <v>21</v>
      </c>
      <c r="X65" s="960">
        <v>21</v>
      </c>
    </row>
    <row r="66" spans="1:24" ht="12.75" x14ac:dyDescent="0.3">
      <c r="D66" s="958" t="s">
        <v>893</v>
      </c>
      <c r="E66" s="959" t="str">
        <f t="shared" si="19"/>
        <v>CA RIN 4.3.1</v>
      </c>
      <c r="F66" s="959" t="str">
        <f t="shared" si="13"/>
        <v>Number</v>
      </c>
      <c r="G66" s="959" t="str">
        <f t="shared" si="14"/>
        <v>N/A</v>
      </c>
      <c r="H66" s="959" t="str">
        <f t="shared" si="15"/>
        <v>End Period</v>
      </c>
      <c r="I66" s="31" t="s">
        <v>908</v>
      </c>
      <c r="J66" s="960">
        <v>0</v>
      </c>
      <c r="K66" s="960">
        <v>42</v>
      </c>
      <c r="L66" s="960">
        <v>13</v>
      </c>
      <c r="M66" s="960">
        <v>14</v>
      </c>
      <c r="N66" s="17">
        <f t="shared" si="17"/>
        <v>17.25</v>
      </c>
      <c r="O66" s="17">
        <f t="shared" si="16"/>
        <v>17.25</v>
      </c>
      <c r="P66" s="17">
        <f t="shared" si="16"/>
        <v>17.25</v>
      </c>
      <c r="Q66" s="17">
        <f t="shared" si="16"/>
        <v>17.25</v>
      </c>
      <c r="R66" s="17">
        <f t="shared" si="16"/>
        <v>17.25</v>
      </c>
      <c r="S66" s="17">
        <f t="shared" si="16"/>
        <v>17.25</v>
      </c>
      <c r="T66" s="17">
        <f t="shared" si="16"/>
        <v>17.25</v>
      </c>
      <c r="V66" s="960">
        <v>19</v>
      </c>
      <c r="W66" s="960">
        <v>22</v>
      </c>
      <c r="X66" s="960">
        <v>22</v>
      </c>
    </row>
    <row r="67" spans="1:24" ht="12.75" x14ac:dyDescent="0.3">
      <c r="D67" s="958" t="s">
        <v>894</v>
      </c>
      <c r="E67" s="959" t="str">
        <f t="shared" si="19"/>
        <v>CA RIN 4.3.1</v>
      </c>
      <c r="F67" s="959" t="str">
        <f t="shared" si="13"/>
        <v>Number</v>
      </c>
      <c r="G67" s="959" t="str">
        <f t="shared" si="14"/>
        <v>N/A</v>
      </c>
      <c r="H67" s="959" t="str">
        <f t="shared" si="15"/>
        <v>End Period</v>
      </c>
      <c r="I67" s="31" t="s">
        <v>908</v>
      </c>
      <c r="J67" s="960">
        <v>702</v>
      </c>
      <c r="K67" s="960">
        <v>1008</v>
      </c>
      <c r="L67" s="960">
        <v>491</v>
      </c>
      <c r="M67" s="960">
        <v>505</v>
      </c>
      <c r="N67" s="17">
        <f t="shared" si="17"/>
        <v>676.5</v>
      </c>
      <c r="O67" s="17">
        <f t="shared" si="16"/>
        <v>676.5</v>
      </c>
      <c r="P67" s="17">
        <f t="shared" si="16"/>
        <v>676.5</v>
      </c>
      <c r="Q67" s="17">
        <f t="shared" si="16"/>
        <v>676.5</v>
      </c>
      <c r="R67" s="17">
        <f t="shared" si="16"/>
        <v>676.5</v>
      </c>
      <c r="S67" s="17">
        <f t="shared" si="16"/>
        <v>676.5</v>
      </c>
      <c r="T67" s="17">
        <f t="shared" si="16"/>
        <v>676.5</v>
      </c>
      <c r="V67" s="960">
        <v>20</v>
      </c>
      <c r="W67" s="960">
        <v>23</v>
      </c>
      <c r="X67" s="960">
        <v>23</v>
      </c>
    </row>
    <row r="68" spans="1:24" ht="12.75" x14ac:dyDescent="0.3">
      <c r="D68" s="958" t="s">
        <v>895</v>
      </c>
      <c r="E68" s="959" t="str">
        <f t="shared" si="19"/>
        <v>CA RIN 4.3.1</v>
      </c>
      <c r="F68" s="959" t="str">
        <f t="shared" si="13"/>
        <v>Number</v>
      </c>
      <c r="G68" s="959" t="str">
        <f t="shared" si="14"/>
        <v>N/A</v>
      </c>
      <c r="H68" s="959" t="str">
        <f t="shared" si="15"/>
        <v>End Period</v>
      </c>
      <c r="I68" s="31" t="s">
        <v>909</v>
      </c>
      <c r="J68" s="960">
        <v>0</v>
      </c>
      <c r="K68" s="960">
        <v>454</v>
      </c>
      <c r="L68" s="960">
        <v>99798</v>
      </c>
      <c r="M68" s="960">
        <v>117664</v>
      </c>
      <c r="N68" s="17">
        <f t="shared" si="17"/>
        <v>54479</v>
      </c>
      <c r="O68" s="17">
        <f t="shared" si="16"/>
        <v>54479</v>
      </c>
      <c r="P68" s="17">
        <f t="shared" si="16"/>
        <v>54479</v>
      </c>
      <c r="Q68" s="17">
        <f t="shared" si="16"/>
        <v>54479</v>
      </c>
      <c r="R68" s="17">
        <f t="shared" si="16"/>
        <v>54479</v>
      </c>
      <c r="S68" s="17">
        <f t="shared" si="16"/>
        <v>54479</v>
      </c>
      <c r="T68" s="17">
        <f t="shared" si="16"/>
        <v>54479</v>
      </c>
      <c r="V68" s="960">
        <v>21</v>
      </c>
      <c r="W68" s="960">
        <v>24</v>
      </c>
      <c r="X68" s="960">
        <v>24</v>
      </c>
    </row>
    <row r="69" spans="1:24" ht="12.75" x14ac:dyDescent="0.3">
      <c r="D69" s="958" t="s">
        <v>896</v>
      </c>
      <c r="E69" s="959" t="str">
        <f t="shared" si="19"/>
        <v>CA RIN 4.3.1</v>
      </c>
      <c r="F69" s="959" t="str">
        <f t="shared" si="13"/>
        <v>Number</v>
      </c>
      <c r="G69" s="959" t="str">
        <f t="shared" si="14"/>
        <v>N/A</v>
      </c>
      <c r="H69" s="959" t="str">
        <f t="shared" si="15"/>
        <v>End Period</v>
      </c>
      <c r="I69" s="31" t="s">
        <v>909</v>
      </c>
      <c r="J69" s="960">
        <v>0</v>
      </c>
      <c r="K69" s="960">
        <v>1</v>
      </c>
      <c r="L69" s="960">
        <v>0</v>
      </c>
      <c r="M69" s="960">
        <v>0</v>
      </c>
      <c r="N69" s="17">
        <f t="shared" si="17"/>
        <v>0.25</v>
      </c>
      <c r="O69" s="17">
        <f t="shared" si="16"/>
        <v>0.25</v>
      </c>
      <c r="P69" s="17">
        <f t="shared" si="16"/>
        <v>0.25</v>
      </c>
      <c r="Q69" s="17">
        <f t="shared" si="16"/>
        <v>0.25</v>
      </c>
      <c r="R69" s="17">
        <f t="shared" ref="O69:T76" si="20">AVERAGE($J69:$M69)</f>
        <v>0.25</v>
      </c>
      <c r="S69" s="17">
        <f t="shared" si="20"/>
        <v>0.25</v>
      </c>
      <c r="T69" s="17">
        <f t="shared" si="20"/>
        <v>0.25</v>
      </c>
      <c r="V69" s="960">
        <v>22</v>
      </c>
      <c r="W69" s="960">
        <v>25</v>
      </c>
      <c r="X69" s="960">
        <v>25</v>
      </c>
    </row>
    <row r="70" spans="1:24" ht="12.75" x14ac:dyDescent="0.3">
      <c r="D70" s="958" t="s">
        <v>897</v>
      </c>
      <c r="E70" s="959" t="str">
        <f t="shared" si="19"/>
        <v>CA RIN 4.3.1</v>
      </c>
      <c r="F70" s="959" t="str">
        <f t="shared" si="13"/>
        <v>Number</v>
      </c>
      <c r="G70" s="959" t="str">
        <f t="shared" si="14"/>
        <v>N/A</v>
      </c>
      <c r="H70" s="959" t="str">
        <f t="shared" si="15"/>
        <v>End Period</v>
      </c>
      <c r="I70" s="31" t="s">
        <v>909</v>
      </c>
      <c r="J70" s="960">
        <v>11</v>
      </c>
      <c r="K70" s="960">
        <v>263</v>
      </c>
      <c r="L70" s="960">
        <v>620</v>
      </c>
      <c r="M70" s="960">
        <v>462</v>
      </c>
      <c r="N70" s="17">
        <f t="shared" si="17"/>
        <v>339</v>
      </c>
      <c r="O70" s="17">
        <f t="shared" si="20"/>
        <v>339</v>
      </c>
      <c r="P70" s="17">
        <f t="shared" si="20"/>
        <v>339</v>
      </c>
      <c r="Q70" s="17">
        <f t="shared" si="20"/>
        <v>339</v>
      </c>
      <c r="R70" s="17">
        <f t="shared" si="20"/>
        <v>339</v>
      </c>
      <c r="S70" s="17">
        <f t="shared" si="20"/>
        <v>339</v>
      </c>
      <c r="T70" s="17">
        <f t="shared" si="20"/>
        <v>339</v>
      </c>
      <c r="V70" s="960">
        <v>23</v>
      </c>
      <c r="W70" s="960">
        <v>26</v>
      </c>
      <c r="X70" s="960">
        <v>26</v>
      </c>
    </row>
    <row r="71" spans="1:24" ht="12.75" x14ac:dyDescent="0.3">
      <c r="D71" s="958" t="s">
        <v>898</v>
      </c>
      <c r="E71" s="959" t="str">
        <f t="shared" si="19"/>
        <v>CA RIN 4.3.1</v>
      </c>
      <c r="F71" s="959" t="str">
        <f t="shared" si="13"/>
        <v>Number</v>
      </c>
      <c r="G71" s="959" t="str">
        <f t="shared" si="14"/>
        <v>N/A</v>
      </c>
      <c r="H71" s="959" t="str">
        <f t="shared" si="15"/>
        <v>End Period</v>
      </c>
      <c r="I71" s="31" t="s">
        <v>909</v>
      </c>
      <c r="J71" s="960">
        <v>66</v>
      </c>
      <c r="K71" s="960">
        <v>67</v>
      </c>
      <c r="L71" s="960">
        <v>98</v>
      </c>
      <c r="M71" s="960">
        <v>63</v>
      </c>
      <c r="N71" s="17">
        <f t="shared" si="17"/>
        <v>73.5</v>
      </c>
      <c r="O71" s="17">
        <f t="shared" si="20"/>
        <v>73.5</v>
      </c>
      <c r="P71" s="17">
        <f t="shared" si="20"/>
        <v>73.5</v>
      </c>
      <c r="Q71" s="17">
        <f t="shared" si="20"/>
        <v>73.5</v>
      </c>
      <c r="R71" s="17">
        <f t="shared" si="20"/>
        <v>73.5</v>
      </c>
      <c r="S71" s="17">
        <f t="shared" si="20"/>
        <v>73.5</v>
      </c>
      <c r="T71" s="17">
        <f t="shared" si="20"/>
        <v>73.5</v>
      </c>
      <c r="V71" s="960">
        <v>24</v>
      </c>
      <c r="W71" s="960">
        <v>27</v>
      </c>
      <c r="X71" s="960">
        <v>27</v>
      </c>
    </row>
    <row r="72" spans="1:24" ht="12.75" x14ac:dyDescent="0.3">
      <c r="D72" s="958" t="s">
        <v>899</v>
      </c>
      <c r="E72" s="959" t="str">
        <f t="shared" si="19"/>
        <v>CA RIN 4.3.1</v>
      </c>
      <c r="F72" s="959" t="str">
        <f t="shared" si="13"/>
        <v>Number</v>
      </c>
      <c r="G72" s="959" t="str">
        <f t="shared" si="14"/>
        <v>N/A</v>
      </c>
      <c r="H72" s="959" t="str">
        <f t="shared" si="15"/>
        <v>End Period</v>
      </c>
      <c r="I72" s="31" t="s">
        <v>909</v>
      </c>
      <c r="J72" s="960">
        <v>0</v>
      </c>
      <c r="K72" s="960">
        <v>27</v>
      </c>
      <c r="L72" s="960">
        <v>95</v>
      </c>
      <c r="M72" s="960">
        <v>158</v>
      </c>
      <c r="N72" s="17">
        <f t="shared" si="17"/>
        <v>70</v>
      </c>
      <c r="O72" s="17">
        <f t="shared" si="20"/>
        <v>70</v>
      </c>
      <c r="P72" s="17">
        <f t="shared" si="20"/>
        <v>70</v>
      </c>
      <c r="Q72" s="17">
        <f t="shared" si="20"/>
        <v>70</v>
      </c>
      <c r="R72" s="17">
        <f t="shared" si="20"/>
        <v>70</v>
      </c>
      <c r="S72" s="17">
        <f t="shared" si="20"/>
        <v>70</v>
      </c>
      <c r="T72" s="17">
        <f t="shared" si="20"/>
        <v>70</v>
      </c>
      <c r="V72" s="960">
        <v>25</v>
      </c>
      <c r="W72" s="960">
        <v>28</v>
      </c>
      <c r="X72" s="960">
        <v>28</v>
      </c>
    </row>
    <row r="73" spans="1:24" ht="12.75" x14ac:dyDescent="0.3">
      <c r="D73" s="958" t="s">
        <v>852</v>
      </c>
      <c r="E73" s="959" t="str">
        <f t="shared" si="19"/>
        <v>CA RIN 4.3.1</v>
      </c>
      <c r="F73" s="959" t="str">
        <f t="shared" si="13"/>
        <v>Number</v>
      </c>
      <c r="G73" s="959" t="str">
        <f t="shared" si="14"/>
        <v>N/A</v>
      </c>
      <c r="H73" s="959" t="str">
        <f t="shared" si="15"/>
        <v>End Period</v>
      </c>
      <c r="I73" s="31" t="s">
        <v>909</v>
      </c>
      <c r="J73" s="960">
        <v>0</v>
      </c>
      <c r="K73" s="960">
        <v>0</v>
      </c>
      <c r="L73" s="960">
        <v>5</v>
      </c>
      <c r="M73" s="960">
        <v>4</v>
      </c>
      <c r="N73" s="17">
        <f t="shared" si="17"/>
        <v>2.25</v>
      </c>
      <c r="O73" s="17">
        <f t="shared" si="20"/>
        <v>2.25</v>
      </c>
      <c r="P73" s="17">
        <f t="shared" si="20"/>
        <v>2.25</v>
      </c>
      <c r="Q73" s="17">
        <f t="shared" si="20"/>
        <v>2.25</v>
      </c>
      <c r="R73" s="17">
        <f t="shared" si="20"/>
        <v>2.25</v>
      </c>
      <c r="S73" s="17">
        <f t="shared" si="20"/>
        <v>2.25</v>
      </c>
      <c r="T73" s="17">
        <f t="shared" si="20"/>
        <v>2.25</v>
      </c>
      <c r="V73" s="960">
        <v>26</v>
      </c>
      <c r="W73" s="960">
        <v>29</v>
      </c>
      <c r="X73" s="960">
        <v>29</v>
      </c>
    </row>
    <row r="74" spans="1:24" ht="12.75" x14ac:dyDescent="0.3">
      <c r="D74" s="958" t="s">
        <v>900</v>
      </c>
      <c r="E74" s="959" t="str">
        <f t="shared" si="19"/>
        <v>CA RIN 4.3.1</v>
      </c>
      <c r="F74" s="959" t="str">
        <f t="shared" si="13"/>
        <v>Number</v>
      </c>
      <c r="G74" s="959" t="str">
        <f t="shared" si="14"/>
        <v>N/A</v>
      </c>
      <c r="H74" s="959" t="str">
        <f t="shared" si="15"/>
        <v>End Period</v>
      </c>
      <c r="I74" s="31" t="s">
        <v>910</v>
      </c>
      <c r="J74" s="960">
        <v>1</v>
      </c>
      <c r="K74" s="960">
        <v>4</v>
      </c>
      <c r="L74" s="960">
        <v>2</v>
      </c>
      <c r="M74" s="960">
        <v>0</v>
      </c>
      <c r="N74" s="17">
        <f t="shared" si="17"/>
        <v>1.75</v>
      </c>
      <c r="O74" s="17">
        <f t="shared" si="20"/>
        <v>1.75</v>
      </c>
      <c r="P74" s="17">
        <f t="shared" si="20"/>
        <v>1.75</v>
      </c>
      <c r="Q74" s="17">
        <f t="shared" si="20"/>
        <v>1.75</v>
      </c>
      <c r="R74" s="17">
        <f t="shared" si="20"/>
        <v>1.75</v>
      </c>
      <c r="S74" s="17">
        <f t="shared" si="20"/>
        <v>1.75</v>
      </c>
      <c r="T74" s="17">
        <f t="shared" si="20"/>
        <v>1.75</v>
      </c>
      <c r="V74" s="960">
        <v>27</v>
      </c>
      <c r="W74" s="960">
        <v>30</v>
      </c>
      <c r="X74" s="960">
        <v>30</v>
      </c>
    </row>
    <row r="75" spans="1:24" ht="12.75" x14ac:dyDescent="0.3">
      <c r="D75" s="958" t="s">
        <v>901</v>
      </c>
      <c r="E75" s="959" t="str">
        <f t="shared" si="19"/>
        <v>CA RIN 4.3.1</v>
      </c>
      <c r="F75" s="959" t="str">
        <f t="shared" si="13"/>
        <v>Number</v>
      </c>
      <c r="G75" s="959" t="str">
        <f t="shared" si="14"/>
        <v>N/A</v>
      </c>
      <c r="H75" s="959" t="str">
        <f t="shared" si="15"/>
        <v>End Period</v>
      </c>
      <c r="I75" s="31" t="s">
        <v>906</v>
      </c>
      <c r="J75" s="960">
        <v>0</v>
      </c>
      <c r="K75" s="960">
        <v>3</v>
      </c>
      <c r="L75" s="960">
        <v>6</v>
      </c>
      <c r="M75" s="960">
        <v>1</v>
      </c>
      <c r="N75" s="17">
        <f t="shared" si="17"/>
        <v>2.5</v>
      </c>
      <c r="O75" s="17">
        <f t="shared" si="20"/>
        <v>2.5</v>
      </c>
      <c r="P75" s="17">
        <f t="shared" si="20"/>
        <v>2.5</v>
      </c>
      <c r="Q75" s="17">
        <f t="shared" si="20"/>
        <v>2.5</v>
      </c>
      <c r="R75" s="17">
        <f t="shared" si="20"/>
        <v>2.5</v>
      </c>
      <c r="S75" s="17">
        <f t="shared" si="20"/>
        <v>2.5</v>
      </c>
      <c r="T75" s="17">
        <f t="shared" si="20"/>
        <v>2.5</v>
      </c>
      <c r="V75" s="960">
        <v>28</v>
      </c>
      <c r="W75" s="960">
        <v>31</v>
      </c>
      <c r="X75" s="960">
        <v>31</v>
      </c>
    </row>
    <row r="76" spans="1:24" ht="12.75" x14ac:dyDescent="0.3">
      <c r="D76" s="958" t="s">
        <v>902</v>
      </c>
      <c r="E76" s="959" t="str">
        <f t="shared" si="19"/>
        <v>CA RIN 4.3.1</v>
      </c>
      <c r="F76" s="959" t="str">
        <f t="shared" si="13"/>
        <v>Number</v>
      </c>
      <c r="G76" s="959" t="str">
        <f t="shared" si="14"/>
        <v>N/A</v>
      </c>
      <c r="H76" s="959" t="str">
        <f t="shared" si="15"/>
        <v>End Period</v>
      </c>
      <c r="I76" s="31" t="s">
        <v>232</v>
      </c>
      <c r="J76" s="960">
        <v>0</v>
      </c>
      <c r="K76" s="960">
        <v>0</v>
      </c>
      <c r="L76" s="960">
        <v>0</v>
      </c>
      <c r="M76" s="960">
        <v>0</v>
      </c>
      <c r="N76" s="17">
        <f t="shared" si="17"/>
        <v>0</v>
      </c>
      <c r="O76" s="17">
        <f t="shared" si="20"/>
        <v>0</v>
      </c>
      <c r="P76" s="17">
        <f t="shared" si="20"/>
        <v>0</v>
      </c>
      <c r="Q76" s="17">
        <f t="shared" si="20"/>
        <v>0</v>
      </c>
      <c r="R76" s="17">
        <f t="shared" si="20"/>
        <v>0</v>
      </c>
      <c r="S76" s="17">
        <f t="shared" si="20"/>
        <v>0</v>
      </c>
      <c r="T76" s="17">
        <f t="shared" si="20"/>
        <v>0</v>
      </c>
      <c r="V76" s="960">
        <v>0</v>
      </c>
      <c r="W76" s="960">
        <v>0</v>
      </c>
      <c r="X76" s="960">
        <v>0</v>
      </c>
    </row>
    <row r="77" spans="1:24" ht="11.25" customHeight="1" x14ac:dyDescent="0.3">
      <c r="J77" s="386"/>
      <c r="K77" s="386"/>
    </row>
    <row r="78" spans="1:24" ht="11.25" customHeight="1" x14ac:dyDescent="0.3">
      <c r="D78" s="6" t="s">
        <v>903</v>
      </c>
      <c r="E78" s="959" t="str">
        <f>E45</f>
        <v>CA RIN 4.3.1</v>
      </c>
      <c r="F78" s="959" t="str">
        <f>Number</f>
        <v>Number</v>
      </c>
      <c r="G78" s="959" t="str">
        <f>NA</f>
        <v>N/A</v>
      </c>
      <c r="H78" s="959" t="str">
        <f>End_Period</f>
        <v>End Period</v>
      </c>
      <c r="J78" s="960">
        <v>10127</v>
      </c>
      <c r="K78" s="960">
        <v>45965</v>
      </c>
      <c r="L78" s="960">
        <v>134875</v>
      </c>
      <c r="M78" s="960">
        <v>154950</v>
      </c>
      <c r="N78" s="139"/>
      <c r="O78" s="139"/>
      <c r="P78" s="139"/>
      <c r="Q78" s="139"/>
      <c r="R78" s="139"/>
      <c r="S78" s="139"/>
      <c r="T78" s="139"/>
      <c r="V78" s="139"/>
      <c r="W78" s="139"/>
      <c r="X78" s="139"/>
    </row>
    <row r="79" spans="1:24" ht="11.25" customHeight="1" x14ac:dyDescent="0.3">
      <c r="A79" s="41">
        <f>IF(SUM(J79:M79)=0,0,1)</f>
        <v>0</v>
      </c>
      <c r="D79" s="6" t="s">
        <v>193</v>
      </c>
      <c r="E79" s="959" t="str">
        <f>NA</f>
        <v>N/A</v>
      </c>
      <c r="F79" s="959" t="str">
        <f>NA</f>
        <v>N/A</v>
      </c>
      <c r="G79" s="959" t="str">
        <f>NA</f>
        <v>N/A</v>
      </c>
      <c r="H79" s="959" t="str">
        <f>NA</f>
        <v>N/A</v>
      </c>
      <c r="J79" s="62">
        <f>IF(SUM(J45:J76)-J78=0,0,1)</f>
        <v>0</v>
      </c>
      <c r="K79" s="62">
        <f t="shared" ref="K79:M79" si="21">IF(SUM(K45:K76)-K78=0,0,1)</f>
        <v>0</v>
      </c>
      <c r="L79" s="62">
        <f t="shared" si="21"/>
        <v>0</v>
      </c>
      <c r="M79" s="62">
        <f t="shared" si="21"/>
        <v>0</v>
      </c>
      <c r="N79" s="139"/>
      <c r="O79" s="139"/>
      <c r="P79" s="139"/>
      <c r="Q79" s="139"/>
      <c r="R79" s="139"/>
      <c r="S79" s="139"/>
      <c r="T79" s="139"/>
      <c r="V79" s="139"/>
      <c r="W79" s="139"/>
      <c r="X79" s="139"/>
    </row>
    <row r="80" spans="1:24" ht="11.25" customHeight="1" x14ac:dyDescent="0.3"/>
    <row r="81" spans="3:24" s="7" customFormat="1" ht="13.9" x14ac:dyDescent="0.3">
      <c r="C81" s="7" t="s">
        <v>1070</v>
      </c>
    </row>
    <row r="82" spans="3:24" ht="11.25" customHeight="1" x14ac:dyDescent="0.3"/>
    <row r="83" spans="3:24" ht="13.15" x14ac:dyDescent="0.3">
      <c r="D83" s="909" t="str">
        <f t="shared" ref="D83" si="22">D$43</f>
        <v>Fee based service category</v>
      </c>
      <c r="E83" s="25" t="str">
        <f>Lookup!E$20</f>
        <v>Source</v>
      </c>
      <c r="F83" s="25" t="str">
        <f>Lookup!F$20</f>
        <v>Unit</v>
      </c>
      <c r="G83" s="25" t="str">
        <f>Lookup!G$20</f>
        <v>Basis</v>
      </c>
      <c r="H83" s="25" t="str">
        <f>Lookup!H$20</f>
        <v>Timing</v>
      </c>
      <c r="I83" s="25" t="s">
        <v>868</v>
      </c>
      <c r="J83" s="40" t="str">
        <f>Lookup!O$20</f>
        <v>FY19</v>
      </c>
      <c r="K83" s="40" t="str">
        <f>Lookup!P$20</f>
        <v>FY20</v>
      </c>
      <c r="L83" s="40" t="str">
        <f>Lookup!Q$20</f>
        <v>FY21</v>
      </c>
      <c r="M83" s="40" t="str">
        <f>Lookup!R$20</f>
        <v>FY22</v>
      </c>
      <c r="N83" s="40" t="str">
        <f>Lookup!S$20</f>
        <v>FY23</v>
      </c>
      <c r="O83" s="40" t="str">
        <f>Lookup!T$20</f>
        <v>FY24</v>
      </c>
      <c r="P83" s="40" t="str">
        <f>Lookup!U$20</f>
        <v>FY25</v>
      </c>
      <c r="Q83" s="40" t="str">
        <f>Lookup!V$20</f>
        <v>FY26</v>
      </c>
      <c r="R83" s="40" t="str">
        <f>Lookup!W$20</f>
        <v>FY27</v>
      </c>
      <c r="S83" s="40" t="str">
        <f>Lookup!X$20</f>
        <v>FY28</v>
      </c>
      <c r="T83" s="40" t="str">
        <f>Lookup!Y$20</f>
        <v>FY29</v>
      </c>
      <c r="V83" s="40" t="s">
        <v>924</v>
      </c>
      <c r="W83" s="40"/>
      <c r="X83" s="40"/>
    </row>
    <row r="84" spans="3:24" ht="11.25" customHeight="1" x14ac:dyDescent="0.3"/>
    <row r="85" spans="3:24" ht="12.75" x14ac:dyDescent="0.3">
      <c r="D85" s="6" t="str">
        <f>D45</f>
        <v>Energisation</v>
      </c>
      <c r="E85" s="31" t="s">
        <v>921</v>
      </c>
      <c r="F85" s="959" t="str">
        <f t="shared" ref="F85:F116" si="23">Dollars</f>
        <v>Dollars</v>
      </c>
      <c r="G85" s="959" t="str">
        <f t="shared" ref="G85:G116" si="24">Nominal</f>
        <v>Nominal</v>
      </c>
      <c r="H85" s="959" t="str">
        <f t="shared" ref="H85:H116" si="25">Mid_Period</f>
        <v>Mid Period</v>
      </c>
      <c r="I85" s="139"/>
      <c r="J85" s="139"/>
      <c r="K85" s="139"/>
      <c r="L85" s="139"/>
      <c r="M85" s="139"/>
      <c r="N85" s="139"/>
      <c r="O85" s="139"/>
      <c r="P85" s="961">
        <v>64.992812011897982</v>
      </c>
      <c r="Q85" s="961">
        <f>P85*(1+Input_CPI!U$10)</f>
        <v>66.890368180932924</v>
      </c>
      <c r="R85" s="961">
        <f>Q85*(1+Input_CPI!V$10)</f>
        <v>68.843326159847749</v>
      </c>
      <c r="S85" s="961">
        <f>R85*(1+Input_CPI!W$10)</f>
        <v>70.853303482072064</v>
      </c>
      <c r="T85" s="961">
        <f>S85*(1+Input_CPI!X$10)</f>
        <v>72.92196490718932</v>
      </c>
      <c r="V85" s="960">
        <f>V87</f>
        <v>9</v>
      </c>
      <c r="W85" s="17"/>
      <c r="X85" s="17"/>
    </row>
    <row r="86" spans="3:24" ht="12.75" x14ac:dyDescent="0.3">
      <c r="D86" s="6" t="str">
        <f t="shared" ref="D86:D116" si="26">D46</f>
        <v>De-energisation</v>
      </c>
      <c r="E86" s="959" t="str">
        <f>E85</f>
        <v>FB + QS Model</v>
      </c>
      <c r="F86" s="959" t="str">
        <f t="shared" si="23"/>
        <v>Dollars</v>
      </c>
      <c r="G86" s="959" t="str">
        <f t="shared" si="24"/>
        <v>Nominal</v>
      </c>
      <c r="H86" s="959" t="str">
        <f t="shared" si="25"/>
        <v>Mid Period</v>
      </c>
      <c r="I86" s="139"/>
      <c r="J86" s="139"/>
      <c r="K86" s="139"/>
      <c r="L86" s="139"/>
      <c r="M86" s="139"/>
      <c r="N86" s="139"/>
      <c r="O86" s="139"/>
      <c r="P86" s="961">
        <v>64.992812011897982</v>
      </c>
      <c r="Q86" s="961">
        <f>P86*(1+Input_CPI!U$10)</f>
        <v>66.890368180932924</v>
      </c>
      <c r="R86" s="961">
        <f>Q86*(1+Input_CPI!V$10)</f>
        <v>68.843326159847749</v>
      </c>
      <c r="S86" s="961">
        <f>R86*(1+Input_CPI!W$10)</f>
        <v>70.853303482072064</v>
      </c>
      <c r="T86" s="961">
        <f>S86*(1+Input_CPI!X$10)</f>
        <v>72.92196490718932</v>
      </c>
      <c r="V86" s="960">
        <f>V87</f>
        <v>9</v>
      </c>
      <c r="W86" s="17"/>
      <c r="X86" s="17"/>
    </row>
    <row r="87" spans="3:24" ht="12.75" x14ac:dyDescent="0.3">
      <c r="D87" s="6" t="str">
        <f t="shared" si="26"/>
        <v>Re-energisation</v>
      </c>
      <c r="E87" s="959" t="str">
        <f t="shared" ref="E87:E116" si="27">E86</f>
        <v>FB + QS Model</v>
      </c>
      <c r="F87" s="959" t="str">
        <f t="shared" si="23"/>
        <v>Dollars</v>
      </c>
      <c r="G87" s="959" t="str">
        <f t="shared" si="24"/>
        <v>Nominal</v>
      </c>
      <c r="H87" s="959" t="str">
        <f t="shared" si="25"/>
        <v>Mid Period</v>
      </c>
      <c r="I87" s="139"/>
      <c r="J87" s="139"/>
      <c r="K87" s="139"/>
      <c r="L87" s="139"/>
      <c r="M87" s="139"/>
      <c r="N87" s="139"/>
      <c r="O87" s="139"/>
      <c r="P87" s="961">
        <v>64.992812011897982</v>
      </c>
      <c r="Q87" s="961">
        <f>P87*(1+Input_CPI!U$10)</f>
        <v>66.890368180932924</v>
      </c>
      <c r="R87" s="961">
        <f>Q87*(1+Input_CPI!V$10)</f>
        <v>68.843326159847749</v>
      </c>
      <c r="S87" s="961">
        <f>R87*(1+Input_CPI!W$10)</f>
        <v>70.853303482072064</v>
      </c>
      <c r="T87" s="961">
        <f>S87*(1+Input_CPI!X$10)</f>
        <v>72.92196490718932</v>
      </c>
      <c r="V87" s="960">
        <v>9</v>
      </c>
      <c r="W87" s="17"/>
      <c r="X87" s="17"/>
    </row>
    <row r="88" spans="3:24" ht="12.75" x14ac:dyDescent="0.3">
      <c r="D88" s="6" t="str">
        <f t="shared" si="26"/>
        <v>Temporary disconnection and reconnection - no physical dismantling</v>
      </c>
      <c r="E88" s="959" t="str">
        <f t="shared" si="27"/>
        <v>FB + QS Model</v>
      </c>
      <c r="F88" s="959" t="str">
        <f t="shared" si="23"/>
        <v>Dollars</v>
      </c>
      <c r="G88" s="959" t="str">
        <f t="shared" si="24"/>
        <v>Nominal</v>
      </c>
      <c r="H88" s="959" t="str">
        <f t="shared" si="25"/>
        <v>Mid Period</v>
      </c>
      <c r="I88" s="139"/>
      <c r="J88" s="139"/>
      <c r="K88" s="139"/>
      <c r="L88" s="139"/>
      <c r="M88" s="139"/>
      <c r="N88" s="139"/>
      <c r="O88" s="139"/>
      <c r="P88" s="961">
        <v>384.77384286630303</v>
      </c>
      <c r="Q88" s="961">
        <f>P88*(1+Input_CPI!U$10)</f>
        <v>396.00785408404465</v>
      </c>
      <c r="R88" s="961">
        <f>Q88*(1+Input_CPI!V$10)</f>
        <v>407.56985799250612</v>
      </c>
      <c r="S88" s="961">
        <f>R88*(1+Input_CPI!W$10)</f>
        <v>419.46943079764634</v>
      </c>
      <c r="T88" s="961">
        <f>S88*(1+Input_CPI!X$10)</f>
        <v>431.71642829616871</v>
      </c>
      <c r="V88" s="960">
        <v>5</v>
      </c>
      <c r="W88" s="17"/>
      <c r="X88" s="17"/>
    </row>
    <row r="89" spans="3:24" ht="12.75" x14ac:dyDescent="0.3">
      <c r="D89" s="6" t="str">
        <f t="shared" si="26"/>
        <v>Temporary disconnection and reconnection - physical dismantling</v>
      </c>
      <c r="E89" s="959" t="str">
        <f t="shared" si="27"/>
        <v>FB + QS Model</v>
      </c>
      <c r="F89" s="959" t="str">
        <f t="shared" si="23"/>
        <v>Dollars</v>
      </c>
      <c r="G89" s="959" t="str">
        <f t="shared" si="24"/>
        <v>Nominal</v>
      </c>
      <c r="H89" s="959" t="str">
        <f t="shared" si="25"/>
        <v>Mid Period</v>
      </c>
      <c r="I89" s="139"/>
      <c r="J89" s="139"/>
      <c r="K89" s="139"/>
      <c r="L89" s="139"/>
      <c r="M89" s="139"/>
      <c r="N89" s="139"/>
      <c r="O89" s="139"/>
      <c r="P89" s="961">
        <v>1183.4242890367734</v>
      </c>
      <c r="Q89" s="961">
        <f>P89*(1+Input_CPI!U$10)</f>
        <v>1217.9760185393593</v>
      </c>
      <c r="R89" s="961">
        <f>Q89*(1+Input_CPI!V$10)</f>
        <v>1253.5365341744248</v>
      </c>
      <c r="S89" s="961">
        <f>R89*(1+Input_CPI!W$10)</f>
        <v>1290.1352888659114</v>
      </c>
      <c r="T89" s="961">
        <f>S89*(1+Input_CPI!X$10)</f>
        <v>1327.8025954571237</v>
      </c>
      <c r="V89" s="960">
        <v>6</v>
      </c>
      <c r="W89" s="17"/>
      <c r="X89" s="17"/>
    </row>
    <row r="90" spans="3:24" ht="12.75" x14ac:dyDescent="0.3">
      <c r="D90" s="6" t="str">
        <f t="shared" si="26"/>
        <v>Temporary disconnection and reconnection - no physical dismantling After hours</v>
      </c>
      <c r="E90" s="959" t="str">
        <f t="shared" si="27"/>
        <v>FB + QS Model</v>
      </c>
      <c r="F90" s="959" t="str">
        <f t="shared" si="23"/>
        <v>Dollars</v>
      </c>
      <c r="G90" s="959" t="str">
        <f t="shared" si="24"/>
        <v>Nominal</v>
      </c>
      <c r="H90" s="959" t="str">
        <f t="shared" si="25"/>
        <v>Mid Period</v>
      </c>
      <c r="I90" s="139"/>
      <c r="J90" s="139"/>
      <c r="K90" s="139"/>
      <c r="L90" s="139"/>
      <c r="M90" s="139"/>
      <c r="N90" s="139"/>
      <c r="O90" s="139"/>
      <c r="P90" s="961">
        <v>409.28793893403486</v>
      </c>
      <c r="Q90" s="961">
        <f>P90*(1+Input_CPI!U$10)</f>
        <v>421.23767351843316</v>
      </c>
      <c r="R90" s="961">
        <f>Q90*(1+Input_CPI!V$10)</f>
        <v>433.53629733961048</v>
      </c>
      <c r="S90" s="961">
        <f>R90*(1+Input_CPI!W$10)</f>
        <v>446.19399670745355</v>
      </c>
      <c r="T90" s="961">
        <f>S90*(1+Input_CPI!X$10)</f>
        <v>459.22125533543203</v>
      </c>
      <c r="V90" s="960">
        <v>10</v>
      </c>
      <c r="W90" s="17"/>
      <c r="X90" s="17"/>
    </row>
    <row r="91" spans="3:24" ht="12.75" x14ac:dyDescent="0.3">
      <c r="D91" s="6" t="str">
        <f t="shared" si="26"/>
        <v>Complex Disconnection</v>
      </c>
      <c r="E91" s="959" t="str">
        <f t="shared" si="27"/>
        <v>FB + QS Model</v>
      </c>
      <c r="F91" s="959" t="str">
        <f t="shared" si="23"/>
        <v>Dollars</v>
      </c>
      <c r="G91" s="959" t="str">
        <f t="shared" si="24"/>
        <v>Nominal</v>
      </c>
      <c r="H91" s="959" t="str">
        <f t="shared" si="25"/>
        <v>Mid Period</v>
      </c>
      <c r="I91" s="139"/>
      <c r="J91" s="139"/>
      <c r="K91" s="139"/>
      <c r="L91" s="139"/>
      <c r="M91" s="139"/>
      <c r="N91" s="139"/>
      <c r="O91" s="139"/>
      <c r="P91" s="961">
        <v>438.57582748812399</v>
      </c>
      <c r="Q91" s="961">
        <f>P91*(1+Input_CPI!U$10)</f>
        <v>451.38066299650825</v>
      </c>
      <c r="R91" s="961">
        <f>Q91*(1+Input_CPI!V$10)</f>
        <v>464.55935361071499</v>
      </c>
      <c r="S91" s="961">
        <f>R91*(1+Input_CPI!W$10)</f>
        <v>478.12281455414234</v>
      </c>
      <c r="T91" s="961">
        <f>S91*(1+Input_CPI!X$10)</f>
        <v>492.08227973542222</v>
      </c>
      <c r="V91" s="960">
        <v>7</v>
      </c>
      <c r="W91" s="17"/>
      <c r="X91" s="17"/>
    </row>
    <row r="92" spans="3:24" ht="12.75" x14ac:dyDescent="0.3">
      <c r="D92" s="6" t="str">
        <f t="shared" si="26"/>
        <v>Disconnection (and Final Read)</v>
      </c>
      <c r="E92" s="959" t="str">
        <f t="shared" si="27"/>
        <v>FB + QS Model</v>
      </c>
      <c r="F92" s="959" t="str">
        <f t="shared" si="23"/>
        <v>Dollars</v>
      </c>
      <c r="G92" s="959" t="str">
        <f t="shared" si="24"/>
        <v>Nominal</v>
      </c>
      <c r="H92" s="959" t="str">
        <f t="shared" si="25"/>
        <v>Mid Period</v>
      </c>
      <c r="I92" s="139"/>
      <c r="J92" s="139"/>
      <c r="K92" s="139"/>
      <c r="L92" s="139"/>
      <c r="M92" s="139"/>
      <c r="N92" s="139"/>
      <c r="O92" s="139"/>
      <c r="P92" s="961">
        <v>63.535085484724917</v>
      </c>
      <c r="Q92" s="961">
        <f>P92*(1+Input_CPI!U$10)</f>
        <v>65.390081286254954</v>
      </c>
      <c r="R92" s="961">
        <f>Q92*(1+Input_CPI!V$10)</f>
        <v>67.299236288129833</v>
      </c>
      <c r="S92" s="961">
        <f>R92*(1+Input_CPI!W$10)</f>
        <v>69.264131744053515</v>
      </c>
      <c r="T92" s="961">
        <f>S92*(1+Input_CPI!X$10)</f>
        <v>71.286395074646393</v>
      </c>
      <c r="V92" s="960">
        <v>8</v>
      </c>
      <c r="W92" s="17"/>
      <c r="X92" s="17"/>
    </row>
    <row r="93" spans="3:24" ht="12.75" x14ac:dyDescent="0.3">
      <c r="D93" s="6" t="str">
        <f t="shared" si="26"/>
        <v>Reconnection - After Hours</v>
      </c>
      <c r="E93" s="959" t="str">
        <f t="shared" si="27"/>
        <v>FB + QS Model</v>
      </c>
      <c r="F93" s="959" t="str">
        <f t="shared" si="23"/>
        <v>Dollars</v>
      </c>
      <c r="G93" s="959" t="str">
        <f t="shared" si="24"/>
        <v>Nominal</v>
      </c>
      <c r="H93" s="959" t="str">
        <f t="shared" si="25"/>
        <v>Mid Period</v>
      </c>
      <c r="I93" s="139"/>
      <c r="J93" s="139"/>
      <c r="K93" s="139"/>
      <c r="L93" s="139"/>
      <c r="M93" s="139"/>
      <c r="N93" s="139"/>
      <c r="O93" s="139"/>
      <c r="P93" s="961">
        <v>409.28793893403486</v>
      </c>
      <c r="Q93" s="961">
        <f>P93*(1+Input_CPI!U$10)</f>
        <v>421.23767351843316</v>
      </c>
      <c r="R93" s="961">
        <f>Q93*(1+Input_CPI!V$10)</f>
        <v>433.53629733961048</v>
      </c>
      <c r="S93" s="961">
        <f>R93*(1+Input_CPI!W$10)</f>
        <v>446.19399670745355</v>
      </c>
      <c r="T93" s="961">
        <f>S93*(1+Input_CPI!X$10)</f>
        <v>459.22125533543203</v>
      </c>
      <c r="V93" s="960">
        <v>10</v>
      </c>
      <c r="W93" s="17"/>
      <c r="X93" s="17"/>
    </row>
    <row r="94" spans="3:24" ht="12.75" x14ac:dyDescent="0.3">
      <c r="D94" s="6" t="str">
        <f t="shared" si="26"/>
        <v>Provision of three phase service</v>
      </c>
      <c r="E94" s="959" t="str">
        <f t="shared" si="27"/>
        <v>FB + QS Model</v>
      </c>
      <c r="F94" s="959" t="str">
        <f t="shared" si="23"/>
        <v>Dollars</v>
      </c>
      <c r="G94" s="959" t="str">
        <f t="shared" si="24"/>
        <v>Nominal</v>
      </c>
      <c r="H94" s="959" t="str">
        <f t="shared" si="25"/>
        <v>Mid Period</v>
      </c>
      <c r="I94" s="139"/>
      <c r="J94" s="139"/>
      <c r="K94" s="139"/>
      <c r="L94" s="139"/>
      <c r="M94" s="139"/>
      <c r="N94" s="139"/>
      <c r="O94" s="139"/>
      <c r="P94" s="961">
        <v>1494.7625985608552</v>
      </c>
      <c r="Q94" s="961">
        <f>P94*(1+Input_CPI!U$10)</f>
        <v>1538.4042860388888</v>
      </c>
      <c r="R94" s="961">
        <f>Q94*(1+Input_CPI!V$10)</f>
        <v>1583.3201537029695</v>
      </c>
      <c r="S94" s="961">
        <f>R94*(1+Input_CPI!W$10)</f>
        <v>1629.5474030281164</v>
      </c>
      <c r="T94" s="961">
        <f>S94*(1+Input_CPI!X$10)</f>
        <v>1677.1243216385128</v>
      </c>
      <c r="V94" s="960">
        <v>1</v>
      </c>
      <c r="W94" s="17"/>
      <c r="X94" s="17"/>
    </row>
    <row r="95" spans="3:24" ht="12.75" x14ac:dyDescent="0.3">
      <c r="D95" s="6" t="str">
        <f t="shared" si="26"/>
        <v>Class 1 &amp; 2 PV service</v>
      </c>
      <c r="E95" s="959" t="str">
        <f t="shared" si="27"/>
        <v>FB + QS Model</v>
      </c>
      <c r="F95" s="959" t="str">
        <f t="shared" si="23"/>
        <v>Dollars</v>
      </c>
      <c r="G95" s="959" t="str">
        <f t="shared" si="24"/>
        <v>Nominal</v>
      </c>
      <c r="H95" s="959" t="str">
        <f t="shared" si="25"/>
        <v>Mid Period</v>
      </c>
      <c r="I95" s="139"/>
      <c r="J95" s="139"/>
      <c r="K95" s="139"/>
      <c r="L95" s="139"/>
      <c r="M95" s="139"/>
      <c r="N95" s="139"/>
      <c r="O95" s="139"/>
      <c r="P95" s="961">
        <v>118.42293684853183</v>
      </c>
      <c r="Q95" s="961">
        <f>P95*(1+Input_CPI!U$10)</f>
        <v>121.88046034099172</v>
      </c>
      <c r="R95" s="961">
        <f>Q95*(1+Input_CPI!V$10)</f>
        <v>125.43893107407106</v>
      </c>
      <c r="S95" s="961">
        <f>R95*(1+Input_CPI!W$10)</f>
        <v>129.10129634383622</v>
      </c>
      <c r="T95" s="961">
        <f>S95*(1+Input_CPI!X$10)</f>
        <v>132.87058949678993</v>
      </c>
      <c r="V95" s="960">
        <v>3</v>
      </c>
      <c r="W95" s="17"/>
      <c r="X95" s="17"/>
    </row>
    <row r="96" spans="3:24" ht="12.75" x14ac:dyDescent="0.3">
      <c r="D96" s="6" t="str">
        <f t="shared" si="26"/>
        <v>Class 3 PV Assessment</v>
      </c>
      <c r="E96" s="959" t="str">
        <f t="shared" si="27"/>
        <v>FB + QS Model</v>
      </c>
      <c r="F96" s="959" t="str">
        <f t="shared" si="23"/>
        <v>Dollars</v>
      </c>
      <c r="G96" s="959" t="str">
        <f t="shared" si="24"/>
        <v>Nominal</v>
      </c>
      <c r="H96" s="959" t="str">
        <f t="shared" si="25"/>
        <v>Mid Period</v>
      </c>
      <c r="I96" s="139"/>
      <c r="J96" s="139"/>
      <c r="K96" s="139"/>
      <c r="L96" s="139"/>
      <c r="M96" s="139"/>
      <c r="N96" s="139"/>
      <c r="O96" s="139"/>
      <c r="P96" s="961">
        <v>1271.2480698850438</v>
      </c>
      <c r="Q96" s="961">
        <f>P96*(1+Input_CPI!U$10)</f>
        <v>1308.3639376665844</v>
      </c>
      <c r="R96" s="961">
        <f>Q96*(1+Input_CPI!V$10)</f>
        <v>1346.563455188731</v>
      </c>
      <c r="S96" s="961">
        <f>R96*(1+Input_CPI!W$10)</f>
        <v>1385.8782611233105</v>
      </c>
      <c r="T96" s="961">
        <f>S96*(1+Input_CPI!X$10)</f>
        <v>1426.3409178774839</v>
      </c>
      <c r="V96" s="960">
        <v>4</v>
      </c>
      <c r="W96" s="17"/>
      <c r="X96" s="17"/>
    </row>
    <row r="97" spans="4:24" ht="12.75" x14ac:dyDescent="0.3">
      <c r="D97" s="6" t="str">
        <f t="shared" si="26"/>
        <v>Standard temporary builderâs connection</v>
      </c>
      <c r="E97" s="959" t="str">
        <f t="shared" si="27"/>
        <v>FB + QS Model</v>
      </c>
      <c r="F97" s="959" t="str">
        <f t="shared" si="23"/>
        <v>Dollars</v>
      </c>
      <c r="G97" s="959" t="str">
        <f t="shared" si="24"/>
        <v>Nominal</v>
      </c>
      <c r="H97" s="959" t="str">
        <f t="shared" si="25"/>
        <v>Mid Period</v>
      </c>
      <c r="I97" s="139"/>
      <c r="J97" s="139"/>
      <c r="K97" s="139"/>
      <c r="L97" s="139"/>
      <c r="M97" s="139"/>
      <c r="N97" s="139"/>
      <c r="O97" s="139"/>
      <c r="P97" s="961">
        <v>641.62255109078603</v>
      </c>
      <c r="Q97" s="961">
        <f>P97*(1+Input_CPI!U$10)</f>
        <v>660.35562006141879</v>
      </c>
      <c r="R97" s="961">
        <f>Q97*(1+Input_CPI!V$10)</f>
        <v>679.63562721628762</v>
      </c>
      <c r="S97" s="961">
        <f>R97*(1+Input_CPI!W$10)</f>
        <v>699.47854118166742</v>
      </c>
      <c r="T97" s="961">
        <f>S97*(1+Input_CPI!X$10)</f>
        <v>719.90079681024133</v>
      </c>
      <c r="V97" s="960">
        <v>2</v>
      </c>
      <c r="W97" s="17"/>
      <c r="X97" s="17"/>
    </row>
    <row r="98" spans="4:24" ht="12.75" x14ac:dyDescent="0.3">
      <c r="D98" s="6" t="str">
        <f t="shared" si="26"/>
        <v>Special meter test</v>
      </c>
      <c r="E98" s="959" t="str">
        <f t="shared" si="27"/>
        <v>FB + QS Model</v>
      </c>
      <c r="F98" s="959" t="str">
        <f t="shared" si="23"/>
        <v>Dollars</v>
      </c>
      <c r="G98" s="959" t="str">
        <f t="shared" si="24"/>
        <v>Nominal</v>
      </c>
      <c r="H98" s="959" t="str">
        <f t="shared" si="25"/>
        <v>Mid Period</v>
      </c>
      <c r="I98" s="139"/>
      <c r="J98" s="139"/>
      <c r="K98" s="139"/>
      <c r="L98" s="139"/>
      <c r="M98" s="139"/>
      <c r="N98" s="139"/>
      <c r="O98" s="139"/>
      <c r="P98" s="961">
        <v>323.51601744661548</v>
      </c>
      <c r="Q98" s="961">
        <f>P98*(1+Input_CPI!U$10)</f>
        <v>332.96152065972552</v>
      </c>
      <c r="R98" s="961">
        <f>Q98*(1+Input_CPI!V$10)</f>
        <v>342.68279856755714</v>
      </c>
      <c r="S98" s="961">
        <f>R98*(1+Input_CPI!W$10)</f>
        <v>352.68790279854477</v>
      </c>
      <c r="T98" s="961">
        <f>S98*(1+Input_CPI!X$10)</f>
        <v>362.98512005969138</v>
      </c>
      <c r="V98" s="960">
        <v>18</v>
      </c>
      <c r="W98" s="17"/>
      <c r="X98" s="17"/>
    </row>
    <row r="99" spans="4:24" ht="12.75" x14ac:dyDescent="0.3">
      <c r="D99" s="6" t="str">
        <f t="shared" si="26"/>
        <v>Exchange or replace meter - three phase</v>
      </c>
      <c r="E99" s="959" t="str">
        <f t="shared" si="27"/>
        <v>FB + QS Model</v>
      </c>
      <c r="F99" s="959" t="str">
        <f t="shared" si="23"/>
        <v>Dollars</v>
      </c>
      <c r="G99" s="959" t="str">
        <f t="shared" si="24"/>
        <v>Nominal</v>
      </c>
      <c r="H99" s="959" t="str">
        <f t="shared" si="25"/>
        <v>Mid Period</v>
      </c>
      <c r="I99" s="139"/>
      <c r="J99" s="139"/>
      <c r="K99" s="139"/>
      <c r="L99" s="139"/>
      <c r="M99" s="139"/>
      <c r="N99" s="139"/>
      <c r="O99" s="139"/>
      <c r="P99" s="961">
        <v>609.50366544026735</v>
      </c>
      <c r="Q99" s="961">
        <f>P99*(1+Input_CPI!U$10)</f>
        <v>627.2989785618762</v>
      </c>
      <c r="R99" s="961">
        <f>Q99*(1+Input_CPI!V$10)</f>
        <v>645.61385077238299</v>
      </c>
      <c r="S99" s="961">
        <f>R99*(1+Input_CPI!W$10)</f>
        <v>664.46345132702993</v>
      </c>
      <c r="T99" s="961">
        <f>S99*(1+Input_CPI!X$10)</f>
        <v>683.86339236871049</v>
      </c>
      <c r="V99" s="960">
        <v>19</v>
      </c>
      <c r="W99" s="17"/>
      <c r="X99" s="17"/>
    </row>
    <row r="100" spans="4:24" ht="12.75" x14ac:dyDescent="0.3">
      <c r="D100" s="6" t="str">
        <f t="shared" si="26"/>
        <v>Exchange or replace meter - single phase</v>
      </c>
      <c r="E100" s="959" t="str">
        <f t="shared" si="27"/>
        <v>FB + QS Model</v>
      </c>
      <c r="F100" s="959" t="str">
        <f t="shared" si="23"/>
        <v>Dollars</v>
      </c>
      <c r="G100" s="959" t="str">
        <f t="shared" si="24"/>
        <v>Nominal</v>
      </c>
      <c r="H100" s="959" t="str">
        <f t="shared" si="25"/>
        <v>Mid Period</v>
      </c>
      <c r="I100" s="139"/>
      <c r="J100" s="139"/>
      <c r="K100" s="139"/>
      <c r="L100" s="139"/>
      <c r="M100" s="139"/>
      <c r="N100" s="139"/>
      <c r="O100" s="139"/>
      <c r="P100" s="961">
        <v>409.59451943709337</v>
      </c>
      <c r="Q100" s="961">
        <f>P100*(1+Input_CPI!U$10)</f>
        <v>421.55320506864405</v>
      </c>
      <c r="R100" s="961">
        <f>Q100*(1+Input_CPI!V$10)</f>
        <v>433.86104127533127</v>
      </c>
      <c r="S100" s="961">
        <f>R100*(1+Input_CPI!W$10)</f>
        <v>446.52822199718116</v>
      </c>
      <c r="T100" s="961">
        <f>S100*(1+Input_CPI!X$10)</f>
        <v>459.56523880057534</v>
      </c>
      <c r="V100" s="960">
        <v>20</v>
      </c>
      <c r="W100" s="17"/>
      <c r="X100" s="17"/>
    </row>
    <row r="101" spans="4:24" ht="12.75" x14ac:dyDescent="0.3">
      <c r="D101" s="6" t="str">
        <f t="shared" si="26"/>
        <v>Exchange or replace meter - prepayment</v>
      </c>
      <c r="E101" s="959" t="str">
        <f t="shared" si="27"/>
        <v>FB + QS Model</v>
      </c>
      <c r="F101" s="959" t="str">
        <f t="shared" si="23"/>
        <v>Dollars</v>
      </c>
      <c r="G101" s="959" t="str">
        <f t="shared" si="24"/>
        <v>Nominal</v>
      </c>
      <c r="H101" s="959" t="str">
        <f t="shared" si="25"/>
        <v>Mid Period</v>
      </c>
      <c r="I101" s="139"/>
      <c r="J101" s="139"/>
      <c r="K101" s="139"/>
      <c r="L101" s="139"/>
      <c r="M101" s="139"/>
      <c r="N101" s="139"/>
      <c r="O101" s="139"/>
      <c r="P101" s="961">
        <v>0</v>
      </c>
      <c r="Q101" s="961">
        <f>P101*(1+Input_CPI!U$10)</f>
        <v>0</v>
      </c>
      <c r="R101" s="961">
        <f>Q101*(1+Input_CPI!V$10)</f>
        <v>0</v>
      </c>
      <c r="S101" s="961">
        <f>R101*(1+Input_CPI!W$10)</f>
        <v>0</v>
      </c>
      <c r="T101" s="961">
        <f>S101*(1+Input_CPI!X$10)</f>
        <v>0</v>
      </c>
      <c r="V101" s="960">
        <v>0</v>
      </c>
      <c r="W101" s="17"/>
      <c r="X101" s="17"/>
    </row>
    <row r="102" spans="4:24" ht="12.75" x14ac:dyDescent="0.3">
      <c r="D102" s="6" t="str">
        <f t="shared" si="26"/>
        <v>Relocation of meter</v>
      </c>
      <c r="E102" s="959" t="str">
        <f t="shared" si="27"/>
        <v>FB + QS Model</v>
      </c>
      <c r="F102" s="959" t="str">
        <f t="shared" si="23"/>
        <v>Dollars</v>
      </c>
      <c r="G102" s="959" t="str">
        <f t="shared" si="24"/>
        <v>Nominal</v>
      </c>
      <c r="H102" s="959" t="str">
        <f t="shared" si="25"/>
        <v>Mid Period</v>
      </c>
      <c r="I102" s="139"/>
      <c r="J102" s="139"/>
      <c r="K102" s="139"/>
      <c r="L102" s="139"/>
      <c r="M102" s="139"/>
      <c r="N102" s="139"/>
      <c r="O102" s="139"/>
      <c r="P102" s="961">
        <v>337.05246568679297</v>
      </c>
      <c r="Q102" s="961">
        <f>P102*(1+Input_CPI!U$10)</f>
        <v>346.89318446405292</v>
      </c>
      <c r="R102" s="961">
        <f>Q102*(1+Input_CPI!V$10)</f>
        <v>357.02121680792868</v>
      </c>
      <c r="S102" s="961">
        <f>R102*(1+Input_CPI!W$10)</f>
        <v>367.44495124037985</v>
      </c>
      <c r="T102" s="961">
        <f>S102*(1+Input_CPI!X$10)</f>
        <v>378.17302119801275</v>
      </c>
      <c r="V102" s="960">
        <v>21</v>
      </c>
      <c r="W102" s="17"/>
      <c r="X102" s="17"/>
    </row>
    <row r="103" spans="4:24" ht="12.75" x14ac:dyDescent="0.3">
      <c r="D103" s="6" t="str">
        <f t="shared" si="26"/>
        <v>Remove meter</v>
      </c>
      <c r="E103" s="959" t="str">
        <f t="shared" si="27"/>
        <v>FB + QS Model</v>
      </c>
      <c r="F103" s="959" t="str">
        <f t="shared" si="23"/>
        <v>Dollars</v>
      </c>
      <c r="G103" s="959" t="str">
        <f t="shared" si="24"/>
        <v>Nominal</v>
      </c>
      <c r="H103" s="959" t="str">
        <f t="shared" si="25"/>
        <v>Mid Period</v>
      </c>
      <c r="I103" s="139"/>
      <c r="J103" s="139"/>
      <c r="K103" s="139"/>
      <c r="L103" s="139"/>
      <c r="M103" s="139"/>
      <c r="N103" s="139"/>
      <c r="O103" s="139"/>
      <c r="P103" s="961">
        <v>337.05246568679297</v>
      </c>
      <c r="Q103" s="961">
        <f>P103*(1+Input_CPI!U$10)</f>
        <v>346.89318446405292</v>
      </c>
      <c r="R103" s="961">
        <f>Q103*(1+Input_CPI!V$10)</f>
        <v>357.02121680792868</v>
      </c>
      <c r="S103" s="961">
        <f>R103*(1+Input_CPI!W$10)</f>
        <v>367.44495124037985</v>
      </c>
      <c r="T103" s="961">
        <f>S103*(1+Input_CPI!X$10)</f>
        <v>378.17302119801275</v>
      </c>
      <c r="V103" s="960">
        <v>22</v>
      </c>
      <c r="W103" s="17"/>
      <c r="X103" s="17"/>
    </row>
    <row r="104" spans="4:24" ht="12.75" x14ac:dyDescent="0.3">
      <c r="D104" s="6" t="str">
        <f t="shared" si="26"/>
        <v>General meter inspection</v>
      </c>
      <c r="E104" s="959" t="str">
        <f t="shared" si="27"/>
        <v>FB + QS Model</v>
      </c>
      <c r="F104" s="959" t="str">
        <f t="shared" si="23"/>
        <v>Dollars</v>
      </c>
      <c r="G104" s="959" t="str">
        <f t="shared" si="24"/>
        <v>Nominal</v>
      </c>
      <c r="H104" s="959" t="str">
        <f t="shared" si="25"/>
        <v>Mid Period</v>
      </c>
      <c r="I104" s="139"/>
      <c r="J104" s="139"/>
      <c r="K104" s="139"/>
      <c r="L104" s="139"/>
      <c r="M104" s="139"/>
      <c r="N104" s="139"/>
      <c r="O104" s="139"/>
      <c r="P104" s="961">
        <v>161.07863856448586</v>
      </c>
      <c r="Q104" s="961">
        <f>P104*(1+Input_CPI!U$10)</f>
        <v>165.78155500779707</v>
      </c>
      <c r="R104" s="961">
        <f>Q104*(1+Input_CPI!V$10)</f>
        <v>170.62177968309902</v>
      </c>
      <c r="S104" s="961">
        <f>R104*(1+Input_CPI!W$10)</f>
        <v>175.6033214965247</v>
      </c>
      <c r="T104" s="961">
        <f>S104*(1+Input_CPI!X$10)</f>
        <v>180.73030639983608</v>
      </c>
      <c r="V104" s="960">
        <v>23</v>
      </c>
      <c r="W104" s="17"/>
      <c r="X104" s="17"/>
    </row>
    <row r="105" spans="4:24" ht="12.75" x14ac:dyDescent="0.3">
      <c r="D105" s="6" t="str">
        <f t="shared" si="26"/>
        <v>Special meter read - no appointment</v>
      </c>
      <c r="E105" s="959" t="str">
        <f t="shared" si="27"/>
        <v>FB + QS Model</v>
      </c>
      <c r="F105" s="959" t="str">
        <f t="shared" si="23"/>
        <v>Dollars</v>
      </c>
      <c r="G105" s="959" t="str">
        <f t="shared" si="24"/>
        <v>Nominal</v>
      </c>
      <c r="H105" s="959" t="str">
        <f t="shared" si="25"/>
        <v>Mid Period</v>
      </c>
      <c r="I105" s="139"/>
      <c r="J105" s="139"/>
      <c r="K105" s="139"/>
      <c r="L105" s="139"/>
      <c r="M105" s="139"/>
      <c r="N105" s="139"/>
      <c r="O105" s="139"/>
      <c r="P105" s="961">
        <v>45.358380536271568</v>
      </c>
      <c r="Q105" s="961">
        <f>P105*(1+Input_CPI!U$10)</f>
        <v>46.682681980380188</v>
      </c>
      <c r="R105" s="961">
        <f>Q105*(1+Input_CPI!V$10)</f>
        <v>48.045648259831985</v>
      </c>
      <c r="S105" s="961">
        <f>R105*(1+Input_CPI!W$10)</f>
        <v>49.448408248644853</v>
      </c>
      <c r="T105" s="961">
        <f>S105*(1+Input_CPI!X$10)</f>
        <v>50.892123779894632</v>
      </c>
      <c r="V105" s="960">
        <v>24</v>
      </c>
      <c r="W105" s="17"/>
      <c r="X105" s="17"/>
    </row>
    <row r="106" spans="4:24" ht="12.75" x14ac:dyDescent="0.3">
      <c r="D106" s="6" t="str">
        <f t="shared" si="26"/>
        <v>Special meter read - appointment</v>
      </c>
      <c r="E106" s="959" t="str">
        <f t="shared" si="27"/>
        <v>FB + QS Model</v>
      </c>
      <c r="F106" s="959" t="str">
        <f t="shared" si="23"/>
        <v>Dollars</v>
      </c>
      <c r="G106" s="959" t="str">
        <f t="shared" si="24"/>
        <v>Nominal</v>
      </c>
      <c r="H106" s="959" t="str">
        <f t="shared" si="25"/>
        <v>Mid Period</v>
      </c>
      <c r="I106" s="139"/>
      <c r="J106" s="139"/>
      <c r="K106" s="139"/>
      <c r="L106" s="139"/>
      <c r="M106" s="139"/>
      <c r="N106" s="139"/>
      <c r="O106" s="139"/>
      <c r="P106" s="961">
        <v>92.934279768787121</v>
      </c>
      <c r="Q106" s="961">
        <f>P106*(1+Input_CPI!U$10)</f>
        <v>95.647626220973208</v>
      </c>
      <c r="R106" s="961">
        <f>Q106*(1+Input_CPI!V$10)</f>
        <v>98.440192622869006</v>
      </c>
      <c r="S106" s="961">
        <f>R106*(1+Input_CPI!W$10)</f>
        <v>101.31429191185372</v>
      </c>
      <c r="T106" s="961">
        <f>S106*(1+Input_CPI!X$10)</f>
        <v>104.27230455475259</v>
      </c>
      <c r="V106" s="960">
        <v>25</v>
      </c>
      <c r="W106" s="17"/>
      <c r="X106" s="17"/>
    </row>
    <row r="107" spans="4:24" ht="12.75" x14ac:dyDescent="0.3">
      <c r="D107" s="6" t="str">
        <f t="shared" si="26"/>
        <v>Meter program change</v>
      </c>
      <c r="E107" s="959" t="str">
        <f t="shared" si="27"/>
        <v>FB + QS Model</v>
      </c>
      <c r="F107" s="959" t="str">
        <f t="shared" si="23"/>
        <v>Dollars</v>
      </c>
      <c r="G107" s="959" t="str">
        <f t="shared" si="24"/>
        <v>Nominal</v>
      </c>
      <c r="H107" s="959" t="str">
        <f t="shared" si="25"/>
        <v>Mid Period</v>
      </c>
      <c r="I107" s="139"/>
      <c r="J107" s="139"/>
      <c r="K107" s="139"/>
      <c r="L107" s="139"/>
      <c r="M107" s="139"/>
      <c r="N107" s="139"/>
      <c r="O107" s="139"/>
      <c r="P107" s="961">
        <v>188.15153504484078</v>
      </c>
      <c r="Q107" s="961">
        <f>P107*(1+Input_CPI!U$10)</f>
        <v>193.64488261645181</v>
      </c>
      <c r="R107" s="961">
        <f>Q107*(1+Input_CPI!V$10)</f>
        <v>199.29861616384204</v>
      </c>
      <c r="S107" s="961">
        <f>R107*(1+Input_CPI!W$10)</f>
        <v>205.11741838019472</v>
      </c>
      <c r="T107" s="961">
        <f>S107*(1+Input_CPI!X$10)</f>
        <v>211.10610867647864</v>
      </c>
      <c r="V107" s="960">
        <v>26</v>
      </c>
      <c r="W107" s="17"/>
      <c r="X107" s="17"/>
    </row>
    <row r="108" spans="4:24" ht="12.75" x14ac:dyDescent="0.3">
      <c r="D108" s="6" t="str">
        <f t="shared" si="26"/>
        <v>Prepayment Vending Charge</v>
      </c>
      <c r="E108" s="959" t="str">
        <f t="shared" si="27"/>
        <v>FB + QS Model</v>
      </c>
      <c r="F108" s="959" t="str">
        <f t="shared" si="23"/>
        <v>Dollars</v>
      </c>
      <c r="G108" s="959" t="str">
        <f t="shared" si="24"/>
        <v>Nominal</v>
      </c>
      <c r="H108" s="959" t="str">
        <f t="shared" si="25"/>
        <v>Mid Period</v>
      </c>
      <c r="I108" s="139"/>
      <c r="J108" s="139"/>
      <c r="K108" s="139"/>
      <c r="L108" s="139"/>
      <c r="M108" s="139"/>
      <c r="N108" s="139"/>
      <c r="O108" s="139"/>
      <c r="P108" s="961">
        <v>0.34315263114346722</v>
      </c>
      <c r="Q108" s="961">
        <f>P108*(1+Input_CPI!U$10)</f>
        <v>0.35317145279450846</v>
      </c>
      <c r="R108" s="961">
        <f>Q108*(1+Input_CPI!V$10)</f>
        <v>0.36348278797499839</v>
      </c>
      <c r="S108" s="961">
        <f>R108*(1+Input_CPI!W$10)</f>
        <v>0.37409517702709405</v>
      </c>
      <c r="T108" s="961">
        <f>S108*(1+Input_CPI!X$10)</f>
        <v>0.38501740964020253</v>
      </c>
      <c r="V108" s="960">
        <v>28</v>
      </c>
      <c r="W108" s="17"/>
      <c r="X108" s="17"/>
    </row>
    <row r="109" spans="4:24" ht="12.75" x14ac:dyDescent="0.3">
      <c r="D109" s="6" t="str">
        <f t="shared" si="26"/>
        <v>Prepayment Meter Support Charge</v>
      </c>
      <c r="E109" s="959" t="str">
        <f t="shared" si="27"/>
        <v>FB + QS Model</v>
      </c>
      <c r="F109" s="959" t="str">
        <f t="shared" si="23"/>
        <v>Dollars</v>
      </c>
      <c r="G109" s="959" t="str">
        <f t="shared" si="24"/>
        <v>Nominal</v>
      </c>
      <c r="H109" s="959" t="str">
        <f t="shared" si="25"/>
        <v>Mid Period</v>
      </c>
      <c r="I109" s="139"/>
      <c r="J109" s="139"/>
      <c r="K109" s="139"/>
      <c r="L109" s="139"/>
      <c r="M109" s="139"/>
      <c r="N109" s="139"/>
      <c r="O109" s="139"/>
      <c r="P109" s="961">
        <v>84.595806416768824</v>
      </c>
      <c r="Q109" s="961">
        <f>P109*(1+Input_CPI!U$10)</f>
        <v>87.065699461421801</v>
      </c>
      <c r="R109" s="961">
        <f>Q109*(1+Input_CPI!V$10)</f>
        <v>89.607704492595374</v>
      </c>
      <c r="S109" s="961">
        <f>R109*(1+Input_CPI!W$10)</f>
        <v>92.223926920728758</v>
      </c>
      <c r="T109" s="961">
        <f>S109*(1+Input_CPI!X$10)</f>
        <v>94.916533626667558</v>
      </c>
      <c r="V109" s="960">
        <v>29</v>
      </c>
      <c r="W109" s="17"/>
      <c r="X109" s="17"/>
    </row>
    <row r="110" spans="4:24" ht="12.75" x14ac:dyDescent="0.3">
      <c r="D110" s="6" t="str">
        <f t="shared" si="26"/>
        <v>Historical data requests</v>
      </c>
      <c r="E110" s="959" t="str">
        <f t="shared" si="27"/>
        <v>FB + QS Model</v>
      </c>
      <c r="F110" s="959" t="str">
        <f t="shared" si="23"/>
        <v>Dollars</v>
      </c>
      <c r="G110" s="959" t="str">
        <f t="shared" si="24"/>
        <v>Nominal</v>
      </c>
      <c r="H110" s="959" t="str">
        <f t="shared" si="25"/>
        <v>Mid Period</v>
      </c>
      <c r="I110" s="139"/>
      <c r="J110" s="139"/>
      <c r="K110" s="139"/>
      <c r="L110" s="139"/>
      <c r="M110" s="139"/>
      <c r="N110" s="139"/>
      <c r="O110" s="139"/>
      <c r="P110" s="961">
        <v>152.22208694293349</v>
      </c>
      <c r="Q110" s="961">
        <f>P110*(1+Input_CPI!U$10)</f>
        <v>156.6664239580646</v>
      </c>
      <c r="R110" s="961">
        <f>Q110*(1+Input_CPI!V$10)</f>
        <v>161.2405196166406</v>
      </c>
      <c r="S110" s="961">
        <f>R110*(1+Input_CPI!W$10)</f>
        <v>165.94816240398367</v>
      </c>
      <c r="T110" s="961">
        <f>S110*(1+Input_CPI!X$10)</f>
        <v>170.79325141555074</v>
      </c>
      <c r="V110" s="960">
        <v>13</v>
      </c>
      <c r="W110" s="17"/>
      <c r="X110" s="17"/>
    </row>
    <row r="111" spans="4:24" ht="12.75" x14ac:dyDescent="0.3">
      <c r="D111" s="6" t="str">
        <f t="shared" si="26"/>
        <v>Standing data requests</v>
      </c>
      <c r="E111" s="959" t="str">
        <f t="shared" si="27"/>
        <v>FB + QS Model</v>
      </c>
      <c r="F111" s="959" t="str">
        <f t="shared" si="23"/>
        <v>Dollars</v>
      </c>
      <c r="G111" s="959" t="str">
        <f t="shared" si="24"/>
        <v>Nominal</v>
      </c>
      <c r="H111" s="959" t="str">
        <f t="shared" si="25"/>
        <v>Mid Period</v>
      </c>
      <c r="I111" s="139"/>
      <c r="J111" s="139"/>
      <c r="K111" s="139"/>
      <c r="L111" s="139"/>
      <c r="M111" s="139"/>
      <c r="N111" s="139"/>
      <c r="O111" s="139"/>
      <c r="P111" s="961">
        <v>50.740695647644493</v>
      </c>
      <c r="Q111" s="961">
        <f>P111*(1+Input_CPI!U$10)</f>
        <v>52.222141319354861</v>
      </c>
      <c r="R111" s="961">
        <f>Q111*(1+Input_CPI!V$10)</f>
        <v>53.746839872213528</v>
      </c>
      <c r="S111" s="961">
        <f>R111*(1+Input_CPI!W$10)</f>
        <v>55.316054134661215</v>
      </c>
      <c r="T111" s="961">
        <f>S111*(1+Input_CPI!X$10)</f>
        <v>56.931083805183569</v>
      </c>
      <c r="V111" s="960">
        <v>14</v>
      </c>
      <c r="W111" s="17"/>
      <c r="X111" s="17"/>
    </row>
    <row r="112" spans="4:24" ht="12.75" x14ac:dyDescent="0.3">
      <c r="D112" s="6" t="str">
        <f t="shared" si="26"/>
        <v>Customer transfers</v>
      </c>
      <c r="E112" s="959" t="str">
        <f t="shared" si="27"/>
        <v>FB + QS Model</v>
      </c>
      <c r="F112" s="959" t="str">
        <f t="shared" si="23"/>
        <v>Dollars</v>
      </c>
      <c r="G112" s="959" t="str">
        <f t="shared" si="24"/>
        <v>Nominal</v>
      </c>
      <c r="H112" s="959" t="str">
        <f t="shared" si="25"/>
        <v>Mid Period</v>
      </c>
      <c r="I112" s="139"/>
      <c r="J112" s="139"/>
      <c r="K112" s="139"/>
      <c r="L112" s="139"/>
      <c r="M112" s="139"/>
      <c r="N112" s="139"/>
      <c r="O112" s="139"/>
      <c r="P112" s="961">
        <v>202.96278259057797</v>
      </c>
      <c r="Q112" s="961">
        <f>P112*(1+Input_CPI!U$10)</f>
        <v>208.88856527741945</v>
      </c>
      <c r="R112" s="961">
        <f>Q112*(1+Input_CPI!V$10)</f>
        <v>214.98735948885411</v>
      </c>
      <c r="S112" s="961">
        <f>R112*(1+Input_CPI!W$10)</f>
        <v>221.26421653864486</v>
      </c>
      <c r="T112" s="961">
        <f>S112*(1+Input_CPI!X$10)</f>
        <v>227.72433522073428</v>
      </c>
      <c r="V112" s="960">
        <v>15</v>
      </c>
      <c r="W112" s="17"/>
      <c r="X112" s="17"/>
    </row>
    <row r="113" spans="3:25" ht="12.75" x14ac:dyDescent="0.3">
      <c r="D113" s="6" t="str">
        <f t="shared" si="26"/>
        <v>Network tariff change request</v>
      </c>
      <c r="E113" s="959" t="str">
        <f t="shared" si="27"/>
        <v>FB + QS Model</v>
      </c>
      <c r="F113" s="959" t="str">
        <f t="shared" si="23"/>
        <v>Dollars</v>
      </c>
      <c r="G113" s="959" t="str">
        <f t="shared" si="24"/>
        <v>Nominal</v>
      </c>
      <c r="H113" s="959" t="str">
        <f t="shared" si="25"/>
        <v>Mid Period</v>
      </c>
      <c r="I113" s="139"/>
      <c r="J113" s="139"/>
      <c r="K113" s="139"/>
      <c r="L113" s="139"/>
      <c r="M113" s="139"/>
      <c r="N113" s="139"/>
      <c r="O113" s="139"/>
      <c r="P113" s="961">
        <v>50.740695647644493</v>
      </c>
      <c r="Q113" s="961">
        <f>P113*(1+Input_CPI!U$10)</f>
        <v>52.222141319354861</v>
      </c>
      <c r="R113" s="961">
        <f>Q113*(1+Input_CPI!V$10)</f>
        <v>53.746839872213528</v>
      </c>
      <c r="S113" s="961">
        <f>R113*(1+Input_CPI!W$10)</f>
        <v>55.316054134661215</v>
      </c>
      <c r="T113" s="961">
        <f>S113*(1+Input_CPI!X$10)</f>
        <v>56.931083805183569</v>
      </c>
      <c r="V113" s="960">
        <v>16</v>
      </c>
      <c r="W113" s="17"/>
      <c r="X113" s="17"/>
    </row>
    <row r="114" spans="3:25" ht="12.75" x14ac:dyDescent="0.3">
      <c r="D114" s="6" t="str">
        <f t="shared" si="26"/>
        <v>Installation of Minor Apparatus</v>
      </c>
      <c r="E114" s="959" t="str">
        <f t="shared" si="27"/>
        <v>FB + QS Model</v>
      </c>
      <c r="F114" s="959" t="str">
        <f t="shared" si="23"/>
        <v>Dollars</v>
      </c>
      <c r="G114" s="959" t="str">
        <f t="shared" si="24"/>
        <v>Nominal</v>
      </c>
      <c r="H114" s="959" t="str">
        <f t="shared" si="25"/>
        <v>Mid Period</v>
      </c>
      <c r="I114" s="139"/>
      <c r="J114" s="139"/>
      <c r="K114" s="139"/>
      <c r="L114" s="139"/>
      <c r="M114" s="139"/>
      <c r="N114" s="139"/>
      <c r="O114" s="139"/>
      <c r="P114" s="961">
        <v>514.64490045354864</v>
      </c>
      <c r="Q114" s="961">
        <f>P114*(1+Input_CPI!U$10)</f>
        <v>529.6706790817949</v>
      </c>
      <c r="R114" s="961">
        <f>Q114*(1+Input_CPI!V$10)</f>
        <v>545.13515636067598</v>
      </c>
      <c r="S114" s="961">
        <f>R114*(1+Input_CPI!W$10)</f>
        <v>561.05114071169407</v>
      </c>
      <c r="T114" s="961">
        <f>S114*(1+Input_CPI!X$10)</f>
        <v>577.43181451615521</v>
      </c>
      <c r="V114" s="960">
        <v>17</v>
      </c>
      <c r="W114" s="17"/>
      <c r="X114" s="17"/>
    </row>
    <row r="115" spans="3:25" ht="12.75" x14ac:dyDescent="0.3">
      <c r="D115" s="6" t="str">
        <f t="shared" si="26"/>
        <v>Wasted visit fee</v>
      </c>
      <c r="E115" s="959" t="str">
        <f t="shared" si="27"/>
        <v>FB + QS Model</v>
      </c>
      <c r="F115" s="959" t="str">
        <f t="shared" si="23"/>
        <v>Dollars</v>
      </c>
      <c r="G115" s="959" t="str">
        <f t="shared" si="24"/>
        <v>Nominal</v>
      </c>
      <c r="H115" s="959" t="str">
        <f t="shared" si="25"/>
        <v>Mid Period</v>
      </c>
      <c r="I115" s="139"/>
      <c r="J115" s="139"/>
      <c r="K115" s="139"/>
      <c r="L115" s="139"/>
      <c r="M115" s="139"/>
      <c r="N115" s="139"/>
      <c r="O115" s="139"/>
      <c r="P115" s="961">
        <v>199.98543462848556</v>
      </c>
      <c r="Q115" s="961">
        <f>P115*(1+Input_CPI!U$10)</f>
        <v>205.82428947180185</v>
      </c>
      <c r="R115" s="961">
        <f>Q115*(1+Input_CPI!V$10)</f>
        <v>211.83361785957729</v>
      </c>
      <c r="S115" s="961">
        <f>R115*(1+Input_CPI!W$10)</f>
        <v>218.0183970056903</v>
      </c>
      <c r="T115" s="961">
        <f>S115*(1+Input_CPI!X$10)</f>
        <v>224.38374944074914</v>
      </c>
      <c r="V115" s="960">
        <v>11</v>
      </c>
      <c r="W115" s="17"/>
      <c r="X115" s="17"/>
    </row>
    <row r="116" spans="3:25" ht="12.75" x14ac:dyDescent="0.3">
      <c r="D116" s="6" t="str">
        <f t="shared" si="26"/>
        <v>[Spare]</v>
      </c>
      <c r="E116" s="959" t="str">
        <f t="shared" si="27"/>
        <v>FB + QS Model</v>
      </c>
      <c r="F116" s="959" t="str">
        <f t="shared" si="23"/>
        <v>Dollars</v>
      </c>
      <c r="G116" s="959" t="str">
        <f t="shared" si="24"/>
        <v>Nominal</v>
      </c>
      <c r="H116" s="959" t="str">
        <f t="shared" si="25"/>
        <v>Mid Period</v>
      </c>
      <c r="I116" s="139"/>
      <c r="J116" s="139"/>
      <c r="K116" s="139"/>
      <c r="L116" s="139"/>
      <c r="M116" s="139"/>
      <c r="N116" s="139"/>
      <c r="O116" s="139"/>
      <c r="P116" s="961">
        <v>0</v>
      </c>
      <c r="Q116" s="961">
        <f>P116*(1+Input_CPI!U$10)</f>
        <v>0</v>
      </c>
      <c r="R116" s="961">
        <f>Q116*(1+Input_CPI!V$10)</f>
        <v>0</v>
      </c>
      <c r="S116" s="961">
        <f>R116*(1+Input_CPI!W$10)</f>
        <v>0</v>
      </c>
      <c r="T116" s="961">
        <f>S116*(1+Input_CPI!X$10)</f>
        <v>0</v>
      </c>
      <c r="V116" s="960">
        <v>0</v>
      </c>
      <c r="W116" s="17"/>
      <c r="X116" s="17"/>
    </row>
    <row r="117" spans="3:25" ht="11.25" customHeight="1" x14ac:dyDescent="0.3"/>
    <row r="118" spans="3:25" s="7" customFormat="1" ht="13.9" x14ac:dyDescent="0.3">
      <c r="C118" s="7" t="s">
        <v>1062</v>
      </c>
    </row>
    <row r="119" spans="3:25" ht="11.25" customHeight="1" x14ac:dyDescent="0.3"/>
    <row r="120" spans="3:25" ht="13.15" x14ac:dyDescent="0.3">
      <c r="D120" s="909" t="str">
        <f t="shared" ref="D120" si="28">D$43</f>
        <v>Fee based service category</v>
      </c>
      <c r="E120" s="25" t="str">
        <f>Lookup!E$20</f>
        <v>Source</v>
      </c>
      <c r="F120" s="25" t="str">
        <f>Lookup!F$20</f>
        <v>Unit</v>
      </c>
      <c r="G120" s="25" t="str">
        <f>Lookup!G$20</f>
        <v>Basis</v>
      </c>
      <c r="H120" s="25" t="str">
        <f>Lookup!H$20</f>
        <v>Timing</v>
      </c>
      <c r="I120" s="25" t="s">
        <v>868</v>
      </c>
      <c r="J120" s="40" t="str">
        <f>Lookup!O$20</f>
        <v>FY19</v>
      </c>
      <c r="K120" s="40" t="str">
        <f>Lookup!P$20</f>
        <v>FY20</v>
      </c>
      <c r="L120" s="40" t="str">
        <f>Lookup!Q$20</f>
        <v>FY21</v>
      </c>
      <c r="M120" s="40" t="str">
        <f>Lookup!R$20</f>
        <v>FY22</v>
      </c>
      <c r="N120" s="40" t="str">
        <f>Lookup!S$20</f>
        <v>FY23</v>
      </c>
      <c r="O120" s="40" t="str">
        <f>Lookup!T$20</f>
        <v>FY24</v>
      </c>
      <c r="P120" s="40" t="str">
        <f>Lookup!U$20</f>
        <v>FY25</v>
      </c>
      <c r="Q120" s="40" t="str">
        <f>Lookup!V$20</f>
        <v>FY26</v>
      </c>
      <c r="R120" s="40" t="str">
        <f>Lookup!W$20</f>
        <v>FY27</v>
      </c>
      <c r="S120" s="40" t="str">
        <f>Lookup!X$20</f>
        <v>FY28</v>
      </c>
      <c r="T120" s="40" t="str">
        <f>Lookup!Y$20</f>
        <v>FY29</v>
      </c>
      <c r="V120" s="40" t="str">
        <f t="shared" ref="V120:W120" si="29">V$43</f>
        <v>Row in FY19</v>
      </c>
      <c r="W120" s="40" t="str">
        <f t="shared" si="29"/>
        <v>Row in FY20</v>
      </c>
      <c r="X120" s="40" t="str">
        <f>X$43</f>
        <v>Row in FY21</v>
      </c>
      <c r="Y120" s="40" t="s">
        <v>924</v>
      </c>
    </row>
    <row r="121" spans="3:25" ht="11.25" customHeight="1" x14ac:dyDescent="0.3"/>
    <row r="122" spans="3:25" ht="12.75" x14ac:dyDescent="0.3">
      <c r="D122" s="6" t="str">
        <f t="shared" ref="D122:D153" si="30">D45</f>
        <v>Energisation</v>
      </c>
      <c r="E122" s="31" t="s">
        <v>905</v>
      </c>
      <c r="F122" s="959" t="str">
        <f t="shared" ref="F122:F153" si="31">Dollars</f>
        <v>Dollars</v>
      </c>
      <c r="G122" s="959" t="str">
        <f t="shared" ref="G122:G153" si="32">Nominal</f>
        <v>Nominal</v>
      </c>
      <c r="H122" s="959" t="str">
        <f t="shared" ref="H122:H153" si="33">Mid_Period</f>
        <v>Mid Period</v>
      </c>
      <c r="I122" s="31" t="s">
        <v>63</v>
      </c>
      <c r="J122" s="961">
        <v>0</v>
      </c>
      <c r="K122" s="961">
        <v>0</v>
      </c>
      <c r="L122" s="961">
        <v>0</v>
      </c>
      <c r="M122" s="961">
        <v>0</v>
      </c>
      <c r="N122" s="962">
        <f>SUMPRODUCT($J122:$M122,Input_CPI!$N$26:$Q$26)/COUNTA($J$120:$M$120)*Input_CPI!R$11/Input_CPI!$Q$11</f>
        <v>0</v>
      </c>
      <c r="O122" s="962">
        <f>SUMPRODUCT($J122:$M122,Input_CPI!$N$26:$Q$26)/COUNTA($J$120:$M$120)*Input_CPI!S$11/Input_CPI!$Q$11</f>
        <v>0</v>
      </c>
      <c r="P122" s="962">
        <f t="shared" ref="P122:T131" si="34">P45*P85</f>
        <v>0</v>
      </c>
      <c r="Q122" s="962">
        <f t="shared" si="34"/>
        <v>0</v>
      </c>
      <c r="R122" s="962">
        <f t="shared" si="34"/>
        <v>0</v>
      </c>
      <c r="S122" s="962">
        <f t="shared" si="34"/>
        <v>0</v>
      </c>
      <c r="T122" s="962">
        <f t="shared" si="34"/>
        <v>0</v>
      </c>
      <c r="V122" s="17">
        <f t="shared" ref="V122:X153" si="35">V45</f>
        <v>1</v>
      </c>
      <c r="W122" s="17">
        <f t="shared" si="35"/>
        <v>1</v>
      </c>
      <c r="X122" s="17">
        <f t="shared" si="35"/>
        <v>1</v>
      </c>
      <c r="Y122" s="17">
        <f t="shared" ref="Y122:Y153" si="36">V85</f>
        <v>9</v>
      </c>
    </row>
    <row r="123" spans="3:25" ht="12.75" x14ac:dyDescent="0.3">
      <c r="D123" s="6" t="str">
        <f t="shared" si="30"/>
        <v>De-energisation</v>
      </c>
      <c r="E123" s="959" t="str">
        <f>E122</f>
        <v>CA RIN 4.3.1</v>
      </c>
      <c r="F123" s="959" t="str">
        <f t="shared" si="31"/>
        <v>Dollars</v>
      </c>
      <c r="G123" s="959" t="str">
        <f t="shared" si="32"/>
        <v>Nominal</v>
      </c>
      <c r="H123" s="959" t="str">
        <f t="shared" si="33"/>
        <v>Mid Period</v>
      </c>
      <c r="I123" s="31" t="s">
        <v>63</v>
      </c>
      <c r="J123" s="961">
        <v>188881.09</v>
      </c>
      <c r="K123" s="961">
        <v>309244</v>
      </c>
      <c r="L123" s="961">
        <v>223440</v>
      </c>
      <c r="M123" s="961">
        <v>453251</v>
      </c>
      <c r="N123" s="962">
        <f>SUMPRODUCT($J123:$M123,Input_CPI!$N$26:$Q$26)/COUNTA($J$120:$M$120)*Input_CPI!R$11/Input_CPI!$Q$11</f>
        <v>324506.03606464464</v>
      </c>
      <c r="O123" s="962">
        <f>SUMPRODUCT($J123:$M123,Input_CPI!$N$26:$Q$26)/COUNTA($J$120:$M$120)*Input_CPI!S$11/Input_CPI!$Q$11</f>
        <v>338135.28957935976</v>
      </c>
      <c r="P123" s="962">
        <f t="shared" si="34"/>
        <v>569369.52963023225</v>
      </c>
      <c r="Q123" s="962">
        <f t="shared" si="34"/>
        <v>585993.07044906286</v>
      </c>
      <c r="R123" s="962">
        <f t="shared" si="34"/>
        <v>603101.95882334618</v>
      </c>
      <c r="S123" s="962">
        <f t="shared" si="34"/>
        <v>620710.36515469232</v>
      </c>
      <c r="T123" s="962">
        <f t="shared" si="34"/>
        <v>638832.87356943206</v>
      </c>
      <c r="V123" s="17">
        <f t="shared" si="35"/>
        <v>2</v>
      </c>
      <c r="W123" s="17">
        <f t="shared" si="35"/>
        <v>2</v>
      </c>
      <c r="X123" s="17">
        <f t="shared" si="35"/>
        <v>2</v>
      </c>
      <c r="Y123" s="17">
        <f t="shared" si="36"/>
        <v>9</v>
      </c>
    </row>
    <row r="124" spans="3:25" ht="12.75" x14ac:dyDescent="0.3">
      <c r="D124" s="6" t="str">
        <f t="shared" si="30"/>
        <v>Re-energisation</v>
      </c>
      <c r="E124" s="959" t="str">
        <f t="shared" ref="E124:E139" si="37">E123</f>
        <v>CA RIN 4.3.1</v>
      </c>
      <c r="F124" s="959" t="str">
        <f t="shared" si="31"/>
        <v>Dollars</v>
      </c>
      <c r="G124" s="959" t="str">
        <f t="shared" si="32"/>
        <v>Nominal</v>
      </c>
      <c r="H124" s="959" t="str">
        <f t="shared" si="33"/>
        <v>Mid Period</v>
      </c>
      <c r="I124" s="31" t="s">
        <v>63</v>
      </c>
      <c r="J124" s="961">
        <v>188881.09</v>
      </c>
      <c r="K124" s="961">
        <v>586175</v>
      </c>
      <c r="L124" s="961">
        <v>520937</v>
      </c>
      <c r="M124" s="961">
        <v>987152</v>
      </c>
      <c r="N124" s="962">
        <f>SUMPRODUCT($J124:$M124,Input_CPI!$N$26:$Q$26)/COUNTA($J$120:$M$120)*Input_CPI!R$11/Input_CPI!$Q$11</f>
        <v>627995.23281408544</v>
      </c>
      <c r="O124" s="962">
        <f>SUMPRODUCT($J124:$M124,Input_CPI!$N$26:$Q$26)/COUNTA($J$120:$M$120)*Input_CPI!S$11/Input_CPI!$Q$11</f>
        <v>654371.03259227704</v>
      </c>
      <c r="P124" s="962">
        <f t="shared" si="34"/>
        <v>1146018.2542057971</v>
      </c>
      <c r="Q124" s="962">
        <f t="shared" si="34"/>
        <v>1179477.8621343903</v>
      </c>
      <c r="R124" s="962">
        <f t="shared" si="34"/>
        <v>1213914.3701765954</v>
      </c>
      <c r="S124" s="962">
        <f t="shared" si="34"/>
        <v>1249356.3002993767</v>
      </c>
      <c r="T124" s="962">
        <f t="shared" si="34"/>
        <v>1285833.0072084693</v>
      </c>
      <c r="V124" s="17">
        <f t="shared" si="35"/>
        <v>3</v>
      </c>
      <c r="W124" s="17">
        <f t="shared" si="35"/>
        <v>3</v>
      </c>
      <c r="X124" s="17">
        <f t="shared" si="35"/>
        <v>3</v>
      </c>
      <c r="Y124" s="17">
        <f t="shared" si="36"/>
        <v>9</v>
      </c>
    </row>
    <row r="125" spans="3:25" ht="12.75" x14ac:dyDescent="0.3">
      <c r="D125" s="6" t="str">
        <f t="shared" si="30"/>
        <v>Temporary disconnection and reconnection - no physical dismantling</v>
      </c>
      <c r="E125" s="959" t="str">
        <f t="shared" si="37"/>
        <v>CA RIN 4.3.1</v>
      </c>
      <c r="F125" s="959" t="str">
        <f t="shared" si="31"/>
        <v>Dollars</v>
      </c>
      <c r="G125" s="959" t="str">
        <f t="shared" si="32"/>
        <v>Nominal</v>
      </c>
      <c r="H125" s="959" t="str">
        <f t="shared" si="33"/>
        <v>Mid Period</v>
      </c>
      <c r="I125" s="31" t="s">
        <v>63</v>
      </c>
      <c r="J125" s="961">
        <v>0</v>
      </c>
      <c r="K125" s="961">
        <v>43540</v>
      </c>
      <c r="L125" s="961">
        <v>29108</v>
      </c>
      <c r="M125" s="961">
        <v>50211</v>
      </c>
      <c r="N125" s="962">
        <f>SUMPRODUCT($J125:$M125,Input_CPI!$N$26:$Q$26)/COUNTA($J$120:$M$120)*Input_CPI!R$11/Input_CPI!$Q$11</f>
        <v>33822.82625636601</v>
      </c>
      <c r="O125" s="962">
        <f>SUMPRODUCT($J125:$M125,Input_CPI!$N$26:$Q$26)/COUNTA($J$120:$M$120)*Input_CPI!S$11/Input_CPI!$Q$11</f>
        <v>35243.384959133378</v>
      </c>
      <c r="P125" s="962">
        <f t="shared" si="34"/>
        <v>76569.994730394304</v>
      </c>
      <c r="Q125" s="962">
        <f t="shared" si="34"/>
        <v>78805.562962724885</v>
      </c>
      <c r="R125" s="962">
        <f t="shared" si="34"/>
        <v>81106.401740508722</v>
      </c>
      <c r="S125" s="962">
        <f t="shared" si="34"/>
        <v>83474.416728731623</v>
      </c>
      <c r="T125" s="962">
        <f t="shared" si="34"/>
        <v>85911.569230937574</v>
      </c>
      <c r="V125" s="17">
        <f t="shared" si="35"/>
        <v>0</v>
      </c>
      <c r="W125" s="17">
        <f t="shared" si="35"/>
        <v>6</v>
      </c>
      <c r="X125" s="17">
        <f t="shared" si="35"/>
        <v>6</v>
      </c>
      <c r="Y125" s="17">
        <f t="shared" si="36"/>
        <v>5</v>
      </c>
    </row>
    <row r="126" spans="3:25" ht="12.75" x14ac:dyDescent="0.3">
      <c r="D126" s="6" t="str">
        <f t="shared" si="30"/>
        <v>Temporary disconnection and reconnection - physical dismantling</v>
      </c>
      <c r="E126" s="959" t="str">
        <f t="shared" si="37"/>
        <v>CA RIN 4.3.1</v>
      </c>
      <c r="F126" s="959" t="str">
        <f t="shared" si="31"/>
        <v>Dollars</v>
      </c>
      <c r="G126" s="959" t="str">
        <f t="shared" si="32"/>
        <v>Nominal</v>
      </c>
      <c r="H126" s="959" t="str">
        <f t="shared" si="33"/>
        <v>Mid Period</v>
      </c>
      <c r="I126" s="31" t="s">
        <v>63</v>
      </c>
      <c r="J126" s="961">
        <v>0</v>
      </c>
      <c r="K126" s="961">
        <v>585</v>
      </c>
      <c r="L126" s="961">
        <v>20169</v>
      </c>
      <c r="M126" s="961">
        <v>36575</v>
      </c>
      <c r="N126" s="962">
        <f>SUMPRODUCT($J126:$M126,Input_CPI!$N$26:$Q$26)/COUNTA($J$120:$M$120)*Input_CPI!R$11/Input_CPI!$Q$11</f>
        <v>15513.172800776905</v>
      </c>
      <c r="O126" s="962">
        <f>SUMPRODUCT($J126:$M126,Input_CPI!$N$26:$Q$26)/COUNTA($J$120:$M$120)*Input_CPI!S$11/Input_CPI!$Q$11</f>
        <v>16164.726058409537</v>
      </c>
      <c r="P126" s="962">
        <f t="shared" si="34"/>
        <v>41715.706188546261</v>
      </c>
      <c r="Q126" s="962">
        <f t="shared" si="34"/>
        <v>42933.654653512414</v>
      </c>
      <c r="R126" s="962">
        <f t="shared" si="34"/>
        <v>44187.162829648471</v>
      </c>
      <c r="S126" s="962">
        <f t="shared" si="34"/>
        <v>45477.26893252338</v>
      </c>
      <c r="T126" s="962">
        <f t="shared" si="34"/>
        <v>46805.041489863615</v>
      </c>
      <c r="V126" s="17">
        <f t="shared" si="35"/>
        <v>0</v>
      </c>
      <c r="W126" s="17">
        <f t="shared" si="35"/>
        <v>7</v>
      </c>
      <c r="X126" s="17">
        <f t="shared" si="35"/>
        <v>7</v>
      </c>
      <c r="Y126" s="17">
        <f t="shared" si="36"/>
        <v>6</v>
      </c>
    </row>
    <row r="127" spans="3:25" ht="12.75" x14ac:dyDescent="0.3">
      <c r="D127" s="6" t="str">
        <f t="shared" si="30"/>
        <v>Temporary disconnection and reconnection - no physical dismantling After hours</v>
      </c>
      <c r="E127" s="959" t="str">
        <f t="shared" si="37"/>
        <v>CA RIN 4.3.1</v>
      </c>
      <c r="F127" s="959" t="str">
        <f t="shared" si="31"/>
        <v>Dollars</v>
      </c>
      <c r="G127" s="959" t="str">
        <f t="shared" si="32"/>
        <v>Nominal</v>
      </c>
      <c r="H127" s="959" t="str">
        <f t="shared" si="33"/>
        <v>Mid Period</v>
      </c>
      <c r="I127" s="31" t="s">
        <v>63</v>
      </c>
      <c r="J127" s="961">
        <v>0</v>
      </c>
      <c r="K127" s="961">
        <v>0</v>
      </c>
      <c r="L127" s="961">
        <v>0</v>
      </c>
      <c r="M127" s="961">
        <v>550</v>
      </c>
      <c r="N127" s="962">
        <f>SUMPRODUCT($J127:$M127,Input_CPI!$N$26:$Q$26)/COUNTA($J$120:$M$120)*Input_CPI!R$11/Input_CPI!$Q$11</f>
        <v>146.16250000000002</v>
      </c>
      <c r="O127" s="962">
        <f>SUMPRODUCT($J127:$M127,Input_CPI!$N$26:$Q$26)/COUNTA($J$120:$M$120)*Input_CPI!S$11/Input_CPI!$Q$11</f>
        <v>152.30132499999999</v>
      </c>
      <c r="P127" s="962">
        <f t="shared" si="34"/>
        <v>102.32198473350871</v>
      </c>
      <c r="Q127" s="962">
        <f t="shared" si="34"/>
        <v>105.30941837960829</v>
      </c>
      <c r="R127" s="962">
        <f t="shared" si="34"/>
        <v>108.38407433490262</v>
      </c>
      <c r="S127" s="962">
        <f t="shared" si="34"/>
        <v>111.54849917686339</v>
      </c>
      <c r="T127" s="962">
        <f t="shared" si="34"/>
        <v>114.80531383385801</v>
      </c>
      <c r="V127" s="17">
        <f t="shared" si="35"/>
        <v>0</v>
      </c>
      <c r="W127" s="17">
        <f t="shared" si="35"/>
        <v>0</v>
      </c>
      <c r="X127" s="17">
        <f t="shared" si="35"/>
        <v>0</v>
      </c>
      <c r="Y127" s="17">
        <f t="shared" si="36"/>
        <v>10</v>
      </c>
    </row>
    <row r="128" spans="3:25" ht="12.75" x14ac:dyDescent="0.3">
      <c r="D128" s="6" t="str">
        <f t="shared" si="30"/>
        <v>Complex Disconnection</v>
      </c>
      <c r="E128" s="959" t="str">
        <f t="shared" si="37"/>
        <v>CA RIN 4.3.1</v>
      </c>
      <c r="F128" s="959" t="str">
        <f t="shared" si="31"/>
        <v>Dollars</v>
      </c>
      <c r="G128" s="959" t="str">
        <f t="shared" si="32"/>
        <v>Nominal</v>
      </c>
      <c r="H128" s="959" t="str">
        <f t="shared" si="33"/>
        <v>Mid Period</v>
      </c>
      <c r="I128" s="31" t="s">
        <v>63</v>
      </c>
      <c r="J128" s="961">
        <v>0</v>
      </c>
      <c r="K128" s="961">
        <v>15574</v>
      </c>
      <c r="L128" s="961">
        <v>3866</v>
      </c>
      <c r="M128" s="961">
        <v>22276</v>
      </c>
      <c r="N128" s="962">
        <f>SUMPRODUCT($J128:$M128,Input_CPI!$N$26:$Q$26)/COUNTA($J$120:$M$120)*Input_CPI!R$11/Input_CPI!$Q$11</f>
        <v>11418.830460024863</v>
      </c>
      <c r="O128" s="962">
        <f>SUMPRODUCT($J128:$M128,Input_CPI!$N$26:$Q$26)/COUNTA($J$120:$M$120)*Input_CPI!S$11/Input_CPI!$Q$11</f>
        <v>11898.421339345909</v>
      </c>
      <c r="P128" s="962">
        <f t="shared" si="34"/>
        <v>27739.921088623843</v>
      </c>
      <c r="Q128" s="962">
        <f t="shared" si="34"/>
        <v>28549.826934529148</v>
      </c>
      <c r="R128" s="962">
        <f t="shared" si="34"/>
        <v>29383.379115877724</v>
      </c>
      <c r="S128" s="962">
        <f t="shared" si="34"/>
        <v>30241.268020549502</v>
      </c>
      <c r="T128" s="962">
        <f t="shared" si="34"/>
        <v>31124.204193265454</v>
      </c>
      <c r="V128" s="17">
        <f t="shared" si="35"/>
        <v>0</v>
      </c>
      <c r="W128" s="17">
        <f t="shared" si="35"/>
        <v>8</v>
      </c>
      <c r="X128" s="17">
        <f t="shared" si="35"/>
        <v>8</v>
      </c>
      <c r="Y128" s="17">
        <f t="shared" si="36"/>
        <v>7</v>
      </c>
    </row>
    <row r="129" spans="4:25" ht="12.75" x14ac:dyDescent="0.3">
      <c r="D129" s="6" t="str">
        <f t="shared" si="30"/>
        <v>Disconnection (and Final Read)</v>
      </c>
      <c r="E129" s="959" t="str">
        <f t="shared" si="37"/>
        <v>CA RIN 4.3.1</v>
      </c>
      <c r="F129" s="959" t="str">
        <f t="shared" si="31"/>
        <v>Dollars</v>
      </c>
      <c r="G129" s="959" t="str">
        <f t="shared" si="32"/>
        <v>Nominal</v>
      </c>
      <c r="H129" s="959" t="str">
        <f t="shared" si="33"/>
        <v>Mid Period</v>
      </c>
      <c r="I129" s="31" t="s">
        <v>63</v>
      </c>
      <c r="J129" s="961">
        <v>0</v>
      </c>
      <c r="K129" s="961">
        <v>0</v>
      </c>
      <c r="L129" s="961">
        <v>0</v>
      </c>
      <c r="M129" s="961">
        <v>0</v>
      </c>
      <c r="N129" s="962">
        <f>SUMPRODUCT($J129:$M129,Input_CPI!$N$26:$Q$26)/COUNTA($J$120:$M$120)*Input_CPI!R$11/Input_CPI!$Q$11</f>
        <v>0</v>
      </c>
      <c r="O129" s="962">
        <f>SUMPRODUCT($J129:$M129,Input_CPI!$N$26:$Q$26)/COUNTA($J$120:$M$120)*Input_CPI!S$11/Input_CPI!$Q$11</f>
        <v>0</v>
      </c>
      <c r="P129" s="962">
        <f t="shared" si="34"/>
        <v>0</v>
      </c>
      <c r="Q129" s="962">
        <f t="shared" si="34"/>
        <v>0</v>
      </c>
      <c r="R129" s="962">
        <f t="shared" si="34"/>
        <v>0</v>
      </c>
      <c r="S129" s="962">
        <f t="shared" si="34"/>
        <v>0</v>
      </c>
      <c r="T129" s="962">
        <f t="shared" si="34"/>
        <v>0</v>
      </c>
      <c r="V129" s="17">
        <f t="shared" si="35"/>
        <v>6</v>
      </c>
      <c r="W129" s="17">
        <f t="shared" si="35"/>
        <v>9</v>
      </c>
      <c r="X129" s="17">
        <f t="shared" si="35"/>
        <v>9</v>
      </c>
      <c r="Y129" s="17">
        <f t="shared" si="36"/>
        <v>8</v>
      </c>
    </row>
    <row r="130" spans="4:25" ht="12.75" x14ac:dyDescent="0.3">
      <c r="D130" s="6" t="str">
        <f t="shared" si="30"/>
        <v>Reconnection - After Hours</v>
      </c>
      <c r="E130" s="959" t="str">
        <f t="shared" si="37"/>
        <v>CA RIN 4.3.1</v>
      </c>
      <c r="F130" s="959" t="str">
        <f t="shared" si="31"/>
        <v>Dollars</v>
      </c>
      <c r="G130" s="959" t="str">
        <f t="shared" si="32"/>
        <v>Nominal</v>
      </c>
      <c r="H130" s="959" t="str">
        <f t="shared" si="33"/>
        <v>Mid Period</v>
      </c>
      <c r="I130" s="31" t="s">
        <v>63</v>
      </c>
      <c r="J130" s="961">
        <v>39172.269999999997</v>
      </c>
      <c r="K130" s="961">
        <v>2197</v>
      </c>
      <c r="L130" s="961">
        <v>7031</v>
      </c>
      <c r="M130" s="961">
        <v>5314</v>
      </c>
      <c r="N130" s="962">
        <f>SUMPRODUCT($J130:$M130,Input_CPI!$N$26:$Q$26)/COUNTA($J$120:$M$120)*Input_CPI!R$11/Input_CPI!$Q$11</f>
        <v>15184.32055771615</v>
      </c>
      <c r="O130" s="962">
        <f>SUMPRODUCT($J130:$M130,Input_CPI!$N$26:$Q$26)/COUNTA($J$120:$M$120)*Input_CPI!S$11/Input_CPI!$Q$11</f>
        <v>15822.062021140229</v>
      </c>
      <c r="P130" s="962">
        <f t="shared" si="34"/>
        <v>25273.530229176653</v>
      </c>
      <c r="Q130" s="962">
        <f t="shared" si="34"/>
        <v>26011.426339763246</v>
      </c>
      <c r="R130" s="962">
        <f t="shared" si="34"/>
        <v>26770.866360720949</v>
      </c>
      <c r="S130" s="962">
        <f t="shared" si="34"/>
        <v>27552.479296685258</v>
      </c>
      <c r="T130" s="962">
        <f t="shared" si="34"/>
        <v>28356.91251696293</v>
      </c>
      <c r="V130" s="17">
        <f t="shared" si="35"/>
        <v>7</v>
      </c>
      <c r="W130" s="17">
        <f t="shared" si="35"/>
        <v>10</v>
      </c>
      <c r="X130" s="17">
        <f t="shared" si="35"/>
        <v>10</v>
      </c>
      <c r="Y130" s="17">
        <f t="shared" si="36"/>
        <v>10</v>
      </c>
    </row>
    <row r="131" spans="4:25" ht="12.75" x14ac:dyDescent="0.3">
      <c r="D131" s="6" t="str">
        <f t="shared" si="30"/>
        <v>Provision of three phase service</v>
      </c>
      <c r="E131" s="959" t="str">
        <f t="shared" si="37"/>
        <v>CA RIN 4.3.1</v>
      </c>
      <c r="F131" s="959" t="str">
        <f t="shared" si="31"/>
        <v>Dollars</v>
      </c>
      <c r="G131" s="959" t="str">
        <f t="shared" si="32"/>
        <v>Nominal</v>
      </c>
      <c r="H131" s="959" t="str">
        <f t="shared" si="33"/>
        <v>Mid Period</v>
      </c>
      <c r="I131" s="31" t="s">
        <v>63</v>
      </c>
      <c r="J131" s="961">
        <v>45789.94</v>
      </c>
      <c r="K131" s="961">
        <v>23630</v>
      </c>
      <c r="L131" s="961">
        <v>17866</v>
      </c>
      <c r="M131" s="961">
        <v>32567</v>
      </c>
      <c r="N131" s="962">
        <f>SUMPRODUCT($J131:$M131,Input_CPI!$N$26:$Q$26)/COUNTA($J$120:$M$120)*Input_CPI!R$11/Input_CPI!$Q$11</f>
        <v>33423.027219895768</v>
      </c>
      <c r="O131" s="962">
        <f>SUMPRODUCT($J131:$M131,Input_CPI!$N$26:$Q$26)/COUNTA($J$120:$M$120)*Input_CPI!S$11/Input_CPI!$Q$11</f>
        <v>34826.79436313139</v>
      </c>
      <c r="P131" s="962">
        <f t="shared" si="34"/>
        <v>53437.762898550573</v>
      </c>
      <c r="Q131" s="962">
        <f t="shared" si="34"/>
        <v>54997.953225890276</v>
      </c>
      <c r="R131" s="962">
        <f t="shared" si="34"/>
        <v>56603.695494881162</v>
      </c>
      <c r="S131" s="962">
        <f t="shared" si="34"/>
        <v>58256.319658255161</v>
      </c>
      <c r="T131" s="962">
        <f t="shared" si="34"/>
        <v>59957.194498576835</v>
      </c>
      <c r="V131" s="17">
        <f t="shared" si="35"/>
        <v>8</v>
      </c>
      <c r="W131" s="17">
        <f t="shared" si="35"/>
        <v>11</v>
      </c>
      <c r="X131" s="17">
        <f t="shared" si="35"/>
        <v>11</v>
      </c>
      <c r="Y131" s="17">
        <f t="shared" si="36"/>
        <v>1</v>
      </c>
    </row>
    <row r="132" spans="4:25" ht="12.75" x14ac:dyDescent="0.3">
      <c r="D132" s="6" t="str">
        <f t="shared" si="30"/>
        <v>Class 1 &amp; 2 PV service</v>
      </c>
      <c r="E132" s="959" t="str">
        <f t="shared" si="37"/>
        <v>CA RIN 4.3.1</v>
      </c>
      <c r="F132" s="959" t="str">
        <f t="shared" si="31"/>
        <v>Dollars</v>
      </c>
      <c r="G132" s="959" t="str">
        <f t="shared" si="32"/>
        <v>Nominal</v>
      </c>
      <c r="H132" s="959" t="str">
        <f t="shared" si="33"/>
        <v>Mid Period</v>
      </c>
      <c r="I132" s="31" t="s">
        <v>63</v>
      </c>
      <c r="J132" s="961">
        <v>0</v>
      </c>
      <c r="K132" s="961">
        <v>114782</v>
      </c>
      <c r="L132" s="961">
        <v>53957</v>
      </c>
      <c r="M132" s="961">
        <v>92597</v>
      </c>
      <c r="N132" s="962">
        <f>SUMPRODUCT($J132:$M132,Input_CPI!$N$26:$Q$26)/COUNTA($J$120:$M$120)*Input_CPI!R$11/Input_CPI!$Q$11</f>
        <v>72240.46097331417</v>
      </c>
      <c r="O132" s="962">
        <f>SUMPRODUCT($J132:$M132,Input_CPI!$N$26:$Q$26)/COUNTA($J$120:$M$120)*Input_CPI!S$11/Input_CPI!$Q$11</f>
        <v>75274.56033419336</v>
      </c>
      <c r="P132" s="962">
        <f t="shared" ref="P132:T141" si="38">P55*P95</f>
        <v>197174.18985280549</v>
      </c>
      <c r="Q132" s="962">
        <f t="shared" si="38"/>
        <v>202930.96646775122</v>
      </c>
      <c r="R132" s="962">
        <f t="shared" si="38"/>
        <v>208855.82023832834</v>
      </c>
      <c r="S132" s="962">
        <f t="shared" si="38"/>
        <v>214953.6584124873</v>
      </c>
      <c r="T132" s="962">
        <f t="shared" si="38"/>
        <v>221229.53151215523</v>
      </c>
      <c r="V132" s="17">
        <f t="shared" si="35"/>
        <v>9</v>
      </c>
      <c r="W132" s="17">
        <f t="shared" si="35"/>
        <v>12</v>
      </c>
      <c r="X132" s="17">
        <f t="shared" si="35"/>
        <v>12</v>
      </c>
      <c r="Y132" s="17">
        <f t="shared" si="36"/>
        <v>3</v>
      </c>
    </row>
    <row r="133" spans="4:25" ht="12.75" x14ac:dyDescent="0.3">
      <c r="D133" s="6" t="str">
        <f t="shared" si="30"/>
        <v>Class 3 PV Assessment</v>
      </c>
      <c r="E133" s="959" t="str">
        <f t="shared" si="37"/>
        <v>CA RIN 4.3.1</v>
      </c>
      <c r="F133" s="959" t="str">
        <f t="shared" si="31"/>
        <v>Dollars</v>
      </c>
      <c r="G133" s="959" t="str">
        <f t="shared" si="32"/>
        <v>Nominal</v>
      </c>
      <c r="H133" s="959" t="str">
        <f t="shared" si="33"/>
        <v>Mid Period</v>
      </c>
      <c r="I133" s="31" t="s">
        <v>63</v>
      </c>
      <c r="J133" s="961">
        <v>0</v>
      </c>
      <c r="K133" s="961">
        <v>25661</v>
      </c>
      <c r="L133" s="961">
        <v>21980</v>
      </c>
      <c r="M133" s="961">
        <v>51431</v>
      </c>
      <c r="N133" s="962">
        <f>SUMPRODUCT($J133:$M133,Input_CPI!$N$26:$Q$26)/COUNTA($J$120:$M$120)*Input_CPI!R$11/Input_CPI!$Q$11</f>
        <v>27083.707989586419</v>
      </c>
      <c r="O133" s="962">
        <f>SUMPRODUCT($J133:$M133,Input_CPI!$N$26:$Q$26)/COUNTA($J$120:$M$120)*Input_CPI!S$11/Input_CPI!$Q$11</f>
        <v>28221.223725149048</v>
      </c>
      <c r="P133" s="962">
        <f t="shared" si="38"/>
        <v>52438.982882758057</v>
      </c>
      <c r="Q133" s="962">
        <f t="shared" si="38"/>
        <v>53970.01242874661</v>
      </c>
      <c r="R133" s="962">
        <f t="shared" si="38"/>
        <v>55545.742526535156</v>
      </c>
      <c r="S133" s="962">
        <f t="shared" si="38"/>
        <v>57167.478271336557</v>
      </c>
      <c r="T133" s="962">
        <f t="shared" si="38"/>
        <v>58836.562862446212</v>
      </c>
      <c r="V133" s="17">
        <f t="shared" si="35"/>
        <v>10</v>
      </c>
      <c r="W133" s="17">
        <f t="shared" si="35"/>
        <v>13</v>
      </c>
      <c r="X133" s="17">
        <f t="shared" si="35"/>
        <v>13</v>
      </c>
      <c r="Y133" s="17">
        <f t="shared" si="36"/>
        <v>4</v>
      </c>
    </row>
    <row r="134" spans="4:25" ht="12.75" x14ac:dyDescent="0.3">
      <c r="D134" s="6" t="str">
        <f t="shared" si="30"/>
        <v>Standard temporary builderâs connection</v>
      </c>
      <c r="E134" s="959" t="str">
        <f t="shared" si="37"/>
        <v>CA RIN 4.3.1</v>
      </c>
      <c r="F134" s="959" t="str">
        <f t="shared" si="31"/>
        <v>Dollars</v>
      </c>
      <c r="G134" s="959" t="str">
        <f t="shared" si="32"/>
        <v>Nominal</v>
      </c>
      <c r="H134" s="959" t="str">
        <f t="shared" si="33"/>
        <v>Mid Period</v>
      </c>
      <c r="I134" s="31" t="s">
        <v>63</v>
      </c>
      <c r="J134" s="961">
        <v>0</v>
      </c>
      <c r="K134" s="961">
        <v>1203</v>
      </c>
      <c r="L134" s="961">
        <v>2790</v>
      </c>
      <c r="M134" s="961">
        <v>4783</v>
      </c>
      <c r="N134" s="962">
        <f>SUMPRODUCT($J134:$M134,Input_CPI!$N$26:$Q$26)/COUNTA($J$120:$M$120)*Input_CPI!R$11/Input_CPI!$Q$11</f>
        <v>2390.9615892041302</v>
      </c>
      <c r="O134" s="962">
        <f>SUMPRODUCT($J134:$M134,Input_CPI!$N$26:$Q$26)/COUNTA($J$120:$M$120)*Input_CPI!S$11/Input_CPI!$Q$11</f>
        <v>2491.3819759507037</v>
      </c>
      <c r="P134" s="962">
        <f t="shared" si="38"/>
        <v>4010.1409443174125</v>
      </c>
      <c r="Q134" s="962">
        <f t="shared" si="38"/>
        <v>4127.2226253838671</v>
      </c>
      <c r="R134" s="962">
        <f t="shared" si="38"/>
        <v>4247.722670101798</v>
      </c>
      <c r="S134" s="962">
        <f t="shared" si="38"/>
        <v>4371.7408823854212</v>
      </c>
      <c r="T134" s="962">
        <f t="shared" si="38"/>
        <v>4499.3799800640081</v>
      </c>
      <c r="V134" s="17">
        <f t="shared" si="35"/>
        <v>11</v>
      </c>
      <c r="W134" s="17">
        <f t="shared" si="35"/>
        <v>14</v>
      </c>
      <c r="X134" s="17">
        <f t="shared" si="35"/>
        <v>14</v>
      </c>
      <c r="Y134" s="17">
        <f t="shared" si="36"/>
        <v>2</v>
      </c>
    </row>
    <row r="135" spans="4:25" ht="12.75" x14ac:dyDescent="0.3">
      <c r="D135" s="6" t="str">
        <f t="shared" si="30"/>
        <v>Special meter test</v>
      </c>
      <c r="E135" s="959" t="str">
        <f t="shared" si="37"/>
        <v>CA RIN 4.3.1</v>
      </c>
      <c r="F135" s="959" t="str">
        <f t="shared" si="31"/>
        <v>Dollars</v>
      </c>
      <c r="G135" s="959" t="str">
        <f t="shared" si="32"/>
        <v>Nominal</v>
      </c>
      <c r="H135" s="959" t="str">
        <f t="shared" si="33"/>
        <v>Mid Period</v>
      </c>
      <c r="I135" s="31" t="s">
        <v>63</v>
      </c>
      <c r="J135" s="961">
        <v>11303.01</v>
      </c>
      <c r="K135" s="961">
        <v>876</v>
      </c>
      <c r="L135" s="961">
        <v>2082</v>
      </c>
      <c r="M135" s="961">
        <v>4136</v>
      </c>
      <c r="N135" s="962">
        <f>SUMPRODUCT($J135:$M135,Input_CPI!$N$26:$Q$26)/COUNTA($J$120:$M$120)*Input_CPI!R$11/Input_CPI!$Q$11</f>
        <v>5156.5930664659118</v>
      </c>
      <c r="O135" s="962">
        <f>SUMPRODUCT($J135:$M135,Input_CPI!$N$26:$Q$26)/COUNTA($J$120:$M$120)*Input_CPI!S$11/Input_CPI!$Q$11</f>
        <v>5373.1699752574805</v>
      </c>
      <c r="P135" s="962">
        <f t="shared" si="38"/>
        <v>7440.868401272156</v>
      </c>
      <c r="Q135" s="962">
        <f t="shared" si="38"/>
        <v>7658.1149751736866</v>
      </c>
      <c r="R135" s="962">
        <f t="shared" si="38"/>
        <v>7881.7043670538142</v>
      </c>
      <c r="S135" s="962">
        <f t="shared" si="38"/>
        <v>8111.8217643665294</v>
      </c>
      <c r="T135" s="962">
        <f t="shared" si="38"/>
        <v>8348.6577613729023</v>
      </c>
      <c r="V135" s="17">
        <f t="shared" si="35"/>
        <v>12</v>
      </c>
      <c r="W135" s="17">
        <f t="shared" si="35"/>
        <v>15</v>
      </c>
      <c r="X135" s="17">
        <f t="shared" si="35"/>
        <v>15</v>
      </c>
      <c r="Y135" s="17">
        <f t="shared" si="36"/>
        <v>18</v>
      </c>
    </row>
    <row r="136" spans="4:25" ht="12.75" x14ac:dyDescent="0.3">
      <c r="D136" s="6" t="str">
        <f t="shared" si="30"/>
        <v>Exchange or replace meter - three phase</v>
      </c>
      <c r="E136" s="959" t="str">
        <f t="shared" si="37"/>
        <v>CA RIN 4.3.1</v>
      </c>
      <c r="F136" s="959" t="str">
        <f t="shared" si="31"/>
        <v>Dollars</v>
      </c>
      <c r="G136" s="959" t="str">
        <f t="shared" si="32"/>
        <v>Nominal</v>
      </c>
      <c r="H136" s="959" t="str">
        <f t="shared" si="33"/>
        <v>Mid Period</v>
      </c>
      <c r="I136" s="31" t="s">
        <v>64</v>
      </c>
      <c r="J136" s="961">
        <v>349556.24</v>
      </c>
      <c r="K136" s="961">
        <v>158764</v>
      </c>
      <c r="L136" s="961">
        <v>79423</v>
      </c>
      <c r="M136" s="961">
        <v>137795</v>
      </c>
      <c r="N136" s="962">
        <f>SUMPRODUCT($J136:$M136,Input_CPI!$N$26:$Q$26)/COUNTA($J$120:$M$120)*Input_CPI!R$11/Input_CPI!$Q$11</f>
        <v>203666.90426165992</v>
      </c>
      <c r="O136" s="962">
        <f>SUMPRODUCT($J136:$M136,Input_CPI!$N$26:$Q$26)/COUNTA($J$120:$M$120)*Input_CPI!S$11/Input_CPI!$Q$11</f>
        <v>212220.91424064964</v>
      </c>
      <c r="P136" s="962">
        <f t="shared" si="38"/>
        <v>269705.37195731833</v>
      </c>
      <c r="Q136" s="962">
        <f t="shared" si="38"/>
        <v>277579.79801363021</v>
      </c>
      <c r="R136" s="962">
        <f t="shared" si="38"/>
        <v>285684.12896677945</v>
      </c>
      <c r="S136" s="962">
        <f t="shared" si="38"/>
        <v>294025.07721221074</v>
      </c>
      <c r="T136" s="962">
        <f t="shared" si="38"/>
        <v>302609.55112315441</v>
      </c>
      <c r="V136" s="17">
        <f t="shared" si="35"/>
        <v>13</v>
      </c>
      <c r="W136" s="17">
        <f t="shared" si="35"/>
        <v>16</v>
      </c>
      <c r="X136" s="17">
        <f t="shared" si="35"/>
        <v>16</v>
      </c>
      <c r="Y136" s="17">
        <f t="shared" si="36"/>
        <v>19</v>
      </c>
    </row>
    <row r="137" spans="4:25" ht="12.75" x14ac:dyDescent="0.3">
      <c r="D137" s="6" t="str">
        <f t="shared" si="30"/>
        <v>Exchange or replace meter - single phase</v>
      </c>
      <c r="E137" s="959" t="str">
        <f t="shared" si="37"/>
        <v>CA RIN 4.3.1</v>
      </c>
      <c r="F137" s="959" t="str">
        <f t="shared" si="31"/>
        <v>Dollars</v>
      </c>
      <c r="G137" s="959" t="str">
        <f t="shared" si="32"/>
        <v>Nominal</v>
      </c>
      <c r="H137" s="959" t="str">
        <f t="shared" si="33"/>
        <v>Mid Period</v>
      </c>
      <c r="I137" s="31" t="s">
        <v>64</v>
      </c>
      <c r="J137" s="961">
        <v>830608.83</v>
      </c>
      <c r="K137" s="961">
        <v>448513</v>
      </c>
      <c r="L137" s="961">
        <v>196184</v>
      </c>
      <c r="M137" s="961">
        <v>347481</v>
      </c>
      <c r="N137" s="962">
        <f>SUMPRODUCT($J137:$M137,Input_CPI!$N$26:$Q$26)/COUNTA($J$120:$M$120)*Input_CPI!R$11/Input_CPI!$Q$11</f>
        <v>511586.48838478659</v>
      </c>
      <c r="O137" s="962">
        <f>SUMPRODUCT($J137:$M137,Input_CPI!$N$26:$Q$26)/COUNTA($J$120:$M$120)*Input_CPI!S$11/Input_CPI!$Q$11</f>
        <v>533073.1208969478</v>
      </c>
      <c r="P137" s="962">
        <f t="shared" si="38"/>
        <v>593604.85729420756</v>
      </c>
      <c r="Q137" s="962">
        <f t="shared" si="38"/>
        <v>610935.98244573234</v>
      </c>
      <c r="R137" s="962">
        <f t="shared" si="38"/>
        <v>628773.1140682738</v>
      </c>
      <c r="S137" s="962">
        <f t="shared" si="38"/>
        <v>647131.02572941477</v>
      </c>
      <c r="T137" s="962">
        <f t="shared" si="38"/>
        <v>666024.92233173386</v>
      </c>
      <c r="V137" s="17">
        <f t="shared" si="35"/>
        <v>14</v>
      </c>
      <c r="W137" s="17">
        <f t="shared" si="35"/>
        <v>17</v>
      </c>
      <c r="X137" s="17">
        <f t="shared" si="35"/>
        <v>17</v>
      </c>
      <c r="Y137" s="17">
        <f t="shared" si="36"/>
        <v>20</v>
      </c>
    </row>
    <row r="138" spans="4:25" ht="12.75" x14ac:dyDescent="0.3">
      <c r="D138" s="6" t="str">
        <f t="shared" si="30"/>
        <v>Exchange or replace meter - prepayment</v>
      </c>
      <c r="E138" s="959" t="str">
        <f t="shared" si="37"/>
        <v>CA RIN 4.3.1</v>
      </c>
      <c r="F138" s="959" t="str">
        <f t="shared" si="31"/>
        <v>Dollars</v>
      </c>
      <c r="G138" s="959" t="str">
        <f t="shared" si="32"/>
        <v>Nominal</v>
      </c>
      <c r="H138" s="959" t="str">
        <f t="shared" si="33"/>
        <v>Mid Period</v>
      </c>
      <c r="I138" s="992" t="s">
        <v>64</v>
      </c>
      <c r="J138" s="961">
        <v>0</v>
      </c>
      <c r="K138" s="961">
        <v>0</v>
      </c>
      <c r="L138" s="961">
        <v>0</v>
      </c>
      <c r="M138" s="961">
        <v>336</v>
      </c>
      <c r="N138" s="962">
        <f>SUMPRODUCT($J138:$M138,Input_CPI!$N$26:$Q$26)/COUNTA($J$120:$M$120)*Input_CPI!R$11/Input_CPI!$Q$11</f>
        <v>89.292000000000002</v>
      </c>
      <c r="O138" s="962">
        <f>SUMPRODUCT($J138:$M138,Input_CPI!$N$26:$Q$26)/COUNTA($J$120:$M$120)*Input_CPI!S$11/Input_CPI!$Q$11</f>
        <v>93.042264000000003</v>
      </c>
      <c r="P138" s="962">
        <f t="shared" si="38"/>
        <v>0</v>
      </c>
      <c r="Q138" s="962">
        <f t="shared" si="38"/>
        <v>0</v>
      </c>
      <c r="R138" s="962">
        <f t="shared" si="38"/>
        <v>0</v>
      </c>
      <c r="S138" s="962">
        <f t="shared" si="38"/>
        <v>0</v>
      </c>
      <c r="T138" s="962">
        <f t="shared" si="38"/>
        <v>0</v>
      </c>
      <c r="V138" s="17">
        <f t="shared" si="35"/>
        <v>0</v>
      </c>
      <c r="W138" s="17">
        <f t="shared" si="35"/>
        <v>0</v>
      </c>
      <c r="X138" s="17">
        <f t="shared" si="35"/>
        <v>0</v>
      </c>
      <c r="Y138" s="17">
        <f t="shared" si="36"/>
        <v>0</v>
      </c>
    </row>
    <row r="139" spans="4:25" ht="12.75" x14ac:dyDescent="0.3">
      <c r="D139" s="6" t="str">
        <f t="shared" si="30"/>
        <v>Relocation of meter</v>
      </c>
      <c r="E139" s="959" t="str">
        <f t="shared" si="37"/>
        <v>CA RIN 4.3.1</v>
      </c>
      <c r="F139" s="959" t="str">
        <f t="shared" si="31"/>
        <v>Dollars</v>
      </c>
      <c r="G139" s="959" t="str">
        <f t="shared" si="32"/>
        <v>Nominal</v>
      </c>
      <c r="H139" s="959" t="str">
        <f t="shared" si="33"/>
        <v>Mid Period</v>
      </c>
      <c r="I139" s="31" t="s">
        <v>63</v>
      </c>
      <c r="J139" s="961">
        <v>239.53</v>
      </c>
      <c r="K139" s="961">
        <v>0</v>
      </c>
      <c r="L139" s="961">
        <v>0</v>
      </c>
      <c r="M139" s="961">
        <v>0</v>
      </c>
      <c r="N139" s="962">
        <f>SUMPRODUCT($J139:$M139,Input_CPI!$N$26:$Q$26)/COUNTA($J$120:$M$120)*Input_CPI!R$11/Input_CPI!$Q$11</f>
        <v>68.405147788167085</v>
      </c>
      <c r="O139" s="962">
        <f>SUMPRODUCT($J139:$M139,Input_CPI!$N$26:$Q$26)/COUNTA($J$120:$M$120)*Input_CPI!S$11/Input_CPI!$Q$11</f>
        <v>71.27816399527012</v>
      </c>
      <c r="P139" s="962">
        <f t="shared" si="38"/>
        <v>84.263116421698243</v>
      </c>
      <c r="Q139" s="962">
        <f t="shared" si="38"/>
        <v>86.723296116013231</v>
      </c>
      <c r="R139" s="962">
        <f t="shared" si="38"/>
        <v>89.25530420198217</v>
      </c>
      <c r="S139" s="962">
        <f t="shared" si="38"/>
        <v>91.861237810094963</v>
      </c>
      <c r="T139" s="962">
        <f t="shared" si="38"/>
        <v>94.543255299503187</v>
      </c>
      <c r="V139" s="17">
        <f t="shared" si="35"/>
        <v>15</v>
      </c>
      <c r="W139" s="17">
        <f t="shared" si="35"/>
        <v>18</v>
      </c>
      <c r="X139" s="17">
        <f t="shared" si="35"/>
        <v>18</v>
      </c>
      <c r="Y139" s="17">
        <f t="shared" si="36"/>
        <v>21</v>
      </c>
    </row>
    <row r="140" spans="4:25" ht="12.75" x14ac:dyDescent="0.3">
      <c r="D140" s="6" t="str">
        <f t="shared" si="30"/>
        <v>Remove meter</v>
      </c>
      <c r="E140" s="959" t="str">
        <f t="shared" ref="E140:E153" si="39">E139</f>
        <v>CA RIN 4.3.1</v>
      </c>
      <c r="F140" s="959" t="str">
        <f t="shared" si="31"/>
        <v>Dollars</v>
      </c>
      <c r="G140" s="959" t="str">
        <f t="shared" si="32"/>
        <v>Nominal</v>
      </c>
      <c r="H140" s="959" t="str">
        <f t="shared" si="33"/>
        <v>Mid Period</v>
      </c>
      <c r="I140" s="31" t="s">
        <v>63</v>
      </c>
      <c r="J140" s="961">
        <v>30589.84</v>
      </c>
      <c r="K140" s="961">
        <v>1477</v>
      </c>
      <c r="L140" s="961">
        <v>2201</v>
      </c>
      <c r="M140" s="961">
        <v>4545</v>
      </c>
      <c r="N140" s="962">
        <f>SUMPRODUCT($J140:$M140,Input_CPI!$N$26:$Q$26)/COUNTA($J$120:$M$120)*Input_CPI!R$11/Input_CPI!$Q$11</f>
        <v>10977.014053785975</v>
      </c>
      <c r="O140" s="962">
        <f>SUMPRODUCT($J140:$M140,Input_CPI!$N$26:$Q$26)/COUNTA($J$120:$M$120)*Input_CPI!S$11/Input_CPI!$Q$11</f>
        <v>11438.048644044986</v>
      </c>
      <c r="P140" s="962">
        <f t="shared" si="38"/>
        <v>11628.310066194357</v>
      </c>
      <c r="Q140" s="962">
        <f t="shared" si="38"/>
        <v>11967.814864009826</v>
      </c>
      <c r="R140" s="962">
        <f t="shared" si="38"/>
        <v>12317.231979873539</v>
      </c>
      <c r="S140" s="962">
        <f t="shared" si="38"/>
        <v>12676.850817793105</v>
      </c>
      <c r="T140" s="962">
        <f t="shared" si="38"/>
        <v>13046.969231331439</v>
      </c>
      <c r="V140" s="17">
        <f t="shared" si="35"/>
        <v>16</v>
      </c>
      <c r="W140" s="17">
        <f t="shared" si="35"/>
        <v>19</v>
      </c>
      <c r="X140" s="17">
        <f t="shared" si="35"/>
        <v>19</v>
      </c>
      <c r="Y140" s="17">
        <f t="shared" si="36"/>
        <v>22</v>
      </c>
    </row>
    <row r="141" spans="4:25" ht="12.75" x14ac:dyDescent="0.3">
      <c r="D141" s="6" t="str">
        <f t="shared" si="30"/>
        <v>General meter inspection</v>
      </c>
      <c r="E141" s="959" t="str">
        <f t="shared" si="39"/>
        <v>CA RIN 4.3.1</v>
      </c>
      <c r="F141" s="959" t="str">
        <f t="shared" si="31"/>
        <v>Dollars</v>
      </c>
      <c r="G141" s="959" t="str">
        <f t="shared" si="32"/>
        <v>Nominal</v>
      </c>
      <c r="H141" s="959" t="str">
        <f t="shared" si="33"/>
        <v>Mid Period</v>
      </c>
      <c r="I141" s="31" t="s">
        <v>63</v>
      </c>
      <c r="J141" s="961">
        <v>1413.83</v>
      </c>
      <c r="K141" s="961">
        <v>410</v>
      </c>
      <c r="L141" s="961">
        <v>162</v>
      </c>
      <c r="M141" s="961">
        <v>509</v>
      </c>
      <c r="N141" s="962">
        <f>SUMPRODUCT($J141:$M141,Input_CPI!$N$26:$Q$26)/COUNTA($J$120:$M$120)*Input_CPI!R$11/Input_CPI!$Q$11</f>
        <v>700.59818071737368</v>
      </c>
      <c r="O141" s="962">
        <f>SUMPRODUCT($J141:$M141,Input_CPI!$N$26:$Q$26)/COUNTA($J$120:$M$120)*Input_CPI!S$11/Input_CPI!$Q$11</f>
        <v>730.02330430750339</v>
      </c>
      <c r="P141" s="962">
        <f t="shared" si="38"/>
        <v>1167.8201295925226</v>
      </c>
      <c r="Q141" s="962">
        <f t="shared" si="38"/>
        <v>1201.9162738065288</v>
      </c>
      <c r="R141" s="962">
        <f t="shared" si="38"/>
        <v>1237.0079027024678</v>
      </c>
      <c r="S141" s="962">
        <f t="shared" si="38"/>
        <v>1273.1240808498042</v>
      </c>
      <c r="T141" s="962">
        <f t="shared" si="38"/>
        <v>1310.2947213988116</v>
      </c>
      <c r="V141" s="17">
        <f t="shared" si="35"/>
        <v>17</v>
      </c>
      <c r="W141" s="17">
        <f t="shared" si="35"/>
        <v>20</v>
      </c>
      <c r="X141" s="17">
        <f t="shared" si="35"/>
        <v>20</v>
      </c>
      <c r="Y141" s="17">
        <f t="shared" si="36"/>
        <v>23</v>
      </c>
    </row>
    <row r="142" spans="4:25" ht="12.75" x14ac:dyDescent="0.3">
      <c r="D142" s="6" t="str">
        <f t="shared" si="30"/>
        <v>Special meter read - no appointment</v>
      </c>
      <c r="E142" s="959" t="str">
        <f t="shared" si="39"/>
        <v>CA RIN 4.3.1</v>
      </c>
      <c r="F142" s="959" t="str">
        <f t="shared" si="31"/>
        <v>Dollars</v>
      </c>
      <c r="G142" s="959" t="str">
        <f t="shared" si="32"/>
        <v>Nominal</v>
      </c>
      <c r="H142" s="959" t="str">
        <f t="shared" si="33"/>
        <v>Mid Period</v>
      </c>
      <c r="I142" s="31" t="s">
        <v>63</v>
      </c>
      <c r="J142" s="961">
        <v>50280.24</v>
      </c>
      <c r="K142" s="961">
        <v>6080</v>
      </c>
      <c r="L142" s="961">
        <v>1610</v>
      </c>
      <c r="M142" s="961">
        <v>2201</v>
      </c>
      <c r="N142" s="962">
        <f>SUMPRODUCT($J142:$M142,Input_CPI!$N$26:$Q$26)/COUNTA($J$120:$M$120)*Input_CPI!R$11/Input_CPI!$Q$11</f>
        <v>17118.860141952984</v>
      </c>
      <c r="O142" s="962">
        <f>SUMPRODUCT($J142:$M142,Input_CPI!$N$26:$Q$26)/COUNTA($J$120:$M$120)*Input_CPI!S$11/Input_CPI!$Q$11</f>
        <v>17837.852267915008</v>
      </c>
      <c r="P142" s="962">
        <f t="shared" ref="P142:T151" si="40">P65*P105</f>
        <v>16283.658612521493</v>
      </c>
      <c r="Q142" s="962">
        <f t="shared" si="40"/>
        <v>16759.082830956486</v>
      </c>
      <c r="R142" s="962">
        <f t="shared" si="40"/>
        <v>17248.387725279681</v>
      </c>
      <c r="S142" s="962">
        <f t="shared" si="40"/>
        <v>17751.978561263502</v>
      </c>
      <c r="T142" s="962">
        <f t="shared" si="40"/>
        <v>18270.272436982174</v>
      </c>
      <c r="V142" s="17">
        <f t="shared" si="35"/>
        <v>18</v>
      </c>
      <c r="W142" s="17">
        <f t="shared" si="35"/>
        <v>21</v>
      </c>
      <c r="X142" s="17">
        <f t="shared" si="35"/>
        <v>21</v>
      </c>
      <c r="Y142" s="17">
        <f t="shared" si="36"/>
        <v>24</v>
      </c>
    </row>
    <row r="143" spans="4:25" ht="12.75" x14ac:dyDescent="0.3">
      <c r="D143" s="6" t="str">
        <f t="shared" si="30"/>
        <v>Special meter read - appointment</v>
      </c>
      <c r="E143" s="959" t="str">
        <f t="shared" si="39"/>
        <v>CA RIN 4.3.1</v>
      </c>
      <c r="F143" s="959" t="str">
        <f t="shared" si="31"/>
        <v>Dollars</v>
      </c>
      <c r="G143" s="959" t="str">
        <f t="shared" si="32"/>
        <v>Nominal</v>
      </c>
      <c r="H143" s="959" t="str">
        <f t="shared" si="33"/>
        <v>Mid Period</v>
      </c>
      <c r="I143" s="31" t="s">
        <v>63</v>
      </c>
      <c r="J143" s="961">
        <v>0</v>
      </c>
      <c r="K143" s="961">
        <v>1183</v>
      </c>
      <c r="L143" s="961">
        <v>387</v>
      </c>
      <c r="M143" s="961">
        <v>784</v>
      </c>
      <c r="N143" s="962">
        <f>SUMPRODUCT($J143:$M143,Input_CPI!$N$26:$Q$26)/COUNTA($J$120:$M$120)*Input_CPI!R$11/Input_CPI!$Q$11</f>
        <v>652.09278456705454</v>
      </c>
      <c r="O143" s="962">
        <f>SUMPRODUCT($J143:$M143,Input_CPI!$N$26:$Q$26)/COUNTA($J$120:$M$120)*Input_CPI!S$11/Input_CPI!$Q$11</f>
        <v>679.48068151887082</v>
      </c>
      <c r="P143" s="962">
        <f t="shared" si="40"/>
        <v>1603.1163260115779</v>
      </c>
      <c r="Q143" s="962">
        <f t="shared" si="40"/>
        <v>1649.9215523117878</v>
      </c>
      <c r="R143" s="962">
        <f t="shared" si="40"/>
        <v>1698.0933227444903</v>
      </c>
      <c r="S143" s="962">
        <f t="shared" si="40"/>
        <v>1747.6715354794767</v>
      </c>
      <c r="T143" s="962">
        <f t="shared" si="40"/>
        <v>1798.6972535694822</v>
      </c>
      <c r="V143" s="17">
        <f t="shared" si="35"/>
        <v>19</v>
      </c>
      <c r="W143" s="17">
        <f t="shared" si="35"/>
        <v>22</v>
      </c>
      <c r="X143" s="17">
        <f t="shared" si="35"/>
        <v>22</v>
      </c>
      <c r="Y143" s="17">
        <f t="shared" si="36"/>
        <v>25</v>
      </c>
    </row>
    <row r="144" spans="4:25" ht="12.75" x14ac:dyDescent="0.3">
      <c r="D144" s="6" t="str">
        <f t="shared" si="30"/>
        <v>Meter program change</v>
      </c>
      <c r="E144" s="959" t="str">
        <f t="shared" si="39"/>
        <v>CA RIN 4.3.1</v>
      </c>
      <c r="F144" s="959" t="str">
        <f t="shared" si="31"/>
        <v>Dollars</v>
      </c>
      <c r="G144" s="959" t="str">
        <f t="shared" si="32"/>
        <v>Nominal</v>
      </c>
      <c r="H144" s="959" t="str">
        <f t="shared" si="33"/>
        <v>Mid Period</v>
      </c>
      <c r="I144" s="31" t="s">
        <v>63</v>
      </c>
      <c r="J144" s="961">
        <v>113551.93</v>
      </c>
      <c r="K144" s="961">
        <v>57424</v>
      </c>
      <c r="L144" s="961">
        <v>30588</v>
      </c>
      <c r="M144" s="961">
        <v>60841</v>
      </c>
      <c r="N144" s="962">
        <f>SUMPRODUCT($J144:$M144,Input_CPI!$N$26:$Q$26)/COUNTA($J$120:$M$120)*Input_CPI!R$11/Input_CPI!$Q$11</f>
        <v>73429.589164849589</v>
      </c>
      <c r="O144" s="962">
        <f>SUMPRODUCT($J144:$M144,Input_CPI!$N$26:$Q$26)/COUNTA($J$120:$M$120)*Input_CPI!S$11/Input_CPI!$Q$11</f>
        <v>76513.631909773292</v>
      </c>
      <c r="P144" s="962">
        <f t="shared" si="40"/>
        <v>127284.51345783479</v>
      </c>
      <c r="Q144" s="962">
        <f t="shared" si="40"/>
        <v>131000.76309002965</v>
      </c>
      <c r="R144" s="962">
        <f t="shared" si="40"/>
        <v>134825.51383483913</v>
      </c>
      <c r="S144" s="962">
        <f t="shared" si="40"/>
        <v>138761.93353420173</v>
      </c>
      <c r="T144" s="962">
        <f t="shared" si="40"/>
        <v>142813.28251963781</v>
      </c>
      <c r="V144" s="17">
        <f t="shared" si="35"/>
        <v>20</v>
      </c>
      <c r="W144" s="17">
        <f t="shared" si="35"/>
        <v>23</v>
      </c>
      <c r="X144" s="17">
        <f t="shared" si="35"/>
        <v>23</v>
      </c>
      <c r="Y144" s="17">
        <f t="shared" si="36"/>
        <v>26</v>
      </c>
    </row>
    <row r="145" spans="1:25" ht="12.75" x14ac:dyDescent="0.3">
      <c r="D145" s="6" t="str">
        <f t="shared" si="30"/>
        <v>Prepayment Vending Charge</v>
      </c>
      <c r="E145" s="959" t="str">
        <f t="shared" si="39"/>
        <v>CA RIN 4.3.1</v>
      </c>
      <c r="F145" s="959" t="str">
        <f t="shared" si="31"/>
        <v>Dollars</v>
      </c>
      <c r="G145" s="959" t="str">
        <f t="shared" si="32"/>
        <v>Nominal</v>
      </c>
      <c r="H145" s="959" t="str">
        <f t="shared" si="33"/>
        <v>Mid Period</v>
      </c>
      <c r="I145" s="31" t="s">
        <v>63</v>
      </c>
      <c r="J145" s="961">
        <v>0</v>
      </c>
      <c r="K145" s="961">
        <v>80</v>
      </c>
      <c r="L145" s="961">
        <v>18451</v>
      </c>
      <c r="M145" s="961">
        <v>41080</v>
      </c>
      <c r="N145" s="962">
        <f>SUMPRODUCT($J145:$M145,Input_CPI!$N$26:$Q$26)/COUNTA($J$120:$M$120)*Input_CPI!R$11/Input_CPI!$Q$11</f>
        <v>16087.706451035516</v>
      </c>
      <c r="O145" s="962">
        <f>SUMPRODUCT($J145:$M145,Input_CPI!$N$26:$Q$26)/COUNTA($J$120:$M$120)*Input_CPI!S$11/Input_CPI!$Q$11</f>
        <v>16763.39012197901</v>
      </c>
      <c r="P145" s="962">
        <f t="shared" si="40"/>
        <v>18694.612192064949</v>
      </c>
      <c r="Q145" s="962">
        <f t="shared" si="40"/>
        <v>19240.427576792026</v>
      </c>
      <c r="R145" s="962">
        <f t="shared" si="40"/>
        <v>19802.178806089938</v>
      </c>
      <c r="S145" s="962">
        <f t="shared" si="40"/>
        <v>20380.331149259058</v>
      </c>
      <c r="T145" s="962">
        <f t="shared" si="40"/>
        <v>20975.363459788594</v>
      </c>
      <c r="V145" s="17">
        <f t="shared" si="35"/>
        <v>21</v>
      </c>
      <c r="W145" s="17">
        <f t="shared" si="35"/>
        <v>24</v>
      </c>
      <c r="X145" s="17">
        <f t="shared" si="35"/>
        <v>24</v>
      </c>
      <c r="Y145" s="17">
        <f t="shared" si="36"/>
        <v>28</v>
      </c>
    </row>
    <row r="146" spans="1:25" ht="12.75" x14ac:dyDescent="0.3">
      <c r="D146" s="6" t="str">
        <f t="shared" si="30"/>
        <v>Prepayment Meter Support Charge</v>
      </c>
      <c r="E146" s="959" t="str">
        <f t="shared" si="39"/>
        <v>CA RIN 4.3.1</v>
      </c>
      <c r="F146" s="959" t="str">
        <f t="shared" si="31"/>
        <v>Dollars</v>
      </c>
      <c r="G146" s="959" t="str">
        <f t="shared" si="32"/>
        <v>Nominal</v>
      </c>
      <c r="H146" s="959" t="str">
        <f t="shared" si="33"/>
        <v>Mid Period</v>
      </c>
      <c r="I146" s="31" t="s">
        <v>63</v>
      </c>
      <c r="J146" s="961">
        <v>0</v>
      </c>
      <c r="K146" s="961">
        <v>64</v>
      </c>
      <c r="L146" s="961">
        <v>0</v>
      </c>
      <c r="M146" s="961">
        <v>0</v>
      </c>
      <c r="N146" s="962">
        <f>SUMPRODUCT($J146:$M146,Input_CPI!$N$26:$Q$26)/COUNTA($J$120:$M$120)*Input_CPI!R$11/Input_CPI!$Q$11</f>
        <v>18.164985458206779</v>
      </c>
      <c r="O146" s="962">
        <f>SUMPRODUCT($J146:$M146,Input_CPI!$N$26:$Q$26)/COUNTA($J$120:$M$120)*Input_CPI!S$11/Input_CPI!$Q$11</f>
        <v>18.927914847451465</v>
      </c>
      <c r="P146" s="962">
        <f t="shared" si="40"/>
        <v>21.148951604192206</v>
      </c>
      <c r="Q146" s="962">
        <f t="shared" si="40"/>
        <v>21.76642486535545</v>
      </c>
      <c r="R146" s="962">
        <f t="shared" si="40"/>
        <v>22.401926123148844</v>
      </c>
      <c r="S146" s="962">
        <f t="shared" si="40"/>
        <v>23.055981730182189</v>
      </c>
      <c r="T146" s="962">
        <f t="shared" si="40"/>
        <v>23.72913340666689</v>
      </c>
      <c r="V146" s="17">
        <f t="shared" si="35"/>
        <v>22</v>
      </c>
      <c r="W146" s="17">
        <f t="shared" si="35"/>
        <v>25</v>
      </c>
      <c r="X146" s="17">
        <f t="shared" si="35"/>
        <v>25</v>
      </c>
      <c r="Y146" s="17">
        <f t="shared" si="36"/>
        <v>29</v>
      </c>
    </row>
    <row r="147" spans="1:25" ht="12.75" x14ac:dyDescent="0.3">
      <c r="D147" s="6" t="str">
        <f t="shared" si="30"/>
        <v>Historical data requests</v>
      </c>
      <c r="E147" s="959" t="str">
        <f t="shared" si="39"/>
        <v>CA RIN 4.3.1</v>
      </c>
      <c r="F147" s="959" t="str">
        <f t="shared" si="31"/>
        <v>Dollars</v>
      </c>
      <c r="G147" s="959" t="str">
        <f t="shared" si="32"/>
        <v>Nominal</v>
      </c>
      <c r="H147" s="959" t="str">
        <f t="shared" si="33"/>
        <v>Mid Period</v>
      </c>
      <c r="I147" s="31" t="s">
        <v>63</v>
      </c>
      <c r="J147" s="961">
        <v>64101.1</v>
      </c>
      <c r="K147" s="961">
        <v>11899</v>
      </c>
      <c r="L147" s="961">
        <v>25277</v>
      </c>
      <c r="M147" s="961">
        <v>40526</v>
      </c>
      <c r="N147" s="962">
        <f>SUMPRODUCT($J147:$M147,Input_CPI!$N$26:$Q$26)/COUNTA($J$120:$M$120)*Input_CPI!R$11/Input_CPI!$Q$11</f>
        <v>39505.594254373718</v>
      </c>
      <c r="O147" s="962">
        <f>SUMPRODUCT($J147:$M147,Input_CPI!$N$26:$Q$26)/COUNTA($J$120:$M$120)*Input_CPI!S$11/Input_CPI!$Q$11</f>
        <v>41164.829213057412</v>
      </c>
      <c r="P147" s="962">
        <f t="shared" si="40"/>
        <v>51603.287473654455</v>
      </c>
      <c r="Q147" s="962">
        <f t="shared" si="40"/>
        <v>53109.917721783902</v>
      </c>
      <c r="R147" s="962">
        <f t="shared" si="40"/>
        <v>54660.53615004116</v>
      </c>
      <c r="S147" s="962">
        <f t="shared" si="40"/>
        <v>56256.427054950465</v>
      </c>
      <c r="T147" s="962">
        <f t="shared" si="40"/>
        <v>57898.912229871705</v>
      </c>
      <c r="V147" s="17">
        <f t="shared" si="35"/>
        <v>23</v>
      </c>
      <c r="W147" s="17">
        <f t="shared" si="35"/>
        <v>26</v>
      </c>
      <c r="X147" s="17">
        <f t="shared" si="35"/>
        <v>26</v>
      </c>
      <c r="Y147" s="17">
        <f t="shared" si="36"/>
        <v>13</v>
      </c>
    </row>
    <row r="148" spans="1:25" ht="12.75" x14ac:dyDescent="0.3">
      <c r="D148" s="6" t="str">
        <f t="shared" si="30"/>
        <v>Standing data requests</v>
      </c>
      <c r="E148" s="959" t="str">
        <f t="shared" si="39"/>
        <v>CA RIN 4.3.1</v>
      </c>
      <c r="F148" s="959" t="str">
        <f t="shared" si="31"/>
        <v>Dollars</v>
      </c>
      <c r="G148" s="959" t="str">
        <f t="shared" si="32"/>
        <v>Nominal</v>
      </c>
      <c r="H148" s="959" t="str">
        <f t="shared" si="33"/>
        <v>Mid Period</v>
      </c>
      <c r="I148" s="31" t="s">
        <v>63</v>
      </c>
      <c r="J148" s="961">
        <v>21883</v>
      </c>
      <c r="K148" s="961">
        <v>1258</v>
      </c>
      <c r="L148" s="961">
        <v>1651</v>
      </c>
      <c r="M148" s="961">
        <v>2010</v>
      </c>
      <c r="N148" s="962">
        <f>SUMPRODUCT($J148:$M148,Input_CPI!$N$26:$Q$26)/COUNTA($J$120:$M$120)*Input_CPI!R$11/Input_CPI!$Q$11</f>
        <v>7601.2191276826861</v>
      </c>
      <c r="O148" s="962">
        <f>SUMPRODUCT($J148:$M148,Input_CPI!$N$26:$Q$26)/COUNTA($J$120:$M$120)*Input_CPI!S$11/Input_CPI!$Q$11</f>
        <v>7920.4703310453597</v>
      </c>
      <c r="P148" s="962">
        <f t="shared" si="40"/>
        <v>3729.4411301018704</v>
      </c>
      <c r="Q148" s="962">
        <f t="shared" si="40"/>
        <v>3838.3273869725822</v>
      </c>
      <c r="R148" s="962">
        <f t="shared" si="40"/>
        <v>3950.3927306076944</v>
      </c>
      <c r="S148" s="962">
        <f t="shared" si="40"/>
        <v>4065.7299788975993</v>
      </c>
      <c r="T148" s="962">
        <f t="shared" si="40"/>
        <v>4184.4346596809919</v>
      </c>
      <c r="V148" s="17">
        <f t="shared" si="35"/>
        <v>24</v>
      </c>
      <c r="W148" s="17">
        <f t="shared" si="35"/>
        <v>27</v>
      </c>
      <c r="X148" s="17">
        <f t="shared" si="35"/>
        <v>27</v>
      </c>
      <c r="Y148" s="17">
        <f t="shared" si="36"/>
        <v>14</v>
      </c>
    </row>
    <row r="149" spans="1:25" ht="12.75" x14ac:dyDescent="0.3">
      <c r="D149" s="6" t="str">
        <f t="shared" si="30"/>
        <v>Customer transfers</v>
      </c>
      <c r="E149" s="959" t="str">
        <f t="shared" si="39"/>
        <v>CA RIN 4.3.1</v>
      </c>
      <c r="F149" s="959" t="str">
        <f t="shared" si="31"/>
        <v>Dollars</v>
      </c>
      <c r="G149" s="959" t="str">
        <f t="shared" si="32"/>
        <v>Nominal</v>
      </c>
      <c r="H149" s="959" t="str">
        <f t="shared" si="33"/>
        <v>Mid Period</v>
      </c>
      <c r="I149" s="31" t="s">
        <v>63</v>
      </c>
      <c r="J149" s="961">
        <v>0</v>
      </c>
      <c r="K149" s="961">
        <v>1722</v>
      </c>
      <c r="L149" s="961">
        <v>7454</v>
      </c>
      <c r="M149" s="961">
        <v>19993</v>
      </c>
      <c r="N149" s="962">
        <f>SUMPRODUCT($J149:$M149,Input_CPI!$N$26:$Q$26)/COUNTA($J$120:$M$120)*Input_CPI!R$11/Input_CPI!$Q$11</f>
        <v>7881.6225207643411</v>
      </c>
      <c r="O149" s="962">
        <f>SUMPRODUCT($J149:$M149,Input_CPI!$N$26:$Q$26)/COUNTA($J$120:$M$120)*Input_CPI!S$11/Input_CPI!$Q$11</f>
        <v>8212.6506666364439</v>
      </c>
      <c r="P149" s="962">
        <f t="shared" si="40"/>
        <v>14207.394781340457</v>
      </c>
      <c r="Q149" s="962">
        <f t="shared" si="40"/>
        <v>14622.199569419361</v>
      </c>
      <c r="R149" s="962">
        <f t="shared" si="40"/>
        <v>15049.115164219787</v>
      </c>
      <c r="S149" s="962">
        <f t="shared" si="40"/>
        <v>15488.49515770514</v>
      </c>
      <c r="T149" s="962">
        <f t="shared" si="40"/>
        <v>15940.703465451399</v>
      </c>
      <c r="V149" s="17">
        <f t="shared" si="35"/>
        <v>25</v>
      </c>
      <c r="W149" s="17">
        <f t="shared" si="35"/>
        <v>28</v>
      </c>
      <c r="X149" s="17">
        <f t="shared" si="35"/>
        <v>28</v>
      </c>
      <c r="Y149" s="17">
        <f t="shared" si="36"/>
        <v>15</v>
      </c>
    </row>
    <row r="150" spans="1:25" ht="12.75" x14ac:dyDescent="0.3">
      <c r="D150" s="6" t="str">
        <f t="shared" si="30"/>
        <v>Network tariff change request</v>
      </c>
      <c r="E150" s="959" t="str">
        <f t="shared" si="39"/>
        <v>CA RIN 4.3.1</v>
      </c>
      <c r="F150" s="959" t="str">
        <f t="shared" si="31"/>
        <v>Dollars</v>
      </c>
      <c r="G150" s="959" t="str">
        <f t="shared" si="32"/>
        <v>Nominal</v>
      </c>
      <c r="H150" s="959" t="str">
        <f t="shared" si="33"/>
        <v>Mid Period</v>
      </c>
      <c r="I150" s="31" t="s">
        <v>63</v>
      </c>
      <c r="J150" s="961">
        <v>0</v>
      </c>
      <c r="K150" s="961">
        <v>0</v>
      </c>
      <c r="L150" s="961">
        <v>101</v>
      </c>
      <c r="M150" s="961">
        <v>127</v>
      </c>
      <c r="N150" s="962">
        <f>SUMPRODUCT($J150:$M150,Input_CPI!$N$26:$Q$26)/COUNTA($J$120:$M$120)*Input_CPI!R$11/Input_CPI!$Q$11</f>
        <v>61.930132507207652</v>
      </c>
      <c r="O150" s="962">
        <f>SUMPRODUCT($J150:$M150,Input_CPI!$N$26:$Q$26)/COUNTA($J$120:$M$120)*Input_CPI!S$11/Input_CPI!$Q$11</f>
        <v>64.531198072510378</v>
      </c>
      <c r="P150" s="962">
        <f t="shared" si="40"/>
        <v>114.16656520720011</v>
      </c>
      <c r="Q150" s="962">
        <f t="shared" si="40"/>
        <v>117.49981796854844</v>
      </c>
      <c r="R150" s="962">
        <f t="shared" si="40"/>
        <v>120.93038971248043</v>
      </c>
      <c r="S150" s="962">
        <f t="shared" si="40"/>
        <v>124.46112180298773</v>
      </c>
      <c r="T150" s="962">
        <f t="shared" si="40"/>
        <v>128.09493856166304</v>
      </c>
      <c r="V150" s="17">
        <f t="shared" si="35"/>
        <v>26</v>
      </c>
      <c r="W150" s="17">
        <f t="shared" si="35"/>
        <v>29</v>
      </c>
      <c r="X150" s="17">
        <f t="shared" si="35"/>
        <v>29</v>
      </c>
      <c r="Y150" s="17">
        <f t="shared" si="36"/>
        <v>16</v>
      </c>
    </row>
    <row r="151" spans="1:25" ht="12.75" x14ac:dyDescent="0.3">
      <c r="D151" s="6" t="str">
        <f t="shared" si="30"/>
        <v>Installation of Minor Apparatus</v>
      </c>
      <c r="E151" s="959" t="str">
        <f t="shared" si="39"/>
        <v>CA RIN 4.3.1</v>
      </c>
      <c r="F151" s="959" t="str">
        <f t="shared" si="31"/>
        <v>Dollars</v>
      </c>
      <c r="G151" s="959" t="str">
        <f t="shared" si="32"/>
        <v>Nominal</v>
      </c>
      <c r="H151" s="959" t="str">
        <f t="shared" si="33"/>
        <v>Mid Period</v>
      </c>
      <c r="I151" s="31" t="s">
        <v>63</v>
      </c>
      <c r="J151" s="961">
        <v>479.06</v>
      </c>
      <c r="K151" s="961">
        <v>914</v>
      </c>
      <c r="L151" s="961">
        <v>483</v>
      </c>
      <c r="M151" s="961">
        <v>0</v>
      </c>
      <c r="N151" s="962">
        <f>SUMPRODUCT($J151:$M151,Input_CPI!$N$26:$Q$26)/COUNTA($J$120:$M$120)*Input_CPI!R$11/Input_CPI!$Q$11</f>
        <v>530.99021445809535</v>
      </c>
      <c r="O151" s="962">
        <f>SUMPRODUCT($J151:$M151,Input_CPI!$N$26:$Q$26)/COUNTA($J$120:$M$120)*Input_CPI!S$11/Input_CPI!$Q$11</f>
        <v>553.29180346533542</v>
      </c>
      <c r="P151" s="962">
        <f t="shared" si="40"/>
        <v>900.62857579371007</v>
      </c>
      <c r="Q151" s="962">
        <f t="shared" si="40"/>
        <v>926.92368839314111</v>
      </c>
      <c r="R151" s="962">
        <f t="shared" si="40"/>
        <v>953.98652363118299</v>
      </c>
      <c r="S151" s="962">
        <f t="shared" si="40"/>
        <v>981.8394962454646</v>
      </c>
      <c r="T151" s="962">
        <f t="shared" si="40"/>
        <v>1010.5056754032717</v>
      </c>
      <c r="V151" s="17">
        <f t="shared" si="35"/>
        <v>27</v>
      </c>
      <c r="W151" s="17">
        <f t="shared" si="35"/>
        <v>30</v>
      </c>
      <c r="X151" s="17">
        <f t="shared" si="35"/>
        <v>30</v>
      </c>
      <c r="Y151" s="17">
        <f t="shared" si="36"/>
        <v>17</v>
      </c>
    </row>
    <row r="152" spans="1:25" ht="12.75" x14ac:dyDescent="0.3">
      <c r="D152" s="6" t="str">
        <f t="shared" si="30"/>
        <v>Wasted visit fee</v>
      </c>
      <c r="E152" s="959" t="str">
        <f t="shared" si="39"/>
        <v>CA RIN 4.3.1</v>
      </c>
      <c r="F152" s="959" t="str">
        <f t="shared" si="31"/>
        <v>Dollars</v>
      </c>
      <c r="G152" s="959" t="str">
        <f t="shared" si="32"/>
        <v>Nominal</v>
      </c>
      <c r="H152" s="959" t="str">
        <f t="shared" si="33"/>
        <v>Mid Period</v>
      </c>
      <c r="I152" s="31" t="s">
        <v>63</v>
      </c>
      <c r="J152" s="961">
        <v>0</v>
      </c>
      <c r="K152" s="961">
        <v>168</v>
      </c>
      <c r="L152" s="961">
        <v>356</v>
      </c>
      <c r="M152" s="961">
        <v>113</v>
      </c>
      <c r="N152" s="962">
        <f>SUMPRODUCT($J152:$M152,Input_CPI!$N$26:$Q$26)/COUNTA($J$120:$M$120)*Input_CPI!R$11/Input_CPI!$Q$11</f>
        <v>177.03994744725745</v>
      </c>
      <c r="O152" s="962">
        <f>SUMPRODUCT($J152:$M152,Input_CPI!$N$26:$Q$26)/COUNTA($J$120:$M$120)*Input_CPI!S$11/Input_CPI!$Q$11</f>
        <v>184.47562524004226</v>
      </c>
      <c r="P152" s="962">
        <f t="shared" ref="P152:T153" si="41">P75*P115</f>
        <v>499.96358657121391</v>
      </c>
      <c r="Q152" s="962">
        <f t="shared" si="41"/>
        <v>514.56072367950458</v>
      </c>
      <c r="R152" s="962">
        <f t="shared" si="41"/>
        <v>529.58404464894318</v>
      </c>
      <c r="S152" s="962">
        <f t="shared" si="41"/>
        <v>545.04599251422576</v>
      </c>
      <c r="T152" s="962">
        <f t="shared" si="41"/>
        <v>560.95937360187281</v>
      </c>
      <c r="V152" s="17">
        <f t="shared" si="35"/>
        <v>28</v>
      </c>
      <c r="W152" s="17">
        <f t="shared" si="35"/>
        <v>31</v>
      </c>
      <c r="X152" s="17">
        <f t="shared" si="35"/>
        <v>31</v>
      </c>
      <c r="Y152" s="17">
        <f t="shared" si="36"/>
        <v>11</v>
      </c>
    </row>
    <row r="153" spans="1:25" ht="12.75" x14ac:dyDescent="0.3">
      <c r="D153" s="6" t="str">
        <f t="shared" si="30"/>
        <v>[Spare]</v>
      </c>
      <c r="E153" s="959" t="str">
        <f t="shared" si="39"/>
        <v>CA RIN 4.3.1</v>
      </c>
      <c r="F153" s="959" t="str">
        <f t="shared" si="31"/>
        <v>Dollars</v>
      </c>
      <c r="G153" s="959" t="str">
        <f t="shared" si="32"/>
        <v>Nominal</v>
      </c>
      <c r="H153" s="959" t="str">
        <f t="shared" si="33"/>
        <v>Mid Period</v>
      </c>
      <c r="I153" s="31" t="s">
        <v>63</v>
      </c>
      <c r="J153" s="961">
        <v>0</v>
      </c>
      <c r="K153" s="961">
        <v>0</v>
      </c>
      <c r="L153" s="961">
        <v>0</v>
      </c>
      <c r="M153" s="961">
        <v>0</v>
      </c>
      <c r="N153" s="962">
        <f>SUMPRODUCT($J153:$M153,Input_CPI!$N$26:$Q$26)/COUNTA($J$120:$M$120)*Input_CPI!R$11/Input_CPI!$Q$11</f>
        <v>0</v>
      </c>
      <c r="O153" s="962">
        <f>SUMPRODUCT($J153:$M153,Input_CPI!$N$26:$Q$26)/COUNTA($J$120:$M$120)*Input_CPI!S$11/Input_CPI!$Q$11</f>
        <v>0</v>
      </c>
      <c r="P153" s="962">
        <f t="shared" si="41"/>
        <v>0</v>
      </c>
      <c r="Q153" s="962">
        <f t="shared" si="41"/>
        <v>0</v>
      </c>
      <c r="R153" s="962">
        <f t="shared" si="41"/>
        <v>0</v>
      </c>
      <c r="S153" s="962">
        <f t="shared" si="41"/>
        <v>0</v>
      </c>
      <c r="T153" s="962">
        <f t="shared" si="41"/>
        <v>0</v>
      </c>
      <c r="V153" s="17">
        <f t="shared" si="35"/>
        <v>0</v>
      </c>
      <c r="W153" s="17">
        <f t="shared" si="35"/>
        <v>0</v>
      </c>
      <c r="X153" s="17">
        <f t="shared" si="35"/>
        <v>0</v>
      </c>
      <c r="Y153" s="17">
        <f t="shared" si="36"/>
        <v>0</v>
      </c>
    </row>
    <row r="154" spans="1:25" ht="11.25" customHeight="1" x14ac:dyDescent="0.3"/>
    <row r="155" spans="1:25" ht="11.25" customHeight="1" x14ac:dyDescent="0.3">
      <c r="D155" s="402" t="s">
        <v>1064</v>
      </c>
      <c r="E155" s="963" t="s">
        <v>102</v>
      </c>
      <c r="F155" s="963" t="str">
        <f>Dollars</f>
        <v>Dollars</v>
      </c>
      <c r="G155" s="963" t="str">
        <f>Nominal</f>
        <v>Nominal</v>
      </c>
      <c r="H155" s="963" t="str">
        <f>Mid_Period</f>
        <v>Mid Period</v>
      </c>
      <c r="I155" s="963" t="str">
        <f>NA</f>
        <v>N/A</v>
      </c>
      <c r="J155" s="964">
        <f t="shared" ref="J155:T155" si="42">SUM(J122:J153)</f>
        <v>1936731.0000000002</v>
      </c>
      <c r="K155" s="964">
        <f t="shared" si="42"/>
        <v>1813423</v>
      </c>
      <c r="L155" s="964">
        <f t="shared" si="42"/>
        <v>1267554</v>
      </c>
      <c r="M155" s="964">
        <f t="shared" si="42"/>
        <v>2399184</v>
      </c>
      <c r="N155" s="964">
        <f t="shared" si="42"/>
        <v>2059034.8440459149</v>
      </c>
      <c r="O155" s="964">
        <f t="shared" si="42"/>
        <v>2145514.3074958436</v>
      </c>
      <c r="P155" s="964">
        <f t="shared" si="42"/>
        <v>3312423.7572536478</v>
      </c>
      <c r="Q155" s="964">
        <f t="shared" si="42"/>
        <v>3409134.6078917747</v>
      </c>
      <c r="R155" s="964">
        <f t="shared" si="42"/>
        <v>3508669.067257701</v>
      </c>
      <c r="S155" s="964">
        <f t="shared" si="42"/>
        <v>3611109.5745626953</v>
      </c>
      <c r="T155" s="964">
        <f t="shared" si="42"/>
        <v>3716540.9759462527</v>
      </c>
    </row>
    <row r="156" spans="1:25" ht="11.25" customHeight="1" x14ac:dyDescent="0.3"/>
    <row r="157" spans="1:25" ht="11.25" customHeight="1" x14ac:dyDescent="0.3">
      <c r="D157" s="6" t="s">
        <v>903</v>
      </c>
      <c r="E157" s="959" t="str">
        <f>E122</f>
        <v>CA RIN 4.3.1</v>
      </c>
      <c r="F157" s="959" t="str">
        <f>Dollars</f>
        <v>Dollars</v>
      </c>
      <c r="G157" s="959" t="str">
        <f>Nominal</f>
        <v>Nominal</v>
      </c>
      <c r="H157" s="959" t="str">
        <f>Mid_Period</f>
        <v>Mid Period</v>
      </c>
      <c r="I157" s="959" t="str">
        <f>NA</f>
        <v>N/A</v>
      </c>
      <c r="J157" s="961">
        <v>1936731.0000000002</v>
      </c>
      <c r="K157" s="961">
        <v>1813423</v>
      </c>
      <c r="L157" s="961">
        <v>1267554</v>
      </c>
      <c r="M157" s="961">
        <v>2399184</v>
      </c>
      <c r="N157" s="139"/>
      <c r="O157" s="139"/>
      <c r="P157" s="139"/>
      <c r="Q157" s="139"/>
      <c r="R157" s="139"/>
      <c r="S157" s="139"/>
      <c r="T157" s="139"/>
      <c r="V157" s="139"/>
      <c r="W157" s="139"/>
      <c r="X157" s="139"/>
    </row>
    <row r="158" spans="1:25" ht="11.25" customHeight="1" x14ac:dyDescent="0.3">
      <c r="A158" s="41">
        <f>IF(SUM(J158:M158)=0,0,1)</f>
        <v>0</v>
      </c>
      <c r="D158" s="6" t="s">
        <v>193</v>
      </c>
      <c r="E158" s="959" t="str">
        <f>NA</f>
        <v>N/A</v>
      </c>
      <c r="F158" s="959" t="str">
        <f>NA</f>
        <v>N/A</v>
      </c>
      <c r="G158" s="959" t="str">
        <f>NA</f>
        <v>N/A</v>
      </c>
      <c r="H158" s="959" t="str">
        <f>NA</f>
        <v>N/A</v>
      </c>
      <c r="I158" s="959" t="str">
        <f>NA</f>
        <v>N/A</v>
      </c>
      <c r="J158" s="62">
        <f>IF(SUM(J122:J153)-J157=0,0,1)</f>
        <v>0</v>
      </c>
      <c r="K158" s="62">
        <f t="shared" ref="K158:M158" si="43">IF(SUM(K122:K153)-K157=0,0,1)</f>
        <v>0</v>
      </c>
      <c r="L158" s="62">
        <f t="shared" si="43"/>
        <v>0</v>
      </c>
      <c r="M158" s="62">
        <f t="shared" si="43"/>
        <v>0</v>
      </c>
      <c r="N158" s="139"/>
      <c r="O158" s="139"/>
      <c r="P158" s="139"/>
      <c r="Q158" s="139"/>
      <c r="R158" s="139"/>
      <c r="S158" s="139"/>
      <c r="T158" s="139"/>
      <c r="V158" s="139"/>
      <c r="W158" s="139"/>
      <c r="X158" s="139"/>
    </row>
    <row r="159" spans="1:25" ht="11.25" customHeight="1" x14ac:dyDescent="0.3"/>
    <row r="160" spans="1:25" ht="11.25" customHeight="1" x14ac:dyDescent="0.3">
      <c r="D160" s="6" t="s">
        <v>63</v>
      </c>
      <c r="E160" s="959" t="s">
        <v>102</v>
      </c>
      <c r="F160" s="959" t="str">
        <f>Dollars</f>
        <v>Dollars</v>
      </c>
      <c r="G160" s="959" t="str">
        <f>Nominal</f>
        <v>Nominal</v>
      </c>
      <c r="H160" s="959" t="str">
        <f>Mid_Period</f>
        <v>Mid Period</v>
      </c>
      <c r="I160" s="959" t="str">
        <f>NA</f>
        <v>N/A</v>
      </c>
      <c r="J160" s="962">
        <f t="shared" ref="J160:T161" si="44">SUMIF($I$122:$I$153,$D160,J$122:J$153)</f>
        <v>756565.93</v>
      </c>
      <c r="K160" s="962">
        <f t="shared" si="44"/>
        <v>1206146</v>
      </c>
      <c r="L160" s="962">
        <f t="shared" si="44"/>
        <v>991947</v>
      </c>
      <c r="M160" s="962">
        <f t="shared" si="44"/>
        <v>1913572</v>
      </c>
      <c r="N160" s="962">
        <f t="shared" si="44"/>
        <v>1343692.1593994687</v>
      </c>
      <c r="O160" s="962">
        <f t="shared" si="44"/>
        <v>1400127.2300942456</v>
      </c>
      <c r="P160" s="962">
        <f t="shared" si="44"/>
        <v>2449113.528002122</v>
      </c>
      <c r="Q160" s="962">
        <f t="shared" si="44"/>
        <v>2520618.8274324122</v>
      </c>
      <c r="R160" s="962">
        <f t="shared" si="44"/>
        <v>2594211.8242226476</v>
      </c>
      <c r="S160" s="962">
        <f t="shared" si="44"/>
        <v>2669953.4716210701</v>
      </c>
      <c r="T160" s="962">
        <f t="shared" si="44"/>
        <v>2747906.5024913647</v>
      </c>
    </row>
    <row r="161" spans="1:24" ht="11.25" customHeight="1" x14ac:dyDescent="0.3">
      <c r="D161" s="6" t="s">
        <v>64</v>
      </c>
      <c r="E161" s="959" t="s">
        <v>102</v>
      </c>
      <c r="F161" s="959" t="str">
        <f>Dollars</f>
        <v>Dollars</v>
      </c>
      <c r="G161" s="959" t="str">
        <f>Nominal</f>
        <v>Nominal</v>
      </c>
      <c r="H161" s="959" t="str">
        <f>Mid_Period</f>
        <v>Mid Period</v>
      </c>
      <c r="I161" s="959" t="str">
        <f>NA</f>
        <v>N/A</v>
      </c>
      <c r="J161" s="962">
        <f t="shared" si="44"/>
        <v>1180165.0699999998</v>
      </c>
      <c r="K161" s="962">
        <f t="shared" si="44"/>
        <v>607277</v>
      </c>
      <c r="L161" s="962">
        <f t="shared" si="44"/>
        <v>275607</v>
      </c>
      <c r="M161" s="962">
        <f t="shared" si="44"/>
        <v>485612</v>
      </c>
      <c r="N161" s="962">
        <f t="shared" si="44"/>
        <v>715342.68464644649</v>
      </c>
      <c r="O161" s="962">
        <f t="shared" si="44"/>
        <v>745387.07740159752</v>
      </c>
      <c r="P161" s="962">
        <f t="shared" si="44"/>
        <v>863310.22925152583</v>
      </c>
      <c r="Q161" s="962">
        <f t="shared" si="44"/>
        <v>888515.78045936255</v>
      </c>
      <c r="R161" s="962">
        <f t="shared" si="44"/>
        <v>914457.24303505325</v>
      </c>
      <c r="S161" s="962">
        <f t="shared" si="44"/>
        <v>941156.10294162552</v>
      </c>
      <c r="T161" s="962">
        <f t="shared" si="44"/>
        <v>968634.47345488821</v>
      </c>
    </row>
    <row r="162" spans="1:24" ht="11.25" customHeight="1" x14ac:dyDescent="0.3"/>
    <row r="163" spans="1:24" ht="13.15" x14ac:dyDescent="0.3">
      <c r="D163" s="909" t="str">
        <f>I43</f>
        <v>Charge type</v>
      </c>
    </row>
    <row r="164" spans="1:24" ht="12.75" x14ac:dyDescent="0.3">
      <c r="D164" s="958" t="s">
        <v>906</v>
      </c>
      <c r="E164" s="959" t="s">
        <v>102</v>
      </c>
      <c r="F164" s="959" t="str">
        <f t="shared" ref="F164:F169" si="45">Dollars</f>
        <v>Dollars</v>
      </c>
      <c r="G164" s="959" t="str">
        <f t="shared" ref="G164:G169" si="46">Nominal</f>
        <v>Nominal</v>
      </c>
      <c r="H164" s="959" t="str">
        <f t="shared" ref="H164:H169" si="47">Mid_Period</f>
        <v>Mid Period</v>
      </c>
      <c r="I164" s="959" t="str">
        <f t="shared" ref="I164:I169" si="48">NA</f>
        <v>N/A</v>
      </c>
      <c r="J164" s="962">
        <f t="shared" ref="J164:T169" si="49">SUMIF($I$45:$I$76,$D164,J$122:J$153)</f>
        <v>462724.39</v>
      </c>
      <c r="K164" s="962">
        <f t="shared" si="49"/>
        <v>1063060</v>
      </c>
      <c r="L164" s="962">
        <f t="shared" si="49"/>
        <v>848357</v>
      </c>
      <c r="M164" s="962">
        <f t="shared" si="49"/>
        <v>1627208</v>
      </c>
      <c r="N164" s="962">
        <f t="shared" si="49"/>
        <v>1103000.7871558941</v>
      </c>
      <c r="O164" s="962">
        <f t="shared" si="49"/>
        <v>1149326.8202164415</v>
      </c>
      <c r="P164" s="962">
        <f t="shared" si="49"/>
        <v>2048222.354230209</v>
      </c>
      <c r="Q164" s="962">
        <f t="shared" si="49"/>
        <v>2108023.0743946675</v>
      </c>
      <c r="R164" s="962">
        <f t="shared" si="49"/>
        <v>2169569.7603351581</v>
      </c>
      <c r="S164" s="962">
        <f t="shared" si="49"/>
        <v>2232913.3879677332</v>
      </c>
      <c r="T164" s="962">
        <f t="shared" si="49"/>
        <v>2298106.4215217084</v>
      </c>
    </row>
    <row r="165" spans="1:24" ht="12.75" x14ac:dyDescent="0.3">
      <c r="D165" s="958" t="s">
        <v>907</v>
      </c>
      <c r="E165" s="959" t="s">
        <v>102</v>
      </c>
      <c r="F165" s="959" t="str">
        <f t="shared" si="45"/>
        <v>Dollars</v>
      </c>
      <c r="G165" s="959" t="str">
        <f t="shared" si="46"/>
        <v>Nominal</v>
      </c>
      <c r="H165" s="959" t="str">
        <f t="shared" si="47"/>
        <v>Mid Period</v>
      </c>
      <c r="I165" s="959" t="str">
        <f t="shared" si="48"/>
        <v>N/A</v>
      </c>
      <c r="J165" s="962">
        <f t="shared" si="49"/>
        <v>0</v>
      </c>
      <c r="K165" s="962">
        <f t="shared" si="49"/>
        <v>59699</v>
      </c>
      <c r="L165" s="962">
        <f t="shared" si="49"/>
        <v>53143</v>
      </c>
      <c r="M165" s="962">
        <f t="shared" si="49"/>
        <v>109612</v>
      </c>
      <c r="N165" s="962">
        <f t="shared" si="49"/>
        <v>60900.99201716778</v>
      </c>
      <c r="O165" s="962">
        <f t="shared" si="49"/>
        <v>63458.83368188882</v>
      </c>
      <c r="P165" s="962">
        <f t="shared" si="49"/>
        <v>146127.94399229792</v>
      </c>
      <c r="Q165" s="962">
        <f t="shared" si="49"/>
        <v>150394.35396914603</v>
      </c>
      <c r="R165" s="962">
        <f t="shared" si="49"/>
        <v>154785.32776036981</v>
      </c>
      <c r="S165" s="962">
        <f t="shared" si="49"/>
        <v>159304.50218098136</v>
      </c>
      <c r="T165" s="962">
        <f t="shared" si="49"/>
        <v>163955.62022790051</v>
      </c>
    </row>
    <row r="166" spans="1:24" ht="12.75" x14ac:dyDescent="0.3">
      <c r="D166" s="958" t="s">
        <v>232</v>
      </c>
      <c r="E166" s="959" t="s">
        <v>102</v>
      </c>
      <c r="F166" s="959" t="str">
        <f t="shared" si="45"/>
        <v>Dollars</v>
      </c>
      <c r="G166" s="959" t="str">
        <f t="shared" si="46"/>
        <v>Nominal</v>
      </c>
      <c r="H166" s="959" t="str">
        <f t="shared" si="47"/>
        <v>Mid Period</v>
      </c>
      <c r="I166" s="959" t="str">
        <f t="shared" si="48"/>
        <v>N/A</v>
      </c>
      <c r="J166" s="962">
        <f t="shared" si="49"/>
        <v>0</v>
      </c>
      <c r="K166" s="962">
        <f t="shared" si="49"/>
        <v>0</v>
      </c>
      <c r="L166" s="962">
        <f t="shared" si="49"/>
        <v>0</v>
      </c>
      <c r="M166" s="962">
        <f t="shared" si="49"/>
        <v>0</v>
      </c>
      <c r="N166" s="962">
        <f t="shared" si="49"/>
        <v>0</v>
      </c>
      <c r="O166" s="962">
        <f t="shared" si="49"/>
        <v>0</v>
      </c>
      <c r="P166" s="962">
        <f t="shared" si="49"/>
        <v>0</v>
      </c>
      <c r="Q166" s="962">
        <f t="shared" si="49"/>
        <v>0</v>
      </c>
      <c r="R166" s="962">
        <f t="shared" si="49"/>
        <v>0</v>
      </c>
      <c r="S166" s="962">
        <f t="shared" si="49"/>
        <v>0</v>
      </c>
      <c r="T166" s="962">
        <f t="shared" si="49"/>
        <v>0</v>
      </c>
    </row>
    <row r="167" spans="1:24" ht="12.75" x14ac:dyDescent="0.3">
      <c r="D167" s="958" t="s">
        <v>908</v>
      </c>
      <c r="E167" s="959" t="s">
        <v>102</v>
      </c>
      <c r="F167" s="959" t="str">
        <f t="shared" si="45"/>
        <v>Dollars</v>
      </c>
      <c r="G167" s="959" t="str">
        <f t="shared" si="46"/>
        <v>Nominal</v>
      </c>
      <c r="H167" s="959" t="str">
        <f t="shared" si="47"/>
        <v>Mid Period</v>
      </c>
      <c r="I167" s="959" t="str">
        <f t="shared" si="48"/>
        <v>N/A</v>
      </c>
      <c r="J167" s="962">
        <f t="shared" si="49"/>
        <v>1387543.4500000002</v>
      </c>
      <c r="K167" s="962">
        <f t="shared" si="49"/>
        <v>674727</v>
      </c>
      <c r="L167" s="962">
        <f t="shared" si="49"/>
        <v>312637</v>
      </c>
      <c r="M167" s="962">
        <f t="shared" si="49"/>
        <v>558628</v>
      </c>
      <c r="N167" s="962">
        <f t="shared" si="49"/>
        <v>823445.83718657342</v>
      </c>
      <c r="O167" s="962">
        <f t="shared" si="49"/>
        <v>858030.56234841002</v>
      </c>
      <c r="P167" s="962">
        <f t="shared" si="49"/>
        <v>1028802.7793613746</v>
      </c>
      <c r="Q167" s="962">
        <f t="shared" si="49"/>
        <v>1058840.1173417664</v>
      </c>
      <c r="R167" s="962">
        <f t="shared" si="49"/>
        <v>1089754.4374717483</v>
      </c>
      <c r="S167" s="962">
        <f t="shared" si="49"/>
        <v>1121571.3444733897</v>
      </c>
      <c r="T167" s="962">
        <f t="shared" si="49"/>
        <v>1154317.1906344804</v>
      </c>
    </row>
    <row r="168" spans="1:24" ht="12.75" x14ac:dyDescent="0.3">
      <c r="D168" s="958" t="s">
        <v>909</v>
      </c>
      <c r="E168" s="959" t="s">
        <v>102</v>
      </c>
      <c r="F168" s="959" t="str">
        <f t="shared" si="45"/>
        <v>Dollars</v>
      </c>
      <c r="G168" s="959" t="str">
        <f t="shared" si="46"/>
        <v>Nominal</v>
      </c>
      <c r="H168" s="959" t="str">
        <f t="shared" si="47"/>
        <v>Mid Period</v>
      </c>
      <c r="I168" s="959" t="str">
        <f t="shared" si="48"/>
        <v>N/A</v>
      </c>
      <c r="J168" s="962">
        <f t="shared" si="49"/>
        <v>85984.1</v>
      </c>
      <c r="K168" s="962">
        <f t="shared" si="49"/>
        <v>15023</v>
      </c>
      <c r="L168" s="962">
        <f t="shared" si="49"/>
        <v>52934</v>
      </c>
      <c r="M168" s="962">
        <f t="shared" si="49"/>
        <v>103736</v>
      </c>
      <c r="N168" s="962">
        <f t="shared" si="49"/>
        <v>71156.23747182166</v>
      </c>
      <c r="O168" s="962">
        <f t="shared" si="49"/>
        <v>74144.799445638186</v>
      </c>
      <c r="P168" s="962">
        <f t="shared" si="49"/>
        <v>88370.051093973118</v>
      </c>
      <c r="Q168" s="962">
        <f t="shared" si="49"/>
        <v>90950.138497801774</v>
      </c>
      <c r="R168" s="962">
        <f t="shared" si="49"/>
        <v>93605.55516679422</v>
      </c>
      <c r="S168" s="962">
        <f t="shared" si="49"/>
        <v>96338.500444345424</v>
      </c>
      <c r="T168" s="962">
        <f t="shared" si="49"/>
        <v>99151.237886761024</v>
      </c>
    </row>
    <row r="169" spans="1:24" ht="12.75" x14ac:dyDescent="0.3">
      <c r="D169" s="958" t="s">
        <v>910</v>
      </c>
      <c r="E169" s="959" t="s">
        <v>102</v>
      </c>
      <c r="F169" s="959" t="str">
        <f t="shared" si="45"/>
        <v>Dollars</v>
      </c>
      <c r="G169" s="959" t="str">
        <f t="shared" si="46"/>
        <v>Nominal</v>
      </c>
      <c r="H169" s="959" t="str">
        <f t="shared" si="47"/>
        <v>Mid Period</v>
      </c>
      <c r="I169" s="959" t="str">
        <f t="shared" si="48"/>
        <v>N/A</v>
      </c>
      <c r="J169" s="962">
        <f t="shared" si="49"/>
        <v>479.06</v>
      </c>
      <c r="K169" s="962">
        <f t="shared" si="49"/>
        <v>914</v>
      </c>
      <c r="L169" s="962">
        <f t="shared" si="49"/>
        <v>483</v>
      </c>
      <c r="M169" s="962">
        <f t="shared" si="49"/>
        <v>0</v>
      </c>
      <c r="N169" s="962">
        <f t="shared" si="49"/>
        <v>530.99021445809535</v>
      </c>
      <c r="O169" s="962">
        <f t="shared" si="49"/>
        <v>553.29180346533542</v>
      </c>
      <c r="P169" s="962">
        <f t="shared" si="49"/>
        <v>900.62857579371007</v>
      </c>
      <c r="Q169" s="962">
        <f t="shared" si="49"/>
        <v>926.92368839314111</v>
      </c>
      <c r="R169" s="962">
        <f t="shared" si="49"/>
        <v>953.98652363118299</v>
      </c>
      <c r="S169" s="962">
        <f t="shared" si="49"/>
        <v>981.8394962454646</v>
      </c>
      <c r="T169" s="962">
        <f t="shared" si="49"/>
        <v>1010.5056754032717</v>
      </c>
    </row>
    <row r="170" spans="1:24" ht="11.25" customHeight="1" x14ac:dyDescent="0.3"/>
    <row r="171" spans="1:24" ht="11.25" customHeight="1" x14ac:dyDescent="0.3">
      <c r="D171" s="402" t="s">
        <v>1071</v>
      </c>
      <c r="E171" s="963" t="s">
        <v>102</v>
      </c>
      <c r="F171" s="963" t="str">
        <f>Dollars</f>
        <v>Dollars</v>
      </c>
      <c r="G171" s="963" t="str">
        <f>Nominal</f>
        <v>Nominal</v>
      </c>
      <c r="H171" s="963" t="str">
        <f>Mid_Period</f>
        <v>Mid Period</v>
      </c>
      <c r="I171" s="963" t="str">
        <f>NA</f>
        <v>N/A</v>
      </c>
      <c r="J171" s="964">
        <f>SUM(J164:J169)</f>
        <v>1936731.0000000005</v>
      </c>
      <c r="K171" s="964">
        <f t="shared" ref="K171:T171" si="50">SUM(K164:K169)</f>
        <v>1813423</v>
      </c>
      <c r="L171" s="964">
        <f t="shared" si="50"/>
        <v>1267554</v>
      </c>
      <c r="M171" s="964">
        <f t="shared" si="50"/>
        <v>2399184</v>
      </c>
      <c r="N171" s="964">
        <f t="shared" si="50"/>
        <v>2059034.8440459152</v>
      </c>
      <c r="O171" s="964">
        <f t="shared" si="50"/>
        <v>2145514.3074958436</v>
      </c>
      <c r="P171" s="964">
        <f t="shared" si="50"/>
        <v>3312423.7572536487</v>
      </c>
      <c r="Q171" s="964">
        <f t="shared" si="50"/>
        <v>3409134.6078917752</v>
      </c>
      <c r="R171" s="964">
        <f t="shared" si="50"/>
        <v>3508669.0672577014</v>
      </c>
      <c r="S171" s="964">
        <f t="shared" si="50"/>
        <v>3611109.5745626953</v>
      </c>
      <c r="T171" s="964">
        <f t="shared" si="50"/>
        <v>3716540.9759462536</v>
      </c>
    </row>
    <row r="172" spans="1:24" ht="11.25" customHeight="1" x14ac:dyDescent="0.3"/>
    <row r="173" spans="1:24" ht="11.25" customHeight="1" x14ac:dyDescent="0.3">
      <c r="A173" s="41">
        <f>IF(SUM(J173:M173)=0,0,1)</f>
        <v>0</v>
      </c>
      <c r="D173" s="6" t="s">
        <v>193</v>
      </c>
      <c r="E173" s="959" t="str">
        <f>NA</f>
        <v>N/A</v>
      </c>
      <c r="F173" s="959" t="str">
        <f>NA</f>
        <v>N/A</v>
      </c>
      <c r="G173" s="959" t="str">
        <f>NA</f>
        <v>N/A</v>
      </c>
      <c r="H173" s="959" t="str">
        <f>NA</f>
        <v>N/A</v>
      </c>
      <c r="I173" s="959" t="str">
        <f>NA</f>
        <v>N/A</v>
      </c>
      <c r="J173" s="62">
        <f>IF(ROUND(J155-J171,3)=0,0,1)</f>
        <v>0</v>
      </c>
      <c r="K173" s="62">
        <f t="shared" ref="K173:T173" si="51">IF(ROUND(K155-K171,3)=0,0,1)</f>
        <v>0</v>
      </c>
      <c r="L173" s="62">
        <f t="shared" si="51"/>
        <v>0</v>
      </c>
      <c r="M173" s="62">
        <f t="shared" si="51"/>
        <v>0</v>
      </c>
      <c r="N173" s="62">
        <f t="shared" si="51"/>
        <v>0</v>
      </c>
      <c r="O173" s="62">
        <f t="shared" si="51"/>
        <v>0</v>
      </c>
      <c r="P173" s="62">
        <f t="shared" si="51"/>
        <v>0</v>
      </c>
      <c r="Q173" s="62">
        <f t="shared" si="51"/>
        <v>0</v>
      </c>
      <c r="R173" s="62">
        <f t="shared" si="51"/>
        <v>0</v>
      </c>
      <c r="S173" s="62">
        <f t="shared" si="51"/>
        <v>0</v>
      </c>
      <c r="T173" s="62">
        <f t="shared" si="51"/>
        <v>0</v>
      </c>
      <c r="V173" s="139"/>
      <c r="W173" s="139"/>
      <c r="X173" s="139"/>
    </row>
    <row r="174" spans="1:24" ht="11.25" customHeight="1" x14ac:dyDescent="0.3"/>
    <row r="175" spans="1:24" s="7" customFormat="1" ht="13.9" x14ac:dyDescent="0.3">
      <c r="C175" s="7" t="s">
        <v>1072</v>
      </c>
    </row>
    <row r="176" spans="1:24" ht="11.25" customHeight="1" x14ac:dyDescent="0.3"/>
    <row r="177" spans="4:24" ht="13.15" x14ac:dyDescent="0.3">
      <c r="D177" s="909" t="str">
        <f t="shared" ref="D177" si="52">D$43</f>
        <v>Fee based service category</v>
      </c>
      <c r="E177" s="25" t="str">
        <f>Lookup!E$20</f>
        <v>Source</v>
      </c>
      <c r="F177" s="25" t="str">
        <f>Lookup!F$20</f>
        <v>Unit</v>
      </c>
      <c r="G177" s="25" t="str">
        <f>Lookup!G$20</f>
        <v>Basis</v>
      </c>
      <c r="H177" s="25" t="str">
        <f>Lookup!H$20</f>
        <v>Timing</v>
      </c>
      <c r="I177" s="25" t="s">
        <v>1063</v>
      </c>
      <c r="J177" s="40" t="str">
        <f>Lookup!O$20</f>
        <v>FY19</v>
      </c>
      <c r="K177" s="40" t="str">
        <f>Lookup!P$20</f>
        <v>FY20</v>
      </c>
      <c r="L177" s="40" t="str">
        <f>Lookup!Q$20</f>
        <v>FY21</v>
      </c>
      <c r="M177" s="40" t="str">
        <f>Lookup!R$20</f>
        <v>FY22</v>
      </c>
      <c r="N177" s="40" t="str">
        <f>Lookup!S$20</f>
        <v>FY23</v>
      </c>
      <c r="O177" s="40" t="str">
        <f>Lookup!T$20</f>
        <v>FY24</v>
      </c>
      <c r="P177" s="40" t="str">
        <f>Lookup!U$20</f>
        <v>FY25</v>
      </c>
      <c r="Q177" s="40" t="str">
        <f>Lookup!V$20</f>
        <v>FY26</v>
      </c>
      <c r="R177" s="40" t="str">
        <f>Lookup!W$20</f>
        <v>FY27</v>
      </c>
      <c r="S177" s="40" t="str">
        <f>Lookup!X$20</f>
        <v>FY28</v>
      </c>
      <c r="T177" s="40" t="str">
        <f>Lookup!Y$20</f>
        <v>FY29</v>
      </c>
      <c r="V177" s="40" t="s">
        <v>924</v>
      </c>
      <c r="W177" s="40"/>
      <c r="X177" s="40"/>
    </row>
    <row r="178" spans="4:24" ht="11.25" customHeight="1" x14ac:dyDescent="0.3"/>
    <row r="179" spans="4:24" ht="12.75" x14ac:dyDescent="0.3">
      <c r="D179" s="6" t="str">
        <f t="shared" ref="D179:D210" si="53">D45</f>
        <v>Energisation</v>
      </c>
      <c r="E179" s="31" t="s">
        <v>921</v>
      </c>
      <c r="F179" s="959" t="str">
        <f t="shared" ref="F179:F210" si="54">Dollars</f>
        <v>Dollars</v>
      </c>
      <c r="G179" s="959" t="str">
        <f t="shared" ref="G179:G210" si="55">Nominal</f>
        <v>Nominal</v>
      </c>
      <c r="H179" s="959" t="str">
        <f t="shared" ref="H179:H210" si="56">Mid_Period</f>
        <v>Mid Period</v>
      </c>
      <c r="I179" s="139"/>
      <c r="J179" s="139"/>
      <c r="K179" s="139"/>
      <c r="L179" s="139"/>
      <c r="M179" s="139"/>
      <c r="N179" s="139"/>
      <c r="O179" s="139"/>
      <c r="P179" s="961">
        <v>118.98593268041188</v>
      </c>
      <c r="Q179" s="961">
        <f>P179*(1+Input_CPI!U$10)</f>
        <v>122.45989362465842</v>
      </c>
      <c r="R179" s="961">
        <f>Q179*(1+Input_CPI!V$10)</f>
        <v>126.03528172394996</v>
      </c>
      <c r="S179" s="961">
        <f>R179*(1+Input_CPI!W$10)</f>
        <v>129.71505828612666</v>
      </c>
      <c r="T179" s="961">
        <f>S179*(1+Input_CPI!X$10)</f>
        <v>133.50227107855832</v>
      </c>
      <c r="V179" s="17">
        <f t="shared" ref="V179:V210" si="57">V85</f>
        <v>9</v>
      </c>
      <c r="W179" s="17"/>
      <c r="X179" s="17"/>
    </row>
    <row r="180" spans="4:24" ht="12.75" x14ac:dyDescent="0.3">
      <c r="D180" s="6" t="str">
        <f t="shared" si="53"/>
        <v>De-energisation</v>
      </c>
      <c r="E180" s="959" t="str">
        <f>E179</f>
        <v>FB + QS Model</v>
      </c>
      <c r="F180" s="959" t="str">
        <f t="shared" si="54"/>
        <v>Dollars</v>
      </c>
      <c r="G180" s="959" t="str">
        <f t="shared" si="55"/>
        <v>Nominal</v>
      </c>
      <c r="H180" s="959" t="str">
        <f t="shared" si="56"/>
        <v>Mid Period</v>
      </c>
      <c r="I180" s="139"/>
      <c r="J180" s="139"/>
      <c r="K180" s="139"/>
      <c r="L180" s="139"/>
      <c r="M180" s="139"/>
      <c r="N180" s="139"/>
      <c r="O180" s="139"/>
      <c r="P180" s="961">
        <v>118.98593268041188</v>
      </c>
      <c r="Q180" s="961">
        <f>P180*(1+Input_CPI!U$10)</f>
        <v>122.45989362465842</v>
      </c>
      <c r="R180" s="961">
        <f>Q180*(1+Input_CPI!V$10)</f>
        <v>126.03528172394996</v>
      </c>
      <c r="S180" s="961">
        <f>R180*(1+Input_CPI!W$10)</f>
        <v>129.71505828612666</v>
      </c>
      <c r="T180" s="961">
        <f>S180*(1+Input_CPI!X$10)</f>
        <v>133.50227107855832</v>
      </c>
      <c r="V180" s="17">
        <f t="shared" si="57"/>
        <v>9</v>
      </c>
      <c r="W180" s="17"/>
      <c r="X180" s="17"/>
    </row>
    <row r="181" spans="4:24" ht="12.75" x14ac:dyDescent="0.3">
      <c r="D181" s="6" t="str">
        <f t="shared" si="53"/>
        <v>Re-energisation</v>
      </c>
      <c r="E181" s="959" t="str">
        <f t="shared" ref="E181:E210" si="58">E180</f>
        <v>FB + QS Model</v>
      </c>
      <c r="F181" s="959" t="str">
        <f t="shared" si="54"/>
        <v>Dollars</v>
      </c>
      <c r="G181" s="959" t="str">
        <f t="shared" si="55"/>
        <v>Nominal</v>
      </c>
      <c r="H181" s="959" t="str">
        <f t="shared" si="56"/>
        <v>Mid Period</v>
      </c>
      <c r="I181" s="139"/>
      <c r="J181" s="139"/>
      <c r="K181" s="139"/>
      <c r="L181" s="139"/>
      <c r="M181" s="139"/>
      <c r="N181" s="139"/>
      <c r="O181" s="139"/>
      <c r="P181" s="961">
        <v>118.98593268041188</v>
      </c>
      <c r="Q181" s="961">
        <f>P181*(1+Input_CPI!U$10)</f>
        <v>122.45989362465842</v>
      </c>
      <c r="R181" s="961">
        <f>Q181*(1+Input_CPI!V$10)</f>
        <v>126.03528172394996</v>
      </c>
      <c r="S181" s="961">
        <f>R181*(1+Input_CPI!W$10)</f>
        <v>129.71505828612666</v>
      </c>
      <c r="T181" s="961">
        <f>S181*(1+Input_CPI!X$10)</f>
        <v>133.50227107855832</v>
      </c>
      <c r="V181" s="17">
        <f t="shared" si="57"/>
        <v>9</v>
      </c>
      <c r="W181" s="17"/>
      <c r="X181" s="17"/>
    </row>
    <row r="182" spans="4:24" ht="12.75" x14ac:dyDescent="0.3">
      <c r="D182" s="6" t="str">
        <f t="shared" si="53"/>
        <v>Temporary disconnection and reconnection - no physical dismantling</v>
      </c>
      <c r="E182" s="959" t="str">
        <f t="shared" si="58"/>
        <v>FB + QS Model</v>
      </c>
      <c r="F182" s="959" t="str">
        <f t="shared" si="54"/>
        <v>Dollars</v>
      </c>
      <c r="G182" s="959" t="str">
        <f t="shared" si="55"/>
        <v>Nominal</v>
      </c>
      <c r="H182" s="959" t="str">
        <f t="shared" si="56"/>
        <v>Mid Period</v>
      </c>
      <c r="I182" s="139"/>
      <c r="J182" s="139"/>
      <c r="K182" s="139"/>
      <c r="L182" s="139"/>
      <c r="M182" s="139"/>
      <c r="N182" s="139"/>
      <c r="O182" s="139"/>
      <c r="P182" s="961">
        <v>704.42673808439076</v>
      </c>
      <c r="Q182" s="961">
        <f>P182*(1+Input_CPI!U$10)</f>
        <v>724.99346325148292</v>
      </c>
      <c r="R182" s="961">
        <f>Q182*(1+Input_CPI!V$10)</f>
        <v>746.16066276349989</v>
      </c>
      <c r="S182" s="961">
        <f>R182*(1+Input_CPI!W$10)</f>
        <v>767.94586830990522</v>
      </c>
      <c r="T182" s="961">
        <f>S182*(1+Input_CPI!X$10)</f>
        <v>790.36712344238947</v>
      </c>
      <c r="V182" s="17">
        <f t="shared" si="57"/>
        <v>5</v>
      </c>
      <c r="W182" s="17"/>
      <c r="X182" s="17"/>
    </row>
    <row r="183" spans="4:24" ht="12.75" x14ac:dyDescent="0.3">
      <c r="D183" s="6" t="str">
        <f t="shared" si="53"/>
        <v>Temporary disconnection and reconnection - physical dismantling</v>
      </c>
      <c r="E183" s="959" t="str">
        <f t="shared" si="58"/>
        <v>FB + QS Model</v>
      </c>
      <c r="F183" s="959" t="str">
        <f t="shared" si="54"/>
        <v>Dollars</v>
      </c>
      <c r="G183" s="959" t="str">
        <f t="shared" si="55"/>
        <v>Nominal</v>
      </c>
      <c r="H183" s="959" t="str">
        <f t="shared" si="56"/>
        <v>Mid Period</v>
      </c>
      <c r="I183" s="139"/>
      <c r="J183" s="139"/>
      <c r="K183" s="139"/>
      <c r="L183" s="139"/>
      <c r="M183" s="139"/>
      <c r="N183" s="139"/>
      <c r="O183" s="139"/>
      <c r="P183" s="961">
        <v>2166.5602461071558</v>
      </c>
      <c r="Q183" s="961">
        <f>P183*(1+Input_CPI!U$10)</f>
        <v>2229.8160067570238</v>
      </c>
      <c r="R183" s="961">
        <f>Q183*(1+Input_CPI!V$10)</f>
        <v>2294.9186079286742</v>
      </c>
      <c r="S183" s="961">
        <f>R183*(1+Input_CPI!W$10)</f>
        <v>2361.921970717638</v>
      </c>
      <c r="T183" s="961">
        <f>S183*(1+Input_CPI!X$10)</f>
        <v>2430.8815905213469</v>
      </c>
      <c r="V183" s="17">
        <f t="shared" si="57"/>
        <v>6</v>
      </c>
      <c r="W183" s="17"/>
      <c r="X183" s="17"/>
    </row>
    <row r="184" spans="4:24" ht="12.75" x14ac:dyDescent="0.3">
      <c r="D184" s="6" t="str">
        <f t="shared" si="53"/>
        <v>Temporary disconnection and reconnection - no physical dismantling After hours</v>
      </c>
      <c r="E184" s="959" t="str">
        <f t="shared" si="58"/>
        <v>FB + QS Model</v>
      </c>
      <c r="F184" s="959" t="str">
        <f t="shared" si="54"/>
        <v>Dollars</v>
      </c>
      <c r="G184" s="959" t="str">
        <f t="shared" si="55"/>
        <v>Nominal</v>
      </c>
      <c r="H184" s="959" t="str">
        <f t="shared" si="56"/>
        <v>Mid Period</v>
      </c>
      <c r="I184" s="139"/>
      <c r="J184" s="139"/>
      <c r="K184" s="139"/>
      <c r="L184" s="139"/>
      <c r="M184" s="139"/>
      <c r="N184" s="139"/>
      <c r="O184" s="139"/>
      <c r="P184" s="961">
        <v>749.3060484903217</v>
      </c>
      <c r="Q184" s="961">
        <f>P184*(1+Input_CPI!U$10)</f>
        <v>771.18308797813017</v>
      </c>
      <c r="R184" s="961">
        <f>Q184*(1+Input_CPI!V$10)</f>
        <v>793.69885827255018</v>
      </c>
      <c r="S184" s="961">
        <f>R184*(1+Input_CPI!W$10)</f>
        <v>816.87200801402241</v>
      </c>
      <c r="T184" s="961">
        <f>S184*(1+Input_CPI!X$10)</f>
        <v>840.72173031616251</v>
      </c>
      <c r="V184" s="17">
        <f t="shared" si="57"/>
        <v>10</v>
      </c>
      <c r="W184" s="17"/>
      <c r="X184" s="17"/>
    </row>
    <row r="185" spans="4:24" ht="12.75" x14ac:dyDescent="0.3">
      <c r="D185" s="6" t="str">
        <f t="shared" si="53"/>
        <v>Complex Disconnection</v>
      </c>
      <c r="E185" s="959" t="str">
        <f t="shared" si="58"/>
        <v>FB + QS Model</v>
      </c>
      <c r="F185" s="959" t="str">
        <f t="shared" si="54"/>
        <v>Dollars</v>
      </c>
      <c r="G185" s="959" t="str">
        <f t="shared" si="55"/>
        <v>Nominal</v>
      </c>
      <c r="H185" s="959" t="str">
        <f t="shared" si="56"/>
        <v>Mid Period</v>
      </c>
      <c r="I185" s="139"/>
      <c r="J185" s="139"/>
      <c r="K185" s="139"/>
      <c r="L185" s="139"/>
      <c r="M185" s="139"/>
      <c r="N185" s="139"/>
      <c r="O185" s="139"/>
      <c r="P185" s="961">
        <v>802.92500461750546</v>
      </c>
      <c r="Q185" s="961">
        <f>P185*(1+Input_CPI!U$10)</f>
        <v>826.36752462272443</v>
      </c>
      <c r="R185" s="961">
        <f>Q185*(1+Input_CPI!V$10)</f>
        <v>850.49448183071411</v>
      </c>
      <c r="S185" s="961">
        <f>R185*(1+Input_CPI!W$10)</f>
        <v>875.32585934416284</v>
      </c>
      <c r="T185" s="961">
        <f>S185*(1+Input_CPI!X$10)</f>
        <v>900.8822237004282</v>
      </c>
      <c r="V185" s="17">
        <f t="shared" si="57"/>
        <v>7</v>
      </c>
      <c r="W185" s="17"/>
      <c r="X185" s="17"/>
    </row>
    <row r="186" spans="4:24" ht="12.75" x14ac:dyDescent="0.3">
      <c r="D186" s="6" t="str">
        <f t="shared" si="53"/>
        <v>Disconnection (and Final Read)</v>
      </c>
      <c r="E186" s="959" t="str">
        <f t="shared" si="58"/>
        <v>FB + QS Model</v>
      </c>
      <c r="F186" s="959" t="str">
        <f t="shared" si="54"/>
        <v>Dollars</v>
      </c>
      <c r="G186" s="959" t="str">
        <f t="shared" si="55"/>
        <v>Nominal</v>
      </c>
      <c r="H186" s="959" t="str">
        <f t="shared" si="56"/>
        <v>Mid Period</v>
      </c>
      <c r="I186" s="139"/>
      <c r="J186" s="139"/>
      <c r="K186" s="139"/>
      <c r="L186" s="139"/>
      <c r="M186" s="139"/>
      <c r="N186" s="139"/>
      <c r="O186" s="139"/>
      <c r="P186" s="961">
        <v>116.31719216804703</v>
      </c>
      <c r="Q186" s="961">
        <f>P186*(1+Input_CPI!U$10)</f>
        <v>119.71323549546752</v>
      </c>
      <c r="R186" s="961">
        <f>Q186*(1+Input_CPI!V$10)</f>
        <v>123.20843106398624</v>
      </c>
      <c r="S186" s="961">
        <f>R186*(1+Input_CPI!W$10)</f>
        <v>126.80567376214466</v>
      </c>
      <c r="T186" s="961">
        <f>S186*(1+Input_CPI!X$10)</f>
        <v>130.50794299880948</v>
      </c>
      <c r="V186" s="17">
        <f t="shared" si="57"/>
        <v>8</v>
      </c>
      <c r="W186" s="17"/>
      <c r="X186" s="17"/>
    </row>
    <row r="187" spans="4:24" ht="12.75" x14ac:dyDescent="0.3">
      <c r="D187" s="6" t="str">
        <f t="shared" si="53"/>
        <v>Reconnection - After Hours</v>
      </c>
      <c r="E187" s="959" t="str">
        <f t="shared" si="58"/>
        <v>FB + QS Model</v>
      </c>
      <c r="F187" s="959" t="str">
        <f t="shared" si="54"/>
        <v>Dollars</v>
      </c>
      <c r="G187" s="959" t="str">
        <f t="shared" si="55"/>
        <v>Nominal</v>
      </c>
      <c r="H187" s="959" t="str">
        <f t="shared" si="56"/>
        <v>Mid Period</v>
      </c>
      <c r="I187" s="139"/>
      <c r="J187" s="139"/>
      <c r="K187" s="139"/>
      <c r="L187" s="139"/>
      <c r="M187" s="139"/>
      <c r="N187" s="139"/>
      <c r="O187" s="139"/>
      <c r="P187" s="961">
        <v>749.3060484903217</v>
      </c>
      <c r="Q187" s="961">
        <f>P187*(1+Input_CPI!U$10)</f>
        <v>771.18308797813017</v>
      </c>
      <c r="R187" s="961">
        <f>Q187*(1+Input_CPI!V$10)</f>
        <v>793.69885827255018</v>
      </c>
      <c r="S187" s="961">
        <f>R187*(1+Input_CPI!W$10)</f>
        <v>816.87200801402241</v>
      </c>
      <c r="T187" s="961">
        <f>S187*(1+Input_CPI!X$10)</f>
        <v>840.72173031616251</v>
      </c>
      <c r="V187" s="17">
        <f t="shared" si="57"/>
        <v>10</v>
      </c>
      <c r="W187" s="17"/>
      <c r="X187" s="17"/>
    </row>
    <row r="188" spans="4:24" ht="12.75" x14ac:dyDescent="0.3">
      <c r="D188" s="6" t="str">
        <f t="shared" si="53"/>
        <v>Provision of three phase service</v>
      </c>
      <c r="E188" s="959" t="str">
        <f t="shared" si="58"/>
        <v>FB + QS Model</v>
      </c>
      <c r="F188" s="959" t="str">
        <f t="shared" si="54"/>
        <v>Dollars</v>
      </c>
      <c r="G188" s="959" t="str">
        <f t="shared" si="55"/>
        <v>Nominal</v>
      </c>
      <c r="H188" s="959" t="str">
        <f t="shared" si="56"/>
        <v>Mid Period</v>
      </c>
      <c r="I188" s="139"/>
      <c r="J188" s="139"/>
      <c r="K188" s="139"/>
      <c r="L188" s="139"/>
      <c r="M188" s="139"/>
      <c r="N188" s="139"/>
      <c r="O188" s="139"/>
      <c r="P188" s="961">
        <v>2736.5444949973862</v>
      </c>
      <c r="Q188" s="961">
        <f>P188*(1+Input_CPI!U$10)</f>
        <v>2816.4417440557941</v>
      </c>
      <c r="R188" s="961">
        <f>Q188*(1+Input_CPI!V$10)</f>
        <v>2898.6717051964542</v>
      </c>
      <c r="S188" s="961">
        <f>R188*(1+Input_CPI!W$10)</f>
        <v>2983.3024852155681</v>
      </c>
      <c r="T188" s="961">
        <f>S188*(1+Input_CPI!X$10)</f>
        <v>3070.4041793826359</v>
      </c>
      <c r="V188" s="17">
        <f t="shared" si="57"/>
        <v>1</v>
      </c>
      <c r="W188" s="17"/>
      <c r="X188" s="17"/>
    </row>
    <row r="189" spans="4:24" ht="12.75" x14ac:dyDescent="0.3">
      <c r="D189" s="6" t="str">
        <f t="shared" si="53"/>
        <v>Class 1 &amp; 2 PV service</v>
      </c>
      <c r="E189" s="959" t="str">
        <f t="shared" si="58"/>
        <v>FB + QS Model</v>
      </c>
      <c r="F189" s="959" t="str">
        <f t="shared" si="54"/>
        <v>Dollars</v>
      </c>
      <c r="G189" s="959" t="str">
        <f t="shared" si="55"/>
        <v>Nominal</v>
      </c>
      <c r="H189" s="959" t="str">
        <f t="shared" si="56"/>
        <v>Mid Period</v>
      </c>
      <c r="I189" s="139"/>
      <c r="J189" s="139"/>
      <c r="K189" s="139"/>
      <c r="L189" s="139"/>
      <c r="M189" s="139"/>
      <c r="N189" s="139"/>
      <c r="O189" s="139"/>
      <c r="P189" s="961">
        <v>216.80341495451145</v>
      </c>
      <c r="Q189" s="961">
        <f>P189*(1+Input_CPI!U$10)</f>
        <v>223.13329428700536</v>
      </c>
      <c r="R189" s="961">
        <f>Q189*(1+Input_CPI!V$10)</f>
        <v>229.64798331159909</v>
      </c>
      <c r="S189" s="961">
        <f>R189*(1+Input_CPI!W$10)</f>
        <v>236.35287780607922</v>
      </c>
      <c r="T189" s="961">
        <f>S189*(1+Input_CPI!X$10)</f>
        <v>243.25353108552162</v>
      </c>
      <c r="V189" s="17">
        <f t="shared" si="57"/>
        <v>3</v>
      </c>
      <c r="W189" s="17"/>
      <c r="X189" s="17"/>
    </row>
    <row r="190" spans="4:24" ht="12.75" x14ac:dyDescent="0.3">
      <c r="D190" s="6" t="str">
        <f t="shared" si="53"/>
        <v>Class 3 PV Assessment</v>
      </c>
      <c r="E190" s="959" t="str">
        <f t="shared" si="58"/>
        <v>FB + QS Model</v>
      </c>
      <c r="F190" s="959" t="str">
        <f t="shared" si="54"/>
        <v>Dollars</v>
      </c>
      <c r="G190" s="959" t="str">
        <f t="shared" si="55"/>
        <v>Nominal</v>
      </c>
      <c r="H190" s="959" t="str">
        <f t="shared" si="56"/>
        <v>Mid Period</v>
      </c>
      <c r="I190" s="139"/>
      <c r="J190" s="139"/>
      <c r="K190" s="139"/>
      <c r="L190" s="139"/>
      <c r="M190" s="139"/>
      <c r="N190" s="139"/>
      <c r="O190" s="139"/>
      <c r="P190" s="961">
        <v>2327.3440951555481</v>
      </c>
      <c r="Q190" s="961">
        <f>P190*(1+Input_CPI!U$10)</f>
        <v>2395.2941654559527</v>
      </c>
      <c r="R190" s="961">
        <f>Q190*(1+Input_CPI!V$10)</f>
        <v>2465.2281332227612</v>
      </c>
      <c r="S190" s="961">
        <f>R190*(1+Input_CPI!W$10)</f>
        <v>2537.2039211209517</v>
      </c>
      <c r="T190" s="961">
        <f>S190*(1+Input_CPI!X$10)</f>
        <v>2611.2811429488261</v>
      </c>
      <c r="V190" s="17">
        <f t="shared" si="57"/>
        <v>4</v>
      </c>
      <c r="W190" s="17"/>
      <c r="X190" s="17"/>
    </row>
    <row r="191" spans="4:24" ht="12.75" x14ac:dyDescent="0.3">
      <c r="D191" s="6" t="str">
        <f t="shared" si="53"/>
        <v>Standard temporary builderâs connection</v>
      </c>
      <c r="E191" s="959" t="str">
        <f t="shared" si="58"/>
        <v>FB + QS Model</v>
      </c>
      <c r="F191" s="959" t="str">
        <f t="shared" si="54"/>
        <v>Dollars</v>
      </c>
      <c r="G191" s="959" t="str">
        <f t="shared" si="55"/>
        <v>Nominal</v>
      </c>
      <c r="H191" s="959" t="str">
        <f t="shared" si="56"/>
        <v>Mid Period</v>
      </c>
      <c r="I191" s="139"/>
      <c r="J191" s="139"/>
      <c r="K191" s="139"/>
      <c r="L191" s="139"/>
      <c r="M191" s="139"/>
      <c r="N191" s="139"/>
      <c r="O191" s="139"/>
      <c r="P191" s="961">
        <v>1174.653862589395</v>
      </c>
      <c r="Q191" s="961">
        <f>P191*(1+Input_CPI!U$10)</f>
        <v>1208.9495272088791</v>
      </c>
      <c r="R191" s="961">
        <f>Q191*(1+Input_CPI!V$10)</f>
        <v>1244.246501787962</v>
      </c>
      <c r="S191" s="961">
        <f>R191*(1+Input_CPI!W$10)</f>
        <v>1280.5740209732476</v>
      </c>
      <c r="T191" s="961">
        <f>S191*(1+Input_CPI!X$10)</f>
        <v>1317.9621729577905</v>
      </c>
      <c r="V191" s="17">
        <f t="shared" si="57"/>
        <v>2</v>
      </c>
      <c r="W191" s="17"/>
      <c r="X191" s="17"/>
    </row>
    <row r="192" spans="4:24" ht="12.75" x14ac:dyDescent="0.3">
      <c r="D192" s="6" t="str">
        <f t="shared" si="53"/>
        <v>Special meter test</v>
      </c>
      <c r="E192" s="959" t="str">
        <f t="shared" si="58"/>
        <v>FB + QS Model</v>
      </c>
      <c r="F192" s="959" t="str">
        <f t="shared" si="54"/>
        <v>Dollars</v>
      </c>
      <c r="G192" s="959" t="str">
        <f t="shared" si="55"/>
        <v>Nominal</v>
      </c>
      <c r="H192" s="959" t="str">
        <f t="shared" si="56"/>
        <v>Mid Period</v>
      </c>
      <c r="I192" s="139"/>
      <c r="J192" s="139"/>
      <c r="K192" s="139"/>
      <c r="L192" s="139"/>
      <c r="M192" s="139"/>
      <c r="N192" s="139"/>
      <c r="O192" s="139"/>
      <c r="P192" s="961">
        <v>592.27865176676801</v>
      </c>
      <c r="Q192" s="961">
        <f>P192*(1+Input_CPI!U$10)</f>
        <v>609.57105649057007</v>
      </c>
      <c r="R192" s="961">
        <f>Q192*(1+Input_CPI!V$10)</f>
        <v>627.36833718827359</v>
      </c>
      <c r="S192" s="961">
        <f>R192*(1+Input_CPI!W$10)</f>
        <v>645.68523442101468</v>
      </c>
      <c r="T192" s="961">
        <f>S192*(1+Input_CPI!X$10)</f>
        <v>664.53691912125612</v>
      </c>
      <c r="V192" s="17">
        <f t="shared" si="57"/>
        <v>18</v>
      </c>
      <c r="W192" s="17"/>
      <c r="X192" s="17"/>
    </row>
    <row r="193" spans="4:24" ht="12.75" x14ac:dyDescent="0.3">
      <c r="D193" s="6" t="str">
        <f t="shared" si="53"/>
        <v>Exchange or replace meter - three phase</v>
      </c>
      <c r="E193" s="959" t="str">
        <f t="shared" si="58"/>
        <v>FB + QS Model</v>
      </c>
      <c r="F193" s="959" t="str">
        <f t="shared" si="54"/>
        <v>Dollars</v>
      </c>
      <c r="G193" s="959" t="str">
        <f t="shared" si="55"/>
        <v>Nominal</v>
      </c>
      <c r="H193" s="959" t="str">
        <f t="shared" si="56"/>
        <v>Mid Period</v>
      </c>
      <c r="I193" s="139"/>
      <c r="J193" s="139"/>
      <c r="K193" s="139"/>
      <c r="L193" s="139"/>
      <c r="M193" s="139"/>
      <c r="N193" s="139"/>
      <c r="O193" s="139"/>
      <c r="P193" s="961">
        <v>1184.9858744337434</v>
      </c>
      <c r="Q193" s="961">
        <f>P193*(1+Input_CPI!U$10)</f>
        <v>1219.5831966089922</v>
      </c>
      <c r="R193" s="961">
        <f>Q193*(1+Input_CPI!V$10)</f>
        <v>1255.1906360586515</v>
      </c>
      <c r="S193" s="961">
        <f>R193*(1+Input_CPI!W$10)</f>
        <v>1291.8376845712155</v>
      </c>
      <c r="T193" s="961">
        <f>S193*(1+Input_CPI!X$10)</f>
        <v>1329.5546949892471</v>
      </c>
      <c r="V193" s="17">
        <f t="shared" si="57"/>
        <v>19</v>
      </c>
      <c r="W193" s="17"/>
      <c r="X193" s="17"/>
    </row>
    <row r="194" spans="4:24" ht="12.75" x14ac:dyDescent="0.3">
      <c r="D194" s="6" t="str">
        <f t="shared" si="53"/>
        <v>Exchange or replace meter - single phase</v>
      </c>
      <c r="E194" s="959" t="str">
        <f t="shared" si="58"/>
        <v>FB + QS Model</v>
      </c>
      <c r="F194" s="959" t="str">
        <f t="shared" si="54"/>
        <v>Dollars</v>
      </c>
      <c r="G194" s="959" t="str">
        <f t="shared" si="55"/>
        <v>Nominal</v>
      </c>
      <c r="H194" s="959" t="str">
        <f t="shared" si="56"/>
        <v>Mid Period</v>
      </c>
      <c r="I194" s="139"/>
      <c r="J194" s="139"/>
      <c r="K194" s="139"/>
      <c r="L194" s="139"/>
      <c r="M194" s="139"/>
      <c r="N194" s="139"/>
      <c r="O194" s="139"/>
      <c r="P194" s="961">
        <v>796.32617045516304</v>
      </c>
      <c r="Q194" s="961">
        <f>P194*(1+Input_CPI!U$10)</f>
        <v>819.57602825535389</v>
      </c>
      <c r="R194" s="961">
        <f>Q194*(1+Input_CPI!V$10)</f>
        <v>843.50469821541651</v>
      </c>
      <c r="S194" s="961">
        <f>R194*(1+Input_CPI!W$10)</f>
        <v>868.13199920703391</v>
      </c>
      <c r="T194" s="961">
        <f>S194*(1+Input_CPI!X$10)</f>
        <v>893.47832874160417</v>
      </c>
      <c r="V194" s="17">
        <f t="shared" si="57"/>
        <v>20</v>
      </c>
      <c r="W194" s="17"/>
      <c r="X194" s="17"/>
    </row>
    <row r="195" spans="4:24" ht="12.75" x14ac:dyDescent="0.3">
      <c r="D195" s="6" t="str">
        <f t="shared" si="53"/>
        <v>Exchange or replace meter - prepayment</v>
      </c>
      <c r="E195" s="959" t="str">
        <f t="shared" si="58"/>
        <v>FB + QS Model</v>
      </c>
      <c r="F195" s="959" t="str">
        <f t="shared" si="54"/>
        <v>Dollars</v>
      </c>
      <c r="G195" s="959" t="str">
        <f t="shared" si="55"/>
        <v>Nominal</v>
      </c>
      <c r="H195" s="959" t="str">
        <f t="shared" si="56"/>
        <v>Mid Period</v>
      </c>
      <c r="I195" s="139"/>
      <c r="J195" s="139"/>
      <c r="K195" s="139"/>
      <c r="L195" s="139"/>
      <c r="M195" s="139"/>
      <c r="N195" s="139"/>
      <c r="O195" s="139"/>
      <c r="P195" s="961">
        <v>0</v>
      </c>
      <c r="Q195" s="961">
        <f>P195*(1+Input_CPI!U$10)</f>
        <v>0</v>
      </c>
      <c r="R195" s="961">
        <f>Q195*(1+Input_CPI!V$10)</f>
        <v>0</v>
      </c>
      <c r="S195" s="961">
        <f>R195*(1+Input_CPI!W$10)</f>
        <v>0</v>
      </c>
      <c r="T195" s="961">
        <f>S195*(1+Input_CPI!X$10)</f>
        <v>0</v>
      </c>
      <c r="V195" s="17">
        <f t="shared" si="57"/>
        <v>0</v>
      </c>
      <c r="W195" s="17"/>
      <c r="X195" s="17"/>
    </row>
    <row r="196" spans="4:24" ht="12.75" x14ac:dyDescent="0.3">
      <c r="D196" s="6" t="str">
        <f t="shared" si="53"/>
        <v>Relocation of meter</v>
      </c>
      <c r="E196" s="959" t="str">
        <f t="shared" si="58"/>
        <v>FB + QS Model</v>
      </c>
      <c r="F196" s="959" t="str">
        <f t="shared" si="54"/>
        <v>Dollars</v>
      </c>
      <c r="G196" s="959" t="str">
        <f t="shared" si="55"/>
        <v>Nominal</v>
      </c>
      <c r="H196" s="959" t="str">
        <f t="shared" si="56"/>
        <v>Mid Period</v>
      </c>
      <c r="I196" s="139"/>
      <c r="J196" s="139"/>
      <c r="K196" s="139"/>
      <c r="L196" s="139"/>
      <c r="M196" s="139"/>
      <c r="N196" s="139"/>
      <c r="O196" s="139"/>
      <c r="P196" s="961">
        <v>617.06057563156071</v>
      </c>
      <c r="Q196" s="961">
        <f>P196*(1+Input_CPI!U$10)</f>
        <v>635.0765233296471</v>
      </c>
      <c r="R196" s="961">
        <f>Q196*(1+Input_CPI!V$10)</f>
        <v>653.61847185209012</v>
      </c>
      <c r="S196" s="961">
        <f>R196*(1+Input_CPI!W$10)</f>
        <v>672.70177852962036</v>
      </c>
      <c r="T196" s="961">
        <f>S196*(1+Input_CPI!X$10)</f>
        <v>692.34224907174701</v>
      </c>
      <c r="V196" s="17">
        <f t="shared" si="57"/>
        <v>21</v>
      </c>
      <c r="W196" s="17"/>
      <c r="X196" s="17"/>
    </row>
    <row r="197" spans="4:24" ht="12.75" x14ac:dyDescent="0.3">
      <c r="D197" s="6" t="str">
        <f t="shared" si="53"/>
        <v>Remove meter</v>
      </c>
      <c r="E197" s="959" t="str">
        <f t="shared" si="58"/>
        <v>FB + QS Model</v>
      </c>
      <c r="F197" s="959" t="str">
        <f t="shared" si="54"/>
        <v>Dollars</v>
      </c>
      <c r="G197" s="959" t="str">
        <f t="shared" si="55"/>
        <v>Nominal</v>
      </c>
      <c r="H197" s="959" t="str">
        <f t="shared" si="56"/>
        <v>Mid Period</v>
      </c>
      <c r="I197" s="139"/>
      <c r="J197" s="139"/>
      <c r="K197" s="139"/>
      <c r="L197" s="139"/>
      <c r="M197" s="139"/>
      <c r="N197" s="139"/>
      <c r="O197" s="139"/>
      <c r="P197" s="961">
        <v>617.06057563156071</v>
      </c>
      <c r="Q197" s="961">
        <f>P197*(1+Input_CPI!U$10)</f>
        <v>635.0765233296471</v>
      </c>
      <c r="R197" s="961">
        <f>Q197*(1+Input_CPI!V$10)</f>
        <v>653.61847185209012</v>
      </c>
      <c r="S197" s="961">
        <f>R197*(1+Input_CPI!W$10)</f>
        <v>672.70177852962036</v>
      </c>
      <c r="T197" s="961">
        <f>S197*(1+Input_CPI!X$10)</f>
        <v>692.34224907174701</v>
      </c>
      <c r="V197" s="17">
        <f t="shared" si="57"/>
        <v>22</v>
      </c>
      <c r="W197" s="17"/>
      <c r="X197" s="17"/>
    </row>
    <row r="198" spans="4:24" ht="12.75" x14ac:dyDescent="0.3">
      <c r="D198" s="6" t="str">
        <f t="shared" si="53"/>
        <v>General meter inspection</v>
      </c>
      <c r="E198" s="959" t="str">
        <f t="shared" si="58"/>
        <v>FB + QS Model</v>
      </c>
      <c r="F198" s="959" t="str">
        <f t="shared" si="54"/>
        <v>Dollars</v>
      </c>
      <c r="G198" s="959" t="str">
        <f t="shared" si="55"/>
        <v>Nominal</v>
      </c>
      <c r="H198" s="959" t="str">
        <f t="shared" si="56"/>
        <v>Mid Period</v>
      </c>
      <c r="I198" s="139"/>
      <c r="J198" s="139"/>
      <c r="K198" s="139"/>
      <c r="L198" s="139"/>
      <c r="M198" s="139"/>
      <c r="N198" s="139"/>
      <c r="O198" s="139"/>
      <c r="P198" s="961">
        <v>294.89556538925638</v>
      </c>
      <c r="Q198" s="961">
        <f>P198*(1+Input_CPI!U$10)</f>
        <v>303.50545442164645</v>
      </c>
      <c r="R198" s="961">
        <f>Q198*(1+Input_CPI!V$10)</f>
        <v>312.36672122247541</v>
      </c>
      <c r="S198" s="961">
        <f>R198*(1+Input_CPI!W$10)</f>
        <v>321.48670511774702</v>
      </c>
      <c r="T198" s="961">
        <f>S198*(1+Input_CPI!X$10)</f>
        <v>330.87295971536651</v>
      </c>
      <c r="V198" s="17">
        <f t="shared" si="57"/>
        <v>23</v>
      </c>
      <c r="W198" s="17"/>
      <c r="X198" s="17"/>
    </row>
    <row r="199" spans="4:24" ht="12.75" x14ac:dyDescent="0.3">
      <c r="D199" s="6" t="str">
        <f t="shared" si="53"/>
        <v>Special meter read - no appointment</v>
      </c>
      <c r="E199" s="959" t="str">
        <f t="shared" si="58"/>
        <v>FB + QS Model</v>
      </c>
      <c r="F199" s="959" t="str">
        <f t="shared" si="54"/>
        <v>Dollars</v>
      </c>
      <c r="G199" s="959" t="str">
        <f t="shared" si="55"/>
        <v>Nominal</v>
      </c>
      <c r="H199" s="959" t="str">
        <f t="shared" si="56"/>
        <v>Mid Period</v>
      </c>
      <c r="I199" s="139"/>
      <c r="J199" s="139"/>
      <c r="K199" s="139"/>
      <c r="L199" s="139"/>
      <c r="M199" s="139"/>
      <c r="N199" s="139"/>
      <c r="O199" s="139"/>
      <c r="P199" s="961">
        <v>83.040093910589732</v>
      </c>
      <c r="Q199" s="961">
        <f>P199*(1+Input_CPI!U$10)</f>
        <v>85.464565749851488</v>
      </c>
      <c r="R199" s="961">
        <f>Q199*(1+Input_CPI!V$10)</f>
        <v>87.959823439930105</v>
      </c>
      <c r="S199" s="961">
        <f>R199*(1+Input_CPI!W$10)</f>
        <v>90.527933672875676</v>
      </c>
      <c r="T199" s="961">
        <f>S199*(1+Input_CPI!X$10)</f>
        <v>93.171023480707092</v>
      </c>
      <c r="V199" s="17">
        <f t="shared" si="57"/>
        <v>24</v>
      </c>
      <c r="W199" s="17"/>
      <c r="X199" s="17"/>
    </row>
    <row r="200" spans="4:24" ht="12.75" x14ac:dyDescent="0.3">
      <c r="D200" s="6" t="str">
        <f t="shared" si="53"/>
        <v>Special meter read - appointment</v>
      </c>
      <c r="E200" s="959" t="str">
        <f t="shared" si="58"/>
        <v>FB + QS Model</v>
      </c>
      <c r="F200" s="959" t="str">
        <f t="shared" si="54"/>
        <v>Dollars</v>
      </c>
      <c r="G200" s="959" t="str">
        <f t="shared" si="55"/>
        <v>Nominal</v>
      </c>
      <c r="H200" s="959" t="str">
        <f t="shared" si="56"/>
        <v>Mid Period</v>
      </c>
      <c r="I200" s="139"/>
      <c r="J200" s="139"/>
      <c r="K200" s="139"/>
      <c r="L200" s="139"/>
      <c r="M200" s="139"/>
      <c r="N200" s="139"/>
      <c r="O200" s="139"/>
      <c r="P200" s="961">
        <v>170.13992184623658</v>
      </c>
      <c r="Q200" s="961">
        <f>P200*(1+Input_CPI!U$10)</f>
        <v>175.10739514527378</v>
      </c>
      <c r="R200" s="961">
        <f>Q200*(1+Input_CPI!V$10)</f>
        <v>180.21990078421621</v>
      </c>
      <c r="S200" s="961">
        <f>R200*(1+Input_CPI!W$10)</f>
        <v>185.48167318534496</v>
      </c>
      <c r="T200" s="961">
        <f>S200*(1+Input_CPI!X$10)</f>
        <v>190.89707040082999</v>
      </c>
      <c r="V200" s="17">
        <f t="shared" si="57"/>
        <v>25</v>
      </c>
      <c r="W200" s="17"/>
      <c r="X200" s="17"/>
    </row>
    <row r="201" spans="4:24" ht="12.75" x14ac:dyDescent="0.3">
      <c r="D201" s="6" t="str">
        <f t="shared" si="53"/>
        <v>Meter program change</v>
      </c>
      <c r="E201" s="959" t="str">
        <f t="shared" si="58"/>
        <v>FB + QS Model</v>
      </c>
      <c r="F201" s="959" t="str">
        <f t="shared" si="54"/>
        <v>Dollars</v>
      </c>
      <c r="G201" s="959" t="str">
        <f t="shared" si="55"/>
        <v>Nominal</v>
      </c>
      <c r="H201" s="959" t="str">
        <f t="shared" si="56"/>
        <v>Mid Period</v>
      </c>
      <c r="I201" s="139"/>
      <c r="J201" s="139"/>
      <c r="K201" s="139"/>
      <c r="L201" s="139"/>
      <c r="M201" s="139"/>
      <c r="N201" s="139"/>
      <c r="O201" s="139"/>
      <c r="P201" s="961">
        <v>344.45941311884167</v>
      </c>
      <c r="Q201" s="961">
        <f>P201*(1+Input_CPI!U$10)</f>
        <v>354.51638809980039</v>
      </c>
      <c r="R201" s="961">
        <f>Q201*(1+Input_CPI!V$10)</f>
        <v>364.86699055010843</v>
      </c>
      <c r="S201" s="961">
        <f>R201*(1+Input_CPI!W$10)</f>
        <v>375.51979333495831</v>
      </c>
      <c r="T201" s="961">
        <f>S201*(1+Input_CPI!X$10)</f>
        <v>386.48361961634811</v>
      </c>
      <c r="V201" s="17">
        <f t="shared" si="57"/>
        <v>26</v>
      </c>
      <c r="W201" s="17"/>
      <c r="X201" s="17"/>
    </row>
    <row r="202" spans="4:24" ht="12.75" x14ac:dyDescent="0.3">
      <c r="D202" s="6" t="str">
        <f t="shared" si="53"/>
        <v>Prepayment Vending Charge</v>
      </c>
      <c r="E202" s="959" t="str">
        <f t="shared" si="58"/>
        <v>FB + QS Model</v>
      </c>
      <c r="F202" s="959" t="str">
        <f t="shared" si="54"/>
        <v>Dollars</v>
      </c>
      <c r="G202" s="959" t="str">
        <f t="shared" si="55"/>
        <v>Nominal</v>
      </c>
      <c r="H202" s="959" t="str">
        <f t="shared" si="56"/>
        <v>Mid Period</v>
      </c>
      <c r="I202" s="139"/>
      <c r="J202" s="139"/>
      <c r="K202" s="139"/>
      <c r="L202" s="139"/>
      <c r="M202" s="139"/>
      <c r="N202" s="139"/>
      <c r="O202" s="139"/>
      <c r="P202" s="961">
        <v>0.62822848564958456</v>
      </c>
      <c r="Q202" s="961">
        <f>P202*(1+Input_CPI!U$10)</f>
        <v>0.64657049612129047</v>
      </c>
      <c r="R202" s="961">
        <f>Q202*(1+Input_CPI!V$10)</f>
        <v>0.66544802727667929</v>
      </c>
      <c r="S202" s="961">
        <f>R202*(1+Input_CPI!W$10)</f>
        <v>0.68487671439210718</v>
      </c>
      <c r="T202" s="961">
        <f>S202*(1+Input_CPI!X$10)</f>
        <v>0.70487264923772075</v>
      </c>
      <c r="V202" s="17">
        <f t="shared" si="57"/>
        <v>28</v>
      </c>
      <c r="W202" s="17"/>
      <c r="X202" s="17"/>
    </row>
    <row r="203" spans="4:24" ht="12.75" x14ac:dyDescent="0.3">
      <c r="D203" s="6" t="str">
        <f t="shared" si="53"/>
        <v>Prepayment Meter Support Charge</v>
      </c>
      <c r="E203" s="959" t="str">
        <f t="shared" si="58"/>
        <v>FB + QS Model</v>
      </c>
      <c r="F203" s="959" t="str">
        <f t="shared" si="54"/>
        <v>Dollars</v>
      </c>
      <c r="G203" s="959" t="str">
        <f t="shared" si="55"/>
        <v>Nominal</v>
      </c>
      <c r="H203" s="959" t="str">
        <f t="shared" si="56"/>
        <v>Mid Period</v>
      </c>
      <c r="I203" s="139"/>
      <c r="J203" s="139"/>
      <c r="K203" s="139"/>
      <c r="L203" s="139"/>
      <c r="M203" s="139"/>
      <c r="N203" s="139"/>
      <c r="O203" s="139"/>
      <c r="P203" s="961">
        <v>154.87421786747925</v>
      </c>
      <c r="Q203" s="961">
        <f>P203*(1+Input_CPI!U$10)</f>
        <v>159.39598755925834</v>
      </c>
      <c r="R203" s="961">
        <f>Q203*(1+Input_CPI!V$10)</f>
        <v>164.04977664992143</v>
      </c>
      <c r="S203" s="961">
        <f>R203*(1+Input_CPI!W$10)</f>
        <v>168.83943963071189</v>
      </c>
      <c r="T203" s="961">
        <f>S203*(1+Input_CPI!X$10)</f>
        <v>173.76894353014325</v>
      </c>
      <c r="V203" s="17">
        <f t="shared" si="57"/>
        <v>29</v>
      </c>
      <c r="W203" s="17"/>
      <c r="X203" s="17"/>
    </row>
    <row r="204" spans="4:24" ht="12.75" x14ac:dyDescent="0.3">
      <c r="D204" s="6" t="str">
        <f t="shared" si="53"/>
        <v>Historical data requests</v>
      </c>
      <c r="E204" s="959" t="str">
        <f t="shared" si="58"/>
        <v>FB + QS Model</v>
      </c>
      <c r="F204" s="959" t="str">
        <f t="shared" si="54"/>
        <v>Dollars</v>
      </c>
      <c r="G204" s="959" t="str">
        <f t="shared" si="55"/>
        <v>Nominal</v>
      </c>
      <c r="H204" s="959" t="str">
        <f t="shared" si="56"/>
        <v>Mid Period</v>
      </c>
      <c r="I204" s="139"/>
      <c r="J204" s="139"/>
      <c r="K204" s="139"/>
      <c r="L204" s="139"/>
      <c r="M204" s="139"/>
      <c r="N204" s="139"/>
      <c r="O204" s="139"/>
      <c r="P204" s="961">
        <v>278.68138689164488</v>
      </c>
      <c r="Q204" s="961">
        <f>P204*(1+Input_CPI!U$10)</f>
        <v>286.81788027486152</v>
      </c>
      <c r="R204" s="961">
        <f>Q204*(1+Input_CPI!V$10)</f>
        <v>295.19192997754948</v>
      </c>
      <c r="S204" s="961">
        <f>R204*(1+Input_CPI!W$10)</f>
        <v>303.81047178915298</v>
      </c>
      <c r="T204" s="961">
        <f>S204*(1+Input_CPI!X$10)</f>
        <v>312.68064399920269</v>
      </c>
      <c r="V204" s="17">
        <f t="shared" si="57"/>
        <v>13</v>
      </c>
      <c r="W204" s="17"/>
      <c r="X204" s="17"/>
    </row>
    <row r="205" spans="4:24" ht="12.75" x14ac:dyDescent="0.3">
      <c r="D205" s="6" t="str">
        <f t="shared" si="53"/>
        <v>Standing data requests</v>
      </c>
      <c r="E205" s="959" t="str">
        <f t="shared" si="58"/>
        <v>FB + QS Model</v>
      </c>
      <c r="F205" s="959" t="str">
        <f t="shared" si="54"/>
        <v>Dollars</v>
      </c>
      <c r="G205" s="959" t="str">
        <f t="shared" si="55"/>
        <v>Nominal</v>
      </c>
      <c r="H205" s="959" t="str">
        <f t="shared" si="56"/>
        <v>Mid Period</v>
      </c>
      <c r="I205" s="139"/>
      <c r="J205" s="139"/>
      <c r="K205" s="139"/>
      <c r="L205" s="139"/>
      <c r="M205" s="139"/>
      <c r="N205" s="139"/>
      <c r="O205" s="139"/>
      <c r="P205" s="961">
        <v>92.893795630548283</v>
      </c>
      <c r="Q205" s="961">
        <f>P205*(1+Input_CPI!U$10)</f>
        <v>95.605960091620503</v>
      </c>
      <c r="R205" s="961">
        <f>Q205*(1+Input_CPI!V$10)</f>
        <v>98.397309992516483</v>
      </c>
      <c r="S205" s="961">
        <f>R205*(1+Input_CPI!W$10)</f>
        <v>101.27015726305098</v>
      </c>
      <c r="T205" s="961">
        <f>S205*(1+Input_CPI!X$10)</f>
        <v>104.22688133306754</v>
      </c>
      <c r="V205" s="17">
        <f t="shared" si="57"/>
        <v>14</v>
      </c>
      <c r="W205" s="17"/>
      <c r="X205" s="17"/>
    </row>
    <row r="206" spans="4:24" ht="12.75" x14ac:dyDescent="0.3">
      <c r="D206" s="6" t="str">
        <f t="shared" si="53"/>
        <v>Customer transfers</v>
      </c>
      <c r="E206" s="959" t="str">
        <f t="shared" si="58"/>
        <v>FB + QS Model</v>
      </c>
      <c r="F206" s="959" t="str">
        <f t="shared" si="54"/>
        <v>Dollars</v>
      </c>
      <c r="G206" s="959" t="str">
        <f t="shared" si="55"/>
        <v>Nominal</v>
      </c>
      <c r="H206" s="959" t="str">
        <f t="shared" si="56"/>
        <v>Mid Period</v>
      </c>
      <c r="I206" s="139"/>
      <c r="J206" s="139"/>
      <c r="K206" s="139"/>
      <c r="L206" s="139"/>
      <c r="M206" s="139"/>
      <c r="N206" s="139"/>
      <c r="O206" s="139"/>
      <c r="P206" s="961">
        <v>371.57518252219313</v>
      </c>
      <c r="Q206" s="961">
        <f>P206*(1+Input_CPI!U$10)</f>
        <v>382.42384036648201</v>
      </c>
      <c r="R206" s="961">
        <f>Q206*(1+Input_CPI!V$10)</f>
        <v>393.58923997006593</v>
      </c>
      <c r="S206" s="961">
        <f>R206*(1+Input_CPI!W$10)</f>
        <v>405.0806290522039</v>
      </c>
      <c r="T206" s="961">
        <f>S206*(1+Input_CPI!X$10)</f>
        <v>416.90752533227015</v>
      </c>
      <c r="V206" s="17">
        <f t="shared" si="57"/>
        <v>15</v>
      </c>
      <c r="W206" s="17"/>
      <c r="X206" s="17"/>
    </row>
    <row r="207" spans="4:24" ht="12.75" x14ac:dyDescent="0.3">
      <c r="D207" s="6" t="str">
        <f t="shared" si="53"/>
        <v>Network tariff change request</v>
      </c>
      <c r="E207" s="959" t="str">
        <f t="shared" si="58"/>
        <v>FB + QS Model</v>
      </c>
      <c r="F207" s="959" t="str">
        <f t="shared" si="54"/>
        <v>Dollars</v>
      </c>
      <c r="G207" s="959" t="str">
        <f t="shared" si="55"/>
        <v>Nominal</v>
      </c>
      <c r="H207" s="959" t="str">
        <f t="shared" si="56"/>
        <v>Mid Period</v>
      </c>
      <c r="I207" s="139"/>
      <c r="J207" s="139"/>
      <c r="K207" s="139"/>
      <c r="L207" s="139"/>
      <c r="M207" s="139"/>
      <c r="N207" s="139"/>
      <c r="O207" s="139"/>
      <c r="P207" s="961">
        <v>92.893795630548283</v>
      </c>
      <c r="Q207" s="961">
        <f>P207*(1+Input_CPI!U$10)</f>
        <v>95.605960091620503</v>
      </c>
      <c r="R207" s="961">
        <f>Q207*(1+Input_CPI!V$10)</f>
        <v>98.397309992516483</v>
      </c>
      <c r="S207" s="961">
        <f>R207*(1+Input_CPI!W$10)</f>
        <v>101.27015726305098</v>
      </c>
      <c r="T207" s="961">
        <f>S207*(1+Input_CPI!X$10)</f>
        <v>104.22688133306754</v>
      </c>
      <c r="V207" s="17">
        <f t="shared" si="57"/>
        <v>16</v>
      </c>
      <c r="W207" s="17"/>
      <c r="X207" s="17"/>
    </row>
    <row r="208" spans="4:24" ht="12.75" x14ac:dyDescent="0.3">
      <c r="D208" s="6" t="str">
        <f t="shared" si="53"/>
        <v>Installation of Minor Apparatus</v>
      </c>
      <c r="E208" s="959" t="str">
        <f t="shared" si="58"/>
        <v>FB + QS Model</v>
      </c>
      <c r="F208" s="959" t="str">
        <f t="shared" si="54"/>
        <v>Dollars</v>
      </c>
      <c r="G208" s="959" t="str">
        <f t="shared" si="55"/>
        <v>Nominal</v>
      </c>
      <c r="H208" s="959" t="str">
        <f t="shared" si="56"/>
        <v>Mid Period</v>
      </c>
      <c r="I208" s="139"/>
      <c r="J208" s="139"/>
      <c r="K208" s="139"/>
      <c r="L208" s="139"/>
      <c r="M208" s="139"/>
      <c r="N208" s="139"/>
      <c r="O208" s="139"/>
      <c r="P208" s="961">
        <v>942.18886033847957</v>
      </c>
      <c r="Q208" s="961">
        <f>P208*(1+Input_CPI!U$10)</f>
        <v>969.69738365031878</v>
      </c>
      <c r="R208" s="961">
        <f>Q208*(1+Input_CPI!V$10)</f>
        <v>998.0090568258978</v>
      </c>
      <c r="S208" s="961">
        <f>R208*(1+Input_CPI!W$10)</f>
        <v>1027.1473289502987</v>
      </c>
      <c r="T208" s="961">
        <f>S208*(1+Input_CPI!X$10)</f>
        <v>1057.1363337374833</v>
      </c>
      <c r="V208" s="17">
        <f t="shared" si="57"/>
        <v>17</v>
      </c>
      <c r="W208" s="17"/>
      <c r="X208" s="17"/>
    </row>
    <row r="209" spans="3:24" ht="12.75" x14ac:dyDescent="0.3">
      <c r="D209" s="6" t="str">
        <f t="shared" si="53"/>
        <v>Wasted visit fee</v>
      </c>
      <c r="E209" s="959" t="str">
        <f t="shared" si="58"/>
        <v>FB + QS Model</v>
      </c>
      <c r="F209" s="959" t="str">
        <f t="shared" si="54"/>
        <v>Dollars</v>
      </c>
      <c r="G209" s="959" t="str">
        <f t="shared" si="55"/>
        <v>Nominal</v>
      </c>
      <c r="H209" s="959" t="str">
        <f t="shared" si="56"/>
        <v>Mid Period</v>
      </c>
      <c r="I209" s="139"/>
      <c r="J209" s="139"/>
      <c r="K209" s="139"/>
      <c r="L209" s="139"/>
      <c r="M209" s="139"/>
      <c r="N209" s="139"/>
      <c r="O209" s="139"/>
      <c r="P209" s="961">
        <v>366.12438706932318</v>
      </c>
      <c r="Q209" s="961">
        <f>P209*(1+Input_CPI!U$10)</f>
        <v>376.81390130653369</v>
      </c>
      <c r="R209" s="961">
        <f>Q209*(1+Input_CPI!V$10)</f>
        <v>387.81551088255014</v>
      </c>
      <c r="S209" s="961">
        <f>R209*(1+Input_CPI!W$10)</f>
        <v>399.13832785787815</v>
      </c>
      <c r="T209" s="961">
        <f>S209*(1+Input_CPI!X$10)</f>
        <v>410.79173033239107</v>
      </c>
      <c r="V209" s="17">
        <f t="shared" si="57"/>
        <v>11</v>
      </c>
      <c r="W209" s="17"/>
      <c r="X209" s="17"/>
    </row>
    <row r="210" spans="3:24" ht="12.75" x14ac:dyDescent="0.3">
      <c r="D210" s="6" t="str">
        <f t="shared" si="53"/>
        <v>[Spare]</v>
      </c>
      <c r="E210" s="959" t="str">
        <f t="shared" si="58"/>
        <v>FB + QS Model</v>
      </c>
      <c r="F210" s="959" t="str">
        <f t="shared" si="54"/>
        <v>Dollars</v>
      </c>
      <c r="G210" s="959" t="str">
        <f t="shared" si="55"/>
        <v>Nominal</v>
      </c>
      <c r="H210" s="959" t="str">
        <f t="shared" si="56"/>
        <v>Mid Period</v>
      </c>
      <c r="I210" s="139"/>
      <c r="J210" s="139"/>
      <c r="K210" s="139"/>
      <c r="L210" s="139"/>
      <c r="M210" s="139"/>
      <c r="N210" s="139"/>
      <c r="O210" s="139"/>
      <c r="P210" s="961">
        <v>0</v>
      </c>
      <c r="Q210" s="961">
        <f>P210*(1+Input_CPI!U$10)</f>
        <v>0</v>
      </c>
      <c r="R210" s="961">
        <f>Q210*(1+Input_CPI!V$10)</f>
        <v>0</v>
      </c>
      <c r="S210" s="961">
        <f>R210*(1+Input_CPI!W$10)</f>
        <v>0</v>
      </c>
      <c r="T210" s="961">
        <f>S210*(1+Input_CPI!X$10)</f>
        <v>0</v>
      </c>
      <c r="V210" s="17">
        <f t="shared" si="57"/>
        <v>0</v>
      </c>
      <c r="W210" s="17"/>
      <c r="X210" s="17"/>
    </row>
    <row r="211" spans="3:24" ht="11.25" customHeight="1" x14ac:dyDescent="0.3"/>
    <row r="212" spans="3:24" s="7" customFormat="1" ht="13.9" x14ac:dyDescent="0.3">
      <c r="C212" s="7" t="s">
        <v>870</v>
      </c>
    </row>
    <row r="213" spans="3:24" ht="11.25" customHeight="1" x14ac:dyDescent="0.3"/>
    <row r="214" spans="3:24" ht="13.15" x14ac:dyDescent="0.3">
      <c r="D214" s="909" t="str">
        <f t="shared" ref="D214" si="59">D$43</f>
        <v>Fee based service category</v>
      </c>
      <c r="E214" s="25" t="str">
        <f>Lookup!E$20</f>
        <v>Source</v>
      </c>
      <c r="F214" s="25" t="str">
        <f>Lookup!F$20</f>
        <v>Unit</v>
      </c>
      <c r="G214" s="25" t="str">
        <f>Lookup!G$20</f>
        <v>Basis</v>
      </c>
      <c r="H214" s="25" t="str">
        <f>Lookup!H$20</f>
        <v>Timing</v>
      </c>
      <c r="I214" s="25" t="s">
        <v>1063</v>
      </c>
      <c r="J214" s="40" t="str">
        <f>Lookup!O$20</f>
        <v>FY19</v>
      </c>
      <c r="K214" s="40" t="str">
        <f>Lookup!P$20</f>
        <v>FY20</v>
      </c>
      <c r="L214" s="40" t="str">
        <f>Lookup!Q$20</f>
        <v>FY21</v>
      </c>
      <c r="M214" s="40" t="str">
        <f>Lookup!R$20</f>
        <v>FY22</v>
      </c>
      <c r="N214" s="40" t="str">
        <f>Lookup!S$20</f>
        <v>FY23</v>
      </c>
      <c r="O214" s="40" t="str">
        <f>Lookup!T$20</f>
        <v>FY24</v>
      </c>
      <c r="P214" s="40" t="str">
        <f>Lookup!U$20</f>
        <v>FY25</v>
      </c>
      <c r="Q214" s="40" t="str">
        <f>Lookup!V$20</f>
        <v>FY26</v>
      </c>
      <c r="R214" s="40" t="str">
        <f>Lookup!W$20</f>
        <v>FY27</v>
      </c>
      <c r="S214" s="40" t="str">
        <f>Lookup!X$20</f>
        <v>FY28</v>
      </c>
      <c r="T214" s="40" t="str">
        <f>Lookup!Y$20</f>
        <v>FY29</v>
      </c>
    </row>
    <row r="215" spans="3:24" ht="11.25" customHeight="1" x14ac:dyDescent="0.3"/>
    <row r="216" spans="3:24" ht="12.75" x14ac:dyDescent="0.3">
      <c r="D216" s="6" t="str">
        <f t="shared" ref="D216:D247" si="60">D45</f>
        <v>Energisation</v>
      </c>
      <c r="E216" s="31" t="s">
        <v>102</v>
      </c>
      <c r="F216" s="959" t="str">
        <f t="shared" ref="F216:F247" si="61">Dollars</f>
        <v>Dollars</v>
      </c>
      <c r="G216" s="959" t="str">
        <f t="shared" ref="G216:G247" si="62">Nominal</f>
        <v>Nominal</v>
      </c>
      <c r="H216" s="959" t="str">
        <f t="shared" ref="H216:H247" si="63">Mid_Period</f>
        <v>Mid Period</v>
      </c>
      <c r="I216" s="139"/>
      <c r="J216" s="139"/>
      <c r="K216" s="139"/>
      <c r="L216" s="139"/>
      <c r="M216" s="139"/>
      <c r="N216" s="966">
        <f>N122*(1+(Input_QS!N$32+Input_QS!N$33))</f>
        <v>0</v>
      </c>
      <c r="O216" s="967">
        <f>O122*(1+(Input_QS!O$32+Input_QS!O$33))</f>
        <v>0</v>
      </c>
      <c r="P216" s="962">
        <f t="shared" ref="P216:T225" si="64">P45*P179</f>
        <v>0</v>
      </c>
      <c r="Q216" s="962">
        <f t="shared" si="64"/>
        <v>0</v>
      </c>
      <c r="R216" s="962">
        <f t="shared" si="64"/>
        <v>0</v>
      </c>
      <c r="S216" s="962">
        <f t="shared" si="64"/>
        <v>0</v>
      </c>
      <c r="T216" s="962">
        <f t="shared" si="64"/>
        <v>0</v>
      </c>
    </row>
    <row r="217" spans="3:24" ht="12.75" x14ac:dyDescent="0.3">
      <c r="D217" s="6" t="str">
        <f t="shared" si="60"/>
        <v>De-energisation</v>
      </c>
      <c r="E217" s="959" t="str">
        <f>E216</f>
        <v>Calculated</v>
      </c>
      <c r="F217" s="959" t="str">
        <f t="shared" si="61"/>
        <v>Dollars</v>
      </c>
      <c r="G217" s="959" t="str">
        <f t="shared" si="62"/>
        <v>Nominal</v>
      </c>
      <c r="H217" s="959" t="str">
        <f t="shared" si="63"/>
        <v>Mid Period</v>
      </c>
      <c r="I217" s="139"/>
      <c r="J217" s="139"/>
      <c r="K217" s="139"/>
      <c r="L217" s="139"/>
      <c r="M217" s="139"/>
      <c r="N217" s="966">
        <f>N123*(1+(Input_QS!N$32+Input_QS!N$33))</f>
        <v>594091.13356268732</v>
      </c>
      <c r="O217" s="967">
        <f>O123*(1+(Input_QS!O$32+Input_QS!O$33))</f>
        <v>619042.9611723203</v>
      </c>
      <c r="P217" s="962">
        <f t="shared" si="64"/>
        <v>1042376.2632467482</v>
      </c>
      <c r="Q217" s="962">
        <f t="shared" si="64"/>
        <v>1072809.8980988201</v>
      </c>
      <c r="R217" s="962">
        <f t="shared" si="64"/>
        <v>1104132.0855426637</v>
      </c>
      <c r="S217" s="962">
        <f t="shared" si="64"/>
        <v>1136368.7681156127</v>
      </c>
      <c r="T217" s="962">
        <f t="shared" si="64"/>
        <v>1169546.6457837103</v>
      </c>
    </row>
    <row r="218" spans="3:24" ht="12.75" x14ac:dyDescent="0.3">
      <c r="D218" s="6" t="str">
        <f t="shared" si="60"/>
        <v>Re-energisation</v>
      </c>
      <c r="E218" s="959" t="str">
        <f t="shared" ref="E218:E233" si="65">E217</f>
        <v>Calculated</v>
      </c>
      <c r="F218" s="959" t="str">
        <f t="shared" si="61"/>
        <v>Dollars</v>
      </c>
      <c r="G218" s="959" t="str">
        <f t="shared" si="62"/>
        <v>Nominal</v>
      </c>
      <c r="H218" s="959" t="str">
        <f t="shared" si="63"/>
        <v>Mid Period</v>
      </c>
      <c r="I218" s="139"/>
      <c r="J218" s="139"/>
      <c r="K218" s="139"/>
      <c r="L218" s="139"/>
      <c r="M218" s="139"/>
      <c r="N218" s="966">
        <f>N124*(1+(Input_QS!N$32+Input_QS!N$33))</f>
        <v>1149705.5779269433</v>
      </c>
      <c r="O218" s="967">
        <f>O124*(1+(Input_QS!O$32+Input_QS!O$33))</f>
        <v>1197993.2121998749</v>
      </c>
      <c r="P218" s="962">
        <f t="shared" si="64"/>
        <v>2098078.9509537024</v>
      </c>
      <c r="Q218" s="962">
        <f t="shared" si="64"/>
        <v>2159335.3042836017</v>
      </c>
      <c r="R218" s="962">
        <f t="shared" si="64"/>
        <v>2222380.1226384095</v>
      </c>
      <c r="S218" s="962">
        <f t="shared" si="64"/>
        <v>2287265.6227592714</v>
      </c>
      <c r="T218" s="962">
        <f t="shared" si="64"/>
        <v>2354045.5459282189</v>
      </c>
    </row>
    <row r="219" spans="3:24" ht="12.75" x14ac:dyDescent="0.3">
      <c r="D219" s="6" t="str">
        <f t="shared" si="60"/>
        <v>Temporary disconnection and reconnection - no physical dismantling</v>
      </c>
      <c r="E219" s="959" t="str">
        <f t="shared" si="65"/>
        <v>Calculated</v>
      </c>
      <c r="F219" s="959" t="str">
        <f t="shared" si="61"/>
        <v>Dollars</v>
      </c>
      <c r="G219" s="959" t="str">
        <f t="shared" si="62"/>
        <v>Nominal</v>
      </c>
      <c r="H219" s="959" t="str">
        <f t="shared" si="63"/>
        <v>Mid Period</v>
      </c>
      <c r="I219" s="139"/>
      <c r="J219" s="139"/>
      <c r="K219" s="139"/>
      <c r="L219" s="139"/>
      <c r="M219" s="139"/>
      <c r="N219" s="966">
        <f>N125*(1+(Input_QS!N$32+Input_QS!N$33))</f>
        <v>61921.317195269141</v>
      </c>
      <c r="O219" s="967">
        <f>O125*(1+(Input_QS!O$32+Input_QS!O$33))</f>
        <v>64522.012517470437</v>
      </c>
      <c r="P219" s="962">
        <f t="shared" si="64"/>
        <v>140180.92087879375</v>
      </c>
      <c r="Q219" s="962">
        <f t="shared" si="64"/>
        <v>144273.6991870451</v>
      </c>
      <c r="R219" s="962">
        <f t="shared" si="64"/>
        <v>148485.97188993648</v>
      </c>
      <c r="S219" s="962">
        <f t="shared" si="64"/>
        <v>152821.22779367113</v>
      </c>
      <c r="T219" s="962">
        <f t="shared" si="64"/>
        <v>157283.0575650355</v>
      </c>
    </row>
    <row r="220" spans="3:24" ht="12.75" x14ac:dyDescent="0.3">
      <c r="D220" s="6" t="str">
        <f t="shared" si="60"/>
        <v>Temporary disconnection and reconnection - physical dismantling</v>
      </c>
      <c r="E220" s="959" t="str">
        <f t="shared" si="65"/>
        <v>Calculated</v>
      </c>
      <c r="F220" s="959" t="str">
        <f t="shared" si="61"/>
        <v>Dollars</v>
      </c>
      <c r="G220" s="959" t="str">
        <f t="shared" si="62"/>
        <v>Nominal</v>
      </c>
      <c r="H220" s="959" t="str">
        <f t="shared" si="63"/>
        <v>Mid Period</v>
      </c>
      <c r="I220" s="139"/>
      <c r="J220" s="139"/>
      <c r="K220" s="139"/>
      <c r="L220" s="139"/>
      <c r="M220" s="139"/>
      <c r="N220" s="966">
        <f>N126*(1+(Input_QS!N$32+Input_QS!N$33))</f>
        <v>28400.822758598671</v>
      </c>
      <c r="O220" s="967">
        <f>O126*(1+(Input_QS!O$32+Input_QS!O$33))</f>
        <v>29593.657314459819</v>
      </c>
      <c r="P220" s="962">
        <f t="shared" si="64"/>
        <v>76371.248675277238</v>
      </c>
      <c r="Q220" s="962">
        <f t="shared" si="64"/>
        <v>78601.014238185089</v>
      </c>
      <c r="R220" s="962">
        <f t="shared" si="64"/>
        <v>80895.880929485764</v>
      </c>
      <c r="S220" s="962">
        <f t="shared" si="64"/>
        <v>83257.749467796733</v>
      </c>
      <c r="T220" s="962">
        <f t="shared" si="64"/>
        <v>85688.576065877482</v>
      </c>
    </row>
    <row r="221" spans="3:24" ht="12.75" x14ac:dyDescent="0.3">
      <c r="D221" s="6" t="str">
        <f t="shared" si="60"/>
        <v>Temporary disconnection and reconnection - no physical dismantling After hours</v>
      </c>
      <c r="E221" s="959" t="str">
        <f t="shared" si="65"/>
        <v>Calculated</v>
      </c>
      <c r="F221" s="959" t="str">
        <f t="shared" si="61"/>
        <v>Dollars</v>
      </c>
      <c r="G221" s="959" t="str">
        <f t="shared" si="62"/>
        <v>Nominal</v>
      </c>
      <c r="H221" s="959" t="str">
        <f t="shared" si="63"/>
        <v>Mid Period</v>
      </c>
      <c r="I221" s="139"/>
      <c r="J221" s="139"/>
      <c r="K221" s="139"/>
      <c r="L221" s="139"/>
      <c r="M221" s="139"/>
      <c r="N221" s="966">
        <f>N127*(1+(Input_QS!N$32+Input_QS!N$33))</f>
        <v>267.58776620123695</v>
      </c>
      <c r="O221" s="967">
        <f>O127*(1+(Input_QS!O$32+Input_QS!O$33))</f>
        <v>278.82645238168885</v>
      </c>
      <c r="P221" s="962">
        <f t="shared" si="64"/>
        <v>187.32651212258043</v>
      </c>
      <c r="Q221" s="962">
        <f t="shared" si="64"/>
        <v>192.79577199453254</v>
      </c>
      <c r="R221" s="962">
        <f t="shared" si="64"/>
        <v>198.42471456813755</v>
      </c>
      <c r="S221" s="962">
        <f t="shared" si="64"/>
        <v>204.2180020035056</v>
      </c>
      <c r="T221" s="962">
        <f t="shared" si="64"/>
        <v>210.18043257904063</v>
      </c>
    </row>
    <row r="222" spans="3:24" ht="12.75" x14ac:dyDescent="0.3">
      <c r="D222" s="6" t="str">
        <f t="shared" si="60"/>
        <v>Complex Disconnection</v>
      </c>
      <c r="E222" s="959" t="str">
        <f t="shared" si="65"/>
        <v>Calculated</v>
      </c>
      <c r="F222" s="959" t="str">
        <f t="shared" si="61"/>
        <v>Dollars</v>
      </c>
      <c r="G222" s="959" t="str">
        <f t="shared" si="62"/>
        <v>Nominal</v>
      </c>
      <c r="H222" s="959" t="str">
        <f t="shared" si="63"/>
        <v>Mid Period</v>
      </c>
      <c r="I222" s="139"/>
      <c r="J222" s="139"/>
      <c r="K222" s="139"/>
      <c r="L222" s="139"/>
      <c r="M222" s="139"/>
      <c r="N222" s="966">
        <f>N128*(1+(Input_QS!N$32+Input_QS!N$33))</f>
        <v>20905.08396769825</v>
      </c>
      <c r="O222" s="967">
        <f>O128*(1+(Input_QS!O$32+Input_QS!O$33))</f>
        <v>21783.097494341582</v>
      </c>
      <c r="P222" s="962">
        <f t="shared" si="64"/>
        <v>50785.006542057221</v>
      </c>
      <c r="Q222" s="962">
        <f t="shared" si="64"/>
        <v>52267.745932387319</v>
      </c>
      <c r="R222" s="962">
        <f t="shared" si="64"/>
        <v>53793.775975792669</v>
      </c>
      <c r="S222" s="962">
        <f t="shared" si="64"/>
        <v>55364.360603518297</v>
      </c>
      <c r="T222" s="962">
        <f t="shared" si="64"/>
        <v>56980.800649052086</v>
      </c>
    </row>
    <row r="223" spans="3:24" ht="12.75" x14ac:dyDescent="0.3">
      <c r="D223" s="6" t="str">
        <f t="shared" si="60"/>
        <v>Disconnection (and Final Read)</v>
      </c>
      <c r="E223" s="959" t="str">
        <f t="shared" si="65"/>
        <v>Calculated</v>
      </c>
      <c r="F223" s="959" t="str">
        <f t="shared" si="61"/>
        <v>Dollars</v>
      </c>
      <c r="G223" s="959" t="str">
        <f t="shared" si="62"/>
        <v>Nominal</v>
      </c>
      <c r="H223" s="959" t="str">
        <f t="shared" si="63"/>
        <v>Mid Period</v>
      </c>
      <c r="I223" s="139"/>
      <c r="J223" s="139"/>
      <c r="K223" s="139"/>
      <c r="L223" s="139"/>
      <c r="M223" s="139"/>
      <c r="N223" s="966">
        <f>N129*(1+(Input_QS!N$32+Input_QS!N$33))</f>
        <v>0</v>
      </c>
      <c r="O223" s="967">
        <f>O129*(1+(Input_QS!O$32+Input_QS!O$33))</f>
        <v>0</v>
      </c>
      <c r="P223" s="962">
        <f t="shared" si="64"/>
        <v>0</v>
      </c>
      <c r="Q223" s="962">
        <f t="shared" si="64"/>
        <v>0</v>
      </c>
      <c r="R223" s="962">
        <f t="shared" si="64"/>
        <v>0</v>
      </c>
      <c r="S223" s="962">
        <f t="shared" si="64"/>
        <v>0</v>
      </c>
      <c r="T223" s="962">
        <f t="shared" si="64"/>
        <v>0</v>
      </c>
    </row>
    <row r="224" spans="3:24" ht="12.75" x14ac:dyDescent="0.3">
      <c r="D224" s="6" t="str">
        <f t="shared" si="60"/>
        <v>Reconnection - After Hours</v>
      </c>
      <c r="E224" s="959" t="str">
        <f t="shared" si="65"/>
        <v>Calculated</v>
      </c>
      <c r="F224" s="959" t="str">
        <f t="shared" si="61"/>
        <v>Dollars</v>
      </c>
      <c r="G224" s="959" t="str">
        <f t="shared" si="62"/>
        <v>Nominal</v>
      </c>
      <c r="H224" s="959" t="str">
        <f t="shared" si="63"/>
        <v>Mid Period</v>
      </c>
      <c r="I224" s="139"/>
      <c r="J224" s="139"/>
      <c r="K224" s="139"/>
      <c r="L224" s="139"/>
      <c r="M224" s="139"/>
      <c r="N224" s="966">
        <f>N130*(1+(Input_QS!N$32+Input_QS!N$33))</f>
        <v>27798.774783701596</v>
      </c>
      <c r="O224" s="967">
        <f>O130*(1+(Input_QS!O$32+Input_QS!O$33))</f>
        <v>28966.323324617064</v>
      </c>
      <c r="P224" s="962">
        <f t="shared" si="64"/>
        <v>46269.648494277368</v>
      </c>
      <c r="Q224" s="962">
        <f t="shared" si="64"/>
        <v>47620.555682649538</v>
      </c>
      <c r="R224" s="962">
        <f t="shared" si="64"/>
        <v>49010.904498329975</v>
      </c>
      <c r="S224" s="962">
        <f t="shared" si="64"/>
        <v>50441.846494865888</v>
      </c>
      <c r="T224" s="962">
        <f t="shared" si="64"/>
        <v>51914.566847023038</v>
      </c>
    </row>
    <row r="225" spans="4:20" ht="12.75" x14ac:dyDescent="0.3">
      <c r="D225" s="6" t="str">
        <f t="shared" si="60"/>
        <v>Provision of three phase service</v>
      </c>
      <c r="E225" s="959" t="str">
        <f t="shared" si="65"/>
        <v>Calculated</v>
      </c>
      <c r="F225" s="959" t="str">
        <f t="shared" si="61"/>
        <v>Dollars</v>
      </c>
      <c r="G225" s="959" t="str">
        <f t="shared" si="62"/>
        <v>Nominal</v>
      </c>
      <c r="H225" s="959" t="str">
        <f t="shared" si="63"/>
        <v>Mid Period</v>
      </c>
      <c r="I225" s="139"/>
      <c r="J225" s="139"/>
      <c r="K225" s="139"/>
      <c r="L225" s="139"/>
      <c r="M225" s="139"/>
      <c r="N225" s="966">
        <f>N131*(1+(Input_QS!N$32+Input_QS!N$33))</f>
        <v>61189.383004909236</v>
      </c>
      <c r="O225" s="967">
        <f>O131*(1+(Input_QS!O$32+Input_QS!O$33))</f>
        <v>63759.337091115427</v>
      </c>
      <c r="P225" s="962">
        <f t="shared" si="64"/>
        <v>97831.465696156563</v>
      </c>
      <c r="Q225" s="962">
        <f t="shared" si="64"/>
        <v>100687.79234999463</v>
      </c>
      <c r="R225" s="962">
        <f t="shared" si="64"/>
        <v>103627.51346077323</v>
      </c>
      <c r="S225" s="962">
        <f t="shared" si="64"/>
        <v>106653.06384645656</v>
      </c>
      <c r="T225" s="962">
        <f t="shared" si="64"/>
        <v>109766.94941292923</v>
      </c>
    </row>
    <row r="226" spans="4:20" ht="12.75" x14ac:dyDescent="0.3">
      <c r="D226" s="6" t="str">
        <f t="shared" si="60"/>
        <v>Class 1 &amp; 2 PV service</v>
      </c>
      <c r="E226" s="959" t="str">
        <f t="shared" si="65"/>
        <v>Calculated</v>
      </c>
      <c r="F226" s="959" t="str">
        <f t="shared" si="61"/>
        <v>Dollars</v>
      </c>
      <c r="G226" s="959" t="str">
        <f t="shared" si="62"/>
        <v>Nominal</v>
      </c>
      <c r="H226" s="959" t="str">
        <f t="shared" si="63"/>
        <v>Mid Period</v>
      </c>
      <c r="I226" s="139"/>
      <c r="J226" s="139"/>
      <c r="K226" s="139"/>
      <c r="L226" s="139"/>
      <c r="M226" s="139"/>
      <c r="N226" s="966">
        <f>N132*(1+(Input_QS!N$32+Input_QS!N$33))</f>
        <v>132254.6041645208</v>
      </c>
      <c r="O226" s="967">
        <f>O132*(1+(Input_QS!O$32+Input_QS!O$33))</f>
        <v>137809.29753943067</v>
      </c>
      <c r="P226" s="962">
        <f t="shared" ref="P226:T235" si="66">P55*P189</f>
        <v>360977.68589926156</v>
      </c>
      <c r="Q226" s="962">
        <f t="shared" si="66"/>
        <v>371516.93498786393</v>
      </c>
      <c r="R226" s="962">
        <f t="shared" si="66"/>
        <v>382363.89221381251</v>
      </c>
      <c r="S226" s="962">
        <f t="shared" si="66"/>
        <v>393527.54154712189</v>
      </c>
      <c r="T226" s="962">
        <f t="shared" si="66"/>
        <v>405017.12925739348</v>
      </c>
    </row>
    <row r="227" spans="4:20" ht="12.75" x14ac:dyDescent="0.3">
      <c r="D227" s="6" t="str">
        <f t="shared" si="60"/>
        <v>Class 3 PV Assessment</v>
      </c>
      <c r="E227" s="959" t="str">
        <f t="shared" si="65"/>
        <v>Calculated</v>
      </c>
      <c r="F227" s="959" t="str">
        <f t="shared" si="61"/>
        <v>Dollars</v>
      </c>
      <c r="G227" s="959" t="str">
        <f t="shared" si="62"/>
        <v>Nominal</v>
      </c>
      <c r="H227" s="959" t="str">
        <f t="shared" si="63"/>
        <v>Mid Period</v>
      </c>
      <c r="I227" s="139"/>
      <c r="J227" s="139"/>
      <c r="K227" s="139"/>
      <c r="L227" s="139"/>
      <c r="M227" s="139"/>
      <c r="N227" s="966">
        <f>N133*(1+(Input_QS!N$32+Input_QS!N$33))</f>
        <v>49583.640957017175</v>
      </c>
      <c r="O227" s="967">
        <f>O133*(1+(Input_QS!O$32+Input_QS!O$33))</f>
        <v>51666.153877211895</v>
      </c>
      <c r="P227" s="962">
        <f t="shared" si="66"/>
        <v>96002.943925166357</v>
      </c>
      <c r="Q227" s="962">
        <f t="shared" si="66"/>
        <v>98805.884325058054</v>
      </c>
      <c r="R227" s="962">
        <f t="shared" si="66"/>
        <v>101690.6604954389</v>
      </c>
      <c r="S227" s="962">
        <f t="shared" si="66"/>
        <v>104659.66174623926</v>
      </c>
      <c r="T227" s="962">
        <f t="shared" si="66"/>
        <v>107715.34714663908</v>
      </c>
    </row>
    <row r="228" spans="4:20" ht="12.75" x14ac:dyDescent="0.3">
      <c r="D228" s="6" t="str">
        <f t="shared" si="60"/>
        <v>Standard temporary builderâs connection</v>
      </c>
      <c r="E228" s="959" t="str">
        <f t="shared" si="65"/>
        <v>Calculated</v>
      </c>
      <c r="F228" s="959" t="str">
        <f t="shared" si="61"/>
        <v>Dollars</v>
      </c>
      <c r="G228" s="959" t="str">
        <f t="shared" si="62"/>
        <v>Nominal</v>
      </c>
      <c r="H228" s="959" t="str">
        <f t="shared" si="63"/>
        <v>Mid Period</v>
      </c>
      <c r="I228" s="139"/>
      <c r="J228" s="139"/>
      <c r="K228" s="139"/>
      <c r="L228" s="139"/>
      <c r="M228" s="139"/>
      <c r="N228" s="966">
        <f>N134*(1+(Input_QS!N$32+Input_QS!N$33))</f>
        <v>4377.2655142604472</v>
      </c>
      <c r="O228" s="967">
        <f>O134*(1+(Input_QS!O$32+Input_QS!O$33))</f>
        <v>4561.1106658593862</v>
      </c>
      <c r="P228" s="962">
        <f t="shared" si="66"/>
        <v>7341.5866411837187</v>
      </c>
      <c r="Q228" s="962">
        <f t="shared" si="66"/>
        <v>7555.9345450554947</v>
      </c>
      <c r="R228" s="962">
        <f t="shared" si="66"/>
        <v>7776.5406361747619</v>
      </c>
      <c r="S228" s="962">
        <f t="shared" si="66"/>
        <v>8003.5876310827971</v>
      </c>
      <c r="T228" s="962">
        <f t="shared" si="66"/>
        <v>8237.2635809861913</v>
      </c>
    </row>
    <row r="229" spans="4:20" ht="12.75" x14ac:dyDescent="0.3">
      <c r="D229" s="6" t="str">
        <f t="shared" si="60"/>
        <v>Special meter test</v>
      </c>
      <c r="E229" s="959" t="str">
        <f t="shared" si="65"/>
        <v>Calculated</v>
      </c>
      <c r="F229" s="959" t="str">
        <f t="shared" si="61"/>
        <v>Dollars</v>
      </c>
      <c r="G229" s="959" t="str">
        <f t="shared" si="62"/>
        <v>Nominal</v>
      </c>
      <c r="H229" s="959" t="str">
        <f t="shared" si="63"/>
        <v>Mid Period</v>
      </c>
      <c r="I229" s="139"/>
      <c r="J229" s="139"/>
      <c r="K229" s="139"/>
      <c r="L229" s="139"/>
      <c r="M229" s="139"/>
      <c r="N229" s="966">
        <f>N135*(1+(Input_QS!N$32+Input_QS!N$33))</f>
        <v>9440.4598981571871</v>
      </c>
      <c r="O229" s="967">
        <f>O135*(1+(Input_QS!O$32+Input_QS!O$33))</f>
        <v>9836.9592138797889</v>
      </c>
      <c r="P229" s="962">
        <f t="shared" si="66"/>
        <v>13622.408990635664</v>
      </c>
      <c r="Q229" s="962">
        <f t="shared" si="66"/>
        <v>14020.134299283112</v>
      </c>
      <c r="R229" s="962">
        <f t="shared" si="66"/>
        <v>14429.471755330293</v>
      </c>
      <c r="S229" s="962">
        <f t="shared" si="66"/>
        <v>14850.760391683338</v>
      </c>
      <c r="T229" s="962">
        <f t="shared" si="66"/>
        <v>15284.34913978889</v>
      </c>
    </row>
    <row r="230" spans="4:20" ht="12.75" x14ac:dyDescent="0.3">
      <c r="D230" s="6" t="str">
        <f t="shared" si="60"/>
        <v>Exchange or replace meter - three phase</v>
      </c>
      <c r="E230" s="959" t="str">
        <f t="shared" si="65"/>
        <v>Calculated</v>
      </c>
      <c r="F230" s="959" t="str">
        <f t="shared" si="61"/>
        <v>Dollars</v>
      </c>
      <c r="G230" s="959" t="str">
        <f t="shared" si="62"/>
        <v>Nominal</v>
      </c>
      <c r="H230" s="959" t="str">
        <f t="shared" si="63"/>
        <v>Mid Period</v>
      </c>
      <c r="I230" s="139"/>
      <c r="J230" s="139"/>
      <c r="K230" s="139"/>
      <c r="L230" s="139"/>
      <c r="M230" s="139"/>
      <c r="N230" s="966">
        <f>N136*(1+(Input_QS!N$32+Input_QS!N$33))</f>
        <v>372864.25697767048</v>
      </c>
      <c r="O230" s="967">
        <f>O136*(1+(Input_QS!O$32+Input_QS!O$33))</f>
        <v>388524.55577073264</v>
      </c>
      <c r="P230" s="962">
        <f t="shared" si="66"/>
        <v>524356.24943693145</v>
      </c>
      <c r="Q230" s="962">
        <f t="shared" si="66"/>
        <v>539665.56449947902</v>
      </c>
      <c r="R230" s="962">
        <f t="shared" si="66"/>
        <v>555421.85645595333</v>
      </c>
      <c r="S230" s="962">
        <f t="shared" si="66"/>
        <v>571638.17542276287</v>
      </c>
      <c r="T230" s="962">
        <f t="shared" si="66"/>
        <v>588327.95253274182</v>
      </c>
    </row>
    <row r="231" spans="4:20" ht="12.75" x14ac:dyDescent="0.3">
      <c r="D231" s="6" t="str">
        <f t="shared" si="60"/>
        <v>Exchange or replace meter - single phase</v>
      </c>
      <c r="E231" s="959" t="str">
        <f t="shared" si="65"/>
        <v>Calculated</v>
      </c>
      <c r="F231" s="959" t="str">
        <f t="shared" si="61"/>
        <v>Dollars</v>
      </c>
      <c r="G231" s="959" t="str">
        <f t="shared" si="62"/>
        <v>Nominal</v>
      </c>
      <c r="H231" s="959" t="str">
        <f t="shared" si="63"/>
        <v>Mid Period</v>
      </c>
      <c r="I231" s="139"/>
      <c r="J231" s="139"/>
      <c r="K231" s="139"/>
      <c r="L231" s="139"/>
      <c r="M231" s="139"/>
      <c r="N231" s="966">
        <f>N137*(1+(Input_QS!N$32+Input_QS!N$33))</f>
        <v>936589.65634564322</v>
      </c>
      <c r="O231" s="967">
        <f>O137*(1+(Input_QS!O$32+Input_QS!O$33))</f>
        <v>975926.42191216059</v>
      </c>
      <c r="P231" s="962">
        <f t="shared" si="66"/>
        <v>1154075.702532145</v>
      </c>
      <c r="Q231" s="962">
        <f t="shared" si="66"/>
        <v>1187770.5589490717</v>
      </c>
      <c r="R231" s="962">
        <f t="shared" si="66"/>
        <v>1222449.1838886924</v>
      </c>
      <c r="S231" s="962">
        <f t="shared" si="66"/>
        <v>1258140.2998507938</v>
      </c>
      <c r="T231" s="962">
        <f t="shared" si="66"/>
        <v>1294873.4679287698</v>
      </c>
    </row>
    <row r="232" spans="4:20" ht="12.75" x14ac:dyDescent="0.3">
      <c r="D232" s="6" t="str">
        <f t="shared" si="60"/>
        <v>Exchange or replace meter - prepayment</v>
      </c>
      <c r="E232" s="959" t="str">
        <f t="shared" si="65"/>
        <v>Calculated</v>
      </c>
      <c r="F232" s="959" t="str">
        <f t="shared" si="61"/>
        <v>Dollars</v>
      </c>
      <c r="G232" s="959" t="str">
        <f t="shared" si="62"/>
        <v>Nominal</v>
      </c>
      <c r="H232" s="959" t="str">
        <f t="shared" si="63"/>
        <v>Mid Period</v>
      </c>
      <c r="I232" s="139"/>
      <c r="J232" s="139"/>
      <c r="K232" s="139"/>
      <c r="L232" s="139"/>
      <c r="M232" s="139"/>
      <c r="N232" s="966">
        <f>N138*(1+(Input_QS!N$32+Input_QS!N$33))</f>
        <v>163.47179898839201</v>
      </c>
      <c r="O232" s="967">
        <f>O138*(1+(Input_QS!O$32+Input_QS!O$33))</f>
        <v>170.33761454590447</v>
      </c>
      <c r="P232" s="962">
        <f t="shared" si="66"/>
        <v>0</v>
      </c>
      <c r="Q232" s="962">
        <f t="shared" si="66"/>
        <v>0</v>
      </c>
      <c r="R232" s="962">
        <f t="shared" si="66"/>
        <v>0</v>
      </c>
      <c r="S232" s="962">
        <f t="shared" si="66"/>
        <v>0</v>
      </c>
      <c r="T232" s="962">
        <f t="shared" si="66"/>
        <v>0</v>
      </c>
    </row>
    <row r="233" spans="4:20" ht="12.75" x14ac:dyDescent="0.3">
      <c r="D233" s="6" t="str">
        <f t="shared" si="60"/>
        <v>Relocation of meter</v>
      </c>
      <c r="E233" s="959" t="str">
        <f t="shared" si="65"/>
        <v>Calculated</v>
      </c>
      <c r="F233" s="959" t="str">
        <f t="shared" si="61"/>
        <v>Dollars</v>
      </c>
      <c r="G233" s="959" t="str">
        <f t="shared" si="62"/>
        <v>Nominal</v>
      </c>
      <c r="H233" s="959" t="str">
        <f t="shared" si="63"/>
        <v>Mid Period</v>
      </c>
      <c r="I233" s="139"/>
      <c r="J233" s="139"/>
      <c r="K233" s="139"/>
      <c r="L233" s="139"/>
      <c r="M233" s="139"/>
      <c r="N233" s="966">
        <f>N139*(1+(Input_QS!N$32+Input_QS!N$33))</f>
        <v>125.23308436364398</v>
      </c>
      <c r="O233" s="967">
        <f>O139*(1+(Input_QS!O$32+Input_QS!O$33))</f>
        <v>130.49287390691705</v>
      </c>
      <c r="P233" s="962">
        <f t="shared" si="66"/>
        <v>154.26514390789018</v>
      </c>
      <c r="Q233" s="962">
        <f t="shared" si="66"/>
        <v>158.76913083241178</v>
      </c>
      <c r="R233" s="962">
        <f t="shared" si="66"/>
        <v>163.40461796302253</v>
      </c>
      <c r="S233" s="962">
        <f t="shared" si="66"/>
        <v>168.17544463240509</v>
      </c>
      <c r="T233" s="962">
        <f t="shared" si="66"/>
        <v>173.08556226793675</v>
      </c>
    </row>
    <row r="234" spans="4:20" ht="12.75" x14ac:dyDescent="0.3">
      <c r="D234" s="6" t="str">
        <f t="shared" si="60"/>
        <v>Remove meter</v>
      </c>
      <c r="E234" s="959" t="str">
        <f t="shared" ref="E234:E247" si="67">E233</f>
        <v>Calculated</v>
      </c>
      <c r="F234" s="959" t="str">
        <f t="shared" si="61"/>
        <v>Dollars</v>
      </c>
      <c r="G234" s="959" t="str">
        <f t="shared" si="62"/>
        <v>Nominal</v>
      </c>
      <c r="H234" s="959" t="str">
        <f t="shared" si="63"/>
        <v>Mid Period</v>
      </c>
      <c r="I234" s="139"/>
      <c r="J234" s="139"/>
      <c r="K234" s="139"/>
      <c r="L234" s="139"/>
      <c r="M234" s="139"/>
      <c r="N234" s="966">
        <f>N140*(1+(Input_QS!N$32+Input_QS!N$33))</f>
        <v>20096.226256476002</v>
      </c>
      <c r="O234" s="967">
        <f>O140*(1+(Input_QS!O$32+Input_QS!O$33))</f>
        <v>20940.267759247992</v>
      </c>
      <c r="P234" s="962">
        <f t="shared" si="66"/>
        <v>21288.589859288844</v>
      </c>
      <c r="Q234" s="962">
        <f t="shared" si="66"/>
        <v>21910.140054872823</v>
      </c>
      <c r="R234" s="962">
        <f t="shared" si="66"/>
        <v>22549.83727889711</v>
      </c>
      <c r="S234" s="962">
        <f t="shared" si="66"/>
        <v>23208.211359271903</v>
      </c>
      <c r="T234" s="962">
        <f t="shared" si="66"/>
        <v>23885.80759297527</v>
      </c>
    </row>
    <row r="235" spans="4:20" ht="12.75" x14ac:dyDescent="0.3">
      <c r="D235" s="6" t="str">
        <f t="shared" si="60"/>
        <v>General meter inspection</v>
      </c>
      <c r="E235" s="959" t="str">
        <f t="shared" si="67"/>
        <v>Calculated</v>
      </c>
      <c r="F235" s="959" t="str">
        <f t="shared" si="61"/>
        <v>Dollars</v>
      </c>
      <c r="G235" s="959" t="str">
        <f t="shared" si="62"/>
        <v>Nominal</v>
      </c>
      <c r="H235" s="959" t="str">
        <f t="shared" si="63"/>
        <v>Mid Period</v>
      </c>
      <c r="I235" s="139"/>
      <c r="J235" s="139"/>
      <c r="K235" s="139"/>
      <c r="L235" s="139"/>
      <c r="M235" s="139"/>
      <c r="N235" s="966">
        <f>N141*(1+(Input_QS!N$32+Input_QS!N$33))</f>
        <v>1282.6238069464639</v>
      </c>
      <c r="O235" s="967">
        <f>O141*(1+(Input_QS!O$32+Input_QS!O$33))</f>
        <v>1336.4940068382155</v>
      </c>
      <c r="P235" s="962">
        <f t="shared" si="66"/>
        <v>2137.9928490721086</v>
      </c>
      <c r="Q235" s="962">
        <f t="shared" si="66"/>
        <v>2200.4145445569366</v>
      </c>
      <c r="R235" s="962">
        <f t="shared" si="66"/>
        <v>2264.6587288629466</v>
      </c>
      <c r="S235" s="962">
        <f t="shared" si="66"/>
        <v>2330.7786121036661</v>
      </c>
      <c r="T235" s="962">
        <f t="shared" si="66"/>
        <v>2398.8289579364073</v>
      </c>
    </row>
    <row r="236" spans="4:20" ht="12.75" x14ac:dyDescent="0.3">
      <c r="D236" s="6" t="str">
        <f t="shared" si="60"/>
        <v>Special meter read - no appointment</v>
      </c>
      <c r="E236" s="959" t="str">
        <f t="shared" si="67"/>
        <v>Calculated</v>
      </c>
      <c r="F236" s="959" t="str">
        <f t="shared" si="61"/>
        <v>Dollars</v>
      </c>
      <c r="G236" s="959" t="str">
        <f t="shared" si="62"/>
        <v>Nominal</v>
      </c>
      <c r="H236" s="959" t="str">
        <f t="shared" si="63"/>
        <v>Mid Period</v>
      </c>
      <c r="I236" s="139"/>
      <c r="J236" s="139"/>
      <c r="K236" s="139"/>
      <c r="L236" s="139"/>
      <c r="M236" s="139"/>
      <c r="N236" s="966">
        <f>N142*(1+(Input_QS!N$32+Input_QS!N$33))</f>
        <v>31340.443309991198</v>
      </c>
      <c r="O236" s="967">
        <f>O142*(1+(Input_QS!O$32+Input_QS!O$33))</f>
        <v>32656.741929010826</v>
      </c>
      <c r="P236" s="962">
        <f t="shared" ref="P236:T245" si="68">P65*P199</f>
        <v>29811.393713901714</v>
      </c>
      <c r="Q236" s="962">
        <f t="shared" si="68"/>
        <v>30681.779104196685</v>
      </c>
      <c r="R236" s="962">
        <f t="shared" si="68"/>
        <v>31577.576614934907</v>
      </c>
      <c r="S236" s="962">
        <f t="shared" si="68"/>
        <v>32499.528188562366</v>
      </c>
      <c r="T236" s="962">
        <f t="shared" si="68"/>
        <v>33448.397429573844</v>
      </c>
    </row>
    <row r="237" spans="4:20" ht="12.75" x14ac:dyDescent="0.3">
      <c r="D237" s="6" t="str">
        <f t="shared" si="60"/>
        <v>Special meter read - appointment</v>
      </c>
      <c r="E237" s="959" t="str">
        <f t="shared" si="67"/>
        <v>Calculated</v>
      </c>
      <c r="F237" s="959" t="str">
        <f t="shared" si="61"/>
        <v>Dollars</v>
      </c>
      <c r="G237" s="959" t="str">
        <f t="shared" si="62"/>
        <v>Nominal</v>
      </c>
      <c r="H237" s="959" t="str">
        <f t="shared" si="63"/>
        <v>Mid Period</v>
      </c>
      <c r="I237" s="139"/>
      <c r="J237" s="139"/>
      <c r="K237" s="139"/>
      <c r="L237" s="139"/>
      <c r="M237" s="139"/>
      <c r="N237" s="966">
        <f>N143*(1+(Input_QS!N$32+Input_QS!N$33))</f>
        <v>1193.8222976361417</v>
      </c>
      <c r="O237" s="967">
        <f>O143*(1+(Input_QS!O$32+Input_QS!O$33))</f>
        <v>1243.9628341368596</v>
      </c>
      <c r="P237" s="962">
        <f t="shared" si="68"/>
        <v>2934.9136518475807</v>
      </c>
      <c r="Q237" s="962">
        <f t="shared" si="68"/>
        <v>3020.6025662559728</v>
      </c>
      <c r="R237" s="962">
        <f t="shared" si="68"/>
        <v>3108.7932885277296</v>
      </c>
      <c r="S237" s="962">
        <f t="shared" si="68"/>
        <v>3199.5588624472007</v>
      </c>
      <c r="T237" s="962">
        <f t="shared" si="68"/>
        <v>3292.9744644143175</v>
      </c>
    </row>
    <row r="238" spans="4:20" ht="12.75" x14ac:dyDescent="0.3">
      <c r="D238" s="6" t="str">
        <f t="shared" si="60"/>
        <v>Meter program change</v>
      </c>
      <c r="E238" s="959" t="str">
        <f t="shared" si="67"/>
        <v>Calculated</v>
      </c>
      <c r="F238" s="959" t="str">
        <f t="shared" si="61"/>
        <v>Dollars</v>
      </c>
      <c r="G238" s="959" t="str">
        <f t="shared" si="62"/>
        <v>Nominal</v>
      </c>
      <c r="H238" s="959" t="str">
        <f t="shared" si="63"/>
        <v>Mid Period</v>
      </c>
      <c r="I238" s="139"/>
      <c r="J238" s="139"/>
      <c r="K238" s="139"/>
      <c r="L238" s="139"/>
      <c r="M238" s="139"/>
      <c r="N238" s="966">
        <f>N144*(1+(Input_QS!N$32+Input_QS!N$33))</f>
        <v>134431.60686014986</v>
      </c>
      <c r="O238" s="967">
        <f>O144*(1+(Input_QS!O$32+Input_QS!O$33))</f>
        <v>140077.73434827616</v>
      </c>
      <c r="P238" s="962">
        <f t="shared" si="68"/>
        <v>233026.79297489638</v>
      </c>
      <c r="Q238" s="962">
        <f t="shared" si="68"/>
        <v>239830.33654951496</v>
      </c>
      <c r="R238" s="962">
        <f t="shared" si="68"/>
        <v>246832.51910714834</v>
      </c>
      <c r="S238" s="962">
        <f t="shared" si="68"/>
        <v>254039.14019109929</v>
      </c>
      <c r="T238" s="962">
        <f t="shared" si="68"/>
        <v>261456.1686704595</v>
      </c>
    </row>
    <row r="239" spans="4:20" ht="12.75" x14ac:dyDescent="0.3">
      <c r="D239" s="6" t="str">
        <f t="shared" si="60"/>
        <v>Prepayment Vending Charge</v>
      </c>
      <c r="E239" s="959" t="str">
        <f t="shared" si="67"/>
        <v>Calculated</v>
      </c>
      <c r="F239" s="959" t="str">
        <f t="shared" si="61"/>
        <v>Dollars</v>
      </c>
      <c r="G239" s="959" t="str">
        <f t="shared" si="62"/>
        <v>Nominal</v>
      </c>
      <c r="H239" s="959" t="str">
        <f t="shared" si="63"/>
        <v>Mid Period</v>
      </c>
      <c r="I239" s="139"/>
      <c r="J239" s="139"/>
      <c r="K239" s="139"/>
      <c r="L239" s="139"/>
      <c r="M239" s="139"/>
      <c r="N239" s="966">
        <f>N145*(1+(Input_QS!N$32+Input_QS!N$33))</f>
        <v>29452.65326286717</v>
      </c>
      <c r="O239" s="967">
        <f>O145*(1+(Input_QS!O$32+Input_QS!O$33))</f>
        <v>30689.664699907593</v>
      </c>
      <c r="P239" s="962">
        <f t="shared" si="68"/>
        <v>34225.259669703715</v>
      </c>
      <c r="Q239" s="962">
        <f t="shared" si="68"/>
        <v>35224.51405819178</v>
      </c>
      <c r="R239" s="962">
        <f t="shared" si="68"/>
        <v>36252.94307800621</v>
      </c>
      <c r="S239" s="962">
        <f t="shared" si="68"/>
        <v>37311.398523367607</v>
      </c>
      <c r="T239" s="962">
        <f t="shared" si="68"/>
        <v>38400.757057821786</v>
      </c>
    </row>
    <row r="240" spans="4:20" ht="12.75" x14ac:dyDescent="0.3">
      <c r="D240" s="6" t="str">
        <f t="shared" si="60"/>
        <v>Prepayment Meter Support Charge</v>
      </c>
      <c r="E240" s="959" t="str">
        <f t="shared" si="67"/>
        <v>Calculated</v>
      </c>
      <c r="F240" s="959" t="str">
        <f t="shared" si="61"/>
        <v>Dollars</v>
      </c>
      <c r="G240" s="959" t="str">
        <f t="shared" si="62"/>
        <v>Nominal</v>
      </c>
      <c r="H240" s="959" t="str">
        <f t="shared" si="63"/>
        <v>Mid Period</v>
      </c>
      <c r="I240" s="139"/>
      <c r="J240" s="139"/>
      <c r="K240" s="139"/>
      <c r="L240" s="139"/>
      <c r="M240" s="139"/>
      <c r="N240" s="966">
        <f>N146*(1+(Input_QS!N$32+Input_QS!N$33))</f>
        <v>33.255642739002852</v>
      </c>
      <c r="O240" s="967">
        <f>O146*(1+(Input_QS!O$32+Input_QS!O$33))</f>
        <v>34.65237973404097</v>
      </c>
      <c r="P240" s="962">
        <f t="shared" si="68"/>
        <v>38.718554466869811</v>
      </c>
      <c r="Q240" s="962">
        <f t="shared" si="68"/>
        <v>39.848996889814586</v>
      </c>
      <c r="R240" s="962">
        <f t="shared" si="68"/>
        <v>41.012444162480357</v>
      </c>
      <c r="S240" s="962">
        <f t="shared" si="68"/>
        <v>42.209859907677973</v>
      </c>
      <c r="T240" s="962">
        <f t="shared" si="68"/>
        <v>43.442235882535812</v>
      </c>
    </row>
    <row r="241" spans="2:20" ht="12.75" x14ac:dyDescent="0.3">
      <c r="D241" s="6" t="str">
        <f t="shared" si="60"/>
        <v>Historical data requests</v>
      </c>
      <c r="E241" s="959" t="str">
        <f t="shared" si="67"/>
        <v>Calculated</v>
      </c>
      <c r="F241" s="959" t="str">
        <f t="shared" si="61"/>
        <v>Dollars</v>
      </c>
      <c r="G241" s="959" t="str">
        <f t="shared" si="62"/>
        <v>Nominal</v>
      </c>
      <c r="H241" s="959" t="str">
        <f t="shared" si="63"/>
        <v>Mid Period</v>
      </c>
      <c r="I241" s="139"/>
      <c r="J241" s="139"/>
      <c r="K241" s="139"/>
      <c r="L241" s="139"/>
      <c r="M241" s="139"/>
      <c r="N241" s="966">
        <f>N147*(1+(Input_QS!N$32+Input_QS!N$33))</f>
        <v>72325.074618867933</v>
      </c>
      <c r="O241" s="967">
        <f>O147*(1+(Input_QS!O$32+Input_QS!O$33))</f>
        <v>75362.727752860374</v>
      </c>
      <c r="P241" s="962">
        <f t="shared" si="68"/>
        <v>94472.99015626761</v>
      </c>
      <c r="Q241" s="962">
        <f t="shared" si="68"/>
        <v>97231.261413178057</v>
      </c>
      <c r="R241" s="962">
        <f t="shared" si="68"/>
        <v>100070.06426238928</v>
      </c>
      <c r="S241" s="962">
        <f t="shared" si="68"/>
        <v>102991.74993652286</v>
      </c>
      <c r="T241" s="962">
        <f t="shared" si="68"/>
        <v>105998.73831572972</v>
      </c>
    </row>
    <row r="242" spans="2:20" ht="12.75" x14ac:dyDescent="0.3">
      <c r="D242" s="6" t="str">
        <f t="shared" si="60"/>
        <v>Standing data requests</v>
      </c>
      <c r="E242" s="959" t="str">
        <f t="shared" si="67"/>
        <v>Calculated</v>
      </c>
      <c r="F242" s="959" t="str">
        <f t="shared" si="61"/>
        <v>Dollars</v>
      </c>
      <c r="G242" s="959" t="str">
        <f t="shared" si="62"/>
        <v>Nominal</v>
      </c>
      <c r="H242" s="959" t="str">
        <f t="shared" si="63"/>
        <v>Mid Period</v>
      </c>
      <c r="I242" s="139"/>
      <c r="J242" s="139"/>
      <c r="K242" s="139"/>
      <c r="L242" s="139"/>
      <c r="M242" s="139"/>
      <c r="N242" s="966">
        <f>N148*(1+(Input_QS!N$32+Input_QS!N$33))</f>
        <v>13915.971927017701</v>
      </c>
      <c r="O242" s="967">
        <f>O148*(1+(Input_QS!O$32+Input_QS!O$33))</f>
        <v>14500.442747952446</v>
      </c>
      <c r="P242" s="962">
        <f t="shared" si="68"/>
        <v>6827.6939788452992</v>
      </c>
      <c r="Q242" s="962">
        <f t="shared" si="68"/>
        <v>7027.0380667341069</v>
      </c>
      <c r="R242" s="962">
        <f t="shared" si="68"/>
        <v>7232.2022844499616</v>
      </c>
      <c r="S242" s="962">
        <f t="shared" si="68"/>
        <v>7443.3565588342472</v>
      </c>
      <c r="T242" s="962">
        <f t="shared" si="68"/>
        <v>7660.6757779804639</v>
      </c>
    </row>
    <row r="243" spans="2:20" ht="12.75" x14ac:dyDescent="0.3">
      <c r="D243" s="6" t="str">
        <f t="shared" si="60"/>
        <v>Customer transfers</v>
      </c>
      <c r="E243" s="959" t="str">
        <f t="shared" si="67"/>
        <v>Calculated</v>
      </c>
      <c r="F243" s="959" t="str">
        <f t="shared" si="61"/>
        <v>Dollars</v>
      </c>
      <c r="G243" s="959" t="str">
        <f t="shared" si="62"/>
        <v>Nominal</v>
      </c>
      <c r="H243" s="959" t="str">
        <f t="shared" si="63"/>
        <v>Mid Period</v>
      </c>
      <c r="I243" s="139"/>
      <c r="J243" s="139"/>
      <c r="K243" s="139"/>
      <c r="L243" s="139"/>
      <c r="M243" s="139"/>
      <c r="N243" s="966">
        <f>N149*(1+(Input_QS!N$32+Input_QS!N$33))</f>
        <v>14429.321914805043</v>
      </c>
      <c r="O243" s="967">
        <f>O149*(1+(Input_QS!O$32+Input_QS!O$33))</f>
        <v>15035.353435226856</v>
      </c>
      <c r="P243" s="962">
        <f t="shared" si="68"/>
        <v>26010.262776553518</v>
      </c>
      <c r="Q243" s="962">
        <f t="shared" si="68"/>
        <v>26769.668825653742</v>
      </c>
      <c r="R243" s="962">
        <f t="shared" si="68"/>
        <v>27551.246797904616</v>
      </c>
      <c r="S243" s="962">
        <f t="shared" si="68"/>
        <v>28355.644033654273</v>
      </c>
      <c r="T243" s="962">
        <f t="shared" si="68"/>
        <v>29183.526773258909</v>
      </c>
    </row>
    <row r="244" spans="2:20" ht="12.75" x14ac:dyDescent="0.3">
      <c r="D244" s="6" t="str">
        <f t="shared" si="60"/>
        <v>Network tariff change request</v>
      </c>
      <c r="E244" s="959" t="str">
        <f t="shared" si="67"/>
        <v>Calculated</v>
      </c>
      <c r="F244" s="959" t="str">
        <f t="shared" si="61"/>
        <v>Dollars</v>
      </c>
      <c r="G244" s="959" t="str">
        <f t="shared" si="62"/>
        <v>Nominal</v>
      </c>
      <c r="H244" s="959" t="str">
        <f t="shared" si="63"/>
        <v>Mid Period</v>
      </c>
      <c r="I244" s="139"/>
      <c r="J244" s="139"/>
      <c r="K244" s="139"/>
      <c r="L244" s="139"/>
      <c r="M244" s="139"/>
      <c r="N244" s="966">
        <f>N150*(1+(Input_QS!N$32+Input_QS!N$33))</f>
        <v>113.37891605678819</v>
      </c>
      <c r="O244" s="967">
        <f>O150*(1+(Input_QS!O$32+Input_QS!O$33))</f>
        <v>118.14083053117331</v>
      </c>
      <c r="P244" s="962">
        <f t="shared" si="68"/>
        <v>209.01104016873364</v>
      </c>
      <c r="Q244" s="962">
        <f t="shared" si="68"/>
        <v>215.11341020614614</v>
      </c>
      <c r="R244" s="962">
        <f t="shared" si="68"/>
        <v>221.39394748316209</v>
      </c>
      <c r="S244" s="962">
        <f t="shared" si="68"/>
        <v>227.85785384186471</v>
      </c>
      <c r="T244" s="962">
        <f t="shared" si="68"/>
        <v>234.51048299940197</v>
      </c>
    </row>
    <row r="245" spans="2:20" ht="12.75" x14ac:dyDescent="0.3">
      <c r="D245" s="6" t="str">
        <f t="shared" si="60"/>
        <v>Installation of Minor Apparatus</v>
      </c>
      <c r="E245" s="959" t="str">
        <f t="shared" si="67"/>
        <v>Calculated</v>
      </c>
      <c r="F245" s="959" t="str">
        <f t="shared" si="61"/>
        <v>Dollars</v>
      </c>
      <c r="G245" s="959" t="str">
        <f t="shared" si="62"/>
        <v>Nominal</v>
      </c>
      <c r="H245" s="959" t="str">
        <f t="shared" si="63"/>
        <v>Mid Period</v>
      </c>
      <c r="I245" s="139"/>
      <c r="J245" s="139"/>
      <c r="K245" s="139"/>
      <c r="L245" s="139"/>
      <c r="M245" s="139"/>
      <c r="N245" s="966">
        <f>N151*(1+(Input_QS!N$32+Input_QS!N$33))</f>
        <v>972.11312998585458</v>
      </c>
      <c r="O245" s="967">
        <f>O151*(1+(Input_QS!O$32+Input_QS!O$33))</f>
        <v>1012.9418814452606</v>
      </c>
      <c r="P245" s="962">
        <f t="shared" si="68"/>
        <v>1648.8305055923393</v>
      </c>
      <c r="Q245" s="962">
        <f t="shared" si="68"/>
        <v>1696.970421388058</v>
      </c>
      <c r="R245" s="962">
        <f t="shared" si="68"/>
        <v>1746.5158494453212</v>
      </c>
      <c r="S245" s="962">
        <f t="shared" si="68"/>
        <v>1797.5078256630227</v>
      </c>
      <c r="T245" s="962">
        <f t="shared" si="68"/>
        <v>1849.9885840405957</v>
      </c>
    </row>
    <row r="246" spans="2:20" ht="12.75" x14ac:dyDescent="0.3">
      <c r="D246" s="6" t="str">
        <f t="shared" si="60"/>
        <v>Wasted visit fee</v>
      </c>
      <c r="E246" s="959" t="str">
        <f t="shared" si="67"/>
        <v>Calculated</v>
      </c>
      <c r="F246" s="959" t="str">
        <f t="shared" si="61"/>
        <v>Dollars</v>
      </c>
      <c r="G246" s="959" t="str">
        <f t="shared" si="62"/>
        <v>Nominal</v>
      </c>
      <c r="H246" s="959" t="str">
        <f t="shared" si="63"/>
        <v>Mid Period</v>
      </c>
      <c r="I246" s="139"/>
      <c r="J246" s="139"/>
      <c r="K246" s="139"/>
      <c r="L246" s="139"/>
      <c r="M246" s="139"/>
      <c r="N246" s="966">
        <f>N152*(1+(Input_QS!N$32+Input_QS!N$33))</f>
        <v>324.11681563873083</v>
      </c>
      <c r="O246" s="967">
        <f>O152*(1+(Input_QS!O$32+Input_QS!O$33))</f>
        <v>337.72972189555753</v>
      </c>
      <c r="P246" s="962">
        <f t="shared" ref="P246:T247" si="69">P75*P209</f>
        <v>915.31096767330791</v>
      </c>
      <c r="Q246" s="962">
        <f t="shared" si="69"/>
        <v>942.03475326633429</v>
      </c>
      <c r="R246" s="962">
        <f t="shared" si="69"/>
        <v>969.53877720637536</v>
      </c>
      <c r="S246" s="962">
        <f t="shared" si="69"/>
        <v>997.84581964469544</v>
      </c>
      <c r="T246" s="962">
        <f t="shared" si="69"/>
        <v>1026.9793258309776</v>
      </c>
    </row>
    <row r="247" spans="2:20" ht="12.75" x14ac:dyDescent="0.3">
      <c r="D247" s="6" t="str">
        <f t="shared" si="60"/>
        <v>[Spare]</v>
      </c>
      <c r="E247" s="959" t="str">
        <f t="shared" si="67"/>
        <v>Calculated</v>
      </c>
      <c r="F247" s="959" t="str">
        <f t="shared" si="61"/>
        <v>Dollars</v>
      </c>
      <c r="G247" s="959" t="str">
        <f t="shared" si="62"/>
        <v>Nominal</v>
      </c>
      <c r="H247" s="959" t="str">
        <f t="shared" si="63"/>
        <v>Mid Period</v>
      </c>
      <c r="I247" s="139"/>
      <c r="J247" s="139"/>
      <c r="K247" s="139"/>
      <c r="L247" s="139"/>
      <c r="M247" s="139"/>
      <c r="N247" s="966">
        <f>N153*(1+(Input_QS!N$32+Input_QS!N$33))</f>
        <v>0</v>
      </c>
      <c r="O247" s="967">
        <f>O153*(1+(Input_QS!O$32+Input_QS!O$33))</f>
        <v>0</v>
      </c>
      <c r="P247" s="962">
        <f t="shared" si="69"/>
        <v>0</v>
      </c>
      <c r="Q247" s="962">
        <f t="shared" si="69"/>
        <v>0</v>
      </c>
      <c r="R247" s="962">
        <f t="shared" si="69"/>
        <v>0</v>
      </c>
      <c r="S247" s="962">
        <f t="shared" si="69"/>
        <v>0</v>
      </c>
      <c r="T247" s="962">
        <f t="shared" si="69"/>
        <v>0</v>
      </c>
    </row>
    <row r="248" spans="2:20" ht="11.25" customHeight="1" x14ac:dyDescent="0.3"/>
    <row r="249" spans="2:20" ht="11.25" customHeight="1" x14ac:dyDescent="0.3">
      <c r="D249" s="402" t="s">
        <v>1065</v>
      </c>
      <c r="E249" s="963" t="s">
        <v>102</v>
      </c>
      <c r="F249" s="963" t="str">
        <f>Dollars</f>
        <v>Dollars</v>
      </c>
      <c r="G249" s="963" t="str">
        <f>Nominal</f>
        <v>Nominal</v>
      </c>
      <c r="H249" s="963" t="str">
        <f>Mid_Period</f>
        <v>Mid Period</v>
      </c>
      <c r="I249" s="963" t="str">
        <f>NA</f>
        <v>N/A</v>
      </c>
      <c r="J249" s="964">
        <f t="shared" ref="J249:T249" si="70">SUM(J216:J247)</f>
        <v>0</v>
      </c>
      <c r="K249" s="964">
        <f t="shared" si="70"/>
        <v>0</v>
      </c>
      <c r="L249" s="964">
        <f t="shared" si="70"/>
        <v>0</v>
      </c>
      <c r="M249" s="964">
        <f t="shared" si="70"/>
        <v>0</v>
      </c>
      <c r="N249" s="964">
        <f t="shared" si="70"/>
        <v>3769588.878465808</v>
      </c>
      <c r="O249" s="964">
        <f t="shared" si="70"/>
        <v>3927911.6113613723</v>
      </c>
      <c r="P249" s="964">
        <f t="shared" si="70"/>
        <v>6162159.4342666455</v>
      </c>
      <c r="Q249" s="964">
        <f t="shared" si="70"/>
        <v>6342072.3090462284</v>
      </c>
      <c r="R249" s="964">
        <f t="shared" si="70"/>
        <v>6527237.9921727413</v>
      </c>
      <c r="S249" s="964">
        <f t="shared" si="70"/>
        <v>6717809.8467424335</v>
      </c>
      <c r="T249" s="964">
        <f t="shared" si="70"/>
        <v>6913945.7135019172</v>
      </c>
    </row>
    <row r="250" spans="2:20" ht="11.25" customHeight="1" x14ac:dyDescent="0.3"/>
    <row r="251" spans="2:20" s="46" customFormat="1" ht="15" x14ac:dyDescent="0.3">
      <c r="B251" s="46" t="s">
        <v>16</v>
      </c>
    </row>
  </sheetData>
  <conditionalFormatting sqref="B3">
    <cfRule type="cellIs" dxfId="1017" priority="1" operator="notEqual">
      <formula>"No Errors Found"</formula>
    </cfRule>
  </conditionalFormatting>
  <dataValidations disablePrompts="1" count="2">
    <dataValidation type="list" allowBlank="1" showInputMessage="1" showErrorMessage="1" sqref="I122:I153" xr:uid="{FF40216A-D738-445A-AC1A-2E5D28E3293B}">
      <formula1>"Opex, Capex"</formula1>
    </dataValidation>
    <dataValidation type="list" allowBlank="1" showInputMessage="1" showErrorMessage="1" sqref="I45:I76" xr:uid="{8FCB5FF7-A682-4BDE-AA0C-B513FE15B03F}">
      <formula1>$D$164:$D$169</formula1>
    </dataValidation>
  </dataValidations>
  <hyperlinks>
    <hyperlink ref="B2:E2" location="TOC!A1" display="TOC!A1" xr:uid="{104F27E5-C9A8-44A1-9DC3-8CD3D113228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691F-9B3B-4B3A-87D7-EBFD142650AF}">
  <sheetPr codeName="Sheet5">
    <tabColor theme="4" tint="0.79998168889431442"/>
  </sheetPr>
  <dimension ref="A1:N16"/>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6.83203125" style="45" customWidth="1"/>
    <col min="5" max="14" width="18.6640625" style="45" customWidth="1"/>
    <col min="15" max="15" width="17.6640625" style="45" customWidth="1"/>
    <col min="16" max="17" width="4.6640625" style="45" customWidth="1"/>
    <col min="18" max="31" width="10.6640625" style="45" customWidth="1"/>
    <col min="32" max="16384" width="9.33203125" style="45"/>
  </cols>
  <sheetData>
    <row r="1" spans="1:14" ht="18.75" x14ac:dyDescent="0.3">
      <c r="A1" s="41">
        <f>IF(SUM($A3:$A16)&gt;0,1,0)</f>
        <v>0</v>
      </c>
      <c r="B1" s="3" t="s">
        <v>596</v>
      </c>
    </row>
    <row r="2" spans="1:14" customFormat="1" x14ac:dyDescent="0.3">
      <c r="B2" s="34" t="str">
        <f>TOC!$B$1</f>
        <v>Table of contents</v>
      </c>
      <c r="C2" s="34"/>
      <c r="D2" s="34"/>
      <c r="E2" s="34"/>
    </row>
    <row r="3" spans="1:14" x14ac:dyDescent="0.3">
      <c r="B3" s="9" t="str">
        <f>Title_Msg</f>
        <v>No Errors Found</v>
      </c>
    </row>
    <row r="4" spans="1:14" s="46" customFormat="1" ht="15" x14ac:dyDescent="0.3">
      <c r="B4" s="46" t="str">
        <f>Input_QS!$B$4</f>
        <v>Data required to populate Power and Water Corporation 2024-29 regulatory submission</v>
      </c>
    </row>
    <row r="5" spans="1:14" ht="4.5" customHeight="1" x14ac:dyDescent="0.3"/>
    <row r="6" spans="1:14" s="7" customFormat="1" ht="13.9" x14ac:dyDescent="0.3">
      <c r="C6" s="7" t="s">
        <v>68</v>
      </c>
    </row>
    <row r="7" spans="1:14" ht="11.25" customHeight="1" thickBot="1" x14ac:dyDescent="0.35"/>
    <row r="8" spans="1:14" ht="13.15" thickBot="1" x14ac:dyDescent="0.35">
      <c r="D8" s="718" t="s">
        <v>550</v>
      </c>
      <c r="E8" s="1042" t="str">
        <f>Input_CPI!D10</f>
        <v>Actual / Forecast Inflation (%): End of Period, June to June, Unlagged</v>
      </c>
      <c r="F8" s="1043"/>
      <c r="G8" s="1043"/>
      <c r="H8" s="1043"/>
      <c r="I8" s="1043"/>
      <c r="J8" s="1043"/>
      <c r="K8" s="1044"/>
      <c r="L8"/>
      <c r="M8"/>
      <c r="N8"/>
    </row>
    <row r="9" spans="1:14" ht="10.5" thickBot="1" x14ac:dyDescent="0.35">
      <c r="D9"/>
      <c r="E9"/>
      <c r="F9"/>
      <c r="G9"/>
      <c r="H9"/>
      <c r="I9"/>
      <c r="J9"/>
      <c r="K9"/>
      <c r="L9"/>
      <c r="M9"/>
      <c r="N9"/>
    </row>
    <row r="10" spans="1:14" ht="13.5" thickBot="1" x14ac:dyDescent="0.35">
      <c r="D10"/>
      <c r="E10" s="711" t="s">
        <v>170</v>
      </c>
      <c r="F10" s="712" t="s">
        <v>172</v>
      </c>
      <c r="G10" s="712" t="s">
        <v>69</v>
      </c>
      <c r="H10" s="712" t="s">
        <v>70</v>
      </c>
      <c r="I10" s="712" t="s">
        <v>71</v>
      </c>
      <c r="J10" s="713" t="s">
        <v>72</v>
      </c>
      <c r="K10" s="713" t="s">
        <v>73</v>
      </c>
      <c r="L10" s="713" t="s">
        <v>74</v>
      </c>
      <c r="M10" s="713" t="s">
        <v>82</v>
      </c>
      <c r="N10" s="714" t="s">
        <v>243</v>
      </c>
    </row>
    <row r="11" spans="1:14" ht="14.65" thickBot="1" x14ac:dyDescent="0.5">
      <c r="D11" s="719" t="s">
        <v>551</v>
      </c>
      <c r="E11" s="715">
        <f>Input_CPI!O10</f>
        <v>-3.4843205574912606E-3</v>
      </c>
      <c r="F11" s="716">
        <f>Input_CPI!P10</f>
        <v>3.8461538461538325E-2</v>
      </c>
      <c r="G11" s="716">
        <f>Input_CPI!Q10</f>
        <v>6.1447811447811418E-2</v>
      </c>
      <c r="H11" s="716">
        <f>Input_CPI!R10</f>
        <v>6.3E-2</v>
      </c>
      <c r="I11" s="716">
        <f>Input_CPI!S10</f>
        <v>4.2000000000000003E-2</v>
      </c>
      <c r="J11" s="716">
        <f>Input_CPI!T10</f>
        <v>2.9196400498682218E-2</v>
      </c>
      <c r="K11" s="716">
        <f>Input_CPI!U10</f>
        <v>2.9196400498682218E-2</v>
      </c>
      <c r="L11" s="716">
        <f>Input_CPI!V10</f>
        <v>2.9196400498682218E-2</v>
      </c>
      <c r="M11" s="716">
        <f>Input_CPI!W10</f>
        <v>2.9196400498682218E-2</v>
      </c>
      <c r="N11" s="717">
        <f>Input_CPI!X10</f>
        <v>2.9196400498682218E-2</v>
      </c>
    </row>
    <row r="12" spans="1:14" ht="11.25" customHeight="1" x14ac:dyDescent="0.3"/>
    <row r="13" spans="1:14" ht="11.25" customHeight="1" x14ac:dyDescent="0.3">
      <c r="D13" s="6" t="s">
        <v>695</v>
      </c>
      <c r="E13" s="912"/>
      <c r="F13" s="912"/>
      <c r="G13" s="912"/>
      <c r="H13" s="912"/>
      <c r="I13" s="912"/>
      <c r="J13" s="912"/>
      <c r="K13" s="912"/>
      <c r="L13" s="912"/>
      <c r="M13" s="912"/>
      <c r="N13" s="912"/>
    </row>
    <row r="14" spans="1:14" ht="11.25" customHeight="1" x14ac:dyDescent="0.3">
      <c r="A14" s="41">
        <f>IF(SUM($E14:$N14)&gt;0,1,0)</f>
        <v>0</v>
      </c>
      <c r="D14" s="6" t="s">
        <v>84</v>
      </c>
      <c r="E14" s="911"/>
      <c r="F14" s="911"/>
      <c r="G14" s="911"/>
      <c r="H14" s="911"/>
      <c r="I14" s="911"/>
      <c r="J14" s="911"/>
      <c r="K14" s="911"/>
      <c r="L14" s="911"/>
      <c r="M14" s="911"/>
      <c r="N14" s="911"/>
    </row>
    <row r="15" spans="1:14" ht="11.25" customHeight="1" x14ac:dyDescent="0.3"/>
    <row r="16" spans="1:14" s="46" customFormat="1" ht="15" x14ac:dyDescent="0.3">
      <c r="B16" s="46" t="s">
        <v>16</v>
      </c>
    </row>
  </sheetData>
  <mergeCells count="1">
    <mergeCell ref="E8:K8"/>
  </mergeCells>
  <conditionalFormatting sqref="B3">
    <cfRule type="cellIs" dxfId="1016" priority="2" operator="notEqual">
      <formula>"No Errors Found"</formula>
    </cfRule>
  </conditionalFormatting>
  <hyperlinks>
    <hyperlink ref="B2:E2" location="TOC!A1" display="TOC!A1" xr:uid="{9C4D7941-7D78-473C-8A61-B4842C19B23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ACF7-B8EA-48B6-9843-B5E186691BC6}">
  <sheetPr codeName="Sheet85">
    <tabColor theme="4" tint="0.79998168889431442"/>
  </sheetPr>
  <dimension ref="A1:M29"/>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78.5" style="45" customWidth="1"/>
    <col min="5" max="11" width="17.6640625" style="45" customWidth="1"/>
    <col min="12" max="13" width="10.6640625" style="45" customWidth="1"/>
    <col min="14" max="15" width="17.6640625" style="45" customWidth="1"/>
    <col min="16" max="17" width="4.6640625" style="45" customWidth="1"/>
    <col min="18" max="31" width="10.6640625" style="45" customWidth="1"/>
    <col min="32" max="16384" width="9.33203125" style="45"/>
  </cols>
  <sheetData>
    <row r="1" spans="1:13" ht="18.75" x14ac:dyDescent="0.3">
      <c r="A1" s="41">
        <f>IF(SUM($A3:$A29)&gt;0,1,0)</f>
        <v>0</v>
      </c>
      <c r="B1" s="3" t="s">
        <v>1073</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Input_QS!$B$4</f>
        <v>Data required to populate Power and Water Corporation 2024-29 regulatory submission</v>
      </c>
    </row>
    <row r="5" spans="1:13" ht="4.5" customHeight="1" x14ac:dyDescent="0.3"/>
    <row r="6" spans="1:13" s="7" customFormat="1" ht="13.9" x14ac:dyDescent="0.3">
      <c r="C6" s="7" t="s">
        <v>68</v>
      </c>
    </row>
    <row r="7" spans="1:13" ht="11.25" customHeight="1" x14ac:dyDescent="0.3"/>
    <row r="8" spans="1:13" ht="18.399999999999999" thickBot="1" x14ac:dyDescent="0.55000000000000004">
      <c r="D8" s="48" t="s">
        <v>237</v>
      </c>
      <c r="E8" s="49"/>
      <c r="F8" s="49"/>
      <c r="G8" s="49"/>
      <c r="H8" s="49"/>
      <c r="I8" s="49"/>
      <c r="J8" s="49"/>
      <c r="K8" s="49"/>
    </row>
    <row r="9" spans="1:13" ht="28.15" customHeight="1" thickBot="1" x14ac:dyDescent="0.35">
      <c r="D9"/>
      <c r="E9" s="422" t="s">
        <v>238</v>
      </c>
      <c r="F9" s="423"/>
      <c r="G9" s="423"/>
      <c r="H9" s="423"/>
      <c r="I9" s="423"/>
      <c r="J9" s="423"/>
      <c r="K9" s="424"/>
    </row>
    <row r="10" spans="1:13" ht="18.600000000000001" customHeight="1" thickBot="1" x14ac:dyDescent="0.35">
      <c r="D10"/>
      <c r="E10" s="417" t="s">
        <v>70</v>
      </c>
      <c r="F10" s="418" t="s">
        <v>71</v>
      </c>
      <c r="G10" s="419" t="s">
        <v>72</v>
      </c>
      <c r="H10" s="420" t="s">
        <v>73</v>
      </c>
      <c r="I10" s="420" t="s">
        <v>74</v>
      </c>
      <c r="J10" s="420" t="s">
        <v>82</v>
      </c>
      <c r="K10" s="421" t="s">
        <v>243</v>
      </c>
    </row>
    <row r="11" spans="1:13" ht="14.25" x14ac:dyDescent="0.45">
      <c r="D11" s="86" t="s">
        <v>75</v>
      </c>
      <c r="E11" s="158">
        <v>38592859.769823328</v>
      </c>
      <c r="F11" s="52">
        <v>47541407.359175004</v>
      </c>
      <c r="G11" s="51">
        <v>47509401.939582162</v>
      </c>
      <c r="H11" s="53">
        <v>44023794.146622419</v>
      </c>
      <c r="I11" s="53">
        <v>30431118.927909762</v>
      </c>
      <c r="J11" s="53">
        <v>27450230.710457563</v>
      </c>
      <c r="K11" s="98">
        <v>27213012.894361537</v>
      </c>
    </row>
    <row r="12" spans="1:13" ht="14.25" x14ac:dyDescent="0.45">
      <c r="D12" s="88" t="s">
        <v>76</v>
      </c>
      <c r="E12" s="159">
        <v>7505648.149378133</v>
      </c>
      <c r="F12" s="56">
        <v>7561056.7766109342</v>
      </c>
      <c r="G12" s="55">
        <v>1367447.372577402</v>
      </c>
      <c r="H12" s="57">
        <v>1387964.3278894734</v>
      </c>
      <c r="I12" s="57">
        <v>1401784.1762154782</v>
      </c>
      <c r="J12" s="57">
        <v>1413145.5621963325</v>
      </c>
      <c r="K12" s="99">
        <v>1427692.4833027234</v>
      </c>
      <c r="M12" s="6" t="s">
        <v>1074</v>
      </c>
    </row>
    <row r="13" spans="1:13" ht="14.25" x14ac:dyDescent="0.45">
      <c r="D13" s="88" t="s">
        <v>77</v>
      </c>
      <c r="E13" s="159">
        <v>6380278.963221469</v>
      </c>
      <c r="F13" s="56">
        <v>13453934.716456933</v>
      </c>
      <c r="G13" s="55">
        <v>9485176.2563105691</v>
      </c>
      <c r="H13" s="57">
        <v>6067060.6457375083</v>
      </c>
      <c r="I13" s="57">
        <v>7288674.2628427306</v>
      </c>
      <c r="J13" s="57">
        <v>5401536.1146545578</v>
      </c>
      <c r="K13" s="99">
        <v>4972602.083693523</v>
      </c>
    </row>
    <row r="14" spans="1:13" ht="14.25" x14ac:dyDescent="0.45">
      <c r="D14" s="88" t="s">
        <v>78</v>
      </c>
      <c r="E14" s="159">
        <v>23981219.87336082</v>
      </c>
      <c r="F14" s="56">
        <v>28069911.180260383</v>
      </c>
      <c r="G14" s="55">
        <v>21501051.680954188</v>
      </c>
      <c r="H14" s="57">
        <v>26154043.730188645</v>
      </c>
      <c r="I14" s="57">
        <v>24853947.278700236</v>
      </c>
      <c r="J14" s="57">
        <v>54258332.83919283</v>
      </c>
      <c r="K14" s="99">
        <v>73252016.973421812</v>
      </c>
    </row>
    <row r="15" spans="1:13" ht="14.25" x14ac:dyDescent="0.45">
      <c r="D15" s="88" t="s">
        <v>672</v>
      </c>
      <c r="E15" s="159">
        <v>0</v>
      </c>
      <c r="F15" s="56">
        <v>0</v>
      </c>
      <c r="G15" s="55">
        <v>637695.20373502094</v>
      </c>
      <c r="H15" s="57">
        <v>802492.04958818073</v>
      </c>
      <c r="I15" s="57">
        <v>5544581.5605401592</v>
      </c>
      <c r="J15" s="57">
        <v>2937732.3648589295</v>
      </c>
      <c r="K15" s="99">
        <v>3297810.2387787388</v>
      </c>
    </row>
    <row r="16" spans="1:13" ht="14.25" x14ac:dyDescent="0.45">
      <c r="D16" s="88" t="s">
        <v>247</v>
      </c>
      <c r="E16" s="801"/>
      <c r="F16" s="802"/>
      <c r="G16" s="249"/>
      <c r="H16" s="250"/>
      <c r="I16" s="250"/>
      <c r="J16" s="250"/>
      <c r="K16" s="403"/>
    </row>
    <row r="17" spans="1:13" ht="14.25" x14ac:dyDescent="0.45">
      <c r="D17" s="88" t="s">
        <v>242</v>
      </c>
      <c r="E17" s="801"/>
      <c r="F17" s="802"/>
      <c r="G17" s="249"/>
      <c r="H17" s="250"/>
      <c r="I17" s="250"/>
      <c r="J17" s="250"/>
      <c r="K17" s="403"/>
    </row>
    <row r="18" spans="1:13" ht="14.25" x14ac:dyDescent="0.45">
      <c r="D18" s="88" t="s">
        <v>79</v>
      </c>
      <c r="E18" s="159">
        <v>13841380.007205471</v>
      </c>
      <c r="F18" s="56">
        <v>13841380.007205475</v>
      </c>
      <c r="G18" s="55">
        <v>16888822.31339984</v>
      </c>
      <c r="H18" s="57">
        <v>16344413.225556737</v>
      </c>
      <c r="I18" s="57">
        <v>14693398.930508742</v>
      </c>
      <c r="J18" s="57">
        <v>19543828.309158821</v>
      </c>
      <c r="K18" s="99">
        <v>23881618.209762186</v>
      </c>
    </row>
    <row r="19" spans="1:13" ht="14.25" x14ac:dyDescent="0.45">
      <c r="D19" s="88" t="s">
        <v>80</v>
      </c>
      <c r="E19" s="159">
        <v>10700855.966364648</v>
      </c>
      <c r="F19" s="56">
        <v>10700855.96636465</v>
      </c>
      <c r="G19" s="55">
        <v>9867722.6612343919</v>
      </c>
      <c r="H19" s="57">
        <v>9549637.847894324</v>
      </c>
      <c r="I19" s="57">
        <v>8584990.8837101553</v>
      </c>
      <c r="J19" s="57">
        <v>11418977.233276244</v>
      </c>
      <c r="K19" s="99">
        <v>13953440.969560349</v>
      </c>
    </row>
    <row r="20" spans="1:13" ht="14.65" thickBot="1" x14ac:dyDescent="0.5">
      <c r="D20" s="89" t="s">
        <v>274</v>
      </c>
      <c r="E20" s="160">
        <v>9227838.2737265322</v>
      </c>
      <c r="F20" s="161">
        <v>16755206.79459491</v>
      </c>
      <c r="G20" s="162">
        <v>4906626.2866652757</v>
      </c>
      <c r="H20" s="100">
        <v>254594.94609887482</v>
      </c>
      <c r="I20" s="100">
        <v>256888.46929207337</v>
      </c>
      <c r="J20" s="100">
        <v>258734.49495519913</v>
      </c>
      <c r="K20" s="101">
        <v>261166.96118467019</v>
      </c>
      <c r="M20" s="6" t="s">
        <v>815</v>
      </c>
    </row>
    <row r="21" spans="1:13" ht="13.5" thickBot="1" x14ac:dyDescent="0.35">
      <c r="D21" s="58" t="s">
        <v>729</v>
      </c>
      <c r="E21" s="59">
        <f>SUM(E11:E19)</f>
        <v>101002242.72935387</v>
      </c>
      <c r="F21" s="59">
        <f t="shared" ref="F21:K21" si="0">SUM(F11:F19)</f>
        <v>121168546.00607337</v>
      </c>
      <c r="G21" s="59">
        <f t="shared" si="0"/>
        <v>107257317.42779356</v>
      </c>
      <c r="H21" s="59">
        <f t="shared" si="0"/>
        <v>104329405.97347727</v>
      </c>
      <c r="I21" s="59">
        <f t="shared" si="0"/>
        <v>92798496.020427272</v>
      </c>
      <c r="J21" s="59">
        <f t="shared" si="0"/>
        <v>122423783.13379528</v>
      </c>
      <c r="K21" s="60">
        <f t="shared" si="0"/>
        <v>147998193.85288087</v>
      </c>
      <c r="M21" s="6" t="s">
        <v>816</v>
      </c>
    </row>
    <row r="22" spans="1:13" ht="11.25" customHeight="1" x14ac:dyDescent="0.3"/>
    <row r="23" spans="1:13" ht="12.75" x14ac:dyDescent="0.3">
      <c r="D23" s="6" t="s">
        <v>552</v>
      </c>
      <c r="E23" s="115">
        <v>101002242.72935392</v>
      </c>
      <c r="F23" s="116">
        <v>121168546.00607334</v>
      </c>
      <c r="G23" s="117">
        <v>107257317.42779356</v>
      </c>
      <c r="H23" s="115">
        <v>104329405.97347724</v>
      </c>
      <c r="I23" s="115">
        <v>92798496.020427287</v>
      </c>
      <c r="J23" s="115">
        <v>122423783.13379526</v>
      </c>
      <c r="K23" s="115">
        <v>147998193.8528809</v>
      </c>
    </row>
    <row r="24" spans="1:13" ht="12.75" x14ac:dyDescent="0.3">
      <c r="D24" s="6" t="s">
        <v>695</v>
      </c>
      <c r="E24" s="115">
        <v>97336008.541681007</v>
      </c>
      <c r="F24" s="116">
        <v>117496786.58022086</v>
      </c>
      <c r="G24" s="117">
        <v>107070429.2561267</v>
      </c>
      <c r="H24" s="115">
        <v>104139897.05715781</v>
      </c>
      <c r="I24" s="115">
        <v>92607279.909595266</v>
      </c>
      <c r="J24" s="115">
        <v>122231192.92529057</v>
      </c>
      <c r="K24" s="115">
        <v>147803793.02697706</v>
      </c>
    </row>
    <row r="25" spans="1:13" ht="12.75" x14ac:dyDescent="0.3">
      <c r="D25" s="6" t="s">
        <v>944</v>
      </c>
      <c r="E25" s="118">
        <f>'WkB_1_2.5.2a'!G28</f>
        <v>3666234.1876728726</v>
      </c>
      <c r="F25" s="119">
        <f>'WkB_1_2.5.2a'!H28</f>
        <v>3671759.4258525101</v>
      </c>
      <c r="G25" s="120">
        <f>'WkB_1_2.5.2a'!I28</f>
        <v>186888.17166687499</v>
      </c>
      <c r="H25" s="118">
        <f>'WkB_1_2.5.2a'!J28</f>
        <v>189508.91631946573</v>
      </c>
      <c r="I25" s="118">
        <f>'WkB_1_2.5.2a'!K28</f>
        <v>191216.11083199084</v>
      </c>
      <c r="J25" s="118">
        <f>'WkB_1_2.5.2a'!L28</f>
        <v>192590.20850469571</v>
      </c>
      <c r="K25" s="118">
        <f>'WkB_1_2.5.2a'!M28</f>
        <v>194400.8259038004</v>
      </c>
    </row>
    <row r="26" spans="1:13" ht="12.75" x14ac:dyDescent="0.3">
      <c r="D26" s="6" t="s">
        <v>945</v>
      </c>
      <c r="E26" s="118">
        <f>SUM(E24:E25)</f>
        <v>101002242.72935387</v>
      </c>
      <c r="F26" s="119">
        <f t="shared" ref="F26:K26" si="1">SUM(F24:F25)</f>
        <v>121168546.00607337</v>
      </c>
      <c r="G26" s="120">
        <f t="shared" si="1"/>
        <v>107257317.42779358</v>
      </c>
      <c r="H26" s="118">
        <f t="shared" si="1"/>
        <v>104329405.97347727</v>
      </c>
      <c r="I26" s="118">
        <f t="shared" si="1"/>
        <v>92798496.020427257</v>
      </c>
      <c r="J26" s="118">
        <f t="shared" si="1"/>
        <v>122423783.13379526</v>
      </c>
      <c r="K26" s="118">
        <f t="shared" si="1"/>
        <v>147998193.85288087</v>
      </c>
    </row>
    <row r="27" spans="1:13" ht="12.75" x14ac:dyDescent="0.3">
      <c r="A27" s="41">
        <f>IF(SUM($E27:$K27)&gt;0,1,0)</f>
        <v>0</v>
      </c>
      <c r="D27" s="6" t="s">
        <v>84</v>
      </c>
      <c r="E27" s="62">
        <f>IF(OR(ROUND(E21-E23,3)&lt;&gt;0,ROUND(E21-E26,3)&lt;&gt;0),1,0)</f>
        <v>0</v>
      </c>
      <c r="F27" s="62">
        <f t="shared" ref="F27:K27" si="2">IF(OR(ROUND(F21-F23,3)&lt;&gt;0,ROUND(F21-F26,3)&lt;&gt;0),1,0)</f>
        <v>0</v>
      </c>
      <c r="G27" s="62">
        <f t="shared" si="2"/>
        <v>0</v>
      </c>
      <c r="H27" s="62">
        <f t="shared" si="2"/>
        <v>0</v>
      </c>
      <c r="I27" s="62">
        <f t="shared" si="2"/>
        <v>0</v>
      </c>
      <c r="J27" s="62">
        <f t="shared" si="2"/>
        <v>0</v>
      </c>
      <c r="K27" s="62">
        <f t="shared" si="2"/>
        <v>0</v>
      </c>
    </row>
    <row r="28" spans="1:13" ht="11.25" customHeight="1" x14ac:dyDescent="0.3"/>
    <row r="29" spans="1:13" s="46" customFormat="1" ht="15" x14ac:dyDescent="0.3">
      <c r="B29" s="46" t="s">
        <v>16</v>
      </c>
    </row>
  </sheetData>
  <conditionalFormatting sqref="B3">
    <cfRule type="cellIs" dxfId="1015" priority="5" operator="notEqual">
      <formula>"No Errors Found"</formula>
    </cfRule>
  </conditionalFormatting>
  <conditionalFormatting sqref="K11:K20">
    <cfRule type="expression" dxfId="1014" priority="3">
      <formula>(dms_FRCPlength_Num)&lt;5</formula>
    </cfRule>
  </conditionalFormatting>
  <hyperlinks>
    <hyperlink ref="B2:E2" location="TOC!A1" display="TOC!A1" xr:uid="{1932F9C7-109E-4F68-8156-9CD652BE21A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5FD1-3294-4835-8117-812EB5287015}">
  <sheetPr codeName="Sheet6">
    <tabColor theme="4" tint="0.79998168889431442"/>
  </sheetPr>
  <dimension ref="A1:M8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43.1640625" style="45" customWidth="1"/>
    <col min="5" max="11" width="20.6640625" style="45" customWidth="1"/>
    <col min="12" max="12" width="20.83203125" style="45" customWidth="1"/>
    <col min="13" max="26" width="10.6640625" style="45" customWidth="1"/>
    <col min="27" max="16384" width="9.33203125" style="45"/>
  </cols>
  <sheetData>
    <row r="1" spans="1:8" ht="18.75" x14ac:dyDescent="0.3">
      <c r="A1" s="41">
        <f>IF(SUM($A3:$A82)&gt;0,1,0)</f>
        <v>0</v>
      </c>
      <c r="B1" s="3" t="s">
        <v>1075</v>
      </c>
    </row>
    <row r="2" spans="1:8" customFormat="1" x14ac:dyDescent="0.3">
      <c r="B2" s="34" t="str">
        <f>TOC!$B$1</f>
        <v>Table of contents</v>
      </c>
      <c r="C2" s="34"/>
      <c r="D2" s="34"/>
      <c r="E2" s="34"/>
    </row>
    <row r="3" spans="1:8" x14ac:dyDescent="0.3">
      <c r="B3" s="9" t="str">
        <f>Title_Msg</f>
        <v>No Errors Found</v>
      </c>
    </row>
    <row r="4" spans="1:8" s="46" customFormat="1" ht="15" x14ac:dyDescent="0.3">
      <c r="B4" s="46" t="str">
        <f>Input_QS!$B$4</f>
        <v>Data required to populate Power and Water Corporation 2024-29 regulatory submission</v>
      </c>
    </row>
    <row r="5" spans="1:8" ht="4.5" customHeight="1" x14ac:dyDescent="0.3"/>
    <row r="6" spans="1:8" s="7" customFormat="1" ht="13.9" x14ac:dyDescent="0.3">
      <c r="C6" s="7" t="s">
        <v>68</v>
      </c>
    </row>
    <row r="7" spans="1:8" ht="11.25" customHeight="1" x14ac:dyDescent="0.3"/>
    <row r="8" spans="1:8" ht="18.399999999999999" thickBot="1" x14ac:dyDescent="0.55000000000000004">
      <c r="D8" s="48" t="s">
        <v>240</v>
      </c>
      <c r="E8" s="49"/>
      <c r="F8" s="49"/>
    </row>
    <row r="9" spans="1:8" ht="28.15" customHeight="1" thickBot="1" x14ac:dyDescent="0.35">
      <c r="D9"/>
      <c r="E9" s="1045" t="s">
        <v>238</v>
      </c>
      <c r="F9" s="1046"/>
    </row>
    <row r="10" spans="1:8" ht="13.5" thickBot="1" x14ac:dyDescent="0.35">
      <c r="D10"/>
      <c r="E10" s="417" t="s">
        <v>70</v>
      </c>
      <c r="F10" s="418" t="s">
        <v>71</v>
      </c>
    </row>
    <row r="11" spans="1:8" ht="14.25" x14ac:dyDescent="0.45">
      <c r="D11" s="86" t="s">
        <v>228</v>
      </c>
      <c r="E11" s="158">
        <f>E48</f>
        <v>2857092.1751594623</v>
      </c>
      <c r="F11" s="52">
        <f>F48</f>
        <v>2867248.4163266551</v>
      </c>
    </row>
    <row r="12" spans="1:8" ht="14.25" x14ac:dyDescent="0.45">
      <c r="D12" s="88" t="s">
        <v>229</v>
      </c>
      <c r="E12" s="159">
        <f t="shared" ref="E12" si="0">E49</f>
        <v>16471471.193448039</v>
      </c>
      <c r="F12" s="56">
        <f>F49</f>
        <v>16530023.113919346</v>
      </c>
      <c r="H12" s="6"/>
    </row>
    <row r="13" spans="1:8" ht="14.25" x14ac:dyDescent="0.45">
      <c r="D13" s="88" t="s">
        <v>241</v>
      </c>
      <c r="E13" s="159">
        <f t="shared" ref="E13" si="1">E50</f>
        <v>8539015.9743212871</v>
      </c>
      <c r="F13" s="56">
        <f>F50</f>
        <v>8569370.0197104178</v>
      </c>
    </row>
    <row r="14" spans="1:8" ht="14.25" x14ac:dyDescent="0.45">
      <c r="D14" s="88" t="s">
        <v>78</v>
      </c>
      <c r="E14" s="159">
        <f t="shared" ref="E14:E15" si="2">E51</f>
        <v>4662997.3854155466</v>
      </c>
      <c r="F14" s="56">
        <f>F51</f>
        <v>4679573.1635511005</v>
      </c>
    </row>
    <row r="15" spans="1:8" ht="14.25" x14ac:dyDescent="0.45">
      <c r="D15" s="88" t="s">
        <v>672</v>
      </c>
      <c r="E15" s="159">
        <f t="shared" si="2"/>
        <v>0</v>
      </c>
      <c r="F15" s="56">
        <f>F52</f>
        <v>0</v>
      </c>
    </row>
    <row r="16" spans="1:8" ht="14.25" x14ac:dyDescent="0.45">
      <c r="D16" s="88" t="s">
        <v>242</v>
      </c>
      <c r="E16" s="159">
        <f t="shared" ref="E16" si="3">E53</f>
        <v>48559.996002620421</v>
      </c>
      <c r="F16" s="56">
        <f t="shared" ref="F16:F18" si="4">F53</f>
        <v>48732.614525315796</v>
      </c>
    </row>
    <row r="17" spans="1:11" ht="14.25" x14ac:dyDescent="0.45">
      <c r="D17" s="89" t="s">
        <v>230</v>
      </c>
      <c r="E17" s="416">
        <f t="shared" ref="E17" si="5">E54</f>
        <v>18742015.646296494</v>
      </c>
      <c r="F17" s="251">
        <f t="shared" si="4"/>
        <v>18808638.77890595</v>
      </c>
    </row>
    <row r="18" spans="1:11" ht="14.65" thickBot="1" x14ac:dyDescent="0.5">
      <c r="D18" s="89" t="s">
        <v>231</v>
      </c>
      <c r="E18" s="160">
        <f t="shared" ref="E18" si="6">E55</f>
        <v>20775151.933629278</v>
      </c>
      <c r="F18" s="161">
        <f t="shared" si="4"/>
        <v>20849002.352302324</v>
      </c>
    </row>
    <row r="19" spans="1:11" ht="13.5" thickBot="1" x14ac:dyDescent="0.35">
      <c r="D19" s="58" t="s">
        <v>81</v>
      </c>
      <c r="E19" s="59">
        <f>SUM(E11:E18)</f>
        <v>72096304.304272726</v>
      </c>
      <c r="F19" s="59">
        <f>SUM(F11:F18)</f>
        <v>72352588.459241107</v>
      </c>
      <c r="K19" s="6" t="s">
        <v>838</v>
      </c>
    </row>
    <row r="20" spans="1:11" ht="11.25" customHeight="1" x14ac:dyDescent="0.3"/>
    <row r="21" spans="1:11" ht="12.75" x14ac:dyDescent="0.3">
      <c r="D21" s="6" t="s">
        <v>695</v>
      </c>
      <c r="E21" s="115">
        <v>72096304.304272726</v>
      </c>
      <c r="F21" s="116">
        <v>72352588.459241107</v>
      </c>
    </row>
    <row r="22" spans="1:11" ht="12.75" x14ac:dyDescent="0.3">
      <c r="D22" s="6" t="s">
        <v>713</v>
      </c>
      <c r="E22" s="118">
        <f>'WkB_1_7.8.1'!F11+'WkB_1_7.8.1'!F12</f>
        <v>0</v>
      </c>
      <c r="F22" s="119">
        <f>'WkB_1_7.8.1'!G11+'WkB_1_7.8.1'!G12</f>
        <v>0</v>
      </c>
    </row>
    <row r="23" spans="1:11" ht="12.75" x14ac:dyDescent="0.3">
      <c r="A23" s="41">
        <f>IF(SUM($E23:$F23)&gt;0,1,0)</f>
        <v>0</v>
      </c>
      <c r="D23" s="6" t="s">
        <v>84</v>
      </c>
      <c r="E23" s="62">
        <f>IF(OR(ROUND(E19-E61,3)&lt;&gt;0,ROUND(E19-E21,3)&lt;&gt;0,ROUND(E15-E22,3)&lt;&gt;0),1,0)</f>
        <v>0</v>
      </c>
      <c r="F23" s="62">
        <f t="shared" ref="F23" si="7">IF(OR(ROUND(F19-F61,3)&lt;&gt;0,ROUND(F19-F21,3)&lt;&gt;0,ROUND(F15-F22,3)&lt;&gt;0),1,0)</f>
        <v>0</v>
      </c>
    </row>
    <row r="24" spans="1:11" ht="11.25" customHeight="1" x14ac:dyDescent="0.3"/>
    <row r="25" spans="1:11" s="7" customFormat="1" ht="13.9" x14ac:dyDescent="0.3">
      <c r="C25" s="7" t="s">
        <v>649</v>
      </c>
    </row>
    <row r="26" spans="1:11" ht="11.25" customHeight="1" x14ac:dyDescent="0.3"/>
    <row r="27" spans="1:11" ht="18.399999999999999" thickBot="1" x14ac:dyDescent="0.55000000000000004">
      <c r="D27" s="48" t="s">
        <v>240</v>
      </c>
      <c r="E27" s="49"/>
      <c r="F27" s="49"/>
      <c r="G27" s="49"/>
    </row>
    <row r="28" spans="1:11" ht="28.15" customHeight="1" thickBot="1" x14ac:dyDescent="0.35">
      <c r="D28"/>
      <c r="E28" s="422" t="s">
        <v>217</v>
      </c>
      <c r="F28" s="423"/>
      <c r="G28" s="423"/>
    </row>
    <row r="29" spans="1:11" ht="13.5" thickBot="1" x14ac:dyDescent="0.35">
      <c r="D29"/>
      <c r="E29" s="417" t="s">
        <v>170</v>
      </c>
      <c r="F29" s="420" t="s">
        <v>172</v>
      </c>
      <c r="G29" s="418" t="s">
        <v>69</v>
      </c>
      <c r="H29" s="420" t="s">
        <v>81</v>
      </c>
      <c r="I29" s="418" t="s">
        <v>679</v>
      </c>
    </row>
    <row r="30" spans="1:11" ht="14.25" x14ac:dyDescent="0.45">
      <c r="D30" s="86" t="s">
        <v>228</v>
      </c>
      <c r="E30" s="158">
        <v>3167426.96</v>
      </c>
      <c r="F30" s="53">
        <v>3413240</v>
      </c>
      <c r="G30" s="52">
        <v>2546010</v>
      </c>
      <c r="H30" s="390">
        <f>SUM(E30:G30)</f>
        <v>9126676.9600000009</v>
      </c>
      <c r="I30" s="155">
        <f>IF($G$38=0,0,G30/$G$38)</f>
        <v>3.9628829837123E-2</v>
      </c>
    </row>
    <row r="31" spans="1:11" ht="14.25" x14ac:dyDescent="0.45">
      <c r="D31" s="88" t="s">
        <v>229</v>
      </c>
      <c r="E31" s="159">
        <v>13881705.200000001</v>
      </c>
      <c r="F31" s="57">
        <v>17106996</v>
      </c>
      <c r="G31" s="56">
        <v>14678046</v>
      </c>
      <c r="H31" s="391">
        <f t="shared" ref="H31:H38" si="8">SUM(E31:G31)</f>
        <v>45666747.200000003</v>
      </c>
      <c r="I31" s="155">
        <f t="shared" ref="I31:I38" si="9">IF($G$38=0,0,G31/$G$38)</f>
        <v>0.22846484785034774</v>
      </c>
      <c r="K31" s="6" t="s">
        <v>245</v>
      </c>
    </row>
    <row r="32" spans="1:11" ht="14.25" x14ac:dyDescent="0.45">
      <c r="D32" s="88" t="s">
        <v>241</v>
      </c>
      <c r="E32" s="159">
        <v>6185617.21</v>
      </c>
      <c r="F32" s="57">
        <v>9644438</v>
      </c>
      <c r="G32" s="56">
        <v>7609282</v>
      </c>
      <c r="H32" s="391">
        <f t="shared" si="8"/>
        <v>23439337.210000001</v>
      </c>
      <c r="I32" s="155">
        <f t="shared" si="9"/>
        <v>0.11843902481163976</v>
      </c>
    </row>
    <row r="33" spans="1:11" ht="14.25" x14ac:dyDescent="0.45">
      <c r="D33" s="88" t="s">
        <v>78</v>
      </c>
      <c r="E33" s="159">
        <v>3409001.81</v>
      </c>
      <c r="F33" s="57">
        <v>2663762</v>
      </c>
      <c r="G33" s="56">
        <v>4155287</v>
      </c>
      <c r="H33" s="391">
        <f t="shared" si="8"/>
        <v>10228050.810000001</v>
      </c>
      <c r="I33" s="155">
        <f t="shared" si="9"/>
        <v>6.4677342762757925E-2</v>
      </c>
    </row>
    <row r="34" spans="1:11" ht="14.25" x14ac:dyDescent="0.45">
      <c r="D34" s="88" t="s">
        <v>672</v>
      </c>
      <c r="E34" s="159"/>
      <c r="F34" s="57"/>
      <c r="G34" s="56"/>
      <c r="H34" s="391">
        <f t="shared" ref="H34" si="10">SUM(E34:G34)</f>
        <v>0</v>
      </c>
      <c r="I34" s="155">
        <f t="shared" si="9"/>
        <v>0</v>
      </c>
    </row>
    <row r="35" spans="1:11" ht="14.25" x14ac:dyDescent="0.45">
      <c r="D35" s="88" t="s">
        <v>242</v>
      </c>
      <c r="E35" s="159"/>
      <c r="F35" s="57"/>
      <c r="G35" s="56">
        <v>43272.75</v>
      </c>
      <c r="H35" s="391">
        <f t="shared" si="8"/>
        <v>43272.75</v>
      </c>
      <c r="I35" s="155">
        <f t="shared" si="9"/>
        <v>6.7354348424961575E-4</v>
      </c>
    </row>
    <row r="36" spans="1:11" ht="14.25" x14ac:dyDescent="0.45">
      <c r="D36" s="89" t="s">
        <v>230</v>
      </c>
      <c r="E36" s="416">
        <v>44598737.399999999</v>
      </c>
      <c r="F36" s="57">
        <v>28476589</v>
      </c>
      <c r="G36" s="251">
        <v>16701372</v>
      </c>
      <c r="H36" s="391">
        <f t="shared" si="8"/>
        <v>89776698.400000006</v>
      </c>
      <c r="I36" s="155">
        <f t="shared" si="9"/>
        <v>0.25995806341471189</v>
      </c>
    </row>
    <row r="37" spans="1:11" ht="14.65" thickBot="1" x14ac:dyDescent="0.5">
      <c r="D37" s="89" t="s">
        <v>231</v>
      </c>
      <c r="E37" s="160">
        <v>17199695.530000001</v>
      </c>
      <c r="F37" s="100">
        <v>17515827</v>
      </c>
      <c r="G37" s="161">
        <v>18513139</v>
      </c>
      <c r="H37" s="391">
        <f t="shared" si="8"/>
        <v>53228661.530000001</v>
      </c>
      <c r="I37" s="155">
        <f t="shared" si="9"/>
        <v>0.2881583478391701</v>
      </c>
    </row>
    <row r="38" spans="1:11" ht="13.5" thickBot="1" x14ac:dyDescent="0.35">
      <c r="D38" s="58" t="s">
        <v>81</v>
      </c>
      <c r="E38" s="59">
        <f>SUM(E30:E37)</f>
        <v>88442184.109999999</v>
      </c>
      <c r="F38" s="59">
        <f t="shared" ref="F38:G38" si="11">SUM(F30:F37)</f>
        <v>78820852</v>
      </c>
      <c r="G38" s="59">
        <f t="shared" si="11"/>
        <v>64246408.75</v>
      </c>
      <c r="H38" s="392">
        <f t="shared" si="8"/>
        <v>231509444.86000001</v>
      </c>
      <c r="I38" s="156">
        <f t="shared" si="9"/>
        <v>1</v>
      </c>
    </row>
    <row r="39" spans="1:11" ht="11.25" customHeight="1" x14ac:dyDescent="0.3"/>
    <row r="40" spans="1:11" ht="12.75" x14ac:dyDescent="0.3">
      <c r="D40" s="6" t="s">
        <v>226</v>
      </c>
      <c r="E40" s="115">
        <v>88442183</v>
      </c>
      <c r="F40" s="115">
        <v>78820851</v>
      </c>
      <c r="G40" s="115">
        <v>64246409</v>
      </c>
    </row>
    <row r="41" spans="1:11" ht="12.75" x14ac:dyDescent="0.3">
      <c r="A41" s="41">
        <f>IF(SUM($E41:$G41)&gt;0,1,0)</f>
        <v>0</v>
      </c>
      <c r="D41" s="6" t="s">
        <v>84</v>
      </c>
      <c r="E41" s="62">
        <f>IF(ROUND(E38-E40,-1)&lt;&gt;0,1,0)</f>
        <v>0</v>
      </c>
      <c r="F41" s="62">
        <f t="shared" ref="F41:G41" si="12">IF(ROUND(F38-F40,-1)&lt;&gt;0,1,0)</f>
        <v>0</v>
      </c>
      <c r="G41" s="62">
        <f t="shared" si="12"/>
        <v>0</v>
      </c>
    </row>
    <row r="42" spans="1:11" ht="11.25" customHeight="1" x14ac:dyDescent="0.3"/>
    <row r="43" spans="1:11" s="7" customFormat="1" ht="13.9" x14ac:dyDescent="0.3">
      <c r="C43" s="7" t="s">
        <v>1076</v>
      </c>
    </row>
    <row r="44" spans="1:11" ht="11.25" customHeight="1" x14ac:dyDescent="0.3"/>
    <row r="45" spans="1:11" ht="18.399999999999999" thickBot="1" x14ac:dyDescent="0.55000000000000004">
      <c r="D45" s="48" t="s">
        <v>240</v>
      </c>
      <c r="E45" s="49"/>
      <c r="F45" s="49"/>
      <c r="G45" s="49"/>
      <c r="H45" s="49"/>
      <c r="I45" s="49"/>
      <c r="J45" s="49"/>
      <c r="K45" s="49"/>
    </row>
    <row r="46" spans="1:11" ht="26.65" thickBot="1" x14ac:dyDescent="0.35">
      <c r="D46"/>
      <c r="E46" s="422" t="s">
        <v>238</v>
      </c>
      <c r="F46" s="423"/>
      <c r="G46" s="423"/>
      <c r="H46" s="423"/>
      <c r="I46" s="423"/>
      <c r="J46" s="423"/>
      <c r="K46" s="424"/>
    </row>
    <row r="47" spans="1:11" ht="13.5" thickBot="1" x14ac:dyDescent="0.35">
      <c r="D47"/>
      <c r="E47" s="417" t="s">
        <v>70</v>
      </c>
      <c r="F47" s="418" t="s">
        <v>71</v>
      </c>
      <c r="G47" s="419" t="s">
        <v>72</v>
      </c>
      <c r="H47" s="420" t="s">
        <v>73</v>
      </c>
      <c r="I47" s="420" t="s">
        <v>74</v>
      </c>
      <c r="J47" s="420" t="s">
        <v>82</v>
      </c>
      <c r="K47" s="421" t="s">
        <v>243</v>
      </c>
    </row>
    <row r="48" spans="1:11" ht="14.25" x14ac:dyDescent="0.45">
      <c r="D48" s="86" t="s">
        <v>228</v>
      </c>
      <c r="E48" s="158">
        <f>(E$61-E$60)*$I30+SUMIF($L$66:$L$79,$D48,E$66:E$79)</f>
        <v>2857092.1751594623</v>
      </c>
      <c r="F48" s="52">
        <f t="shared" ref="F48:K48" si="13">(F$61-F$60)*$I30+SUMIF($L$66:$L$79,$D48,F$66:F$79)</f>
        <v>2867248.4163266551</v>
      </c>
      <c r="G48" s="51">
        <f t="shared" si="13"/>
        <v>2851303.4052255778</v>
      </c>
      <c r="H48" s="53">
        <f t="shared" si="13"/>
        <v>2873347.387873115</v>
      </c>
      <c r="I48" s="53">
        <f t="shared" si="13"/>
        <v>2882582.6395333619</v>
      </c>
      <c r="J48" s="53">
        <f t="shared" si="13"/>
        <v>2886388.5002344442</v>
      </c>
      <c r="K48" s="98">
        <f t="shared" si="13"/>
        <v>2895974.9374383856</v>
      </c>
    </row>
    <row r="49" spans="4:11" ht="14.25" x14ac:dyDescent="0.45">
      <c r="D49" s="88" t="s">
        <v>229</v>
      </c>
      <c r="E49" s="159">
        <f t="shared" ref="E49:K49" si="14">(E$61-E$60)*$I31+SUMIF($L$66:$L$79,$D49,E$66:E$79)</f>
        <v>16471471.193448039</v>
      </c>
      <c r="F49" s="56">
        <f t="shared" si="14"/>
        <v>16530023.113919346</v>
      </c>
      <c r="G49" s="55">
        <f t="shared" si="14"/>
        <v>16438098.256431697</v>
      </c>
      <c r="H49" s="57">
        <f t="shared" si="14"/>
        <v>16565184.399582649</v>
      </c>
      <c r="I49" s="57">
        <f t="shared" si="14"/>
        <v>16618426.707621768</v>
      </c>
      <c r="J49" s="57">
        <f t="shared" si="14"/>
        <v>16640367.940547043</v>
      </c>
      <c r="K49" s="99">
        <f t="shared" si="14"/>
        <v>16695634.874398664</v>
      </c>
    </row>
    <row r="50" spans="4:11" ht="14.25" x14ac:dyDescent="0.45">
      <c r="D50" s="88" t="s">
        <v>241</v>
      </c>
      <c r="E50" s="159">
        <f t="shared" ref="E50:K50" si="15">(E$61-E$60)*$I32+SUMIF($L$66:$L$79,$D50,E$66:E$79)</f>
        <v>8539015.9743212871</v>
      </c>
      <c r="F50" s="56">
        <f t="shared" si="15"/>
        <v>8569370.0197104178</v>
      </c>
      <c r="G50" s="55">
        <f t="shared" si="15"/>
        <v>8521715.0277970992</v>
      </c>
      <c r="H50" s="57">
        <f t="shared" si="15"/>
        <v>8587598.0684639532</v>
      </c>
      <c r="I50" s="57">
        <f t="shared" si="15"/>
        <v>8615199.5445869006</v>
      </c>
      <c r="J50" s="57">
        <f t="shared" si="15"/>
        <v>8626574.1532205101</v>
      </c>
      <c r="K50" s="99">
        <f t="shared" si="15"/>
        <v>8655225.2206004821</v>
      </c>
    </row>
    <row r="51" spans="4:11" ht="14.25" x14ac:dyDescent="0.45">
      <c r="D51" s="88" t="s">
        <v>78</v>
      </c>
      <c r="E51" s="159">
        <f t="shared" ref="E51:K51" si="16">(E$61-E$60)*$I33+SUMIF($L$66:$L$79,$D51,E$66:E$79)</f>
        <v>4662997.3854155466</v>
      </c>
      <c r="F51" s="56">
        <f t="shared" si="16"/>
        <v>4679573.1635511005</v>
      </c>
      <c r="G51" s="55">
        <f t="shared" si="16"/>
        <v>4653549.6611519884</v>
      </c>
      <c r="H51" s="57">
        <f t="shared" si="16"/>
        <v>4689527.1610532207</v>
      </c>
      <c r="I51" s="57">
        <f t="shared" si="16"/>
        <v>4704599.8124432601</v>
      </c>
      <c r="J51" s="57">
        <f t="shared" si="16"/>
        <v>4710811.2741009193</v>
      </c>
      <c r="K51" s="99">
        <f t="shared" si="16"/>
        <v>4726457.087703323</v>
      </c>
    </row>
    <row r="52" spans="4:11" ht="14.25" x14ac:dyDescent="0.45">
      <c r="D52" s="88" t="s">
        <v>672</v>
      </c>
      <c r="E52" s="159">
        <f t="shared" ref="E52:K52" si="17">(E$61-E$60)*$I34+SUMIF($L$66:$L$79,$D52,E$66:E$79)</f>
        <v>0</v>
      </c>
      <c r="F52" s="56">
        <f t="shared" si="17"/>
        <v>0</v>
      </c>
      <c r="G52" s="55">
        <f t="shared" si="17"/>
        <v>0</v>
      </c>
      <c r="H52" s="57">
        <f t="shared" si="17"/>
        <v>0</v>
      </c>
      <c r="I52" s="57">
        <f t="shared" si="17"/>
        <v>0</v>
      </c>
      <c r="J52" s="57">
        <f t="shared" si="17"/>
        <v>0</v>
      </c>
      <c r="K52" s="99">
        <f t="shared" si="17"/>
        <v>0</v>
      </c>
    </row>
    <row r="53" spans="4:11" ht="14.25" x14ac:dyDescent="0.45">
      <c r="D53" s="88" t="s">
        <v>242</v>
      </c>
      <c r="E53" s="159">
        <f t="shared" ref="E53:K53" si="18">(E$61-E$60)*$I35+SUMIF($L$66:$L$79,$D53,E$66:E$79)</f>
        <v>48559.996002620421</v>
      </c>
      <c r="F53" s="56">
        <f t="shared" si="18"/>
        <v>48732.614525315796</v>
      </c>
      <c r="G53" s="55">
        <f t="shared" si="18"/>
        <v>48461.608331654279</v>
      </c>
      <c r="H53" s="57">
        <f t="shared" si="18"/>
        <v>48836.274475978622</v>
      </c>
      <c r="I53" s="57">
        <f t="shared" si="18"/>
        <v>48993.239584631352</v>
      </c>
      <c r="J53" s="57">
        <f t="shared" si="18"/>
        <v>49057.925135219441</v>
      </c>
      <c r="K53" s="99">
        <f t="shared" si="18"/>
        <v>49220.859098761161</v>
      </c>
    </row>
    <row r="54" spans="4:11" ht="14.25" x14ac:dyDescent="0.45">
      <c r="D54" s="89" t="s">
        <v>230</v>
      </c>
      <c r="E54" s="416">
        <f t="shared" ref="E54:K54" si="19">(E$61-E$60)*$I36+SUMIF($L$66:$L$79,$D54,E$66:E$79)</f>
        <v>18742015.646296494</v>
      </c>
      <c r="F54" s="251">
        <f t="shared" si="19"/>
        <v>18808638.77890595</v>
      </c>
      <c r="G54" s="789">
        <f t="shared" si="19"/>
        <v>26125500.808186166</v>
      </c>
      <c r="H54" s="790">
        <f t="shared" si="19"/>
        <v>26270105.406973317</v>
      </c>
      <c r="I54" s="790">
        <f t="shared" si="19"/>
        <v>26041401.999035731</v>
      </c>
      <c r="J54" s="790">
        <f t="shared" si="19"/>
        <v>27475027.410255156</v>
      </c>
      <c r="K54" s="604">
        <f t="shared" si="19"/>
        <v>27429073.673977457</v>
      </c>
    </row>
    <row r="55" spans="4:11" ht="14.65" thickBot="1" x14ac:dyDescent="0.5">
      <c r="D55" s="89" t="s">
        <v>231</v>
      </c>
      <c r="E55" s="160">
        <f t="shared" ref="E55:K55" si="20">(E$61-E$60)*$I37+SUMIF($L$66:$L$79,$D55,E$66:E$79)</f>
        <v>20775151.933629278</v>
      </c>
      <c r="F55" s="161">
        <f t="shared" si="20"/>
        <v>20849002.352302324</v>
      </c>
      <c r="G55" s="162">
        <f t="shared" si="20"/>
        <v>22968962.272015493</v>
      </c>
      <c r="H55" s="100">
        <f t="shared" si="20"/>
        <v>23441853.724981967</v>
      </c>
      <c r="I55" s="100">
        <f t="shared" si="20"/>
        <v>23646518.243321817</v>
      </c>
      <c r="J55" s="100">
        <f t="shared" si="20"/>
        <v>23818304.187469143</v>
      </c>
      <c r="K55" s="101">
        <f t="shared" si="20"/>
        <v>24039054.119060211</v>
      </c>
    </row>
    <row r="56" spans="4:11" ht="13.5" thickBot="1" x14ac:dyDescent="0.35">
      <c r="D56" s="58" t="s">
        <v>81</v>
      </c>
      <c r="E56" s="59">
        <f>SUM(E48:E55)</f>
        <v>72096304.304272726</v>
      </c>
      <c r="F56" s="59">
        <f t="shared" ref="F56:K56" si="21">SUM(F48:F55)</f>
        <v>72352588.459241107</v>
      </c>
      <c r="G56" s="59">
        <f t="shared" si="21"/>
        <v>81607591.039139673</v>
      </c>
      <c r="H56" s="59">
        <f t="shared" si="21"/>
        <v>82476452.423404202</v>
      </c>
      <c r="I56" s="59">
        <f t="shared" si="21"/>
        <v>82557722.186127469</v>
      </c>
      <c r="J56" s="59">
        <f t="shared" si="21"/>
        <v>84206531.390962437</v>
      </c>
      <c r="K56" s="60">
        <f t="shared" si="21"/>
        <v>84490640.772277281</v>
      </c>
    </row>
    <row r="57" spans="4:11" ht="11.25" customHeight="1" x14ac:dyDescent="0.3"/>
    <row r="58" spans="4:11" ht="12.75" x14ac:dyDescent="0.3">
      <c r="D58" s="6" t="s">
        <v>585</v>
      </c>
      <c r="E58" s="115">
        <v>67108673.106155962</v>
      </c>
      <c r="F58" s="115">
        <v>70879429.516278416</v>
      </c>
    </row>
    <row r="59" spans="4:11" ht="12.75" x14ac:dyDescent="0.3">
      <c r="D59" s="6" t="s">
        <v>586</v>
      </c>
      <c r="E59" s="115">
        <v>0</v>
      </c>
      <c r="F59" s="115">
        <v>0</v>
      </c>
      <c r="G59" s="791"/>
      <c r="H59" s="791"/>
      <c r="I59" s="791"/>
      <c r="J59" s="791"/>
      <c r="K59" s="791"/>
    </row>
    <row r="60" spans="4:11" ht="12.75" x14ac:dyDescent="0.3">
      <c r="D60" s="6" t="s">
        <v>682</v>
      </c>
      <c r="E60" s="118">
        <f>'WkB_1_2.17.1'!F27</f>
        <v>0</v>
      </c>
      <c r="F60" s="118">
        <f>'WkB_1_2.17.1'!G27</f>
        <v>0</v>
      </c>
      <c r="G60" s="118">
        <f>'WkB_1_2.17.1'!H27</f>
        <v>9657361.4475868754</v>
      </c>
      <c r="H60" s="118">
        <f>'WkB_1_2.17.1'!I27</f>
        <v>9969961.5761408582</v>
      </c>
      <c r="I60" s="118">
        <f>'WkB_1_2.17.1'!J27</f>
        <v>9818187.5750637781</v>
      </c>
      <c r="J60" s="118">
        <f>'WkB_1_2.17.1'!K27</f>
        <v>11370959.104380071</v>
      </c>
      <c r="K60" s="118">
        <f>'WkB_1_2.17.1'!L27</f>
        <v>11413162.851757646</v>
      </c>
    </row>
    <row r="61" spans="4:11" ht="12.75" x14ac:dyDescent="0.3">
      <c r="D61" s="6" t="s">
        <v>244</v>
      </c>
      <c r="E61" s="118">
        <f>E58*Input_CPI!R17+E59</f>
        <v>72096304.304272726</v>
      </c>
      <c r="F61" s="118">
        <f>F58*Input_CPI!S17+F59</f>
        <v>72352588.459241107</v>
      </c>
      <c r="G61" s="115">
        <v>81607591.039139673</v>
      </c>
      <c r="H61" s="115">
        <v>82476452.423404187</v>
      </c>
      <c r="I61" s="115">
        <v>82557722.186127469</v>
      </c>
      <c r="J61" s="115">
        <v>84206531.390962437</v>
      </c>
      <c r="K61" s="115">
        <v>84490640.772277281</v>
      </c>
    </row>
    <row r="62" spans="4:11" ht="11.25" customHeight="1" x14ac:dyDescent="0.3"/>
    <row r="63" spans="4:11" ht="18.399999999999999" thickBot="1" x14ac:dyDescent="0.55000000000000004">
      <c r="D63" s="48" t="s">
        <v>467</v>
      </c>
      <c r="E63" s="49"/>
      <c r="F63" s="49"/>
      <c r="G63" s="49"/>
      <c r="H63" s="49"/>
      <c r="I63" s="49"/>
      <c r="J63" s="49"/>
      <c r="K63" s="49"/>
    </row>
    <row r="64" spans="4:11" ht="26.65" thickBot="1" x14ac:dyDescent="0.35">
      <c r="D64"/>
      <c r="E64" s="422" t="str">
        <f>'WkB_1_2.1.1'!$E$9</f>
        <v>Forecast 
($0's. real June 2024)</v>
      </c>
      <c r="F64" s="423"/>
      <c r="G64" s="423"/>
      <c r="H64" s="423"/>
      <c r="I64" s="423"/>
      <c r="J64" s="423"/>
      <c r="K64" s="424"/>
    </row>
    <row r="65" spans="4:13" ht="13.5" thickBot="1" x14ac:dyDescent="0.35">
      <c r="D65" s="399" t="s">
        <v>191</v>
      </c>
      <c r="E65" s="417" t="str">
        <f>'WkB_1_2.1.1'!$E$10</f>
        <v>2022-23</v>
      </c>
      <c r="F65" s="418" t="str">
        <f>'WkB_1_2.1.1'!$F$10</f>
        <v>2023-24</v>
      </c>
      <c r="G65" s="419" t="str">
        <f>'WkB_1_2.1.1'!$G$10</f>
        <v>2024-25</v>
      </c>
      <c r="H65" s="420" t="str">
        <f>'WkB_1_2.1.1'!$H$10</f>
        <v>2025-26</v>
      </c>
      <c r="I65" s="420" t="str">
        <f>'WkB_1_2.1.1'!$I$10</f>
        <v>2026-27</v>
      </c>
      <c r="J65" s="420" t="str">
        <f>'WkB_1_2.1.1'!$J$10</f>
        <v>2027-28</v>
      </c>
      <c r="K65" s="421" t="str">
        <f>'WkB_1_2.1.1'!$K$10</f>
        <v>2028-29</v>
      </c>
      <c r="L65" s="821" t="s">
        <v>678</v>
      </c>
      <c r="M65" s="798" t="s">
        <v>1058</v>
      </c>
    </row>
    <row r="66" spans="4:13" ht="14.25" x14ac:dyDescent="0.45">
      <c r="D66" s="91" t="str">
        <f>'WkB_1_2.17.1'!D11</f>
        <v>Cyber security</v>
      </c>
      <c r="E66" s="55">
        <f>'WkB_1_2.17.1'!F11</f>
        <v>0</v>
      </c>
      <c r="F66" s="56">
        <f>'WkB_1_2.17.1'!G11</f>
        <v>0</v>
      </c>
      <c r="G66" s="55">
        <f>'WkB_1_2.17.1'!H11</f>
        <v>743397.84224605653</v>
      </c>
      <c r="H66" s="57">
        <f>'WkB_1_2.17.1'!I11</f>
        <v>924773.50493553397</v>
      </c>
      <c r="I66" s="57">
        <f>'WkB_1_2.17.1'!J11</f>
        <v>924773.50493553397</v>
      </c>
      <c r="J66" s="57">
        <f>'WkB_1_2.17.1'!K11</f>
        <v>924773.50493553397</v>
      </c>
      <c r="K66" s="56">
        <f>'WkB_1_2.17.1'!L11</f>
        <v>924773.50493553397</v>
      </c>
      <c r="L66" s="822" t="s">
        <v>231</v>
      </c>
    </row>
    <row r="67" spans="4:13" ht="14.25" x14ac:dyDescent="0.45">
      <c r="D67" s="92" t="str">
        <f>'WkB_1_2.17.1'!D12</f>
        <v>Insurance</v>
      </c>
      <c r="E67" s="55">
        <f>'WkB_1_2.17.1'!F12</f>
        <v>0</v>
      </c>
      <c r="F67" s="56">
        <f>'WkB_1_2.17.1'!G12</f>
        <v>0</v>
      </c>
      <c r="G67" s="55">
        <f>'WkB_1_2.17.1'!H12</f>
        <v>712423.12059054617</v>
      </c>
      <c r="H67" s="57">
        <f>'WkB_1_2.17.1'!I12</f>
        <v>838154.05107879743</v>
      </c>
      <c r="I67" s="57">
        <f>'WkB_1_2.17.1'!J12</f>
        <v>970171.52809146198</v>
      </c>
      <c r="J67" s="57">
        <f>'WkB_1_2.17.1'!K12</f>
        <v>1108789.8789547596</v>
      </c>
      <c r="K67" s="56">
        <f>'WkB_1_2.17.1'!L12</f>
        <v>1254339.1473612224</v>
      </c>
      <c r="L67" s="823" t="s">
        <v>231</v>
      </c>
    </row>
    <row r="68" spans="4:13" ht="14.25" x14ac:dyDescent="0.45">
      <c r="D68" s="93" t="str">
        <f>'WkB_1_2.17.1'!D13</f>
        <v>Cloud migration</v>
      </c>
      <c r="E68" s="55">
        <f>'WkB_1_2.17.1'!F13</f>
        <v>0</v>
      </c>
      <c r="F68" s="56">
        <f>'WkB_1_2.17.1'!G13</f>
        <v>0</v>
      </c>
      <c r="G68" s="55">
        <f>'WkB_1_2.17.1'!H13</f>
        <v>780082.02342806803</v>
      </c>
      <c r="H68" s="57">
        <f>'WkB_1_2.17.1'!I13</f>
        <v>785575.55880432203</v>
      </c>
      <c r="I68" s="57">
        <f>'WkB_1_2.17.1'!J13</f>
        <v>791069.09418057615</v>
      </c>
      <c r="J68" s="57">
        <f>'WkB_1_2.17.1'!K13</f>
        <v>796562.62955683016</v>
      </c>
      <c r="K68" s="56">
        <f>'WkB_1_2.17.1'!L13</f>
        <v>802056.16493308404</v>
      </c>
      <c r="L68" s="823" t="s">
        <v>231</v>
      </c>
    </row>
    <row r="69" spans="4:13" ht="14.25" x14ac:dyDescent="0.45">
      <c r="D69" s="93" t="str">
        <f>'WkB_1_2.17.1'!D14</f>
        <v>Future Network</v>
      </c>
      <c r="E69" s="55">
        <f>'WkB_1_2.17.1'!F14</f>
        <v>0</v>
      </c>
      <c r="F69" s="56">
        <f>'WkB_1_2.17.1'!G14</f>
        <v>0</v>
      </c>
      <c r="G69" s="55">
        <f>'WkB_1_2.17.1'!H14</f>
        <v>2289334.5463017859</v>
      </c>
      <c r="H69" s="57">
        <f>'WkB_1_2.17.1'!I14</f>
        <v>2038258.8892517858</v>
      </c>
      <c r="I69" s="57">
        <f>'WkB_1_2.17.1'!J14</f>
        <v>3163077.832835786</v>
      </c>
      <c r="J69" s="57">
        <f>'WkB_1_2.17.1'!K14</f>
        <v>3258063.7816825295</v>
      </c>
      <c r="K69" s="56">
        <f>'WkB_1_2.17.1'!L14</f>
        <v>3400300.3823273862</v>
      </c>
      <c r="L69" s="823" t="s">
        <v>230</v>
      </c>
    </row>
    <row r="70" spans="4:13" ht="14.25" x14ac:dyDescent="0.45">
      <c r="D70" s="93" t="str">
        <f>'WkB_1_2.17.1'!D15</f>
        <v>Regulatory obligations</v>
      </c>
      <c r="E70" s="55">
        <f>'WkB_1_2.17.1'!F15</f>
        <v>0</v>
      </c>
      <c r="F70" s="56">
        <f>'WkB_1_2.17.1'!G15</f>
        <v>0</v>
      </c>
      <c r="G70" s="55">
        <f>'WkB_1_2.17.1'!H15</f>
        <v>1132676.3334463199</v>
      </c>
      <c r="H70" s="57">
        <f>'WkB_1_2.17.1'!I15</f>
        <v>1383751.99049632</v>
      </c>
      <c r="I70" s="57">
        <f>'WkB_1_2.17.1'!J15</f>
        <v>1132676.3334463199</v>
      </c>
      <c r="J70" s="57">
        <f>'WkB_1_2.17.1'!K15</f>
        <v>1283321.7276763201</v>
      </c>
      <c r="K70" s="56">
        <f>'WkB_1_2.17.1'!L15</f>
        <v>1032246.0706263199</v>
      </c>
      <c r="L70" s="823" t="s">
        <v>230</v>
      </c>
    </row>
    <row r="71" spans="4:13" ht="14.65" thickBot="1" x14ac:dyDescent="0.5">
      <c r="D71" s="93" t="str">
        <f>'WkB_1_2.17.1'!D16</f>
        <v>OT capability uplift</v>
      </c>
      <c r="E71" s="55">
        <f>'WkB_1_2.17.1'!F16</f>
        <v>0</v>
      </c>
      <c r="F71" s="56">
        <f>'WkB_1_2.17.1'!G16</f>
        <v>0</v>
      </c>
      <c r="G71" s="55">
        <f>'WkB_1_2.17.1'!H16</f>
        <v>3999447.5815740996</v>
      </c>
      <c r="H71" s="57">
        <f>'WkB_1_2.17.1'!I16</f>
        <v>3999447.5815740996</v>
      </c>
      <c r="I71" s="57">
        <f>'WkB_1_2.17.1'!J16</f>
        <v>2836419.2815740998</v>
      </c>
      <c r="J71" s="57">
        <f>'WkB_1_2.17.1'!K16</f>
        <v>3999447.5815740996</v>
      </c>
      <c r="K71" s="56">
        <f>'WkB_1_2.17.1'!L16</f>
        <v>3999447.5815740996</v>
      </c>
      <c r="L71" s="823" t="s">
        <v>230</v>
      </c>
    </row>
    <row r="72" spans="4:13" ht="14.25" hidden="1" outlineLevel="1" x14ac:dyDescent="0.45">
      <c r="D72" s="93"/>
      <c r="E72" s="55"/>
      <c r="F72" s="56"/>
      <c r="G72" s="55"/>
      <c r="H72" s="57"/>
      <c r="I72" s="57"/>
      <c r="J72" s="57"/>
      <c r="K72" s="56"/>
      <c r="L72" s="823" t="s">
        <v>78</v>
      </c>
    </row>
    <row r="73" spans="4:13" ht="14.25" hidden="1" outlineLevel="1" x14ac:dyDescent="0.45">
      <c r="D73" s="93"/>
      <c r="E73" s="55"/>
      <c r="F73" s="56"/>
      <c r="G73" s="55"/>
      <c r="H73" s="57"/>
      <c r="I73" s="57"/>
      <c r="J73" s="57"/>
      <c r="K73" s="56"/>
      <c r="L73" s="823" t="s">
        <v>78</v>
      </c>
    </row>
    <row r="74" spans="4:13" ht="14.25" hidden="1" outlineLevel="1" x14ac:dyDescent="0.45">
      <c r="D74" s="93"/>
      <c r="E74" s="55"/>
      <c r="F74" s="56"/>
      <c r="G74" s="55"/>
      <c r="H74" s="57"/>
      <c r="I74" s="57"/>
      <c r="J74" s="57"/>
      <c r="K74" s="56"/>
      <c r="L74" s="823" t="s">
        <v>78</v>
      </c>
    </row>
    <row r="75" spans="4:13" ht="14.25" hidden="1" outlineLevel="1" x14ac:dyDescent="0.45">
      <c r="D75" s="94"/>
      <c r="E75" s="55"/>
      <c r="F75" s="56"/>
      <c r="G75" s="55"/>
      <c r="H75" s="57"/>
      <c r="I75" s="57"/>
      <c r="J75" s="57"/>
      <c r="K75" s="56"/>
      <c r="L75" s="823" t="s">
        <v>78</v>
      </c>
    </row>
    <row r="76" spans="4:13" ht="14.25" hidden="1" outlineLevel="1" x14ac:dyDescent="0.45">
      <c r="D76" s="94"/>
      <c r="E76" s="55"/>
      <c r="F76" s="56"/>
      <c r="G76" s="55"/>
      <c r="H76" s="57"/>
      <c r="I76" s="57"/>
      <c r="J76" s="57"/>
      <c r="K76" s="56"/>
      <c r="L76" s="823" t="s">
        <v>78</v>
      </c>
    </row>
    <row r="77" spans="4:13" ht="14.25" hidden="1" outlineLevel="1" x14ac:dyDescent="0.45">
      <c r="D77" s="94"/>
      <c r="E77" s="55"/>
      <c r="F77" s="56"/>
      <c r="G77" s="55"/>
      <c r="H77" s="57"/>
      <c r="I77" s="57"/>
      <c r="J77" s="57"/>
      <c r="K77" s="56"/>
      <c r="L77" s="823" t="s">
        <v>78</v>
      </c>
    </row>
    <row r="78" spans="4:13" ht="14.25" hidden="1" outlineLevel="1" x14ac:dyDescent="0.45">
      <c r="D78" s="94"/>
      <c r="E78" s="55"/>
      <c r="F78" s="56"/>
      <c r="G78" s="55"/>
      <c r="H78" s="57"/>
      <c r="I78" s="57"/>
      <c r="J78" s="57"/>
      <c r="K78" s="56"/>
      <c r="L78" s="823" t="s">
        <v>78</v>
      </c>
    </row>
    <row r="79" spans="4:13" ht="14.65" hidden="1" outlineLevel="1" thickBot="1" x14ac:dyDescent="0.5">
      <c r="D79" s="94"/>
      <c r="E79" s="55"/>
      <c r="F79" s="56"/>
      <c r="G79" s="55"/>
      <c r="H79" s="57"/>
      <c r="I79" s="57"/>
      <c r="J79" s="57"/>
      <c r="K79" s="56"/>
      <c r="L79" s="824" t="s">
        <v>78</v>
      </c>
    </row>
    <row r="80" spans="4:13" ht="13.5" collapsed="1" thickBot="1" x14ac:dyDescent="0.35">
      <c r="D80" s="58" t="s">
        <v>81</v>
      </c>
      <c r="E80" s="59">
        <f t="shared" ref="E80:K80" si="22">SUM(E66:E79)</f>
        <v>0</v>
      </c>
      <c r="F80" s="59">
        <f t="shared" si="22"/>
        <v>0</v>
      </c>
      <c r="G80" s="59">
        <f t="shared" si="22"/>
        <v>9657361.4475868754</v>
      </c>
      <c r="H80" s="59">
        <f t="shared" si="22"/>
        <v>9969961.5761408582</v>
      </c>
      <c r="I80" s="59">
        <f t="shared" si="22"/>
        <v>9818187.5750637781</v>
      </c>
      <c r="J80" s="59">
        <f t="shared" si="22"/>
        <v>11370959.104380073</v>
      </c>
      <c r="K80" s="60">
        <f t="shared" si="22"/>
        <v>11413162.851757646</v>
      </c>
    </row>
    <row r="81" spans="2:2" ht="11.25" customHeight="1" x14ac:dyDescent="0.3"/>
    <row r="82" spans="2:2" s="46" customFormat="1" ht="15" x14ac:dyDescent="0.3">
      <c r="B82" s="46" t="s">
        <v>16</v>
      </c>
    </row>
  </sheetData>
  <mergeCells count="1">
    <mergeCell ref="E9:F9"/>
  </mergeCells>
  <conditionalFormatting sqref="B3">
    <cfRule type="cellIs" dxfId="1013" priority="4" operator="notEqual">
      <formula>"No Errors Found"</formula>
    </cfRule>
  </conditionalFormatting>
  <conditionalFormatting sqref="K48:K55">
    <cfRule type="expression" dxfId="1012" priority="2">
      <formula>(dms_FRCPlength_Num)&lt;5</formula>
    </cfRule>
  </conditionalFormatting>
  <conditionalFormatting sqref="K66:K79">
    <cfRule type="expression" dxfId="1011" priority="1">
      <formula>(dms_FRCPlength_Num)&lt;5</formula>
    </cfRule>
  </conditionalFormatting>
  <dataValidations count="1">
    <dataValidation type="list" allowBlank="1" showInputMessage="1" showErrorMessage="1" sqref="L66:L79" xr:uid="{C5B5F76D-09D6-4359-85AE-B8C72C3144A5}">
      <formula1>$D$48:$D$55</formula1>
    </dataValidation>
  </dataValidations>
  <hyperlinks>
    <hyperlink ref="B2:E2" location="TOC!A1" display="TOC!A1" xr:uid="{CC5C485E-F9F4-41F7-B595-8E382E11C66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83D5-A4ED-412A-AF3C-683F3D54A323}">
  <sheetPr codeName="Sheet7">
    <tabColor theme="4" tint="0.79998168889431442"/>
  </sheetPr>
  <dimension ref="A1:M8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58.6640625" style="45" customWidth="1"/>
    <col min="5" max="11" width="17.6640625" style="45" customWidth="1"/>
    <col min="12" max="13" width="10.6640625" style="45" customWidth="1"/>
    <col min="14" max="15" width="17.6640625" style="45" customWidth="1"/>
    <col min="16" max="17" width="4.6640625" style="45" customWidth="1"/>
    <col min="18" max="31" width="10.6640625" style="45" customWidth="1"/>
    <col min="32" max="16384" width="9.33203125" style="45"/>
  </cols>
  <sheetData>
    <row r="1" spans="1:13" ht="18.75" x14ac:dyDescent="0.3">
      <c r="A1" s="41">
        <f>IF(SUM($A3:$A82)&gt;0,1,0)</f>
        <v>0</v>
      </c>
      <c r="B1" s="3" t="s">
        <v>1077</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Input_QS!$B$4</f>
        <v>Data required to populate Power and Water Corporation 2024-29 regulatory submission</v>
      </c>
    </row>
    <row r="5" spans="1:13" ht="4.5" customHeight="1" x14ac:dyDescent="0.3"/>
    <row r="6" spans="1:13" s="7" customFormat="1" ht="13.9" x14ac:dyDescent="0.3">
      <c r="C6" s="7" t="s">
        <v>68</v>
      </c>
    </row>
    <row r="7" spans="1:13" ht="11.25" customHeight="1" x14ac:dyDescent="0.3"/>
    <row r="8" spans="1:13" ht="18.399999999999999" thickBot="1" x14ac:dyDescent="0.55000000000000004">
      <c r="D8" s="48" t="s">
        <v>246</v>
      </c>
      <c r="E8" s="49"/>
      <c r="F8" s="49"/>
      <c r="G8" s="49"/>
      <c r="H8" s="49"/>
      <c r="I8" s="49"/>
      <c r="J8" s="49"/>
      <c r="K8" s="49"/>
    </row>
    <row r="9" spans="1:13" ht="28.15" customHeight="1" thickBot="1" x14ac:dyDescent="0.35">
      <c r="D9"/>
      <c r="E9" s="422" t="s">
        <v>238</v>
      </c>
      <c r="F9" s="423"/>
      <c r="G9" s="423"/>
      <c r="H9" s="423"/>
      <c r="I9" s="423"/>
      <c r="J9" s="423"/>
      <c r="K9" s="424"/>
    </row>
    <row r="10" spans="1:13" ht="18.600000000000001" customHeight="1" thickBot="1" x14ac:dyDescent="0.35">
      <c r="D10"/>
      <c r="E10" s="417" t="s">
        <v>70</v>
      </c>
      <c r="F10" s="418" t="s">
        <v>71</v>
      </c>
      <c r="G10" s="419" t="s">
        <v>72</v>
      </c>
      <c r="H10" s="420" t="s">
        <v>73</v>
      </c>
      <c r="I10" s="420" t="s">
        <v>74</v>
      </c>
      <c r="J10" s="420" t="s">
        <v>82</v>
      </c>
      <c r="K10" s="421" t="s">
        <v>243</v>
      </c>
    </row>
    <row r="11" spans="1:13" ht="14.25" x14ac:dyDescent="0.45">
      <c r="D11" s="86" t="s">
        <v>76</v>
      </c>
      <c r="E11" s="158">
        <f>E34+E49</f>
        <v>0</v>
      </c>
      <c r="F11" s="52">
        <f t="shared" ref="F11:K11" si="0">F34+F49</f>
        <v>0</v>
      </c>
      <c r="G11" s="51">
        <f t="shared" si="0"/>
        <v>2750950.4413506691</v>
      </c>
      <c r="H11" s="53">
        <f t="shared" si="0"/>
        <v>2827734.211732632</v>
      </c>
      <c r="I11" s="53">
        <f t="shared" si="0"/>
        <v>2891126.2084218226</v>
      </c>
      <c r="J11" s="53">
        <f t="shared" si="0"/>
        <v>2949443.4406717028</v>
      </c>
      <c r="K11" s="98">
        <f t="shared" si="0"/>
        <v>3014398.8545747837</v>
      </c>
    </row>
    <row r="12" spans="1:13" ht="14.25" x14ac:dyDescent="0.45">
      <c r="D12" s="88" t="s">
        <v>242</v>
      </c>
      <c r="E12" s="159">
        <f>E24+E25+E35</f>
        <v>9808567.2002274059</v>
      </c>
      <c r="F12" s="56">
        <f t="shared" ref="F12:K12" si="1">F24+F25+F35</f>
        <v>10938830.922405757</v>
      </c>
      <c r="G12" s="55">
        <f t="shared" si="1"/>
        <v>5211730.79989985</v>
      </c>
      <c r="H12" s="57">
        <f t="shared" si="1"/>
        <v>5297897.2359822607</v>
      </c>
      <c r="I12" s="57">
        <f t="shared" si="1"/>
        <v>7401026.1839215569</v>
      </c>
      <c r="J12" s="57">
        <f t="shared" si="1"/>
        <v>8882550.9912058506</v>
      </c>
      <c r="K12" s="99">
        <f t="shared" si="1"/>
        <v>9803780.6448243186</v>
      </c>
      <c r="M12" s="6"/>
    </row>
    <row r="13" spans="1:13" ht="14.25" x14ac:dyDescent="0.45">
      <c r="D13" s="88" t="s">
        <v>247</v>
      </c>
      <c r="E13" s="159">
        <f>E41</f>
        <v>0</v>
      </c>
      <c r="F13" s="56">
        <f t="shared" ref="F13:K13" si="2">F41</f>
        <v>0</v>
      </c>
      <c r="G13" s="55">
        <f t="shared" si="2"/>
        <v>0</v>
      </c>
      <c r="H13" s="57">
        <f t="shared" si="2"/>
        <v>0</v>
      </c>
      <c r="I13" s="57">
        <f t="shared" si="2"/>
        <v>0</v>
      </c>
      <c r="J13" s="57">
        <f t="shared" si="2"/>
        <v>0</v>
      </c>
      <c r="K13" s="99">
        <f t="shared" si="2"/>
        <v>0</v>
      </c>
    </row>
    <row r="14" spans="1:13" ht="14.25" x14ac:dyDescent="0.45">
      <c r="D14" s="88" t="s">
        <v>248</v>
      </c>
      <c r="E14" s="159">
        <f>E37</f>
        <v>4309387.4035421414</v>
      </c>
      <c r="F14" s="56">
        <f t="shared" ref="F14:K14" si="3">F37</f>
        <v>4266608.2137038494</v>
      </c>
      <c r="G14" s="55">
        <f t="shared" si="3"/>
        <v>4240314.1674924511</v>
      </c>
      <c r="H14" s="57">
        <f t="shared" si="3"/>
        <v>4240314.1674924521</v>
      </c>
      <c r="I14" s="57">
        <f t="shared" si="3"/>
        <v>4240314.1674924521</v>
      </c>
      <c r="J14" s="57">
        <f t="shared" si="3"/>
        <v>4240314.1674924511</v>
      </c>
      <c r="K14" s="99">
        <f t="shared" si="3"/>
        <v>4240314.1674924521</v>
      </c>
    </row>
    <row r="15" spans="1:13" ht="14.25" x14ac:dyDescent="0.45">
      <c r="D15" s="88" t="s">
        <v>230</v>
      </c>
      <c r="E15" s="159">
        <f>E31+E38+E42+E50</f>
        <v>3215525.3334072065</v>
      </c>
      <c r="F15" s="56">
        <f t="shared" ref="F15:K15" si="4">F31+F38+F42+F50</f>
        <v>3373066.5955392458</v>
      </c>
      <c r="G15" s="55">
        <f t="shared" si="4"/>
        <v>4066130.7535547926</v>
      </c>
      <c r="H15" s="57">
        <f t="shared" si="4"/>
        <v>4078534.4002418229</v>
      </c>
      <c r="I15" s="57">
        <f t="shared" si="4"/>
        <v>4600710.9260838609</v>
      </c>
      <c r="J15" s="57">
        <f t="shared" si="4"/>
        <v>4625186.3715513926</v>
      </c>
      <c r="K15" s="99">
        <f t="shared" si="4"/>
        <v>4649012.10392344</v>
      </c>
    </row>
    <row r="16" spans="1:13" ht="14.65" thickBot="1" x14ac:dyDescent="0.5">
      <c r="D16" s="89" t="s">
        <v>231</v>
      </c>
      <c r="E16" s="160">
        <f>E32+E39+E43+E51</f>
        <v>3727130.1144513972</v>
      </c>
      <c r="F16" s="161">
        <f t="shared" ref="F16:K16" si="5">F32+F39+F43+F51</f>
        <v>3836621.9955546497</v>
      </c>
      <c r="G16" s="162">
        <f t="shared" si="5"/>
        <v>4388088.2162720785</v>
      </c>
      <c r="H16" s="100">
        <f t="shared" si="5"/>
        <v>4397678.6648317445</v>
      </c>
      <c r="I16" s="100">
        <f t="shared" si="5"/>
        <v>4801423.4138632091</v>
      </c>
      <c r="J16" s="100">
        <f t="shared" si="5"/>
        <v>4820347.7278046655</v>
      </c>
      <c r="K16" s="101">
        <f t="shared" si="5"/>
        <v>4838769.6862257468</v>
      </c>
    </row>
    <row r="17" spans="1:11" ht="13.5" thickBot="1" x14ac:dyDescent="0.35">
      <c r="D17" s="58" t="s">
        <v>81</v>
      </c>
      <c r="E17" s="59">
        <f>SUM(E11:E16)</f>
        <v>21060610.051628154</v>
      </c>
      <c r="F17" s="59">
        <f t="shared" ref="F17:K17" si="6">SUM(F11:F16)</f>
        <v>22415127.7272035</v>
      </c>
      <c r="G17" s="59">
        <f t="shared" si="6"/>
        <v>20657214.378569841</v>
      </c>
      <c r="H17" s="59">
        <f t="shared" si="6"/>
        <v>20842158.680280909</v>
      </c>
      <c r="I17" s="59">
        <f t="shared" si="6"/>
        <v>23934600.8997829</v>
      </c>
      <c r="J17" s="59">
        <f t="shared" si="6"/>
        <v>25517842.698726062</v>
      </c>
      <c r="K17" s="60">
        <f t="shared" si="6"/>
        <v>26546275.457040742</v>
      </c>
    </row>
    <row r="18" spans="1:11" ht="11.25" customHeight="1" x14ac:dyDescent="0.3"/>
    <row r="19" spans="1:11" ht="12.75" x14ac:dyDescent="0.3">
      <c r="D19" s="6" t="s">
        <v>695</v>
      </c>
      <c r="E19" s="115">
        <v>21060610.051628154</v>
      </c>
      <c r="F19" s="116">
        <v>22415127.7272035</v>
      </c>
      <c r="G19" s="117">
        <v>20657214.378569841</v>
      </c>
      <c r="H19" s="115">
        <v>20842158.680280909</v>
      </c>
      <c r="I19" s="115">
        <v>23934600.8997829</v>
      </c>
      <c r="J19" s="115">
        <v>25517842.698726062</v>
      </c>
      <c r="K19" s="115">
        <v>26546275.457040742</v>
      </c>
    </row>
    <row r="20" spans="1:11" ht="12.75" x14ac:dyDescent="0.3">
      <c r="A20" s="793">
        <f>IF(SUM($E20:$K20)&gt;0,1,0)</f>
        <v>0</v>
      </c>
      <c r="D20" s="6" t="s">
        <v>84</v>
      </c>
      <c r="E20" s="62">
        <f>IF(OR(ROUND(E17-E54,1)&lt;&gt;0,ROUND(E17-E19,1)&lt;&gt;0),1,0)</f>
        <v>0</v>
      </c>
      <c r="F20" s="62">
        <f t="shared" ref="F20:K20" si="7">IF(OR(ROUND(F17-F54,1)&lt;&gt;0,ROUND(F17-F19,1)&lt;&gt;0),1,0)</f>
        <v>0</v>
      </c>
      <c r="G20" s="62">
        <f t="shared" si="7"/>
        <v>0</v>
      </c>
      <c r="H20" s="62">
        <f t="shared" si="7"/>
        <v>0</v>
      </c>
      <c r="I20" s="62">
        <f t="shared" si="7"/>
        <v>0</v>
      </c>
      <c r="J20" s="62">
        <f t="shared" si="7"/>
        <v>0</v>
      </c>
      <c r="K20" s="62">
        <f t="shared" si="7"/>
        <v>0</v>
      </c>
    </row>
    <row r="21" spans="1:11" ht="11.25" customHeight="1" x14ac:dyDescent="0.3"/>
    <row r="22" spans="1:11" s="7" customFormat="1" ht="13.9" x14ac:dyDescent="0.3">
      <c r="C22" s="7" t="s">
        <v>1078</v>
      </c>
    </row>
    <row r="23" spans="1:11" ht="11.25" customHeight="1" x14ac:dyDescent="0.3"/>
    <row r="24" spans="1:11" ht="12.75" x14ac:dyDescent="0.3">
      <c r="D24" s="6" t="s">
        <v>261</v>
      </c>
      <c r="E24" s="115">
        <v>6420692.4690658851</v>
      </c>
      <c r="F24" s="116">
        <v>7148774.1229544636</v>
      </c>
      <c r="G24" s="117">
        <v>3232882.2143106302</v>
      </c>
      <c r="H24" s="115">
        <v>3097035.7195540811</v>
      </c>
      <c r="I24" s="115">
        <v>5124423.4579218309</v>
      </c>
      <c r="J24" s="115">
        <v>5084167.1796624698</v>
      </c>
      <c r="K24" s="115">
        <v>5024969.6113349013</v>
      </c>
    </row>
    <row r="25" spans="1:11" ht="12.75" x14ac:dyDescent="0.3">
      <c r="D25" s="6" t="s">
        <v>262</v>
      </c>
      <c r="E25" s="115">
        <v>2619366.5564800762</v>
      </c>
      <c r="F25" s="116">
        <v>3029177.5877797552</v>
      </c>
      <c r="G25" s="117">
        <v>1127871.7124011025</v>
      </c>
      <c r="H25" s="115">
        <v>1349884.6432400618</v>
      </c>
      <c r="I25" s="115">
        <v>1425625.8528116087</v>
      </c>
      <c r="J25" s="115">
        <v>2947406.9383552633</v>
      </c>
      <c r="K25" s="115">
        <v>3927834.1603012993</v>
      </c>
    </row>
    <row r="26" spans="1:11" ht="12.75" x14ac:dyDescent="0.3">
      <c r="D26" s="6" t="s">
        <v>263</v>
      </c>
      <c r="E26" s="115">
        <v>2724166.9687488275</v>
      </c>
      <c r="F26" s="116">
        <v>3033076.9502860433</v>
      </c>
      <c r="G26" s="117">
        <v>1371645.0343185272</v>
      </c>
      <c r="H26" s="115">
        <v>1314008.1772942976</v>
      </c>
      <c r="I26" s="115">
        <v>2174186.8474792778</v>
      </c>
      <c r="J26" s="115">
        <v>2157106.9415271915</v>
      </c>
      <c r="K26" s="115">
        <v>2131990.638099615</v>
      </c>
    </row>
    <row r="27" spans="1:11" ht="12.75" x14ac:dyDescent="0.3">
      <c r="D27" s="6" t="s">
        <v>264</v>
      </c>
      <c r="E27" s="115">
        <v>0</v>
      </c>
      <c r="F27" s="116">
        <v>0</v>
      </c>
      <c r="G27" s="117">
        <v>0</v>
      </c>
      <c r="H27" s="115">
        <v>0</v>
      </c>
      <c r="I27" s="115">
        <v>0</v>
      </c>
      <c r="J27" s="115">
        <v>0</v>
      </c>
      <c r="K27" s="115">
        <v>0</v>
      </c>
    </row>
    <row r="28" spans="1:11" ht="12.75" x14ac:dyDescent="0.3">
      <c r="D28" s="6" t="s">
        <v>266</v>
      </c>
      <c r="E28" s="118">
        <f>SUM(E24:E27)</f>
        <v>11764225.994294789</v>
      </c>
      <c r="F28" s="118">
        <f t="shared" ref="F28:K28" si="8">SUM(F24:F27)</f>
        <v>13211028.661020262</v>
      </c>
      <c r="G28" s="118">
        <f t="shared" si="8"/>
        <v>5732398.9610302597</v>
      </c>
      <c r="H28" s="118">
        <f t="shared" si="8"/>
        <v>5760928.5400884412</v>
      </c>
      <c r="I28" s="118">
        <f t="shared" si="8"/>
        <v>8724236.1582127176</v>
      </c>
      <c r="J28" s="118">
        <f t="shared" si="8"/>
        <v>10188681.059544925</v>
      </c>
      <c r="K28" s="118">
        <f t="shared" si="8"/>
        <v>11084794.409735816</v>
      </c>
    </row>
    <row r="29" spans="1:11" ht="12.75" x14ac:dyDescent="0.3">
      <c r="D29" s="6" t="s">
        <v>265</v>
      </c>
      <c r="E29" s="115">
        <v>11764225.994294789</v>
      </c>
      <c r="F29" s="115">
        <v>13211028.661020264</v>
      </c>
      <c r="G29" s="115">
        <v>5732398.9610302597</v>
      </c>
      <c r="H29" s="115">
        <v>5760928.5400884412</v>
      </c>
      <c r="I29" s="115">
        <v>8724236.1582127158</v>
      </c>
      <c r="J29" s="115">
        <v>10188681.059544925</v>
      </c>
      <c r="K29" s="115">
        <v>11084794.409735814</v>
      </c>
    </row>
    <row r="30" spans="1:11" ht="12.75" x14ac:dyDescent="0.3">
      <c r="A30" s="41">
        <f>IF(SUM($E30:$K30)&gt;0,1,0)</f>
        <v>0</v>
      </c>
      <c r="D30" s="6" t="s">
        <v>84</v>
      </c>
      <c r="E30" s="62">
        <f>IF(ROUND(E28-E29,3)&lt;&gt;0,1,0)</f>
        <v>0</v>
      </c>
      <c r="F30" s="62">
        <f t="shared" ref="F30:K30" si="9">IF(ROUND(F28-F29,3)&lt;&gt;0,1,0)</f>
        <v>0</v>
      </c>
      <c r="G30" s="62">
        <f t="shared" si="9"/>
        <v>0</v>
      </c>
      <c r="H30" s="62">
        <f t="shared" si="9"/>
        <v>0</v>
      </c>
      <c r="I30" s="62">
        <f t="shared" si="9"/>
        <v>0</v>
      </c>
      <c r="J30" s="62">
        <f t="shared" si="9"/>
        <v>0</v>
      </c>
      <c r="K30" s="62">
        <f t="shared" si="9"/>
        <v>0</v>
      </c>
    </row>
    <row r="31" spans="1:11" ht="12.75" x14ac:dyDescent="0.3">
      <c r="D31" s="6" t="s">
        <v>252</v>
      </c>
      <c r="E31" s="118">
        <f>IF(SUM($G$69,$G$77)=0,0,$G$69/SUM($G$69,$G$77))*SUM(E$26:E$27)</f>
        <v>1536303.4438108455</v>
      </c>
      <c r="F31" s="119">
        <f t="shared" ref="F31:K31" si="10">IF(SUM($G$69,$G$77)=0,0,$G$69/SUM($G$69,$G$77))*SUM(F$26:F$27)</f>
        <v>1710514.3030964411</v>
      </c>
      <c r="G31" s="120">
        <f t="shared" si="10"/>
        <v>773543.99127650959</v>
      </c>
      <c r="H31" s="118">
        <f t="shared" si="10"/>
        <v>741039.48514580575</v>
      </c>
      <c r="I31" s="118">
        <f t="shared" si="10"/>
        <v>1226140.240150101</v>
      </c>
      <c r="J31" s="118">
        <f t="shared" si="10"/>
        <v>1216507.9677397916</v>
      </c>
      <c r="K31" s="118">
        <f t="shared" si="10"/>
        <v>1202343.5410015488</v>
      </c>
    </row>
    <row r="32" spans="1:11" ht="12.75" x14ac:dyDescent="0.3">
      <c r="D32" s="6" t="s">
        <v>253</v>
      </c>
      <c r="E32" s="118">
        <f>IF(SUM($G$69,$G$77)=0,0,$G$77/SUM($G$69,$G$77))*SUM(E$26:E$27)</f>
        <v>1187863.524937982</v>
      </c>
      <c r="F32" s="119">
        <f t="shared" ref="F32:K32" si="11">IF(SUM($G$69,$G$77)=0,0,$G$77/SUM($G$69,$G$77))*SUM(F$26:F$27)</f>
        <v>1322562.6471896023</v>
      </c>
      <c r="G32" s="120">
        <f t="shared" si="11"/>
        <v>598101.0430420175</v>
      </c>
      <c r="H32" s="118">
        <f t="shared" si="11"/>
        <v>572968.69214849174</v>
      </c>
      <c r="I32" s="118">
        <f t="shared" si="11"/>
        <v>948046.60732917674</v>
      </c>
      <c r="J32" s="118">
        <f t="shared" si="11"/>
        <v>940598.97378739982</v>
      </c>
      <c r="K32" s="118">
        <f t="shared" si="11"/>
        <v>929647.09709806624</v>
      </c>
    </row>
    <row r="33" spans="4:13" ht="11.25" customHeight="1" x14ac:dyDescent="0.3"/>
    <row r="34" spans="4:13" ht="12.75" x14ac:dyDescent="0.3">
      <c r="D34" s="6" t="s">
        <v>256</v>
      </c>
      <c r="E34" s="118">
        <f>Input_FB!N26</f>
        <v>0</v>
      </c>
      <c r="F34" s="119">
        <f>Input_FB!O26</f>
        <v>0</v>
      </c>
      <c r="G34" s="120">
        <f>Input_FB!P26</f>
        <v>0</v>
      </c>
      <c r="H34" s="118">
        <f>Input_FB!Q26</f>
        <v>0</v>
      </c>
      <c r="I34" s="118">
        <f>Input_FB!R26</f>
        <v>0</v>
      </c>
      <c r="J34" s="118">
        <f>Input_FB!S26</f>
        <v>0</v>
      </c>
      <c r="K34" s="118">
        <f>Input_FB!T26</f>
        <v>0</v>
      </c>
    </row>
    <row r="35" spans="4:13" ht="12.75" x14ac:dyDescent="0.3">
      <c r="D35" s="6" t="s">
        <v>587</v>
      </c>
      <c r="E35" s="118">
        <f>Input_FB!N27</f>
        <v>768508.1746814436</v>
      </c>
      <c r="F35" s="119">
        <f>Input_FB!O27</f>
        <v>760879.21167153819</v>
      </c>
      <c r="G35" s="120">
        <f>Input_FB!P27</f>
        <v>850976.87318811729</v>
      </c>
      <c r="H35" s="118">
        <f>Input_FB!Q27</f>
        <v>850976.87318811729</v>
      </c>
      <c r="I35" s="118">
        <f>Input_FB!R27</f>
        <v>850976.87318811729</v>
      </c>
      <c r="J35" s="118">
        <f>Input_FB!S27</f>
        <v>850976.87318811729</v>
      </c>
      <c r="K35" s="118">
        <f>Input_FB!T27</f>
        <v>850976.8731881174</v>
      </c>
    </row>
    <row r="36" spans="4:13" ht="12.75" x14ac:dyDescent="0.3">
      <c r="D36" s="6" t="s">
        <v>588</v>
      </c>
      <c r="E36" s="720"/>
      <c r="F36" s="721"/>
      <c r="G36" s="722"/>
      <c r="H36" s="720"/>
      <c r="I36" s="720"/>
      <c r="J36" s="720"/>
      <c r="K36" s="720"/>
    </row>
    <row r="37" spans="4:13" ht="12.75" x14ac:dyDescent="0.3">
      <c r="D37" s="6" t="s">
        <v>260</v>
      </c>
      <c r="E37" s="118">
        <f>SUM(Input_FB!N28:N31)+Input_QS!N17</f>
        <v>4309387.4035421414</v>
      </c>
      <c r="F37" s="119">
        <f>SUM(Input_FB!O28:O31)+Input_QS!O17</f>
        <v>4266608.2137038494</v>
      </c>
      <c r="G37" s="120">
        <f>SUM(Input_FB!P28:P31)+Input_QS!P17</f>
        <v>4240314.1674924511</v>
      </c>
      <c r="H37" s="118">
        <f>SUM(Input_FB!Q28:Q31)+Input_QS!Q17</f>
        <v>4240314.1674924521</v>
      </c>
      <c r="I37" s="118">
        <f>SUM(Input_FB!R28:R31)+Input_QS!R17</f>
        <v>4240314.1674924521</v>
      </c>
      <c r="J37" s="118">
        <f>SUM(Input_FB!S28:S31)+Input_QS!S17</f>
        <v>4240314.1674924511</v>
      </c>
      <c r="K37" s="118">
        <f>SUM(Input_FB!T28:T31)+Input_QS!T17</f>
        <v>4240314.1674924521</v>
      </c>
    </row>
    <row r="38" spans="4:13" ht="12.75" x14ac:dyDescent="0.3">
      <c r="D38" s="6" t="s">
        <v>254</v>
      </c>
      <c r="E38" s="118">
        <f>Input_FB!N33+Input_QS!N18</f>
        <v>1679221.889596361</v>
      </c>
      <c r="F38" s="119">
        <f>Input_FB!O33+Input_QS!O18</f>
        <v>1662552.2924428047</v>
      </c>
      <c r="G38" s="120">
        <f>Input_FB!P33+Input_QS!P18</f>
        <v>1683651.6683171955</v>
      </c>
      <c r="H38" s="118">
        <f>Input_FB!Q33+Input_QS!Q18</f>
        <v>1683651.6683171955</v>
      </c>
      <c r="I38" s="118">
        <f>Input_FB!R33+Input_QS!R18</f>
        <v>1683651.6683171955</v>
      </c>
      <c r="J38" s="118">
        <f>Input_FB!S33+Input_QS!S18</f>
        <v>1683651.6683171955</v>
      </c>
      <c r="K38" s="118">
        <f>Input_FB!T33+Input_QS!T18</f>
        <v>1683651.6683171957</v>
      </c>
    </row>
    <row r="39" spans="4:13" ht="12.75" x14ac:dyDescent="0.3">
      <c r="D39" s="6" t="s">
        <v>255</v>
      </c>
      <c r="E39" s="118">
        <f>Input_FB!N34+Input_QS!N19</f>
        <v>2539266.5895134155</v>
      </c>
      <c r="F39" s="119">
        <f>Input_FB!O34+Input_QS!O19</f>
        <v>2514059.3483650475</v>
      </c>
      <c r="G39" s="120">
        <f>Input_FB!P34+Input_QS!P19</f>
        <v>2545965.1617357293</v>
      </c>
      <c r="H39" s="118">
        <f>Input_FB!Q34+Input_QS!Q19</f>
        <v>2545965.1617357298</v>
      </c>
      <c r="I39" s="118">
        <f>Input_FB!R34+Input_QS!R19</f>
        <v>2545965.1617357298</v>
      </c>
      <c r="J39" s="118">
        <f>Input_FB!S34+Input_QS!S19</f>
        <v>2545965.1617357293</v>
      </c>
      <c r="K39" s="118">
        <f>Input_FB!T34+Input_QS!T19</f>
        <v>2545965.1617357298</v>
      </c>
    </row>
    <row r="40" spans="4:13" ht="11.25" customHeight="1" x14ac:dyDescent="0.3"/>
    <row r="41" spans="4:13" ht="12.75" x14ac:dyDescent="0.3">
      <c r="D41" s="6" t="s">
        <v>257</v>
      </c>
      <c r="E41" s="720"/>
      <c r="F41" s="721"/>
      <c r="G41" s="722"/>
      <c r="H41" s="720"/>
      <c r="I41" s="720"/>
      <c r="J41" s="720"/>
      <c r="K41" s="720"/>
      <c r="M41" s="6" t="s">
        <v>553</v>
      </c>
    </row>
    <row r="42" spans="4:13" ht="12.75" x14ac:dyDescent="0.3">
      <c r="D42" s="6" t="s">
        <v>258</v>
      </c>
      <c r="E42" s="720"/>
      <c r="F42" s="721"/>
      <c r="G42" s="722"/>
      <c r="H42" s="720"/>
      <c r="I42" s="720"/>
      <c r="J42" s="720"/>
      <c r="K42" s="720"/>
    </row>
    <row r="43" spans="4:13" ht="12.75" x14ac:dyDescent="0.3">
      <c r="D43" s="6" t="s">
        <v>259</v>
      </c>
      <c r="E43" s="720"/>
      <c r="F43" s="721"/>
      <c r="G43" s="722"/>
      <c r="H43" s="720"/>
      <c r="I43" s="720"/>
      <c r="J43" s="720"/>
      <c r="K43" s="720"/>
    </row>
    <row r="44" spans="4:13" ht="11.25" customHeight="1" x14ac:dyDescent="0.3"/>
    <row r="45" spans="4:13" ht="12.75" x14ac:dyDescent="0.3">
      <c r="D45" s="6" t="s">
        <v>718</v>
      </c>
      <c r="E45" s="115">
        <v>0</v>
      </c>
      <c r="F45" s="116">
        <v>0</v>
      </c>
      <c r="G45" s="117">
        <v>2507799.4389240034</v>
      </c>
      <c r="H45" s="115">
        <v>2552717.6614620108</v>
      </c>
      <c r="I45" s="115">
        <v>2597615.519566759</v>
      </c>
      <c r="J45" s="115">
        <v>2642492.469903098</v>
      </c>
      <c r="K45" s="115">
        <v>2687347.9544172836</v>
      </c>
    </row>
    <row r="46" spans="4:13" ht="12.75" x14ac:dyDescent="0.3">
      <c r="D46" s="6" t="s">
        <v>719</v>
      </c>
      <c r="E46" s="115">
        <v>7651.0936180751596</v>
      </c>
      <c r="F46" s="116">
        <v>7719.431868329083</v>
      </c>
      <c r="G46" s="117">
        <v>1380.770942130956</v>
      </c>
      <c r="H46" s="115">
        <v>1387.8530521225121</v>
      </c>
      <c r="I46" s="115">
        <v>1395.0505876713776</v>
      </c>
      <c r="J46" s="115">
        <v>1402.3666283999903</v>
      </c>
      <c r="K46" s="115">
        <v>1409.8043373554708</v>
      </c>
    </row>
    <row r="47" spans="4:13" ht="12.75" x14ac:dyDescent="0.3">
      <c r="D47" s="6" t="s">
        <v>720</v>
      </c>
      <c r="E47" s="115">
        <v>7505.648149378133</v>
      </c>
      <c r="F47" s="116">
        <v>7561.0567766109343</v>
      </c>
      <c r="G47" s="117">
        <v>1367.4473725774021</v>
      </c>
      <c r="H47" s="115">
        <v>1387.9643278894735</v>
      </c>
      <c r="I47" s="115">
        <v>1401.7841762154783</v>
      </c>
      <c r="J47" s="115">
        <v>1413.1455621963325</v>
      </c>
      <c r="K47" s="115">
        <v>1427.6924833027233</v>
      </c>
    </row>
    <row r="48" spans="4:13" ht="12.75" x14ac:dyDescent="0.3">
      <c r="D48" s="6" t="s">
        <v>721</v>
      </c>
      <c r="E48" s="483">
        <f>IF(E46=0,0,E47/E46)</f>
        <v>0.98099023800291474</v>
      </c>
      <c r="F48" s="483">
        <f t="shared" ref="F48:K48" si="12">IF(F46=0,0,F47/F46)</f>
        <v>0.97948358189831009</v>
      </c>
      <c r="G48" s="483">
        <f t="shared" si="12"/>
        <v>0.99035063011031255</v>
      </c>
      <c r="H48" s="483">
        <f t="shared" si="12"/>
        <v>1.0000801783494233</v>
      </c>
      <c r="I48" s="483">
        <f t="shared" si="12"/>
        <v>1.0048267701570166</v>
      </c>
      <c r="J48" s="483">
        <f t="shared" si="12"/>
        <v>1.0076862452215083</v>
      </c>
      <c r="K48" s="483">
        <f t="shared" si="12"/>
        <v>1.0126883890716405</v>
      </c>
    </row>
    <row r="49" spans="3:13" ht="12.75" x14ac:dyDescent="0.3">
      <c r="D49" s="6" t="s">
        <v>722</v>
      </c>
      <c r="E49" s="118">
        <f>E45*E48*Input_CPI!R$24</f>
        <v>0</v>
      </c>
      <c r="F49" s="119">
        <f>F45*F48*Input_CPI!S$24</f>
        <v>0</v>
      </c>
      <c r="G49" s="120">
        <f>G45*G48*Input_CPI!T$24</f>
        <v>2750950.4413506691</v>
      </c>
      <c r="H49" s="118">
        <f>H45*H48*Input_CPI!U$24</f>
        <v>2827734.211732632</v>
      </c>
      <c r="I49" s="118">
        <f>I45*I48*Input_CPI!V$24</f>
        <v>2891126.2084218226</v>
      </c>
      <c r="J49" s="118">
        <f>J45*J48*Input_CPI!W$24</f>
        <v>2949443.4406717028</v>
      </c>
      <c r="K49" s="118">
        <f>K45*K48*Input_CPI!X$24</f>
        <v>3014398.8545747837</v>
      </c>
    </row>
    <row r="50" spans="3:13" ht="12.75" x14ac:dyDescent="0.3">
      <c r="D50" s="6" t="s">
        <v>716</v>
      </c>
      <c r="E50" s="118">
        <f>E49*$G$72/$G$64</f>
        <v>0</v>
      </c>
      <c r="F50" s="119">
        <f t="shared" ref="F50:K50" si="13">F49*$G$72/$G$64</f>
        <v>0</v>
      </c>
      <c r="G50" s="120">
        <f t="shared" si="13"/>
        <v>1608935.0939610875</v>
      </c>
      <c r="H50" s="118">
        <f t="shared" si="13"/>
        <v>1653843.2467788218</v>
      </c>
      <c r="I50" s="118">
        <f t="shared" si="13"/>
        <v>1690919.0176165644</v>
      </c>
      <c r="J50" s="118">
        <f t="shared" si="13"/>
        <v>1725026.7354944055</v>
      </c>
      <c r="K50" s="118">
        <f t="shared" si="13"/>
        <v>1763016.8946046955</v>
      </c>
      <c r="M50" s="6" t="s">
        <v>723</v>
      </c>
    </row>
    <row r="51" spans="3:13" ht="12.75" x14ac:dyDescent="0.3">
      <c r="D51" s="6" t="s">
        <v>717</v>
      </c>
      <c r="E51" s="118">
        <f>E49*$G$80/$G$64</f>
        <v>0</v>
      </c>
      <c r="F51" s="119">
        <f t="shared" ref="F51:K51" si="14">F49*$G$80/$G$64</f>
        <v>0</v>
      </c>
      <c r="G51" s="120">
        <f t="shared" si="14"/>
        <v>1244022.0114943313</v>
      </c>
      <c r="H51" s="118">
        <f t="shared" si="14"/>
        <v>1278744.8109475228</v>
      </c>
      <c r="I51" s="118">
        <f t="shared" si="14"/>
        <v>1307411.6447983026</v>
      </c>
      <c r="J51" s="118">
        <f t="shared" si="14"/>
        <v>1333783.5922815362</v>
      </c>
      <c r="K51" s="118">
        <f t="shared" si="14"/>
        <v>1363157.427391951</v>
      </c>
      <c r="M51" s="6" t="s">
        <v>723</v>
      </c>
    </row>
    <row r="52" spans="3:13" ht="11.25" customHeight="1" x14ac:dyDescent="0.3"/>
    <row r="53" spans="3:13" ht="11.25" customHeight="1" x14ac:dyDescent="0.3"/>
    <row r="54" spans="3:13" ht="11.25" customHeight="1" x14ac:dyDescent="0.3">
      <c r="D54" s="6" t="s">
        <v>81</v>
      </c>
      <c r="E54" s="118">
        <f>SUM(E41:E43,E34:E39,E24:E27,E49:E51)</f>
        <v>21060610.05162815</v>
      </c>
      <c r="F54" s="118">
        <f t="shared" ref="F54:K54" si="15">SUM(F41:F43,F34:F39,F24:F27,F49:F51)</f>
        <v>22415127.7272035</v>
      </c>
      <c r="G54" s="118">
        <f t="shared" si="15"/>
        <v>20657214.378569841</v>
      </c>
      <c r="H54" s="118">
        <f t="shared" si="15"/>
        <v>20842158.680280916</v>
      </c>
      <c r="I54" s="118">
        <f t="shared" si="15"/>
        <v>23934600.899782903</v>
      </c>
      <c r="J54" s="118">
        <f t="shared" si="15"/>
        <v>25517842.698726058</v>
      </c>
      <c r="K54" s="118">
        <f t="shared" si="15"/>
        <v>26546275.457040738</v>
      </c>
    </row>
    <row r="55" spans="3:13" ht="11.25" customHeight="1" x14ac:dyDescent="0.3"/>
    <row r="56" spans="3:13" s="7" customFormat="1" ht="13.9" x14ac:dyDescent="0.3">
      <c r="C56" s="7" t="s">
        <v>1079</v>
      </c>
    </row>
    <row r="57" spans="3:13" ht="11.25" customHeight="1" thickBot="1" x14ac:dyDescent="0.35"/>
    <row r="58" spans="3:13" ht="28.15" customHeight="1" thickBot="1" x14ac:dyDescent="0.35">
      <c r="D58"/>
      <c r="E58" s="601" t="s">
        <v>522</v>
      </c>
      <c r="F58" s="602"/>
      <c r="G58" s="603"/>
    </row>
    <row r="59" spans="3:13" ht="18.600000000000001" customHeight="1" thickBot="1" x14ac:dyDescent="0.35">
      <c r="D59"/>
      <c r="E59" s="417" t="s">
        <v>170</v>
      </c>
      <c r="F59" s="420" t="s">
        <v>172</v>
      </c>
      <c r="G59" s="418" t="s">
        <v>69</v>
      </c>
      <c r="H59" s="420" t="s">
        <v>81</v>
      </c>
      <c r="I59" s="418" t="s">
        <v>679</v>
      </c>
    </row>
    <row r="60" spans="3:13" ht="14.25" x14ac:dyDescent="0.45">
      <c r="D60" s="86" t="s">
        <v>76</v>
      </c>
      <c r="E60" s="158">
        <v>0</v>
      </c>
      <c r="F60" s="53">
        <v>0</v>
      </c>
      <c r="G60" s="52">
        <v>0</v>
      </c>
      <c r="H60" s="390">
        <f>SUM(E60:G60)</f>
        <v>0</v>
      </c>
      <c r="I60" s="155">
        <f>IF($G$64=0,0,G60/$G$64)</f>
        <v>0</v>
      </c>
    </row>
    <row r="61" spans="3:13" ht="14.25" x14ac:dyDescent="0.45">
      <c r="D61" s="88" t="s">
        <v>242</v>
      </c>
      <c r="E61" s="159">
        <v>1333585.06</v>
      </c>
      <c r="F61" s="57">
        <v>1377563</v>
      </c>
      <c r="G61" s="56">
        <v>1522177.430435471</v>
      </c>
      <c r="H61" s="391">
        <f t="shared" ref="H61:H64" si="16">SUM(E61:G61)</f>
        <v>4233325.4904354708</v>
      </c>
      <c r="I61" s="155">
        <f t="shared" ref="I61:I64" si="17">IF($G$64=0,0,G61/$G$64)</f>
        <v>0.50372018365592375</v>
      </c>
    </row>
    <row r="62" spans="3:13" ht="14.25" x14ac:dyDescent="0.45">
      <c r="D62" s="88" t="s">
        <v>247</v>
      </c>
      <c r="E62" s="159">
        <v>0</v>
      </c>
      <c r="F62" s="57">
        <v>0</v>
      </c>
      <c r="G62" s="56">
        <v>0</v>
      </c>
      <c r="H62" s="391">
        <f t="shared" si="16"/>
        <v>0</v>
      </c>
      <c r="I62" s="155">
        <f t="shared" si="17"/>
        <v>0</v>
      </c>
    </row>
    <row r="63" spans="3:13" ht="14.65" thickBot="1" x14ac:dyDescent="0.5">
      <c r="D63" s="89" t="s">
        <v>248</v>
      </c>
      <c r="E63" s="160">
        <v>458295.86</v>
      </c>
      <c r="F63" s="100">
        <v>1241093</v>
      </c>
      <c r="G63" s="161">
        <v>1499693.5999999999</v>
      </c>
      <c r="H63" s="391">
        <f t="shared" si="16"/>
        <v>3199082.46</v>
      </c>
      <c r="I63" s="155">
        <f t="shared" si="17"/>
        <v>0.49627981634407625</v>
      </c>
    </row>
    <row r="64" spans="3:13" ht="13.5" thickBot="1" x14ac:dyDescent="0.35">
      <c r="D64" s="58" t="s">
        <v>271</v>
      </c>
      <c r="E64" s="59">
        <f>SUM(E60:E63)</f>
        <v>1791880.92</v>
      </c>
      <c r="F64" s="59">
        <f>SUM(F60:F63)</f>
        <v>2618656</v>
      </c>
      <c r="G64" s="59">
        <f>SUM(G60:G63)</f>
        <v>3021871.0304354709</v>
      </c>
      <c r="H64" s="392">
        <f t="shared" si="16"/>
        <v>7432407.9504354708</v>
      </c>
      <c r="I64" s="156">
        <f t="shared" si="17"/>
        <v>1</v>
      </c>
    </row>
    <row r="65" spans="4:9" ht="11.25" customHeight="1" thickBot="1" x14ac:dyDescent="0.35"/>
    <row r="66" spans="4:9" ht="26.65" thickBot="1" x14ac:dyDescent="0.35">
      <c r="D66"/>
      <c r="E66" s="601" t="s">
        <v>523</v>
      </c>
      <c r="F66" s="602"/>
      <c r="G66" s="603"/>
    </row>
    <row r="67" spans="4:9" ht="26.65" thickBot="1" x14ac:dyDescent="0.35">
      <c r="D67"/>
      <c r="E67" s="417" t="s">
        <v>170</v>
      </c>
      <c r="F67" s="420" t="s">
        <v>172</v>
      </c>
      <c r="G67" s="418" t="s">
        <v>69</v>
      </c>
      <c r="H67" s="420" t="str">
        <f>H$59</f>
        <v>Total</v>
      </c>
      <c r="I67" s="418" t="str">
        <f>I$59</f>
        <v>FY22 Proportion</v>
      </c>
    </row>
    <row r="68" spans="4:9" ht="14.25" x14ac:dyDescent="0.45">
      <c r="D68" s="86" t="s">
        <v>76</v>
      </c>
      <c r="E68" s="158"/>
      <c r="F68" s="53"/>
      <c r="G68" s="52">
        <v>0</v>
      </c>
      <c r="H68" s="390">
        <f>SUM(E68:G68)</f>
        <v>0</v>
      </c>
      <c r="I68" s="155">
        <f>IF($G$72=0,0,G68/$G$72)</f>
        <v>0</v>
      </c>
    </row>
    <row r="69" spans="4:9" ht="14.25" x14ac:dyDescent="0.45">
      <c r="D69" s="88" t="s">
        <v>242</v>
      </c>
      <c r="E69" s="159"/>
      <c r="F69" s="57"/>
      <c r="G69" s="56">
        <v>549711.14</v>
      </c>
      <c r="H69" s="391">
        <f t="shared" ref="H69:H72" si="18">SUM(E69:G69)</f>
        <v>549711.14</v>
      </c>
      <c r="I69" s="155">
        <f t="shared" ref="I69:I72" si="19">IF($G$72=0,0,G69/$G$72)</f>
        <v>0.31103041144166782</v>
      </c>
    </row>
    <row r="70" spans="4:9" ht="14.25" x14ac:dyDescent="0.45">
      <c r="D70" s="88" t="s">
        <v>247</v>
      </c>
      <c r="E70" s="159"/>
      <c r="F70" s="57"/>
      <c r="G70" s="56">
        <v>0</v>
      </c>
      <c r="H70" s="391">
        <f t="shared" si="18"/>
        <v>0</v>
      </c>
      <c r="I70" s="155">
        <f t="shared" si="19"/>
        <v>0</v>
      </c>
    </row>
    <row r="71" spans="4:9" ht="14.65" thickBot="1" x14ac:dyDescent="0.5">
      <c r="D71" s="89" t="s">
        <v>248</v>
      </c>
      <c r="E71" s="160"/>
      <c r="F71" s="100"/>
      <c r="G71" s="161">
        <v>1217675.9699999995</v>
      </c>
      <c r="H71" s="391">
        <f t="shared" si="18"/>
        <v>1217675.9699999995</v>
      </c>
      <c r="I71" s="155">
        <f t="shared" si="19"/>
        <v>0.68896958855833224</v>
      </c>
    </row>
    <row r="72" spans="4:9" ht="13.5" thickBot="1" x14ac:dyDescent="0.35">
      <c r="D72" s="58" t="s">
        <v>272</v>
      </c>
      <c r="E72" s="59">
        <f>SUM(E68:E71)</f>
        <v>0</v>
      </c>
      <c r="F72" s="59">
        <f>SUM(F68:F71)</f>
        <v>0</v>
      </c>
      <c r="G72" s="59">
        <f>SUM(G68:G71)</f>
        <v>1767387.1099999994</v>
      </c>
      <c r="H72" s="392">
        <f t="shared" si="18"/>
        <v>1767387.1099999994</v>
      </c>
      <c r="I72" s="156">
        <f t="shared" si="19"/>
        <v>1</v>
      </c>
    </row>
    <row r="73" spans="4:9" ht="11.25" customHeight="1" thickBot="1" x14ac:dyDescent="0.35"/>
    <row r="74" spans="4:9" ht="26.65" thickBot="1" x14ac:dyDescent="0.35">
      <c r="D74"/>
      <c r="E74" s="601" t="s">
        <v>524</v>
      </c>
      <c r="F74" s="602"/>
      <c r="G74" s="603"/>
    </row>
    <row r="75" spans="4:9" ht="26.65" thickBot="1" x14ac:dyDescent="0.35">
      <c r="D75"/>
      <c r="E75" s="417" t="s">
        <v>170</v>
      </c>
      <c r="F75" s="420" t="s">
        <v>172</v>
      </c>
      <c r="G75" s="418" t="s">
        <v>69</v>
      </c>
      <c r="H75" s="420" t="str">
        <f>H$59</f>
        <v>Total</v>
      </c>
      <c r="I75" s="418" t="str">
        <f>I$59</f>
        <v>FY22 Proportion</v>
      </c>
    </row>
    <row r="76" spans="4:9" ht="14.25" x14ac:dyDescent="0.45">
      <c r="D76" s="86" t="s">
        <v>76</v>
      </c>
      <c r="E76" s="158"/>
      <c r="F76" s="53"/>
      <c r="G76" s="52">
        <v>0</v>
      </c>
      <c r="H76" s="390">
        <f>SUM(E76:G76)</f>
        <v>0</v>
      </c>
      <c r="I76" s="155">
        <f>IF($G$80=0,0,G76/$G$80)</f>
        <v>0</v>
      </c>
    </row>
    <row r="77" spans="4:9" ht="14.25" x14ac:dyDescent="0.45">
      <c r="D77" s="88" t="s">
        <v>242</v>
      </c>
      <c r="E77" s="159"/>
      <c r="F77" s="57"/>
      <c r="G77" s="56">
        <v>425034.4</v>
      </c>
      <c r="H77" s="391">
        <f t="shared" ref="H77:H80" si="20">SUM(E77:G77)</f>
        <v>425034.4</v>
      </c>
      <c r="I77" s="155">
        <f t="shared" ref="I77:I80" si="21">IF($G$80=0,0,G77/$G$80)</f>
        <v>0.31103041334147791</v>
      </c>
    </row>
    <row r="78" spans="4:9" ht="14.25" x14ac:dyDescent="0.45">
      <c r="D78" s="88" t="s">
        <v>247</v>
      </c>
      <c r="E78" s="159"/>
      <c r="F78" s="57"/>
      <c r="G78" s="56">
        <v>0</v>
      </c>
      <c r="H78" s="391">
        <f t="shared" si="20"/>
        <v>0</v>
      </c>
      <c r="I78" s="155">
        <f t="shared" si="21"/>
        <v>0</v>
      </c>
    </row>
    <row r="79" spans="4:9" ht="14.65" thickBot="1" x14ac:dyDescent="0.5">
      <c r="D79" s="89" t="s">
        <v>248</v>
      </c>
      <c r="E79" s="160"/>
      <c r="F79" s="100"/>
      <c r="G79" s="161">
        <v>941502.06000000017</v>
      </c>
      <c r="H79" s="391">
        <f t="shared" si="20"/>
        <v>941502.06000000017</v>
      </c>
      <c r="I79" s="155">
        <f t="shared" si="21"/>
        <v>0.68896958665852215</v>
      </c>
    </row>
    <row r="80" spans="4:9" ht="13.5" thickBot="1" x14ac:dyDescent="0.35">
      <c r="D80" s="58" t="s">
        <v>273</v>
      </c>
      <c r="E80" s="59">
        <f>SUM(E76:E79)</f>
        <v>0</v>
      </c>
      <c r="F80" s="59">
        <f>SUM(F76:F79)</f>
        <v>0</v>
      </c>
      <c r="G80" s="59">
        <f>SUM(G76:G79)</f>
        <v>1366536.4600000002</v>
      </c>
      <c r="H80" s="392">
        <f t="shared" si="20"/>
        <v>1366536.4600000002</v>
      </c>
      <c r="I80" s="156">
        <f t="shared" si="21"/>
        <v>1</v>
      </c>
    </row>
    <row r="81" spans="2:2" ht="11.25" customHeight="1" x14ac:dyDescent="0.3"/>
    <row r="82" spans="2:2" s="46" customFormat="1" ht="15" x14ac:dyDescent="0.3">
      <c r="B82" s="46" t="s">
        <v>16</v>
      </c>
    </row>
  </sheetData>
  <conditionalFormatting sqref="B3">
    <cfRule type="cellIs" dxfId="1010" priority="2" operator="notEqual">
      <formula>"No Errors Found"</formula>
    </cfRule>
  </conditionalFormatting>
  <conditionalFormatting sqref="K11:K16">
    <cfRule type="expression" dxfId="1009" priority="1">
      <formula>(dms_FRCPlength_Num)&lt;5</formula>
    </cfRule>
  </conditionalFormatting>
  <hyperlinks>
    <hyperlink ref="B2:E2" location="TOC!A1" display="TOC!A1" xr:uid="{3EC31560-D9E9-4792-AA3A-1C6DE769605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BCBD-ECA0-4000-821F-651CEBF542E5}">
  <sheetPr codeName="Sheet8">
    <tabColor theme="4" tint="0.79998168889431442"/>
  </sheetPr>
  <dimension ref="A1:M7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54.1640625" style="45" customWidth="1"/>
    <col min="5" max="11" width="17.6640625" style="45" customWidth="1"/>
    <col min="12" max="13" width="10.6640625" style="45" customWidth="1"/>
    <col min="14" max="15" width="17.6640625" style="45" customWidth="1"/>
    <col min="16" max="17" width="4.6640625" style="45" customWidth="1"/>
    <col min="18" max="31" width="10.6640625" style="45" customWidth="1"/>
    <col min="32" max="16384" width="9.33203125" style="45"/>
  </cols>
  <sheetData>
    <row r="1" spans="1:11" ht="18.75" x14ac:dyDescent="0.3">
      <c r="A1" s="41">
        <f>IF(SUM($A3:$A72)&gt;0,1,0)</f>
        <v>0</v>
      </c>
      <c r="B1" s="3" t="s">
        <v>1080</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Input_QS!$B$4</f>
        <v>Data required to populate Power and Water Corporation 2024-29 regulatory submission</v>
      </c>
    </row>
    <row r="5" spans="1:11" ht="4.5" customHeight="1" x14ac:dyDescent="0.3"/>
    <row r="6" spans="1:11" s="7" customFormat="1" ht="13.9" x14ac:dyDescent="0.3">
      <c r="C6" s="7" t="s">
        <v>68</v>
      </c>
    </row>
    <row r="7" spans="1:11" ht="11.25" customHeight="1" x14ac:dyDescent="0.3"/>
    <row r="8" spans="1:11" ht="18.399999999999999" thickBot="1" x14ac:dyDescent="0.55000000000000004">
      <c r="D8" s="48" t="s">
        <v>249</v>
      </c>
      <c r="E8" s="49"/>
      <c r="F8" s="49"/>
      <c r="G8" s="49"/>
      <c r="H8" s="49"/>
      <c r="I8" s="49"/>
      <c r="J8" s="49"/>
      <c r="K8" s="49"/>
    </row>
    <row r="9" spans="1:11" ht="28.15" customHeight="1" thickBot="1" x14ac:dyDescent="0.35">
      <c r="D9"/>
      <c r="E9" s="422" t="s">
        <v>238</v>
      </c>
      <c r="F9" s="423"/>
      <c r="G9" s="423"/>
      <c r="H9" s="423"/>
      <c r="I9" s="423"/>
      <c r="J9" s="423"/>
      <c r="K9" s="424"/>
    </row>
    <row r="10" spans="1:11" ht="18.600000000000001" customHeight="1" thickBot="1" x14ac:dyDescent="0.35">
      <c r="D10"/>
      <c r="E10" s="417" t="s">
        <v>70</v>
      </c>
      <c r="F10" s="418" t="s">
        <v>71</v>
      </c>
      <c r="G10" s="419" t="s">
        <v>72</v>
      </c>
      <c r="H10" s="420" t="s">
        <v>73</v>
      </c>
      <c r="I10" s="420" t="s">
        <v>74</v>
      </c>
      <c r="J10" s="420" t="s">
        <v>82</v>
      </c>
      <c r="K10" s="421" t="s">
        <v>243</v>
      </c>
    </row>
    <row r="11" spans="1:11" ht="14.25" x14ac:dyDescent="0.45">
      <c r="D11" s="86" t="s">
        <v>76</v>
      </c>
      <c r="E11" s="158">
        <f>E33</f>
        <v>1184977.6894389081</v>
      </c>
      <c r="F11" s="52">
        <f t="shared" ref="F11:K11" si="0">F33</f>
        <v>1173214.4431155489</v>
      </c>
      <c r="G11" s="51">
        <f t="shared" si="0"/>
        <v>2018961.1978859187</v>
      </c>
      <c r="H11" s="53">
        <f t="shared" si="0"/>
        <v>2018961.1978859182</v>
      </c>
      <c r="I11" s="53">
        <f t="shared" si="0"/>
        <v>2018961.1978859187</v>
      </c>
      <c r="J11" s="53">
        <f t="shared" si="0"/>
        <v>2018961.1978859184</v>
      </c>
      <c r="K11" s="98">
        <f t="shared" si="0"/>
        <v>2018961.1978859184</v>
      </c>
    </row>
    <row r="12" spans="1:11" ht="14.25" x14ac:dyDescent="0.45">
      <c r="D12" s="88" t="s">
        <v>242</v>
      </c>
      <c r="E12" s="159">
        <f>E29+E34</f>
        <v>5045410.4532251488</v>
      </c>
      <c r="F12" s="56">
        <f t="shared" ref="F12:K12" si="1">F29+F34</f>
        <v>5073643.9697304908</v>
      </c>
      <c r="G12" s="55">
        <f t="shared" si="1"/>
        <v>5261904.1234223759</v>
      </c>
      <c r="H12" s="57">
        <f t="shared" si="1"/>
        <v>5354880.8418472148</v>
      </c>
      <c r="I12" s="57">
        <f t="shared" si="1"/>
        <v>5441622.6190456571</v>
      </c>
      <c r="J12" s="57">
        <f t="shared" si="1"/>
        <v>5498061.7405629577</v>
      </c>
      <c r="K12" s="99">
        <f t="shared" si="1"/>
        <v>5552372.2673423029</v>
      </c>
    </row>
    <row r="13" spans="1:11" ht="14.25" x14ac:dyDescent="0.45">
      <c r="D13" s="88" t="s">
        <v>247</v>
      </c>
      <c r="E13" s="159">
        <f>E35</f>
        <v>0</v>
      </c>
      <c r="F13" s="56">
        <f t="shared" ref="F13:K13" si="2">F35</f>
        <v>0</v>
      </c>
      <c r="G13" s="55">
        <f t="shared" si="2"/>
        <v>0</v>
      </c>
      <c r="H13" s="57">
        <f t="shared" si="2"/>
        <v>0</v>
      </c>
      <c r="I13" s="57">
        <f t="shared" si="2"/>
        <v>0</v>
      </c>
      <c r="J13" s="57">
        <f t="shared" si="2"/>
        <v>0</v>
      </c>
      <c r="K13" s="99">
        <f t="shared" si="2"/>
        <v>0</v>
      </c>
    </row>
    <row r="14" spans="1:11" ht="14.25" x14ac:dyDescent="0.45">
      <c r="D14" s="88" t="s">
        <v>248</v>
      </c>
      <c r="E14" s="159">
        <f>E36</f>
        <v>1240972.8406633725</v>
      </c>
      <c r="F14" s="56">
        <f t="shared" ref="F14:K14" si="3">F36</f>
        <v>1228653.7317591077</v>
      </c>
      <c r="G14" s="55">
        <f t="shared" si="3"/>
        <v>1312958.2767939626</v>
      </c>
      <c r="H14" s="57">
        <f t="shared" si="3"/>
        <v>1312958.2767939628</v>
      </c>
      <c r="I14" s="57">
        <f t="shared" si="3"/>
        <v>1312958.2767939626</v>
      </c>
      <c r="J14" s="57">
        <f t="shared" si="3"/>
        <v>1312958.2767939628</v>
      </c>
      <c r="K14" s="99">
        <f t="shared" si="3"/>
        <v>1312958.276793963</v>
      </c>
    </row>
    <row r="15" spans="1:11" ht="14.25" x14ac:dyDescent="0.45">
      <c r="D15" s="88" t="s">
        <v>230</v>
      </c>
      <c r="E15" s="159">
        <f>E30+E37</f>
        <v>1618038.150703755</v>
      </c>
      <c r="F15" s="56">
        <f t="shared" ref="F15:K15" si="4">F30+F37</f>
        <v>1614327.5330407987</v>
      </c>
      <c r="G15" s="55">
        <f t="shared" si="4"/>
        <v>1959906.8234940688</v>
      </c>
      <c r="H15" s="57">
        <f t="shared" si="4"/>
        <v>1974570.0516718873</v>
      </c>
      <c r="I15" s="57">
        <f t="shared" si="4"/>
        <v>1988249.9759922801</v>
      </c>
      <c r="J15" s="57">
        <f t="shared" si="4"/>
        <v>1997150.9108820488</v>
      </c>
      <c r="K15" s="99">
        <f t="shared" si="4"/>
        <v>2005716.1480738393</v>
      </c>
    </row>
    <row r="16" spans="1:11" ht="14.65" thickBot="1" x14ac:dyDescent="0.5">
      <c r="D16" s="89" t="s">
        <v>231</v>
      </c>
      <c r="E16" s="160">
        <f>E31+E38</f>
        <v>1872277.4240443846</v>
      </c>
      <c r="F16" s="161">
        <f t="shared" ref="F16:K16" si="5">F31+F38</f>
        <v>1863241.5831877538</v>
      </c>
      <c r="G16" s="162">
        <f t="shared" si="5"/>
        <v>2369486.2218547445</v>
      </c>
      <c r="H16" s="100">
        <f t="shared" si="5"/>
        <v>2380823.7697724057</v>
      </c>
      <c r="I16" s="100">
        <f t="shared" si="5"/>
        <v>2391401.0311783934</v>
      </c>
      <c r="J16" s="100">
        <f t="shared" si="5"/>
        <v>2398283.1975472826</v>
      </c>
      <c r="K16" s="101">
        <f t="shared" si="5"/>
        <v>2404905.8038322316</v>
      </c>
    </row>
    <row r="17" spans="1:13" ht="13.5" thickBot="1" x14ac:dyDescent="0.35">
      <c r="D17" s="58" t="s">
        <v>81</v>
      </c>
      <c r="E17" s="59">
        <f>SUM(E11:E16)</f>
        <v>10961676.55807557</v>
      </c>
      <c r="F17" s="59">
        <f t="shared" ref="F17:K17" si="6">SUM(F11:F16)</f>
        <v>10953081.260833699</v>
      </c>
      <c r="G17" s="59">
        <f t="shared" si="6"/>
        <v>12923216.64345107</v>
      </c>
      <c r="H17" s="59">
        <f t="shared" si="6"/>
        <v>13042194.13797139</v>
      </c>
      <c r="I17" s="59">
        <f t="shared" si="6"/>
        <v>13153193.100896209</v>
      </c>
      <c r="J17" s="59">
        <f t="shared" si="6"/>
        <v>13225415.32367217</v>
      </c>
      <c r="K17" s="60">
        <f t="shared" si="6"/>
        <v>13294913.693928255</v>
      </c>
      <c r="M17" s="6" t="s">
        <v>838</v>
      </c>
    </row>
    <row r="18" spans="1:13" ht="11.25" customHeight="1" x14ac:dyDescent="0.3"/>
    <row r="19" spans="1:13" ht="12.75" x14ac:dyDescent="0.3">
      <c r="D19" s="6" t="s">
        <v>554</v>
      </c>
      <c r="E19" s="118">
        <f t="shared" ref="E19:K19" si="7">SUM(E29:E38)</f>
        <v>10961676.558075571</v>
      </c>
      <c r="F19" s="119">
        <f t="shared" si="7"/>
        <v>10953081.260833701</v>
      </c>
      <c r="G19" s="120">
        <f t="shared" si="7"/>
        <v>12923216.643451069</v>
      </c>
      <c r="H19" s="118">
        <f t="shared" si="7"/>
        <v>13042194.137971386</v>
      </c>
      <c r="I19" s="118">
        <f t="shared" si="7"/>
        <v>13153193.100896209</v>
      </c>
      <c r="J19" s="118">
        <f t="shared" si="7"/>
        <v>13225415.323672168</v>
      </c>
      <c r="K19" s="118">
        <f t="shared" si="7"/>
        <v>13294913.693928253</v>
      </c>
    </row>
    <row r="20" spans="1:13" ht="12.75" x14ac:dyDescent="0.3">
      <c r="D20" s="6" t="s">
        <v>695</v>
      </c>
      <c r="E20" s="115">
        <v>12340139.06881509</v>
      </c>
      <c r="F20" s="116">
        <v>12339761.629945068</v>
      </c>
      <c r="G20" s="117">
        <v>14349080.351148576</v>
      </c>
      <c r="H20" s="115">
        <v>14494058.621764373</v>
      </c>
      <c r="I20" s="115">
        <v>14629314.770415574</v>
      </c>
      <c r="J20" s="115">
        <v>14717320.094450193</v>
      </c>
      <c r="K20" s="115">
        <v>14802006.308183014</v>
      </c>
    </row>
    <row r="21" spans="1:13" ht="12.75" x14ac:dyDescent="0.3">
      <c r="D21" s="6" t="s">
        <v>947</v>
      </c>
      <c r="E21" s="118">
        <f>-SUM(E30:E31)</f>
        <v>-1378462.5107395216</v>
      </c>
      <c r="F21" s="119">
        <f t="shared" ref="F21:K21" si="8">-SUM(F30:F31)</f>
        <v>-1386680.3691113666</v>
      </c>
      <c r="G21" s="120">
        <f t="shared" si="8"/>
        <v>-1425863.707697504</v>
      </c>
      <c r="H21" s="118">
        <f t="shared" si="8"/>
        <v>-1451864.4837929839</v>
      </c>
      <c r="I21" s="118">
        <f t="shared" si="8"/>
        <v>-1476121.6695193644</v>
      </c>
      <c r="J21" s="118">
        <f t="shared" si="8"/>
        <v>-1491904.7707780218</v>
      </c>
      <c r="K21" s="118">
        <f t="shared" si="8"/>
        <v>-1507092.6142547613</v>
      </c>
    </row>
    <row r="22" spans="1:13" ht="12.75" x14ac:dyDescent="0.3">
      <c r="D22" s="6" t="s">
        <v>948</v>
      </c>
      <c r="E22" s="118">
        <f>SUM(E20:E21)</f>
        <v>10961676.558075568</v>
      </c>
      <c r="F22" s="119">
        <f t="shared" ref="F22:K22" si="9">SUM(F20:F21)</f>
        <v>10953081.260833701</v>
      </c>
      <c r="G22" s="120">
        <f t="shared" si="9"/>
        <v>12923216.643451072</v>
      </c>
      <c r="H22" s="118">
        <f t="shared" si="9"/>
        <v>13042194.13797139</v>
      </c>
      <c r="I22" s="118">
        <f t="shared" si="9"/>
        <v>13153193.100896209</v>
      </c>
      <c r="J22" s="118">
        <f t="shared" si="9"/>
        <v>13225415.323672172</v>
      </c>
      <c r="K22" s="118">
        <f t="shared" si="9"/>
        <v>13294913.693928253</v>
      </c>
    </row>
    <row r="23" spans="1:13" ht="12.75" x14ac:dyDescent="0.3">
      <c r="A23" s="41">
        <f>IF(SUM($E23:$K23)&gt;0,1,0)</f>
        <v>0</v>
      </c>
      <c r="D23" s="6" t="s">
        <v>84</v>
      </c>
      <c r="E23" s="62">
        <f>IF(OR(ROUND(E17-E19,3)&lt;&gt;0,ROUND(E17-E22,3)&lt;&gt;0),1,0)</f>
        <v>0</v>
      </c>
      <c r="F23" s="62">
        <f t="shared" ref="F23:K23" si="10">IF(OR(ROUND(F17-F19,3)&lt;&gt;0,ROUND(F17-F22,3)&lt;&gt;0),1,0)</f>
        <v>0</v>
      </c>
      <c r="G23" s="62">
        <f t="shared" si="10"/>
        <v>0</v>
      </c>
      <c r="H23" s="62">
        <f t="shared" si="10"/>
        <v>0</v>
      </c>
      <c r="I23" s="62">
        <f t="shared" si="10"/>
        <v>0</v>
      </c>
      <c r="J23" s="62">
        <f t="shared" si="10"/>
        <v>0</v>
      </c>
      <c r="K23" s="62">
        <f t="shared" si="10"/>
        <v>0</v>
      </c>
    </row>
    <row r="24" spans="1:13" ht="11.25" customHeight="1" x14ac:dyDescent="0.3"/>
    <row r="25" spans="1:13" s="7" customFormat="1" ht="13.9" x14ac:dyDescent="0.3">
      <c r="C25" s="7" t="s">
        <v>1081</v>
      </c>
    </row>
    <row r="26" spans="1:13" ht="11.25" customHeight="1" x14ac:dyDescent="0.3"/>
    <row r="27" spans="1:13" ht="12.75" x14ac:dyDescent="0.3">
      <c r="D27" s="6" t="s">
        <v>267</v>
      </c>
      <c r="E27" s="115">
        <v>6307735.4005016666</v>
      </c>
      <c r="F27" s="116">
        <v>6345339.6703055566</v>
      </c>
      <c r="G27" s="117">
        <v>6524639.5279252063</v>
      </c>
      <c r="H27" s="115">
        <v>6643617.022445525</v>
      </c>
      <c r="I27" s="115">
        <v>6754615.9853703473</v>
      </c>
      <c r="J27" s="115">
        <v>6826838.2081463058</v>
      </c>
      <c r="K27" s="115">
        <v>6896336.5784023907</v>
      </c>
    </row>
    <row r="28" spans="1:13" ht="12.75" x14ac:dyDescent="0.3">
      <c r="D28" s="6"/>
      <c r="E28" s="6"/>
      <c r="F28" s="6"/>
      <c r="G28" s="6"/>
      <c r="H28" s="6"/>
      <c r="I28" s="6"/>
      <c r="J28" s="6"/>
      <c r="K28" s="6"/>
      <c r="L28" s="6"/>
    </row>
    <row r="29" spans="1:13" ht="12.75" x14ac:dyDescent="0.3">
      <c r="D29" s="6" t="s">
        <v>592</v>
      </c>
      <c r="E29" s="118">
        <f t="shared" ref="E29:K29" si="11">E$27*$I$45</f>
        <v>4929272.8897621445</v>
      </c>
      <c r="F29" s="119">
        <f t="shared" si="11"/>
        <v>4958659.3011941891</v>
      </c>
      <c r="G29" s="120">
        <f t="shared" si="11"/>
        <v>5098775.8202277012</v>
      </c>
      <c r="H29" s="118">
        <f t="shared" si="11"/>
        <v>5191752.5386525402</v>
      </c>
      <c r="I29" s="118">
        <f t="shared" si="11"/>
        <v>5278494.3158509824</v>
      </c>
      <c r="J29" s="118">
        <f t="shared" si="11"/>
        <v>5334933.437368283</v>
      </c>
      <c r="K29" s="118">
        <f t="shared" si="11"/>
        <v>5389243.9641476283</v>
      </c>
      <c r="L29" s="6"/>
    </row>
    <row r="30" spans="1:13" ht="12.75" x14ac:dyDescent="0.3">
      <c r="D30" s="6" t="s">
        <v>593</v>
      </c>
      <c r="E30" s="118">
        <f t="shared" ref="E30:K30" si="12">E$27*$I$53</f>
        <v>777388.73083316139</v>
      </c>
      <c r="F30" s="119">
        <f t="shared" si="12"/>
        <v>782023.22066519037</v>
      </c>
      <c r="G30" s="120">
        <f t="shared" si="12"/>
        <v>804120.8008430812</v>
      </c>
      <c r="H30" s="118">
        <f t="shared" si="12"/>
        <v>818784.02902089979</v>
      </c>
      <c r="I30" s="118">
        <f t="shared" si="12"/>
        <v>832463.95334129245</v>
      </c>
      <c r="J30" s="118">
        <f t="shared" si="12"/>
        <v>841364.88823106082</v>
      </c>
      <c r="K30" s="118">
        <f t="shared" si="12"/>
        <v>849930.12542285142</v>
      </c>
      <c r="L30" s="6"/>
    </row>
    <row r="31" spans="1:13" ht="12.75" x14ac:dyDescent="0.3">
      <c r="D31" s="6" t="s">
        <v>594</v>
      </c>
      <c r="E31" s="118">
        <f t="shared" ref="E31:K31" si="13">E$27*$I$61</f>
        <v>601073.77990636008</v>
      </c>
      <c r="F31" s="119">
        <f t="shared" si="13"/>
        <v>604657.14844617632</v>
      </c>
      <c r="G31" s="120">
        <f t="shared" si="13"/>
        <v>621742.90685442276</v>
      </c>
      <c r="H31" s="118">
        <f t="shared" si="13"/>
        <v>633080.45477208402</v>
      </c>
      <c r="I31" s="118">
        <f t="shared" si="13"/>
        <v>643657.7161780718</v>
      </c>
      <c r="J31" s="118">
        <f t="shared" si="13"/>
        <v>650539.88254696096</v>
      </c>
      <c r="K31" s="118">
        <f t="shared" si="13"/>
        <v>657162.48883190984</v>
      </c>
      <c r="L31" s="6"/>
    </row>
    <row r="32" spans="1:13" ht="12.75" x14ac:dyDescent="0.3">
      <c r="D32" s="6"/>
      <c r="E32" s="6"/>
      <c r="F32" s="6"/>
      <c r="G32" s="6"/>
      <c r="H32" s="6"/>
      <c r="I32" s="6"/>
      <c r="J32" s="6"/>
      <c r="K32" s="6"/>
      <c r="L32" s="6"/>
    </row>
    <row r="33" spans="3:11" ht="12.75" x14ac:dyDescent="0.3">
      <c r="D33" s="6" t="s">
        <v>589</v>
      </c>
      <c r="E33" s="118">
        <f>Input_FB!N15</f>
        <v>1184977.6894389081</v>
      </c>
      <c r="F33" s="119">
        <f>Input_FB!O15</f>
        <v>1173214.4431155489</v>
      </c>
      <c r="G33" s="120">
        <f>Input_FB!P15</f>
        <v>2018961.1978859187</v>
      </c>
      <c r="H33" s="118">
        <f>Input_FB!Q15</f>
        <v>2018961.1978859182</v>
      </c>
      <c r="I33" s="118">
        <f>Input_FB!R15</f>
        <v>2018961.1978859187</v>
      </c>
      <c r="J33" s="118">
        <f>Input_FB!S15</f>
        <v>2018961.1978859184</v>
      </c>
      <c r="K33" s="118">
        <f>Input_FB!T15</f>
        <v>2018961.1978859184</v>
      </c>
    </row>
    <row r="34" spans="3:11" ht="12.75" x14ac:dyDescent="0.3">
      <c r="D34" s="6" t="s">
        <v>590</v>
      </c>
      <c r="E34" s="118">
        <f>Input_FB!N16</f>
        <v>116137.56346300451</v>
      </c>
      <c r="F34" s="119">
        <f>Input_FB!O16</f>
        <v>114984.66853630179</v>
      </c>
      <c r="G34" s="120">
        <f>Input_FB!P16</f>
        <v>163128.30319467443</v>
      </c>
      <c r="H34" s="118">
        <f>Input_FB!Q16</f>
        <v>163128.30319467443</v>
      </c>
      <c r="I34" s="118">
        <f>Input_FB!R16</f>
        <v>163128.3031946744</v>
      </c>
      <c r="J34" s="118">
        <f>Input_FB!S16</f>
        <v>163128.30319467443</v>
      </c>
      <c r="K34" s="118">
        <f>Input_FB!T16</f>
        <v>163128.30319467443</v>
      </c>
    </row>
    <row r="35" spans="3:11" ht="12.75" x14ac:dyDescent="0.3">
      <c r="D35" s="6" t="s">
        <v>591</v>
      </c>
      <c r="E35" s="720"/>
      <c r="F35" s="721"/>
      <c r="G35" s="722"/>
      <c r="H35" s="720"/>
      <c r="I35" s="720"/>
      <c r="J35" s="720"/>
      <c r="K35" s="720"/>
    </row>
    <row r="36" spans="3:11" ht="12.75" x14ac:dyDescent="0.3">
      <c r="D36" s="6" t="s">
        <v>929</v>
      </c>
      <c r="E36" s="118">
        <f>SUM(Input_FB!N17:N20)+Input_QS!N12</f>
        <v>1240972.8406633725</v>
      </c>
      <c r="F36" s="119">
        <f>SUM(Input_FB!O17:O20)+Input_QS!O12</f>
        <v>1228653.7317591077</v>
      </c>
      <c r="G36" s="120">
        <f>SUM(Input_FB!P17:P20)+Input_QS!P12</f>
        <v>1312958.2767939626</v>
      </c>
      <c r="H36" s="118">
        <f>SUM(Input_FB!Q17:Q20)+Input_QS!Q12</f>
        <v>1312958.2767939628</v>
      </c>
      <c r="I36" s="118">
        <f>SUM(Input_FB!R17:R20)+Input_QS!R12</f>
        <v>1312958.2767939626</v>
      </c>
      <c r="J36" s="118">
        <f>SUM(Input_FB!S17:S20)+Input_QS!S12</f>
        <v>1312958.2767939628</v>
      </c>
      <c r="K36" s="118">
        <f>SUM(Input_FB!T17:T20)+Input_QS!T12</f>
        <v>1312958.276793963</v>
      </c>
    </row>
    <row r="37" spans="3:11" ht="12.75" x14ac:dyDescent="0.3">
      <c r="D37" s="6" t="s">
        <v>541</v>
      </c>
      <c r="E37" s="118">
        <f>Input_QS!N13+Input_FB!N22</f>
        <v>840649.41987059359</v>
      </c>
      <c r="F37" s="119">
        <f>Input_QS!O13+Input_FB!O22</f>
        <v>832304.31237560848</v>
      </c>
      <c r="G37" s="120">
        <f>Input_QS!P13+Input_FB!P22</f>
        <v>1155786.0226509876</v>
      </c>
      <c r="H37" s="118">
        <f>Input_QS!Q13+Input_FB!Q22</f>
        <v>1155786.0226509876</v>
      </c>
      <c r="I37" s="118">
        <f>Input_QS!R13+Input_FB!R22</f>
        <v>1155786.0226509876</v>
      </c>
      <c r="J37" s="118">
        <f>Input_QS!S13+Input_FB!S22</f>
        <v>1155786.0226509878</v>
      </c>
      <c r="K37" s="118">
        <f>Input_QS!T13+Input_FB!T22</f>
        <v>1155786.0226509878</v>
      </c>
    </row>
    <row r="38" spans="3:11" ht="12.75" x14ac:dyDescent="0.3">
      <c r="D38" s="6" t="s">
        <v>542</v>
      </c>
      <c r="E38" s="118">
        <f>Input_QS!N14+Input_FB!N23</f>
        <v>1271203.6441380244</v>
      </c>
      <c r="F38" s="119">
        <f>Input_QS!O14+Input_FB!O23</f>
        <v>1258584.4347415776</v>
      </c>
      <c r="G38" s="120">
        <f>Input_QS!P14+Input_FB!P23</f>
        <v>1747743.3150003217</v>
      </c>
      <c r="H38" s="118">
        <f>Input_QS!Q14+Input_FB!Q23</f>
        <v>1747743.3150003215</v>
      </c>
      <c r="I38" s="118">
        <f>Input_QS!R14+Input_FB!R23</f>
        <v>1747743.3150003217</v>
      </c>
      <c r="J38" s="118">
        <f>Input_QS!S14+Input_FB!S23</f>
        <v>1747743.3150003217</v>
      </c>
      <c r="K38" s="118">
        <f>Input_QS!T14+Input_FB!T23</f>
        <v>1747743.3150003217</v>
      </c>
    </row>
    <row r="39" spans="3:11" ht="11.25" customHeight="1" x14ac:dyDescent="0.3"/>
    <row r="40" spans="3:11" s="7" customFormat="1" ht="13.9" x14ac:dyDescent="0.3">
      <c r="C40" s="7" t="s">
        <v>1082</v>
      </c>
    </row>
    <row r="41" spans="3:11" ht="11.25" customHeight="1" thickBot="1" x14ac:dyDescent="0.35"/>
    <row r="42" spans="3:11" ht="28.15" customHeight="1" thickBot="1" x14ac:dyDescent="0.35">
      <c r="D42"/>
      <c r="E42" s="601" t="s">
        <v>522</v>
      </c>
      <c r="F42" s="602"/>
      <c r="G42" s="603"/>
    </row>
    <row r="43" spans="3:11" ht="26.65" thickBot="1" x14ac:dyDescent="0.35">
      <c r="D43"/>
      <c r="E43" s="417" t="s">
        <v>170</v>
      </c>
      <c r="F43" s="420" t="s">
        <v>172</v>
      </c>
      <c r="G43" s="418" t="s">
        <v>69</v>
      </c>
      <c r="H43" s="420" t="s">
        <v>81</v>
      </c>
      <c r="I43" s="418" t="s">
        <v>930</v>
      </c>
    </row>
    <row r="44" spans="3:11" ht="14.25" x14ac:dyDescent="0.45">
      <c r="D44" s="86" t="s">
        <v>76</v>
      </c>
      <c r="E44" s="158">
        <v>980944.26</v>
      </c>
      <c r="F44" s="53">
        <v>822418</v>
      </c>
      <c r="G44" s="52">
        <v>1587895.8421860556</v>
      </c>
      <c r="H44" s="390">
        <f>SUM(E44:G44)</f>
        <v>3391258.1021860559</v>
      </c>
      <c r="I44" s="155">
        <f>IF(SUM(G44,G52,G60)=0,0,G44/SUM(G44,G52,G60))</f>
        <v>1</v>
      </c>
    </row>
    <row r="45" spans="3:11" ht="14.25" x14ac:dyDescent="0.45">
      <c r="D45" s="88" t="s">
        <v>242</v>
      </c>
      <c r="E45" s="159">
        <v>3302028.33</v>
      </c>
      <c r="F45" s="57">
        <v>3028596</v>
      </c>
      <c r="G45" s="56">
        <v>3485612.9399999981</v>
      </c>
      <c r="H45" s="391">
        <f t="shared" ref="H45:H48" si="14">SUM(E45:G45)</f>
        <v>9816237.2699999977</v>
      </c>
      <c r="I45" s="155">
        <f t="shared" ref="I45:I48" si="15">IF(SUM(G45,G53,G61)=0,0,G45/SUM(G45,G53,G61))</f>
        <v>0.78146475347873812</v>
      </c>
      <c r="K45" s="6" t="s">
        <v>245</v>
      </c>
    </row>
    <row r="46" spans="3:11" ht="14.25" x14ac:dyDescent="0.45">
      <c r="D46" s="88" t="s">
        <v>247</v>
      </c>
      <c r="E46" s="159">
        <v>0</v>
      </c>
      <c r="F46" s="57">
        <v>0</v>
      </c>
      <c r="G46" s="56">
        <v>0</v>
      </c>
      <c r="H46" s="391">
        <f t="shared" si="14"/>
        <v>0</v>
      </c>
      <c r="I46" s="155">
        <f t="shared" si="15"/>
        <v>0</v>
      </c>
    </row>
    <row r="47" spans="3:11" ht="14.65" thickBot="1" x14ac:dyDescent="0.5">
      <c r="D47" s="89" t="s">
        <v>248</v>
      </c>
      <c r="E47" s="160">
        <v>1433909.42</v>
      </c>
      <c r="F47" s="100">
        <v>1248471</v>
      </c>
      <c r="G47" s="161">
        <v>4036968.7478139433</v>
      </c>
      <c r="H47" s="391">
        <f t="shared" si="14"/>
        <v>6719349.1678139437</v>
      </c>
      <c r="I47" s="155">
        <f t="shared" si="15"/>
        <v>0.65152890862250079</v>
      </c>
    </row>
    <row r="48" spans="3:11" ht="13.5" thickBot="1" x14ac:dyDescent="0.35">
      <c r="D48" s="58" t="s">
        <v>268</v>
      </c>
      <c r="E48" s="59">
        <f>SUM(E44:E47)</f>
        <v>5716882.0099999998</v>
      </c>
      <c r="F48" s="59">
        <f>SUM(F44:F47)</f>
        <v>5099485</v>
      </c>
      <c r="G48" s="59">
        <f>SUM(G44:G47)</f>
        <v>9110477.5299999975</v>
      </c>
      <c r="H48" s="392">
        <f t="shared" si="14"/>
        <v>19926844.539999999</v>
      </c>
      <c r="I48" s="156">
        <f t="shared" si="15"/>
        <v>0.74405252291188007</v>
      </c>
    </row>
    <row r="49" spans="4:9" ht="11.25" customHeight="1" thickBot="1" x14ac:dyDescent="0.35"/>
    <row r="50" spans="4:9" ht="26.65" thickBot="1" x14ac:dyDescent="0.35">
      <c r="D50"/>
      <c r="E50" s="601" t="s">
        <v>523</v>
      </c>
      <c r="F50" s="602"/>
      <c r="G50" s="603"/>
    </row>
    <row r="51" spans="4:9" ht="27" customHeight="1" thickBot="1" x14ac:dyDescent="0.35">
      <c r="D51"/>
      <c r="E51" s="417" t="s">
        <v>170</v>
      </c>
      <c r="F51" s="420" t="s">
        <v>172</v>
      </c>
      <c r="G51" s="418" t="s">
        <v>69</v>
      </c>
      <c r="H51" s="420" t="str">
        <f>H$43</f>
        <v>Total</v>
      </c>
      <c r="I51" s="418" t="str">
        <f t="shared" ref="I51" si="16">I$43</f>
        <v>Proportion of FY22 Total</v>
      </c>
    </row>
    <row r="52" spans="4:9" ht="14.25" x14ac:dyDescent="0.45">
      <c r="D52" s="86" t="s">
        <v>76</v>
      </c>
      <c r="E52" s="158">
        <v>464312.30580488173</v>
      </c>
      <c r="F52" s="792">
        <v>407334.61683719046</v>
      </c>
      <c r="G52" s="52">
        <v>0</v>
      </c>
      <c r="H52" s="390">
        <f>SUM(E52:G52)</f>
        <v>871646.9226420722</v>
      </c>
      <c r="I52" s="155">
        <f>IF(SUM(G44,G52,G60)=0,0,G52/SUM(G44,G52,G60))</f>
        <v>0</v>
      </c>
    </row>
    <row r="53" spans="4:9" ht="14.25" x14ac:dyDescent="0.45">
      <c r="D53" s="88" t="s">
        <v>242</v>
      </c>
      <c r="E53" s="159">
        <v>1562955.6645097684</v>
      </c>
      <c r="F53" s="57">
        <v>1500030.3874850108</v>
      </c>
      <c r="G53" s="56">
        <v>549711.14</v>
      </c>
      <c r="H53" s="391">
        <f t="shared" ref="H53:H56" si="17">SUM(E53:G53)</f>
        <v>3612697.1919947793</v>
      </c>
      <c r="I53" s="155">
        <f t="shared" ref="I53:I56" si="18">IF(SUM(G45,G53,G61)=0,0,G53/SUM(G45,G53,G61))</f>
        <v>0.12324371291340695</v>
      </c>
    </row>
    <row r="54" spans="4:9" ht="14.25" x14ac:dyDescent="0.45">
      <c r="D54" s="88" t="s">
        <v>247</v>
      </c>
      <c r="E54" s="159">
        <v>0</v>
      </c>
      <c r="F54" s="57">
        <v>0</v>
      </c>
      <c r="G54" s="56">
        <v>0</v>
      </c>
      <c r="H54" s="391">
        <f t="shared" si="17"/>
        <v>0</v>
      </c>
      <c r="I54" s="155">
        <f t="shared" si="18"/>
        <v>0</v>
      </c>
    </row>
    <row r="55" spans="4:9" ht="14.65" thickBot="1" x14ac:dyDescent="0.5">
      <c r="D55" s="89" t="s">
        <v>248</v>
      </c>
      <c r="E55" s="160">
        <v>678715.20968535019</v>
      </c>
      <c r="F55" s="100">
        <v>618353.99567779887</v>
      </c>
      <c r="G55" s="161">
        <v>1217675.9699999995</v>
      </c>
      <c r="H55" s="391">
        <f t="shared" si="17"/>
        <v>2514745.1753631486</v>
      </c>
      <c r="I55" s="155">
        <f t="shared" si="18"/>
        <v>0.19652148563685359</v>
      </c>
    </row>
    <row r="56" spans="4:9" ht="13.5" thickBot="1" x14ac:dyDescent="0.35">
      <c r="D56" s="58" t="s">
        <v>269</v>
      </c>
      <c r="E56" s="59">
        <f>SUM(E52:E55)</f>
        <v>2705983.18</v>
      </c>
      <c r="F56" s="59">
        <f>SUM(F52:F55)</f>
        <v>2525719</v>
      </c>
      <c r="G56" s="59">
        <f>SUM(G52:G55)</f>
        <v>1767387.1099999994</v>
      </c>
      <c r="H56" s="392">
        <f t="shared" si="17"/>
        <v>6999089.2899999991</v>
      </c>
      <c r="I56" s="156">
        <f t="shared" si="18"/>
        <v>0.14434247094371971</v>
      </c>
    </row>
    <row r="57" spans="4:9" ht="11.25" customHeight="1" thickBot="1" x14ac:dyDescent="0.35"/>
    <row r="58" spans="4:9" ht="26.65" thickBot="1" x14ac:dyDescent="0.35">
      <c r="D58"/>
      <c r="E58" s="601" t="s">
        <v>524</v>
      </c>
      <c r="F58" s="602"/>
      <c r="G58" s="603"/>
    </row>
    <row r="59" spans="4:9" ht="26.65" thickBot="1" x14ac:dyDescent="0.35">
      <c r="D59"/>
      <c r="E59" s="417" t="s">
        <v>170</v>
      </c>
      <c r="F59" s="420" t="s">
        <v>172</v>
      </c>
      <c r="G59" s="418" t="s">
        <v>69</v>
      </c>
      <c r="H59" s="420" t="str">
        <f>H$43</f>
        <v>Total</v>
      </c>
      <c r="I59" s="418" t="str">
        <f t="shared" ref="I59" si="19">I$43</f>
        <v>Proportion of FY22 Total</v>
      </c>
    </row>
    <row r="60" spans="4:9" ht="14.25" x14ac:dyDescent="0.45">
      <c r="D60" s="86" t="s">
        <v>76</v>
      </c>
      <c r="E60" s="158">
        <v>341194.22527546214</v>
      </c>
      <c r="F60" s="53">
        <v>372559.75599339936</v>
      </c>
      <c r="G60" s="52">
        <v>0</v>
      </c>
      <c r="H60" s="390">
        <f>SUM(E60:G60)</f>
        <v>713753.98126886156</v>
      </c>
      <c r="I60" s="155">
        <f>IF(SUM(G44,G52,G60)=0,0,G60/SUM(G44,G52,G60))</f>
        <v>0</v>
      </c>
    </row>
    <row r="61" spans="4:9" ht="14.25" x14ac:dyDescent="0.45">
      <c r="D61" s="88" t="s">
        <v>242</v>
      </c>
      <c r="E61" s="159">
        <v>1148518.8749582754</v>
      </c>
      <c r="F61" s="57">
        <v>1371970.1985639727</v>
      </c>
      <c r="G61" s="56">
        <v>425034.4</v>
      </c>
      <c r="H61" s="391">
        <f t="shared" ref="H61:H64" si="20">SUM(E61:G61)</f>
        <v>2945523.4735222482</v>
      </c>
      <c r="I61" s="155">
        <f t="shared" ref="I61:I64" si="21">IF(SUM(G45,G53,G61)=0,0,G61/SUM(G45,G53,G61))</f>
        <v>9.5291533607854806E-2</v>
      </c>
    </row>
    <row r="62" spans="4:9" ht="14.25" x14ac:dyDescent="0.45">
      <c r="D62" s="88" t="s">
        <v>247</v>
      </c>
      <c r="E62" s="159">
        <v>0</v>
      </c>
      <c r="F62" s="57">
        <v>0</v>
      </c>
      <c r="G62" s="56">
        <v>0</v>
      </c>
      <c r="H62" s="391">
        <f t="shared" si="20"/>
        <v>0</v>
      </c>
      <c r="I62" s="155">
        <f t="shared" si="21"/>
        <v>0</v>
      </c>
    </row>
    <row r="63" spans="4:9" ht="14.65" thickBot="1" x14ac:dyDescent="0.5">
      <c r="D63" s="89" t="s">
        <v>248</v>
      </c>
      <c r="E63" s="160">
        <v>498745.57976626244</v>
      </c>
      <c r="F63" s="100">
        <v>565564.04544262798</v>
      </c>
      <c r="G63" s="161">
        <v>941502.06000000017</v>
      </c>
      <c r="H63" s="391">
        <f t="shared" si="20"/>
        <v>2005811.6852088906</v>
      </c>
      <c r="I63" s="155">
        <f t="shared" si="21"/>
        <v>0.15194960574064559</v>
      </c>
    </row>
    <row r="64" spans="4:9" ht="13.5" thickBot="1" x14ac:dyDescent="0.35">
      <c r="D64" s="58" t="s">
        <v>270</v>
      </c>
      <c r="E64" s="59">
        <f>SUM(E60:E63)</f>
        <v>1988458.6799999997</v>
      </c>
      <c r="F64" s="59">
        <f>SUM(F60:F63)</f>
        <v>2310094</v>
      </c>
      <c r="G64" s="59">
        <f>SUM(G60:G63)</f>
        <v>1366536.4600000002</v>
      </c>
      <c r="H64" s="392">
        <f t="shared" si="20"/>
        <v>5665089.1399999997</v>
      </c>
      <c r="I64" s="156">
        <f t="shared" si="21"/>
        <v>0.11160500614440019</v>
      </c>
    </row>
    <row r="65" spans="2:7" ht="11.25" customHeight="1" x14ac:dyDescent="0.3"/>
    <row r="66" spans="2:7" ht="12.75" x14ac:dyDescent="0.3">
      <c r="D66" s="815" t="s">
        <v>655</v>
      </c>
      <c r="E66" s="175">
        <f>E45</f>
        <v>3302028.33</v>
      </c>
      <c r="F66" s="175">
        <f>F45</f>
        <v>3028596</v>
      </c>
      <c r="G66" s="175">
        <f>G45</f>
        <v>3485612.9399999981</v>
      </c>
    </row>
    <row r="67" spans="2:7" ht="12.75" x14ac:dyDescent="0.3">
      <c r="D67" s="815" t="s">
        <v>656</v>
      </c>
      <c r="E67" s="175">
        <f>E53</f>
        <v>1562955.6645097684</v>
      </c>
      <c r="F67" s="175">
        <f>F53</f>
        <v>1500030.3874850108</v>
      </c>
      <c r="G67" s="175">
        <f>G53</f>
        <v>549711.14</v>
      </c>
    </row>
    <row r="68" spans="2:7" ht="12.75" x14ac:dyDescent="0.3">
      <c r="D68" s="815" t="s">
        <v>657</v>
      </c>
      <c r="E68" s="175">
        <f>E61</f>
        <v>1148518.8749582754</v>
      </c>
      <c r="F68" s="175">
        <f>F61</f>
        <v>1371970.1985639727</v>
      </c>
      <c r="G68" s="175">
        <f>G61</f>
        <v>425034.4</v>
      </c>
    </row>
    <row r="69" spans="2:7" ht="12.75" x14ac:dyDescent="0.3">
      <c r="D69" s="815" t="s">
        <v>81</v>
      </c>
      <c r="E69" s="175">
        <f>SUM(E66:E68)</f>
        <v>6013502.8694680445</v>
      </c>
      <c r="F69" s="175">
        <f>SUM(F66:F68)</f>
        <v>5900596.586048983</v>
      </c>
      <c r="G69" s="175">
        <f>SUM(G66:G68)</f>
        <v>4460358.4799999986</v>
      </c>
    </row>
    <row r="70" spans="2:7" ht="12.75" x14ac:dyDescent="0.3">
      <c r="D70" s="815" t="s">
        <v>658</v>
      </c>
      <c r="E70" s="636">
        <f>SUM(E67:E68)/E66</f>
        <v>0.82115423263738119</v>
      </c>
      <c r="F70" s="636">
        <f>SUM(F67:F68)/F66</f>
        <v>0.94829438659001841</v>
      </c>
      <c r="G70" s="636">
        <f>SUM(G67:G68)/G66</f>
        <v>0.27964824459252796</v>
      </c>
    </row>
    <row r="71" spans="2:7" ht="11.25" customHeight="1" x14ac:dyDescent="0.3"/>
    <row r="72" spans="2:7" s="46" customFormat="1" ht="15" x14ac:dyDescent="0.3">
      <c r="B72" s="46" t="s">
        <v>16</v>
      </c>
    </row>
  </sheetData>
  <conditionalFormatting sqref="B3">
    <cfRule type="cellIs" dxfId="1008" priority="2" operator="notEqual">
      <formula>"No Errors Found"</formula>
    </cfRule>
  </conditionalFormatting>
  <conditionalFormatting sqref="K11:K16">
    <cfRule type="expression" dxfId="1007" priority="1">
      <formula>(dms_FRCPlength_Num)&lt;5</formula>
    </cfRule>
  </conditionalFormatting>
  <hyperlinks>
    <hyperlink ref="B2:E2" location="TOC!A1" display="TOC!A1" xr:uid="{B8F943DC-2F04-4765-AB79-32435A26995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B4CE-4F9D-48BB-BC16-92FF6271314B}">
  <sheetPr codeName="Sheet9">
    <tabColor theme="4" tint="0.79998168889431442"/>
  </sheetPr>
  <dimension ref="A1:M25"/>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6.83203125" style="45" customWidth="1"/>
    <col min="5" max="11" width="17.6640625" style="45" customWidth="1"/>
    <col min="12" max="13" width="10.6640625" style="45" customWidth="1"/>
    <col min="14" max="15" width="17.6640625" style="45" customWidth="1"/>
    <col min="16" max="17" width="4.6640625" style="45" customWidth="1"/>
    <col min="18" max="31" width="10.6640625" style="45" customWidth="1"/>
    <col min="32" max="16384" width="9.33203125" style="45"/>
  </cols>
  <sheetData>
    <row r="1" spans="1:13" ht="18.75" x14ac:dyDescent="0.3">
      <c r="A1" s="41">
        <f>IF(SUM($A3:$A25)&gt;0,1,0)</f>
        <v>0</v>
      </c>
      <c r="B1" s="3" t="s">
        <v>1083</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Input_QS!$B$4</f>
        <v>Data required to populate Power and Water Corporation 2024-29 regulatory submission</v>
      </c>
    </row>
    <row r="5" spans="1:13" ht="4.5" customHeight="1" x14ac:dyDescent="0.3"/>
    <row r="6" spans="1:13" s="7" customFormat="1" ht="13.9" x14ac:dyDescent="0.3">
      <c r="C6" s="7" t="s">
        <v>68</v>
      </c>
    </row>
    <row r="7" spans="1:13" ht="11.25" customHeight="1" x14ac:dyDescent="0.3"/>
    <row r="8" spans="1:13" ht="18.399999999999999" thickBot="1" x14ac:dyDescent="0.55000000000000004">
      <c r="D8" s="48" t="s">
        <v>250</v>
      </c>
      <c r="E8" s="49"/>
      <c r="F8" s="49"/>
      <c r="G8" s="49"/>
      <c r="H8" s="49"/>
      <c r="I8" s="49"/>
      <c r="J8" s="49"/>
      <c r="K8" s="49"/>
    </row>
    <row r="9" spans="1:13" ht="28.15" customHeight="1" thickBot="1" x14ac:dyDescent="0.35">
      <c r="D9"/>
      <c r="E9" s="422" t="s">
        <v>238</v>
      </c>
      <c r="F9" s="423"/>
      <c r="G9" s="423"/>
      <c r="H9" s="423"/>
      <c r="I9" s="423"/>
      <c r="J9" s="423"/>
      <c r="K9" s="424"/>
    </row>
    <row r="10" spans="1:13" ht="18.600000000000001" customHeight="1" thickBot="1" x14ac:dyDescent="0.35">
      <c r="D10"/>
      <c r="E10" s="417" t="s">
        <v>70</v>
      </c>
      <c r="F10" s="418" t="s">
        <v>71</v>
      </c>
      <c r="G10" s="419" t="s">
        <v>72</v>
      </c>
      <c r="H10" s="420" t="s">
        <v>73</v>
      </c>
      <c r="I10" s="420" t="s">
        <v>74</v>
      </c>
      <c r="J10" s="420" t="s">
        <v>82</v>
      </c>
      <c r="K10" s="421" t="s">
        <v>243</v>
      </c>
    </row>
    <row r="11" spans="1:13" ht="14.25" x14ac:dyDescent="0.45">
      <c r="D11" s="86" t="s">
        <v>75</v>
      </c>
      <c r="E11" s="158">
        <v>0</v>
      </c>
      <c r="F11" s="52">
        <v>0</v>
      </c>
      <c r="G11" s="51">
        <v>0</v>
      </c>
      <c r="H11" s="53">
        <v>0</v>
      </c>
      <c r="I11" s="53">
        <v>0</v>
      </c>
      <c r="J11" s="53">
        <v>0</v>
      </c>
      <c r="K11" s="98">
        <v>0</v>
      </c>
      <c r="M11" s="6"/>
    </row>
    <row r="12" spans="1:13" ht="14.25" x14ac:dyDescent="0.45">
      <c r="D12" s="88" t="s">
        <v>76</v>
      </c>
      <c r="E12" s="159">
        <v>6547085.8435345665</v>
      </c>
      <c r="F12" s="56">
        <v>6552611.0817142036</v>
      </c>
      <c r="G12" s="55">
        <v>186888.17166687499</v>
      </c>
      <c r="H12" s="57">
        <v>189508.91631946576</v>
      </c>
      <c r="I12" s="57">
        <v>191216.11083199081</v>
      </c>
      <c r="J12" s="57">
        <v>192590.20850469568</v>
      </c>
      <c r="K12" s="99">
        <v>194400.8259038004</v>
      </c>
      <c r="M12" s="6"/>
    </row>
    <row r="13" spans="1:13" ht="14.25" x14ac:dyDescent="0.45">
      <c r="D13" s="88" t="s">
        <v>77</v>
      </c>
      <c r="E13" s="159">
        <v>1138516.9402917016</v>
      </c>
      <c r="F13" s="56">
        <v>7392396.9523967924</v>
      </c>
      <c r="G13" s="55">
        <v>3465381.6185175036</v>
      </c>
      <c r="H13" s="57">
        <v>0</v>
      </c>
      <c r="I13" s="57">
        <v>0</v>
      </c>
      <c r="J13" s="57">
        <v>0</v>
      </c>
      <c r="K13" s="99">
        <v>0</v>
      </c>
    </row>
    <row r="14" spans="1:13" ht="14.25" x14ac:dyDescent="0.45">
      <c r="D14" s="88" t="s">
        <v>78</v>
      </c>
      <c r="E14" s="159">
        <v>0</v>
      </c>
      <c r="F14" s="56">
        <v>0</v>
      </c>
      <c r="G14" s="55">
        <v>0</v>
      </c>
      <c r="H14" s="57">
        <v>0</v>
      </c>
      <c r="I14" s="57">
        <v>0</v>
      </c>
      <c r="J14" s="57">
        <v>0</v>
      </c>
      <c r="K14" s="99">
        <v>0</v>
      </c>
    </row>
    <row r="15" spans="1:13" ht="14.25" x14ac:dyDescent="0.45">
      <c r="D15" s="88" t="s">
        <v>672</v>
      </c>
      <c r="E15" s="159">
        <v>0</v>
      </c>
      <c r="F15" s="56">
        <v>0</v>
      </c>
      <c r="G15" s="55">
        <v>0</v>
      </c>
      <c r="H15" s="57">
        <v>0</v>
      </c>
      <c r="I15" s="57">
        <v>0</v>
      </c>
      <c r="J15" s="57">
        <v>0</v>
      </c>
      <c r="K15" s="99">
        <v>0</v>
      </c>
    </row>
    <row r="16" spans="1:13" ht="14.25" x14ac:dyDescent="0.45">
      <c r="D16" s="88" t="s">
        <v>79</v>
      </c>
      <c r="E16" s="159">
        <v>869793.09869307757</v>
      </c>
      <c r="F16" s="56">
        <v>1584901.5950105137</v>
      </c>
      <c r="G16" s="55">
        <v>791754.09257092362</v>
      </c>
      <c r="H16" s="57">
        <v>41082.523661824802</v>
      </c>
      <c r="I16" s="57">
        <v>41452.616321939633</v>
      </c>
      <c r="J16" s="57">
        <v>41750.498876749851</v>
      </c>
      <c r="K16" s="99">
        <v>42143.011976322618</v>
      </c>
    </row>
    <row r="17" spans="1:11" ht="14.65" thickBot="1" x14ac:dyDescent="0.5">
      <c r="D17" s="89" t="s">
        <v>80</v>
      </c>
      <c r="E17" s="160">
        <v>672442.39120718825</v>
      </c>
      <c r="F17" s="161">
        <v>1225297.1654734039</v>
      </c>
      <c r="G17" s="162">
        <v>462602.40390997392</v>
      </c>
      <c r="H17" s="100">
        <v>24003.506117584264</v>
      </c>
      <c r="I17" s="100">
        <v>24219.742138142909</v>
      </c>
      <c r="J17" s="100">
        <v>24393.787573753587</v>
      </c>
      <c r="K17" s="101">
        <v>24623.123304547124</v>
      </c>
    </row>
    <row r="18" spans="1:11" ht="13.5" thickBot="1" x14ac:dyDescent="0.35">
      <c r="D18" s="58" t="s">
        <v>81</v>
      </c>
      <c r="E18" s="59">
        <f>SUM(E11:E17)</f>
        <v>9227838.2737265341</v>
      </c>
      <c r="F18" s="59">
        <f t="shared" ref="F18:K18" si="0">SUM(F11:F17)</f>
        <v>16755206.794594914</v>
      </c>
      <c r="G18" s="59">
        <f t="shared" si="0"/>
        <v>4906626.2866652757</v>
      </c>
      <c r="H18" s="59">
        <f t="shared" si="0"/>
        <v>254594.94609887482</v>
      </c>
      <c r="I18" s="59">
        <f t="shared" si="0"/>
        <v>256888.46929207334</v>
      </c>
      <c r="J18" s="59">
        <f t="shared" si="0"/>
        <v>258734.49495519913</v>
      </c>
      <c r="K18" s="60">
        <f t="shared" si="0"/>
        <v>261166.96118467016</v>
      </c>
    </row>
    <row r="19" spans="1:11" ht="11.25" customHeight="1" x14ac:dyDescent="0.3"/>
    <row r="20" spans="1:11" ht="12.75" x14ac:dyDescent="0.3">
      <c r="D20" s="6" t="s">
        <v>728</v>
      </c>
      <c r="E20" s="118">
        <f>'WkB_1_2.1.1'!E20</f>
        <v>9227838.2737265322</v>
      </c>
      <c r="F20" s="119">
        <f>'WkB_1_2.1.1'!F20</f>
        <v>16755206.79459491</v>
      </c>
      <c r="G20" s="120">
        <f>'WkB_1_2.1.1'!G20</f>
        <v>4906626.2866652757</v>
      </c>
      <c r="H20" s="118">
        <f>'WkB_1_2.1.1'!H20</f>
        <v>254594.94609887482</v>
      </c>
      <c r="I20" s="118">
        <f>'WkB_1_2.1.1'!I20</f>
        <v>256888.46929207337</v>
      </c>
      <c r="J20" s="118">
        <f>'WkB_1_2.1.1'!J20</f>
        <v>258734.49495519913</v>
      </c>
      <c r="K20" s="118">
        <f>'WkB_1_2.1.1'!K20</f>
        <v>261166.96118467019</v>
      </c>
    </row>
    <row r="21" spans="1:11" ht="12.75" x14ac:dyDescent="0.3">
      <c r="D21" s="6" t="s">
        <v>239</v>
      </c>
      <c r="E21" s="115">
        <v>9227838.2737265322</v>
      </c>
      <c r="F21" s="116">
        <v>16755206.79459491</v>
      </c>
      <c r="G21" s="117">
        <v>4906626.2866652757</v>
      </c>
      <c r="H21" s="115">
        <v>254594.94609887482</v>
      </c>
      <c r="I21" s="115">
        <v>256888.46929207337</v>
      </c>
      <c r="J21" s="115">
        <v>258734.49495519913</v>
      </c>
      <c r="K21" s="115">
        <v>261166.96118467019</v>
      </c>
    </row>
    <row r="22" spans="1:11" ht="12.75" x14ac:dyDescent="0.3">
      <c r="D22" s="6" t="s">
        <v>695</v>
      </c>
      <c r="E22" s="115">
        <v>9227838.2737265341</v>
      </c>
      <c r="F22" s="116">
        <v>16755206.794594914</v>
      </c>
      <c r="G22" s="117">
        <v>4906626.2866652757</v>
      </c>
      <c r="H22" s="115">
        <v>254594.94609887482</v>
      </c>
      <c r="I22" s="115">
        <v>256888.46929207334</v>
      </c>
      <c r="J22" s="115">
        <v>258734.49495519913</v>
      </c>
      <c r="K22" s="115">
        <v>261166.96118467016</v>
      </c>
    </row>
    <row r="23" spans="1:11" ht="12.75" x14ac:dyDescent="0.3">
      <c r="A23" s="41">
        <f>IF(SUM($E23:$K23)&gt;0,1,0)</f>
        <v>0</v>
      </c>
      <c r="D23" s="6" t="s">
        <v>84</v>
      </c>
      <c r="E23" s="62">
        <f>IF(OR(ROUND(E18-E21,3)&lt;&gt;0,ROUND(E18-E22,3)&lt;&gt;0,ROUND(E18-E20,3)&lt;&gt;0),1,0)</f>
        <v>0</v>
      </c>
      <c r="F23" s="62">
        <f t="shared" ref="F23:K23" si="1">IF(OR(ROUND(F18-F21,3)&lt;&gt;0,ROUND(F18-F22,3)&lt;&gt;0,ROUND(F18-F20,3)&lt;&gt;0),1,0)</f>
        <v>0</v>
      </c>
      <c r="G23" s="62">
        <f t="shared" si="1"/>
        <v>0</v>
      </c>
      <c r="H23" s="62">
        <f t="shared" si="1"/>
        <v>0</v>
      </c>
      <c r="I23" s="62">
        <f t="shared" si="1"/>
        <v>0</v>
      </c>
      <c r="J23" s="62">
        <f t="shared" si="1"/>
        <v>0</v>
      </c>
      <c r="K23" s="62">
        <f t="shared" si="1"/>
        <v>0</v>
      </c>
    </row>
    <row r="24" spans="1:11" ht="11.25" customHeight="1" x14ac:dyDescent="0.3"/>
    <row r="25" spans="1:11" s="46" customFormat="1" ht="15" x14ac:dyDescent="0.3">
      <c r="B25" s="46" t="s">
        <v>16</v>
      </c>
    </row>
  </sheetData>
  <conditionalFormatting sqref="B3">
    <cfRule type="cellIs" dxfId="1006" priority="2" operator="notEqual">
      <formula>"No Errors Found"</formula>
    </cfRule>
  </conditionalFormatting>
  <conditionalFormatting sqref="K11:K17">
    <cfRule type="expression" dxfId="1005" priority="1">
      <formula>(dms_FRCPlength_Num)&lt;5</formula>
    </cfRule>
  </conditionalFormatting>
  <hyperlinks>
    <hyperlink ref="B2:E2" location="TOC!A1" display="TOC!A1" xr:uid="{0B5EAD4B-79D5-480F-B5A8-D8CD073E35C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A864-037B-4AAE-BB62-5285E1E56CB2}">
  <sheetPr codeName="Sheet11">
    <tabColor theme="4" tint="0.79998168889431442"/>
  </sheetPr>
  <dimension ref="A1:K23"/>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41.1640625" style="45" customWidth="1"/>
    <col min="5" max="11" width="16.6640625" style="45" customWidth="1"/>
    <col min="12" max="12" width="10.6640625" style="45" customWidth="1"/>
    <col min="13" max="13" width="12.33203125" style="45" bestFit="1" customWidth="1"/>
    <col min="14" max="31" width="10.6640625" style="45" customWidth="1"/>
    <col min="32" max="16384" width="9.33203125" style="45"/>
  </cols>
  <sheetData>
    <row r="1" spans="1:11" ht="18.75" x14ac:dyDescent="0.3">
      <c r="A1" s="41">
        <f>IF(SUM($A3:$A23)&gt;0,1,0)</f>
        <v>0</v>
      </c>
      <c r="B1" s="3" t="s">
        <v>1084</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251</v>
      </c>
      <c r="E8" s="49"/>
      <c r="F8" s="49"/>
      <c r="G8" s="49"/>
      <c r="H8" s="49"/>
      <c r="I8" s="49"/>
      <c r="J8" s="49"/>
      <c r="K8" s="49"/>
    </row>
    <row r="9" spans="1:11" ht="28.15" customHeight="1" thickBot="1" x14ac:dyDescent="0.35">
      <c r="D9"/>
      <c r="E9" s="1045" t="str">
        <f>'WkB_1_2.1.1'!$E$9</f>
        <v>Forecast 
($0's. real June 2024)</v>
      </c>
      <c r="F9" s="1046"/>
      <c r="G9" s="1046"/>
      <c r="H9" s="1046"/>
      <c r="I9" s="1046"/>
      <c r="J9" s="1046"/>
      <c r="K9" s="1047"/>
    </row>
    <row r="10" spans="1:11" ht="18.600000000000001" customHeight="1"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50" t="s">
        <v>75</v>
      </c>
      <c r="E11" s="51">
        <v>12387588.120298695</v>
      </c>
      <c r="F11" s="52">
        <v>12075100.845018467</v>
      </c>
      <c r="G11" s="51">
        <v>16316901.650310051</v>
      </c>
      <c r="H11" s="53">
        <v>15119784.506600145</v>
      </c>
      <c r="I11" s="53">
        <v>10451438.123490702</v>
      </c>
      <c r="J11" s="53">
        <v>9427664.7672908176</v>
      </c>
      <c r="K11" s="52">
        <v>9346193.3191790823</v>
      </c>
    </row>
    <row r="12" spans="1:11" ht="14.25" x14ac:dyDescent="0.45">
      <c r="D12" s="54" t="s">
        <v>76</v>
      </c>
      <c r="E12" s="55">
        <v>2409173.0544176809</v>
      </c>
      <c r="F12" s="56">
        <v>1920442.1607192326</v>
      </c>
      <c r="G12" s="55">
        <v>469643.97318019759</v>
      </c>
      <c r="H12" s="57">
        <v>476690.43405580724</v>
      </c>
      <c r="I12" s="57">
        <v>481436.80207459198</v>
      </c>
      <c r="J12" s="57">
        <v>485338.82167687122</v>
      </c>
      <c r="K12" s="56">
        <v>490334.89974389569</v>
      </c>
    </row>
    <row r="13" spans="1:11" ht="14.25" x14ac:dyDescent="0.45">
      <c r="D13" s="54" t="s">
        <v>77</v>
      </c>
      <c r="E13" s="55">
        <v>2047950.53697457</v>
      </c>
      <c r="F13" s="56">
        <v>3417181.5158130717</v>
      </c>
      <c r="G13" s="55">
        <v>3257643.3672411921</v>
      </c>
      <c r="H13" s="57">
        <v>2083706.125976044</v>
      </c>
      <c r="I13" s="57">
        <v>2503264.1172623634</v>
      </c>
      <c r="J13" s="57">
        <v>1855134.5616915894</v>
      </c>
      <c r="K13" s="56">
        <v>1707818.9965206627</v>
      </c>
    </row>
    <row r="14" spans="1:11" ht="14.25" x14ac:dyDescent="0.45">
      <c r="D14" s="54" t="s">
        <v>78</v>
      </c>
      <c r="E14" s="55">
        <v>7697524.2618791712</v>
      </c>
      <c r="F14" s="56">
        <v>7129511.4520193506</v>
      </c>
      <c r="G14" s="55">
        <v>6493342.2835103758</v>
      </c>
      <c r="H14" s="57">
        <v>7938257.5319464561</v>
      </c>
      <c r="I14" s="57">
        <v>7937987.8608518122</v>
      </c>
      <c r="J14" s="57">
        <v>18185715.729254443</v>
      </c>
      <c r="K14" s="56">
        <v>25158093.089914355</v>
      </c>
    </row>
    <row r="15" spans="1:11" ht="14.25" x14ac:dyDescent="0.45">
      <c r="D15" s="54" t="s">
        <v>672</v>
      </c>
      <c r="E15" s="55">
        <v>0</v>
      </c>
      <c r="F15" s="56">
        <v>0</v>
      </c>
      <c r="G15" s="55">
        <v>219013.70039242131</v>
      </c>
      <c r="H15" s="57">
        <v>275612.47487261554</v>
      </c>
      <c r="I15" s="57">
        <v>1904262.9105394308</v>
      </c>
      <c r="J15" s="57">
        <v>1008951.6625213383</v>
      </c>
      <c r="K15" s="56">
        <v>1132618.8739645381</v>
      </c>
    </row>
    <row r="16" spans="1:11" ht="14.65" thickBot="1" x14ac:dyDescent="0.5">
      <c r="D16" s="425" t="s">
        <v>274</v>
      </c>
      <c r="E16" s="55">
        <v>1542235.4899002658</v>
      </c>
      <c r="F16" s="56">
        <v>2810198.7604839173</v>
      </c>
      <c r="G16" s="55">
        <v>1254356.4964808975</v>
      </c>
      <c r="H16" s="57">
        <v>65086.029779409073</v>
      </c>
      <c r="I16" s="57">
        <v>65672.358460082542</v>
      </c>
      <c r="J16" s="57">
        <v>66144.286450503438</v>
      </c>
      <c r="K16" s="56">
        <v>66766.135280869741</v>
      </c>
    </row>
    <row r="17" spans="1:11" ht="13.5" thickBot="1" x14ac:dyDescent="0.35">
      <c r="D17" s="58" t="s">
        <v>81</v>
      </c>
      <c r="E17" s="59">
        <f>SUM(E11:E15)</f>
        <v>24542235.97357012</v>
      </c>
      <c r="F17" s="59">
        <f t="shared" ref="F17:K17" si="0">SUM(F11:F15)</f>
        <v>24542235.973570123</v>
      </c>
      <c r="G17" s="59">
        <f t="shared" si="0"/>
        <v>26756544.974634238</v>
      </c>
      <c r="H17" s="59">
        <f t="shared" si="0"/>
        <v>25894051.073451068</v>
      </c>
      <c r="I17" s="59">
        <f t="shared" si="0"/>
        <v>23278389.814218901</v>
      </c>
      <c r="J17" s="59">
        <f t="shared" si="0"/>
        <v>30962805.542435061</v>
      </c>
      <c r="K17" s="60">
        <f t="shared" si="0"/>
        <v>37835059.179322533</v>
      </c>
    </row>
    <row r="18" spans="1:11" ht="11.25" customHeight="1" x14ac:dyDescent="0.3"/>
    <row r="19" spans="1:11" ht="12.75" x14ac:dyDescent="0.3">
      <c r="D19" s="6" t="s">
        <v>728</v>
      </c>
      <c r="E19" s="118">
        <f>SUM('WkB_1_2.1.1'!E18:E19)</f>
        <v>24542235.97357012</v>
      </c>
      <c r="F19" s="119">
        <f>SUM('WkB_1_2.1.1'!F18:F19)</f>
        <v>24542235.973570123</v>
      </c>
      <c r="G19" s="120">
        <f>SUM('WkB_1_2.1.1'!G18:G19)</f>
        <v>26756544.97463423</v>
      </c>
      <c r="H19" s="118">
        <f>SUM('WkB_1_2.1.1'!H18:H19)</f>
        <v>25894051.073451061</v>
      </c>
      <c r="I19" s="118">
        <f>SUM('WkB_1_2.1.1'!I18:I19)</f>
        <v>23278389.814218897</v>
      </c>
      <c r="J19" s="118">
        <f>SUM('WkB_1_2.1.1'!J18:J19)</f>
        <v>30962805.542435065</v>
      </c>
      <c r="K19" s="118">
        <f>SUM('WkB_1_2.1.1'!K18:K19)</f>
        <v>37835059.179322533</v>
      </c>
    </row>
    <row r="20" spans="1:11" ht="12.75" x14ac:dyDescent="0.3">
      <c r="D20" s="6" t="s">
        <v>714</v>
      </c>
      <c r="E20" s="115">
        <v>24542235.97357012</v>
      </c>
      <c r="F20" s="116">
        <v>24542235.973570123</v>
      </c>
      <c r="G20" s="117">
        <v>26756544.974634238</v>
      </c>
      <c r="H20" s="115">
        <v>25894051.073451068</v>
      </c>
      <c r="I20" s="115">
        <v>23278389.814218901</v>
      </c>
      <c r="J20" s="115">
        <v>30962805.542435061</v>
      </c>
      <c r="K20" s="115">
        <v>37835059.179322533</v>
      </c>
    </row>
    <row r="21" spans="1:11" ht="12.75" x14ac:dyDescent="0.3">
      <c r="A21" s="41">
        <f>IF(SUM($E21:$K21)&gt;0,1,0)</f>
        <v>0</v>
      </c>
      <c r="D21" s="6" t="s">
        <v>84</v>
      </c>
      <c r="E21" s="62">
        <f>IF(OR(ROUND(E17-E19,3)&lt;&gt;0,ROUND(E17-E20,3)&lt;&gt;0),1,0)</f>
        <v>0</v>
      </c>
      <c r="F21" s="62">
        <f t="shared" ref="F21:K21" si="1">IF(OR(ROUND(F17-F19,3)&lt;&gt;0,ROUND(F17-F20,3)&lt;&gt;0),1,0)</f>
        <v>0</v>
      </c>
      <c r="G21" s="62">
        <f t="shared" si="1"/>
        <v>0</v>
      </c>
      <c r="H21" s="62">
        <f t="shared" si="1"/>
        <v>0</v>
      </c>
      <c r="I21" s="62">
        <f t="shared" si="1"/>
        <v>0</v>
      </c>
      <c r="J21" s="62">
        <f t="shared" si="1"/>
        <v>0</v>
      </c>
      <c r="K21" s="62">
        <f t="shared" si="1"/>
        <v>0</v>
      </c>
    </row>
    <row r="22" spans="1:11" ht="11.25" customHeight="1" x14ac:dyDescent="0.3"/>
    <row r="23" spans="1:11" s="46" customFormat="1" ht="15" x14ac:dyDescent="0.3">
      <c r="B23" s="46" t="s">
        <v>16</v>
      </c>
    </row>
  </sheetData>
  <mergeCells count="1">
    <mergeCell ref="E9:K9"/>
  </mergeCells>
  <conditionalFormatting sqref="B3">
    <cfRule type="cellIs" dxfId="1004" priority="4" operator="notEqual">
      <formula>"No Errors Found"</formula>
    </cfRule>
  </conditionalFormatting>
  <conditionalFormatting sqref="K11:K16">
    <cfRule type="expression" dxfId="1003" priority="3">
      <formula>(dms_FRCPlength_Num)&lt;5</formula>
    </cfRule>
  </conditionalFormatting>
  <hyperlinks>
    <hyperlink ref="B2:E2" location="TOC!A1" display="TOC!A1" xr:uid="{D168C65E-0AB5-427D-9500-8D5FD554ED07}"/>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A72D-48F9-4463-91FB-B04908EAEE27}">
  <sheetPr codeName="Sheet12">
    <tabColor theme="4" tint="0.79998168889431442"/>
  </sheetPr>
  <dimension ref="A1:O377"/>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5.83203125" style="45" customWidth="1"/>
    <col min="5" max="5" width="91" style="45" customWidth="1"/>
    <col min="6" max="6" width="17.6640625" style="45" customWidth="1"/>
    <col min="7" max="13" width="17.83203125" style="45" customWidth="1"/>
    <col min="14" max="32" width="10.6640625" style="45" customWidth="1"/>
    <col min="33" max="16384" width="9.33203125" style="45"/>
  </cols>
  <sheetData>
    <row r="1" spans="1:13" ht="18.75" x14ac:dyDescent="0.3">
      <c r="A1" s="41">
        <f>IF(SUM($A3:$A377)&gt;0,1,0)</f>
        <v>0</v>
      </c>
      <c r="B1" s="3" t="s">
        <v>1085</v>
      </c>
      <c r="F1"/>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thickBot="1" x14ac:dyDescent="0.35"/>
    <row r="8" spans="1:13" ht="15.4" thickBot="1" x14ac:dyDescent="0.35">
      <c r="D8" s="325" t="s">
        <v>275</v>
      </c>
      <c r="E8" s="325"/>
      <c r="F8" s="325"/>
      <c r="G8" s="325"/>
      <c r="H8" s="325"/>
      <c r="I8" s="325"/>
      <c r="J8" s="325"/>
      <c r="K8" s="325"/>
      <c r="L8" s="325"/>
      <c r="M8" s="325"/>
    </row>
    <row r="9" spans="1:13" ht="28.15" customHeight="1" thickBot="1" x14ac:dyDescent="0.35">
      <c r="D9" s="426" t="s">
        <v>175</v>
      </c>
      <c r="E9" s="427"/>
      <c r="F9" s="427"/>
      <c r="G9" s="427"/>
      <c r="H9" s="427"/>
      <c r="I9" s="427"/>
      <c r="J9" s="427"/>
      <c r="K9" s="427"/>
      <c r="L9" s="427"/>
      <c r="M9" s="428"/>
    </row>
    <row r="10" spans="1:13" ht="33.6" customHeight="1" x14ac:dyDescent="0.3">
      <c r="D10" s="429"/>
      <c r="E10" s="430"/>
      <c r="F10" s="431"/>
      <c r="G10" s="471" t="s">
        <v>543</v>
      </c>
      <c r="H10" s="472"/>
      <c r="I10" s="472"/>
      <c r="J10" s="472"/>
      <c r="K10" s="472"/>
      <c r="L10" s="472"/>
      <c r="M10" s="473"/>
    </row>
    <row r="11" spans="1:13" ht="29.1" customHeight="1" thickBot="1" x14ac:dyDescent="0.45">
      <c r="D11" s="173" t="s">
        <v>114</v>
      </c>
      <c r="E11" s="173" t="s">
        <v>115</v>
      </c>
      <c r="F11" s="174" t="s">
        <v>276</v>
      </c>
      <c r="G11" s="469" t="s">
        <v>70</v>
      </c>
      <c r="H11" s="469" t="s">
        <v>71</v>
      </c>
      <c r="I11" s="470" t="s">
        <v>72</v>
      </c>
      <c r="J11" s="470" t="s">
        <v>73</v>
      </c>
      <c r="K11" s="470" t="s">
        <v>74</v>
      </c>
      <c r="L11" s="470" t="s">
        <v>82</v>
      </c>
      <c r="M11" s="470" t="s">
        <v>243</v>
      </c>
    </row>
    <row r="12" spans="1:13" ht="45" x14ac:dyDescent="0.45">
      <c r="D12" s="432" t="s">
        <v>277</v>
      </c>
      <c r="E12" s="433" t="s">
        <v>755</v>
      </c>
      <c r="F12" s="474"/>
      <c r="G12" s="434">
        <f t="shared" ref="G12:M12" si="0">G203*G$373*G$375</f>
        <v>0</v>
      </c>
      <c r="H12" s="435">
        <f t="shared" si="0"/>
        <v>0</v>
      </c>
      <c r="I12" s="436">
        <f t="shared" si="0"/>
        <v>0</v>
      </c>
      <c r="J12" s="437">
        <f t="shared" si="0"/>
        <v>0</v>
      </c>
      <c r="K12" s="437">
        <f t="shared" si="0"/>
        <v>0</v>
      </c>
      <c r="L12" s="437">
        <f t="shared" si="0"/>
        <v>0</v>
      </c>
      <c r="M12" s="438">
        <f t="shared" si="0"/>
        <v>0</v>
      </c>
    </row>
    <row r="13" spans="1:13" ht="15" x14ac:dyDescent="0.45">
      <c r="D13" s="439"/>
      <c r="E13" s="433" t="s">
        <v>278</v>
      </c>
      <c r="F13" s="474"/>
      <c r="G13" s="434">
        <f t="shared" ref="G13:M13" si="1">G204*G$373*G$375</f>
        <v>0</v>
      </c>
      <c r="H13" s="435">
        <f t="shared" si="1"/>
        <v>0</v>
      </c>
      <c r="I13" s="436">
        <f t="shared" si="1"/>
        <v>0</v>
      </c>
      <c r="J13" s="437">
        <f t="shared" si="1"/>
        <v>0</v>
      </c>
      <c r="K13" s="437">
        <f t="shared" si="1"/>
        <v>0</v>
      </c>
      <c r="L13" s="437">
        <f t="shared" si="1"/>
        <v>0</v>
      </c>
      <c r="M13" s="438">
        <f t="shared" si="1"/>
        <v>0</v>
      </c>
    </row>
    <row r="14" spans="1:13" ht="15" x14ac:dyDescent="0.45">
      <c r="D14" s="439"/>
      <c r="E14" s="433" t="s">
        <v>279</v>
      </c>
      <c r="F14" s="474"/>
      <c r="G14" s="434">
        <f t="shared" ref="G14:M23" si="2">G205*G$373*G$375</f>
        <v>0</v>
      </c>
      <c r="H14" s="435">
        <f t="shared" si="2"/>
        <v>0</v>
      </c>
      <c r="I14" s="436">
        <f t="shared" si="2"/>
        <v>0</v>
      </c>
      <c r="J14" s="437">
        <f t="shared" si="2"/>
        <v>0</v>
      </c>
      <c r="K14" s="437">
        <f t="shared" si="2"/>
        <v>0</v>
      </c>
      <c r="L14" s="437">
        <f t="shared" si="2"/>
        <v>0</v>
      </c>
      <c r="M14" s="438">
        <f t="shared" si="2"/>
        <v>0</v>
      </c>
    </row>
    <row r="15" spans="1:13" ht="15" x14ac:dyDescent="0.45">
      <c r="D15" s="439"/>
      <c r="E15" s="433" t="s">
        <v>280</v>
      </c>
      <c r="F15" s="474"/>
      <c r="G15" s="434">
        <f t="shared" si="2"/>
        <v>0</v>
      </c>
      <c r="H15" s="435">
        <f t="shared" si="2"/>
        <v>0</v>
      </c>
      <c r="I15" s="436">
        <f t="shared" si="2"/>
        <v>0</v>
      </c>
      <c r="J15" s="437">
        <f t="shared" si="2"/>
        <v>0</v>
      </c>
      <c r="K15" s="437">
        <f t="shared" si="2"/>
        <v>0</v>
      </c>
      <c r="L15" s="437">
        <f t="shared" si="2"/>
        <v>0</v>
      </c>
      <c r="M15" s="438">
        <f t="shared" si="2"/>
        <v>0</v>
      </c>
    </row>
    <row r="16" spans="1:13" ht="15" x14ac:dyDescent="0.45">
      <c r="D16" s="439"/>
      <c r="E16" s="433" t="s">
        <v>281</v>
      </c>
      <c r="F16" s="474"/>
      <c r="G16" s="434">
        <f t="shared" si="2"/>
        <v>0</v>
      </c>
      <c r="H16" s="435">
        <f t="shared" si="2"/>
        <v>0</v>
      </c>
      <c r="I16" s="436">
        <f t="shared" si="2"/>
        <v>0</v>
      </c>
      <c r="J16" s="437">
        <f t="shared" si="2"/>
        <v>0</v>
      </c>
      <c r="K16" s="437">
        <f t="shared" si="2"/>
        <v>0</v>
      </c>
      <c r="L16" s="437">
        <f t="shared" si="2"/>
        <v>0</v>
      </c>
      <c r="M16" s="438">
        <f t="shared" si="2"/>
        <v>0</v>
      </c>
    </row>
    <row r="17" spans="4:13" ht="15" x14ac:dyDescent="0.45">
      <c r="D17" s="439"/>
      <c r="E17" s="433" t="s">
        <v>282</v>
      </c>
      <c r="F17" s="474"/>
      <c r="G17" s="434">
        <f t="shared" si="2"/>
        <v>0</v>
      </c>
      <c r="H17" s="435">
        <f t="shared" si="2"/>
        <v>0</v>
      </c>
      <c r="I17" s="436">
        <f t="shared" si="2"/>
        <v>0</v>
      </c>
      <c r="J17" s="437">
        <f t="shared" si="2"/>
        <v>0</v>
      </c>
      <c r="K17" s="437">
        <f t="shared" si="2"/>
        <v>0</v>
      </c>
      <c r="L17" s="437">
        <f t="shared" si="2"/>
        <v>0</v>
      </c>
      <c r="M17" s="438">
        <f t="shared" si="2"/>
        <v>0</v>
      </c>
    </row>
    <row r="18" spans="4:13" ht="15" x14ac:dyDescent="0.45">
      <c r="D18" s="439"/>
      <c r="E18" s="433" t="s">
        <v>283</v>
      </c>
      <c r="F18" s="474"/>
      <c r="G18" s="434">
        <f t="shared" si="2"/>
        <v>0</v>
      </c>
      <c r="H18" s="435">
        <f t="shared" si="2"/>
        <v>0</v>
      </c>
      <c r="I18" s="436">
        <f t="shared" si="2"/>
        <v>0</v>
      </c>
      <c r="J18" s="437">
        <f t="shared" si="2"/>
        <v>0</v>
      </c>
      <c r="K18" s="437">
        <f t="shared" si="2"/>
        <v>0</v>
      </c>
      <c r="L18" s="437">
        <f t="shared" si="2"/>
        <v>0</v>
      </c>
      <c r="M18" s="438">
        <f t="shared" si="2"/>
        <v>0</v>
      </c>
    </row>
    <row r="19" spans="4:13" ht="15" x14ac:dyDescent="0.45">
      <c r="D19" s="439"/>
      <c r="E19" s="433" t="s">
        <v>284</v>
      </c>
      <c r="F19" s="474"/>
      <c r="G19" s="434">
        <f t="shared" si="2"/>
        <v>0</v>
      </c>
      <c r="H19" s="435">
        <f t="shared" si="2"/>
        <v>0</v>
      </c>
      <c r="I19" s="436">
        <f t="shared" si="2"/>
        <v>0</v>
      </c>
      <c r="J19" s="437">
        <f t="shared" si="2"/>
        <v>0</v>
      </c>
      <c r="K19" s="437">
        <f t="shared" si="2"/>
        <v>0</v>
      </c>
      <c r="L19" s="437">
        <f t="shared" si="2"/>
        <v>0</v>
      </c>
      <c r="M19" s="438">
        <f t="shared" si="2"/>
        <v>0</v>
      </c>
    </row>
    <row r="20" spans="4:13" ht="15" x14ac:dyDescent="0.45">
      <c r="D20" s="439"/>
      <c r="E20" s="433" t="s">
        <v>285</v>
      </c>
      <c r="F20" s="474"/>
      <c r="G20" s="434">
        <f t="shared" si="2"/>
        <v>0</v>
      </c>
      <c r="H20" s="435">
        <f t="shared" si="2"/>
        <v>0</v>
      </c>
      <c r="I20" s="436">
        <f t="shared" si="2"/>
        <v>0</v>
      </c>
      <c r="J20" s="437">
        <f t="shared" si="2"/>
        <v>0</v>
      </c>
      <c r="K20" s="437">
        <f t="shared" si="2"/>
        <v>0</v>
      </c>
      <c r="L20" s="437">
        <f t="shared" si="2"/>
        <v>0</v>
      </c>
      <c r="M20" s="438">
        <f t="shared" si="2"/>
        <v>0</v>
      </c>
    </row>
    <row r="21" spans="4:13" ht="15" x14ac:dyDescent="0.45">
      <c r="D21" s="439"/>
      <c r="E21" s="433" t="s">
        <v>286</v>
      </c>
      <c r="F21" s="474"/>
      <c r="G21" s="434">
        <f t="shared" si="2"/>
        <v>0</v>
      </c>
      <c r="H21" s="435">
        <f t="shared" si="2"/>
        <v>0</v>
      </c>
      <c r="I21" s="436">
        <f t="shared" si="2"/>
        <v>0</v>
      </c>
      <c r="J21" s="437">
        <f t="shared" si="2"/>
        <v>0</v>
      </c>
      <c r="K21" s="437">
        <f t="shared" si="2"/>
        <v>0</v>
      </c>
      <c r="L21" s="437">
        <f t="shared" si="2"/>
        <v>0</v>
      </c>
      <c r="M21" s="438">
        <f t="shared" si="2"/>
        <v>0</v>
      </c>
    </row>
    <row r="22" spans="4:13" ht="15" x14ac:dyDescent="0.45">
      <c r="D22" s="439"/>
      <c r="E22" s="433" t="s">
        <v>287</v>
      </c>
      <c r="F22" s="474"/>
      <c r="G22" s="434">
        <f t="shared" si="2"/>
        <v>0</v>
      </c>
      <c r="H22" s="435">
        <f t="shared" si="2"/>
        <v>0</v>
      </c>
      <c r="I22" s="436">
        <f t="shared" si="2"/>
        <v>0</v>
      </c>
      <c r="J22" s="437">
        <f t="shared" si="2"/>
        <v>0</v>
      </c>
      <c r="K22" s="437">
        <f t="shared" si="2"/>
        <v>0</v>
      </c>
      <c r="L22" s="437">
        <f t="shared" si="2"/>
        <v>0</v>
      </c>
      <c r="M22" s="438">
        <f t="shared" si="2"/>
        <v>0</v>
      </c>
    </row>
    <row r="23" spans="4:13" ht="15" x14ac:dyDescent="0.45">
      <c r="D23" s="439"/>
      <c r="E23" s="433" t="s">
        <v>288</v>
      </c>
      <c r="F23" s="474"/>
      <c r="G23" s="434">
        <f t="shared" si="2"/>
        <v>0</v>
      </c>
      <c r="H23" s="435">
        <f t="shared" si="2"/>
        <v>0</v>
      </c>
      <c r="I23" s="436">
        <f t="shared" si="2"/>
        <v>0</v>
      </c>
      <c r="J23" s="437">
        <f t="shared" si="2"/>
        <v>0</v>
      </c>
      <c r="K23" s="437">
        <f t="shared" si="2"/>
        <v>0</v>
      </c>
      <c r="L23" s="437">
        <f t="shared" si="2"/>
        <v>0</v>
      </c>
      <c r="M23" s="438">
        <f t="shared" si="2"/>
        <v>0</v>
      </c>
    </row>
    <row r="24" spans="4:13" ht="15" x14ac:dyDescent="0.45">
      <c r="D24" s="439"/>
      <c r="E24" s="433" t="s">
        <v>289</v>
      </c>
      <c r="F24" s="474"/>
      <c r="G24" s="434">
        <f t="shared" ref="G24:M33" si="3">G215*G$373*G$375</f>
        <v>0</v>
      </c>
      <c r="H24" s="435">
        <f t="shared" si="3"/>
        <v>0</v>
      </c>
      <c r="I24" s="436">
        <f t="shared" si="3"/>
        <v>0</v>
      </c>
      <c r="J24" s="437">
        <f t="shared" si="3"/>
        <v>0</v>
      </c>
      <c r="K24" s="437">
        <f t="shared" si="3"/>
        <v>0</v>
      </c>
      <c r="L24" s="437">
        <f t="shared" si="3"/>
        <v>0</v>
      </c>
      <c r="M24" s="438">
        <f t="shared" si="3"/>
        <v>0</v>
      </c>
    </row>
    <row r="25" spans="4:13" ht="15" x14ac:dyDescent="0.45">
      <c r="D25" s="439"/>
      <c r="E25" s="433" t="s">
        <v>290</v>
      </c>
      <c r="F25" s="474"/>
      <c r="G25" s="434">
        <f t="shared" si="3"/>
        <v>99979.216892534154</v>
      </c>
      <c r="H25" s="435">
        <f t="shared" si="3"/>
        <v>131219.10690496094</v>
      </c>
      <c r="I25" s="436">
        <f t="shared" si="3"/>
        <v>165965.25710748334</v>
      </c>
      <c r="J25" s="437">
        <f t="shared" si="3"/>
        <v>179919.76975520299</v>
      </c>
      <c r="K25" s="437">
        <f t="shared" si="3"/>
        <v>193693.12397294372</v>
      </c>
      <c r="L25" s="437">
        <f t="shared" si="3"/>
        <v>207828.60508986702</v>
      </c>
      <c r="M25" s="438">
        <f t="shared" si="3"/>
        <v>223229.77305088207</v>
      </c>
    </row>
    <row r="26" spans="4:13" ht="15" x14ac:dyDescent="0.45">
      <c r="D26" s="439"/>
      <c r="E26" s="433" t="s">
        <v>291</v>
      </c>
      <c r="F26" s="474"/>
      <c r="G26" s="434">
        <f t="shared" si="3"/>
        <v>111149.79472490097</v>
      </c>
      <c r="H26" s="435">
        <f t="shared" si="3"/>
        <v>145656.14575120801</v>
      </c>
      <c r="I26" s="436">
        <f t="shared" si="3"/>
        <v>183924.57577584049</v>
      </c>
      <c r="J26" s="437">
        <f t="shared" si="3"/>
        <v>199045.24286201573</v>
      </c>
      <c r="K26" s="437">
        <f t="shared" si="3"/>
        <v>213893.79030549343</v>
      </c>
      <c r="L26" s="437">
        <f t="shared" si="3"/>
        <v>229066.76749765969</v>
      </c>
      <c r="M26" s="438">
        <f t="shared" si="3"/>
        <v>245552.41839705125</v>
      </c>
    </row>
    <row r="27" spans="4:13" ht="15" x14ac:dyDescent="0.45">
      <c r="D27" s="439"/>
      <c r="E27" s="433" t="s">
        <v>292</v>
      </c>
      <c r="F27" s="474"/>
      <c r="G27" s="434">
        <f t="shared" si="3"/>
        <v>1368302.8123607896</v>
      </c>
      <c r="H27" s="435">
        <f t="shared" si="3"/>
        <v>574562.55239966011</v>
      </c>
      <c r="I27" s="436">
        <f t="shared" si="3"/>
        <v>1213261.6752628989</v>
      </c>
      <c r="J27" s="437">
        <f t="shared" si="3"/>
        <v>1989186.6914699513</v>
      </c>
      <c r="K27" s="437">
        <f t="shared" si="3"/>
        <v>2160875.3028739868</v>
      </c>
      <c r="L27" s="437">
        <f t="shared" si="3"/>
        <v>302168.57108949492</v>
      </c>
      <c r="M27" s="438">
        <f t="shared" si="3"/>
        <v>325814.61231656803</v>
      </c>
    </row>
    <row r="28" spans="4:13" ht="15" x14ac:dyDescent="0.45">
      <c r="D28" s="439"/>
      <c r="E28" s="433" t="s">
        <v>293</v>
      </c>
      <c r="F28" s="474"/>
      <c r="G28" s="434">
        <f t="shared" si="3"/>
        <v>341940.2279180311</v>
      </c>
      <c r="H28" s="435">
        <f t="shared" si="3"/>
        <v>1337701.1053484941</v>
      </c>
      <c r="I28" s="436">
        <f t="shared" si="3"/>
        <v>1021096.0306243366</v>
      </c>
      <c r="J28" s="437">
        <f t="shared" si="3"/>
        <v>2752824.5289533613</v>
      </c>
      <c r="K28" s="437">
        <f t="shared" si="3"/>
        <v>0</v>
      </c>
      <c r="L28" s="437">
        <f t="shared" si="3"/>
        <v>0</v>
      </c>
      <c r="M28" s="438">
        <f t="shared" si="3"/>
        <v>0</v>
      </c>
    </row>
    <row r="29" spans="4:13" ht="15" x14ac:dyDescent="0.45">
      <c r="D29" s="439"/>
      <c r="E29" s="433" t="s">
        <v>294</v>
      </c>
      <c r="F29" s="474"/>
      <c r="G29" s="434">
        <f t="shared" si="3"/>
        <v>507089.31234399305</v>
      </c>
      <c r="H29" s="435">
        <f t="shared" si="3"/>
        <v>632826.30618041474</v>
      </c>
      <c r="I29" s="436">
        <f t="shared" si="3"/>
        <v>0</v>
      </c>
      <c r="J29" s="437">
        <f t="shared" si="3"/>
        <v>0</v>
      </c>
      <c r="K29" s="437">
        <f t="shared" si="3"/>
        <v>0</v>
      </c>
      <c r="L29" s="437">
        <f t="shared" si="3"/>
        <v>0</v>
      </c>
      <c r="M29" s="438">
        <f t="shared" si="3"/>
        <v>0</v>
      </c>
    </row>
    <row r="30" spans="4:13" ht="15" x14ac:dyDescent="0.45">
      <c r="D30" s="439"/>
      <c r="E30" s="433" t="s">
        <v>295</v>
      </c>
      <c r="F30" s="474"/>
      <c r="G30" s="434">
        <f t="shared" si="3"/>
        <v>0</v>
      </c>
      <c r="H30" s="435">
        <f t="shared" si="3"/>
        <v>0</v>
      </c>
      <c r="I30" s="436">
        <f t="shared" si="3"/>
        <v>0</v>
      </c>
      <c r="J30" s="437">
        <f t="shared" si="3"/>
        <v>0</v>
      </c>
      <c r="K30" s="437">
        <f t="shared" si="3"/>
        <v>0</v>
      </c>
      <c r="L30" s="437">
        <f t="shared" si="3"/>
        <v>0</v>
      </c>
      <c r="M30" s="438">
        <f t="shared" si="3"/>
        <v>0</v>
      </c>
    </row>
    <row r="31" spans="4:13" ht="15.4" thickBot="1" x14ac:dyDescent="0.5">
      <c r="D31" s="439"/>
      <c r="E31" s="440" t="s">
        <v>232</v>
      </c>
      <c r="F31" s="475"/>
      <c r="G31" s="441">
        <f t="shared" si="3"/>
        <v>0</v>
      </c>
      <c r="H31" s="442">
        <f t="shared" si="3"/>
        <v>0</v>
      </c>
      <c r="I31" s="443">
        <f t="shared" si="3"/>
        <v>0</v>
      </c>
      <c r="J31" s="444">
        <f t="shared" si="3"/>
        <v>0</v>
      </c>
      <c r="K31" s="444">
        <f t="shared" si="3"/>
        <v>0</v>
      </c>
      <c r="L31" s="444">
        <f t="shared" si="3"/>
        <v>0</v>
      </c>
      <c r="M31" s="445">
        <f t="shared" si="3"/>
        <v>0</v>
      </c>
    </row>
    <row r="32" spans="4:13" ht="14.25" x14ac:dyDescent="0.45">
      <c r="D32" s="1048" t="s">
        <v>296</v>
      </c>
      <c r="E32" s="446" t="s">
        <v>297</v>
      </c>
      <c r="F32" s="476"/>
      <c r="G32" s="447">
        <f t="shared" si="3"/>
        <v>59081.448083810203</v>
      </c>
      <c r="H32" s="448">
        <f t="shared" si="3"/>
        <v>77564.355660931265</v>
      </c>
      <c r="I32" s="449">
        <f t="shared" si="3"/>
        <v>98132.491405690147</v>
      </c>
      <c r="J32" s="437">
        <f t="shared" si="3"/>
        <v>106417.29756038595</v>
      </c>
      <c r="K32" s="437">
        <f t="shared" si="3"/>
        <v>114602.14845634057</v>
      </c>
      <c r="L32" s="437">
        <f t="shared" si="3"/>
        <v>123009.02343607714</v>
      </c>
      <c r="M32" s="438">
        <f t="shared" si="3"/>
        <v>132173.71467243726</v>
      </c>
    </row>
    <row r="33" spans="4:13" ht="14.25" x14ac:dyDescent="0.45">
      <c r="D33" s="1049"/>
      <c r="E33" s="433" t="s">
        <v>298</v>
      </c>
      <c r="F33" s="474"/>
      <c r="G33" s="434">
        <f t="shared" si="3"/>
        <v>593049.32285562484</v>
      </c>
      <c r="H33" s="435">
        <f t="shared" si="3"/>
        <v>628065.9574632867</v>
      </c>
      <c r="I33" s="436">
        <f t="shared" si="3"/>
        <v>192263.65477795425</v>
      </c>
      <c r="J33" s="437">
        <f t="shared" si="3"/>
        <v>207243.44652191753</v>
      </c>
      <c r="K33" s="437">
        <f t="shared" si="3"/>
        <v>221765.24931084368</v>
      </c>
      <c r="L33" s="437">
        <f t="shared" si="3"/>
        <v>236436.00483510466</v>
      </c>
      <c r="M33" s="438">
        <f t="shared" si="3"/>
        <v>252253.34222477479</v>
      </c>
    </row>
    <row r="34" spans="4:13" ht="14.25" x14ac:dyDescent="0.45">
      <c r="D34" s="1049"/>
      <c r="E34" s="433" t="s">
        <v>299</v>
      </c>
      <c r="F34" s="474"/>
      <c r="G34" s="434">
        <f t="shared" ref="G34:M43" si="4">G225*G$373*G$375</f>
        <v>1138459.8353468296</v>
      </c>
      <c r="H34" s="435">
        <f t="shared" si="4"/>
        <v>625302.25329037185</v>
      </c>
      <c r="I34" s="436">
        <f t="shared" si="4"/>
        <v>655461.04820956744</v>
      </c>
      <c r="J34" s="437">
        <f t="shared" si="4"/>
        <v>855118.32538840873</v>
      </c>
      <c r="K34" s="437">
        <f t="shared" si="4"/>
        <v>926610.03612822946</v>
      </c>
      <c r="L34" s="437">
        <f t="shared" si="4"/>
        <v>554206.42948853422</v>
      </c>
      <c r="M34" s="438">
        <f t="shared" si="4"/>
        <v>594743.98272945231</v>
      </c>
    </row>
    <row r="35" spans="4:13" ht="14.25" x14ac:dyDescent="0.45">
      <c r="D35" s="1049"/>
      <c r="E35" s="433" t="s">
        <v>300</v>
      </c>
      <c r="F35" s="474"/>
      <c r="G35" s="434">
        <f t="shared" si="4"/>
        <v>264297.47673065681</v>
      </c>
      <c r="H35" s="435">
        <f t="shared" si="4"/>
        <v>263469.1875565318</v>
      </c>
      <c r="I35" s="436">
        <f t="shared" si="4"/>
        <v>164275.69108548941</v>
      </c>
      <c r="J35" s="437">
        <f t="shared" si="4"/>
        <v>297290.83471534931</v>
      </c>
      <c r="K35" s="437">
        <f t="shared" si="4"/>
        <v>298870.26987915568</v>
      </c>
      <c r="L35" s="437">
        <f t="shared" si="4"/>
        <v>167510.76653304472</v>
      </c>
      <c r="M35" s="438">
        <f t="shared" si="4"/>
        <v>168451.99622255896</v>
      </c>
    </row>
    <row r="36" spans="4:13" ht="14.25" x14ac:dyDescent="0.45">
      <c r="D36" s="1049"/>
      <c r="E36" s="433" t="s">
        <v>301</v>
      </c>
      <c r="F36" s="474"/>
      <c r="G36" s="434">
        <f t="shared" si="4"/>
        <v>274832.17143332964</v>
      </c>
      <c r="H36" s="435">
        <f t="shared" si="4"/>
        <v>353274.51196585753</v>
      </c>
      <c r="I36" s="436">
        <f t="shared" si="4"/>
        <v>224671.50002614877</v>
      </c>
      <c r="J36" s="437">
        <f t="shared" si="4"/>
        <v>820152.70313304663</v>
      </c>
      <c r="K36" s="437">
        <f t="shared" si="4"/>
        <v>824509.97845994844</v>
      </c>
      <c r="L36" s="437">
        <f t="shared" si="4"/>
        <v>229095.94802997287</v>
      </c>
      <c r="M36" s="438">
        <f t="shared" si="4"/>
        <v>230383.21996177841</v>
      </c>
    </row>
    <row r="37" spans="4:13" ht="14.25" x14ac:dyDescent="0.45">
      <c r="D37" s="1049"/>
      <c r="E37" s="433" t="s">
        <v>302</v>
      </c>
      <c r="F37" s="474"/>
      <c r="G37" s="434">
        <f t="shared" si="4"/>
        <v>0</v>
      </c>
      <c r="H37" s="435">
        <f t="shared" si="4"/>
        <v>0</v>
      </c>
      <c r="I37" s="436">
        <f t="shared" si="4"/>
        <v>0</v>
      </c>
      <c r="J37" s="437">
        <f t="shared" si="4"/>
        <v>0</v>
      </c>
      <c r="K37" s="437">
        <f t="shared" si="4"/>
        <v>0</v>
      </c>
      <c r="L37" s="437">
        <f t="shared" si="4"/>
        <v>0</v>
      </c>
      <c r="M37" s="438">
        <f t="shared" si="4"/>
        <v>0</v>
      </c>
    </row>
    <row r="38" spans="4:13" ht="14.65" thickBot="1" x14ac:dyDescent="0.5">
      <c r="D38" s="1050"/>
      <c r="E38" s="440" t="s">
        <v>232</v>
      </c>
      <c r="F38" s="475"/>
      <c r="G38" s="441">
        <f t="shared" si="4"/>
        <v>0</v>
      </c>
      <c r="H38" s="442">
        <f t="shared" si="4"/>
        <v>0</v>
      </c>
      <c r="I38" s="443">
        <f t="shared" si="4"/>
        <v>0</v>
      </c>
      <c r="J38" s="444">
        <f t="shared" si="4"/>
        <v>0</v>
      </c>
      <c r="K38" s="444">
        <f t="shared" si="4"/>
        <v>0</v>
      </c>
      <c r="L38" s="444">
        <f t="shared" si="4"/>
        <v>0</v>
      </c>
      <c r="M38" s="445">
        <f t="shared" si="4"/>
        <v>0</v>
      </c>
    </row>
    <row r="39" spans="4:13" ht="14.25" x14ac:dyDescent="0.45">
      <c r="D39" s="1051" t="s">
        <v>303</v>
      </c>
      <c r="E39" s="446" t="s">
        <v>304</v>
      </c>
      <c r="F39" s="477" t="s">
        <v>305</v>
      </c>
      <c r="G39" s="434">
        <f t="shared" si="4"/>
        <v>0</v>
      </c>
      <c r="H39" s="435">
        <f t="shared" si="4"/>
        <v>0</v>
      </c>
      <c r="I39" s="436">
        <f t="shared" si="4"/>
        <v>0</v>
      </c>
      <c r="J39" s="437">
        <f t="shared" si="4"/>
        <v>0</v>
      </c>
      <c r="K39" s="437">
        <f t="shared" si="4"/>
        <v>0</v>
      </c>
      <c r="L39" s="437">
        <f t="shared" si="4"/>
        <v>0</v>
      </c>
      <c r="M39" s="438">
        <f t="shared" si="4"/>
        <v>0</v>
      </c>
    </row>
    <row r="40" spans="4:13" ht="14.25" x14ac:dyDescent="0.45">
      <c r="D40" s="1052"/>
      <c r="E40" s="433" t="s">
        <v>298</v>
      </c>
      <c r="F40" s="478" t="s">
        <v>305</v>
      </c>
      <c r="G40" s="434">
        <f t="shared" si="4"/>
        <v>0</v>
      </c>
      <c r="H40" s="435">
        <f t="shared" si="4"/>
        <v>0</v>
      </c>
      <c r="I40" s="436">
        <f t="shared" si="4"/>
        <v>0</v>
      </c>
      <c r="J40" s="437">
        <f t="shared" si="4"/>
        <v>0</v>
      </c>
      <c r="K40" s="437">
        <f t="shared" si="4"/>
        <v>0</v>
      </c>
      <c r="L40" s="437">
        <f t="shared" si="4"/>
        <v>0</v>
      </c>
      <c r="M40" s="438">
        <f t="shared" si="4"/>
        <v>0</v>
      </c>
    </row>
    <row r="41" spans="4:13" ht="14.25" x14ac:dyDescent="0.45">
      <c r="D41" s="1052"/>
      <c r="E41" s="433" t="s">
        <v>299</v>
      </c>
      <c r="F41" s="478" t="s">
        <v>305</v>
      </c>
      <c r="G41" s="434">
        <f t="shared" si="4"/>
        <v>0</v>
      </c>
      <c r="H41" s="435">
        <f t="shared" si="4"/>
        <v>0</v>
      </c>
      <c r="I41" s="436">
        <f t="shared" si="4"/>
        <v>0</v>
      </c>
      <c r="J41" s="437">
        <f t="shared" si="4"/>
        <v>0</v>
      </c>
      <c r="K41" s="437">
        <f t="shared" si="4"/>
        <v>0</v>
      </c>
      <c r="L41" s="437">
        <f t="shared" si="4"/>
        <v>0</v>
      </c>
      <c r="M41" s="438">
        <f t="shared" si="4"/>
        <v>0</v>
      </c>
    </row>
    <row r="42" spans="4:13" ht="14.25" x14ac:dyDescent="0.45">
      <c r="D42" s="1052"/>
      <c r="E42" s="433" t="s">
        <v>300</v>
      </c>
      <c r="F42" s="478" t="s">
        <v>305</v>
      </c>
      <c r="G42" s="434">
        <f t="shared" si="4"/>
        <v>0</v>
      </c>
      <c r="H42" s="435">
        <f t="shared" si="4"/>
        <v>0</v>
      </c>
      <c r="I42" s="436">
        <f t="shared" si="4"/>
        <v>0</v>
      </c>
      <c r="J42" s="437">
        <f t="shared" si="4"/>
        <v>0</v>
      </c>
      <c r="K42" s="437">
        <f t="shared" si="4"/>
        <v>0</v>
      </c>
      <c r="L42" s="437">
        <f t="shared" si="4"/>
        <v>0</v>
      </c>
      <c r="M42" s="438">
        <f t="shared" si="4"/>
        <v>0</v>
      </c>
    </row>
    <row r="43" spans="4:13" ht="14.25" x14ac:dyDescent="0.45">
      <c r="D43" s="1052"/>
      <c r="E43" s="433" t="s">
        <v>301</v>
      </c>
      <c r="F43" s="478" t="s">
        <v>305</v>
      </c>
      <c r="G43" s="434">
        <f t="shared" si="4"/>
        <v>0</v>
      </c>
      <c r="H43" s="435">
        <f t="shared" si="4"/>
        <v>0</v>
      </c>
      <c r="I43" s="436">
        <f t="shared" si="4"/>
        <v>0</v>
      </c>
      <c r="J43" s="437">
        <f t="shared" si="4"/>
        <v>0</v>
      </c>
      <c r="K43" s="437">
        <f t="shared" si="4"/>
        <v>0</v>
      </c>
      <c r="L43" s="437">
        <f t="shared" si="4"/>
        <v>0</v>
      </c>
      <c r="M43" s="438">
        <f t="shared" si="4"/>
        <v>0</v>
      </c>
    </row>
    <row r="44" spans="4:13" ht="14.65" thickBot="1" x14ac:dyDescent="0.5">
      <c r="D44" s="1053"/>
      <c r="E44" s="440" t="s">
        <v>302</v>
      </c>
      <c r="F44" s="479" t="s">
        <v>305</v>
      </c>
      <c r="G44" s="441">
        <f t="shared" ref="G44:M44" si="5">G235*G$373*G$375</f>
        <v>0</v>
      </c>
      <c r="H44" s="442">
        <f t="shared" si="5"/>
        <v>0</v>
      </c>
      <c r="I44" s="443">
        <f t="shared" si="5"/>
        <v>0</v>
      </c>
      <c r="J44" s="444">
        <f t="shared" si="5"/>
        <v>0</v>
      </c>
      <c r="K44" s="444">
        <f t="shared" si="5"/>
        <v>0</v>
      </c>
      <c r="L44" s="444">
        <f t="shared" si="5"/>
        <v>0</v>
      </c>
      <c r="M44" s="445">
        <f t="shared" si="5"/>
        <v>0</v>
      </c>
    </row>
    <row r="45" spans="4:13" ht="14.25" x14ac:dyDescent="0.45">
      <c r="D45" s="1054" t="s">
        <v>306</v>
      </c>
      <c r="E45" s="446" t="s">
        <v>297</v>
      </c>
      <c r="F45" s="476" t="s">
        <v>307</v>
      </c>
      <c r="G45" s="434">
        <f t="shared" ref="G45:M45" si="6">G236*G$373*G$375</f>
        <v>10185.358722629686</v>
      </c>
      <c r="H45" s="435">
        <f t="shared" si="6"/>
        <v>12583.539518190366</v>
      </c>
      <c r="I45" s="436">
        <f t="shared" si="6"/>
        <v>14993.649307974007</v>
      </c>
      <c r="J45" s="437">
        <f t="shared" si="6"/>
        <v>15324.660818380915</v>
      </c>
      <c r="K45" s="437">
        <f t="shared" si="6"/>
        <v>15563.03365006258</v>
      </c>
      <c r="L45" s="437">
        <f t="shared" si="6"/>
        <v>15758.382724193823</v>
      </c>
      <c r="M45" s="438">
        <f t="shared" si="6"/>
        <v>15978.6423406987</v>
      </c>
    </row>
    <row r="46" spans="4:13" ht="14.25" x14ac:dyDescent="0.45">
      <c r="D46" s="1055"/>
      <c r="E46" s="433" t="s">
        <v>298</v>
      </c>
      <c r="F46" s="474" t="s">
        <v>307</v>
      </c>
      <c r="G46" s="434">
        <f t="shared" ref="G46:M46" si="7">G237*G$373*G$375</f>
        <v>9035.5090031301661</v>
      </c>
      <c r="H46" s="435">
        <f t="shared" si="7"/>
        <v>11092.519707285883</v>
      </c>
      <c r="I46" s="436">
        <f t="shared" si="7"/>
        <v>13135.24082720906</v>
      </c>
      <c r="J46" s="437">
        <f t="shared" si="7"/>
        <v>13343.699938840771</v>
      </c>
      <c r="K46" s="437">
        <f t="shared" si="7"/>
        <v>13469.842942350537</v>
      </c>
      <c r="L46" s="437">
        <f t="shared" si="7"/>
        <v>13557.097790093621</v>
      </c>
      <c r="M46" s="438">
        <f t="shared" si="7"/>
        <v>13664.190317942132</v>
      </c>
    </row>
    <row r="47" spans="4:13" ht="14.25" x14ac:dyDescent="0.45">
      <c r="D47" s="1055"/>
      <c r="E47" s="433" t="s">
        <v>308</v>
      </c>
      <c r="F47" s="474" t="s">
        <v>307</v>
      </c>
      <c r="G47" s="434">
        <f t="shared" ref="G47:M47" si="8">G238*G$373*G$375</f>
        <v>108.81282495971837</v>
      </c>
      <c r="H47" s="435">
        <f t="shared" si="8"/>
        <v>135.42664465915615</v>
      </c>
      <c r="I47" s="436">
        <f t="shared" si="8"/>
        <v>162.41380549857595</v>
      </c>
      <c r="J47" s="437">
        <f t="shared" si="8"/>
        <v>166.94150748631046</v>
      </c>
      <c r="K47" s="437">
        <f t="shared" si="8"/>
        <v>170.33609722651681</v>
      </c>
      <c r="L47" s="437">
        <f t="shared" si="8"/>
        <v>173.09491531724328</v>
      </c>
      <c r="M47" s="438">
        <f t="shared" si="8"/>
        <v>175.96232064901835</v>
      </c>
    </row>
    <row r="48" spans="4:13" ht="14.25" x14ac:dyDescent="0.45">
      <c r="D48" s="1055"/>
      <c r="E48" s="433" t="s">
        <v>309</v>
      </c>
      <c r="F48" s="474" t="s">
        <v>307</v>
      </c>
      <c r="G48" s="434">
        <f t="shared" ref="G48:M48" si="9">G239*G$373*G$375</f>
        <v>0</v>
      </c>
      <c r="H48" s="435">
        <f t="shared" si="9"/>
        <v>0</v>
      </c>
      <c r="I48" s="436">
        <f t="shared" si="9"/>
        <v>0</v>
      </c>
      <c r="J48" s="437">
        <f t="shared" si="9"/>
        <v>0</v>
      </c>
      <c r="K48" s="437">
        <f t="shared" si="9"/>
        <v>0</v>
      </c>
      <c r="L48" s="437">
        <f t="shared" si="9"/>
        <v>0</v>
      </c>
      <c r="M48" s="438">
        <f t="shared" si="9"/>
        <v>0</v>
      </c>
    </row>
    <row r="49" spans="4:13" ht="14.25" x14ac:dyDescent="0.45">
      <c r="D49" s="1055"/>
      <c r="E49" s="433" t="s">
        <v>310</v>
      </c>
      <c r="F49" s="474" t="s">
        <v>307</v>
      </c>
      <c r="G49" s="434">
        <f t="shared" ref="G49:M49" si="10">G240*G$373*G$375</f>
        <v>384803.0599318411</v>
      </c>
      <c r="H49" s="435">
        <f t="shared" si="10"/>
        <v>141465.33623325799</v>
      </c>
      <c r="I49" s="436">
        <f t="shared" si="10"/>
        <v>41403.757802000728</v>
      </c>
      <c r="J49" s="437">
        <f t="shared" si="10"/>
        <v>49520.247456755846</v>
      </c>
      <c r="K49" s="437">
        <f t="shared" si="10"/>
        <v>51698.066717392772</v>
      </c>
      <c r="L49" s="437">
        <f t="shared" si="10"/>
        <v>34479.025501780168</v>
      </c>
      <c r="M49" s="438">
        <f t="shared" si="10"/>
        <v>35162.508791845576</v>
      </c>
    </row>
    <row r="50" spans="4:13" ht="14.25" x14ac:dyDescent="0.45">
      <c r="D50" s="1055"/>
      <c r="E50" s="433" t="s">
        <v>300</v>
      </c>
      <c r="F50" s="474" t="s">
        <v>307</v>
      </c>
      <c r="G50" s="434">
        <f t="shared" ref="G50:M50" si="11">G241*G$373*G$375</f>
        <v>58.764502210246405</v>
      </c>
      <c r="H50" s="435">
        <f t="shared" si="11"/>
        <v>218060.52504510226</v>
      </c>
      <c r="I50" s="436">
        <f t="shared" si="11"/>
        <v>132653.52846888814</v>
      </c>
      <c r="J50" s="437">
        <f t="shared" si="11"/>
        <v>357478.47725983948</v>
      </c>
      <c r="K50" s="437">
        <f t="shared" si="11"/>
        <v>97.13483807134233</v>
      </c>
      <c r="L50" s="437">
        <f t="shared" si="11"/>
        <v>100.27908061418965</v>
      </c>
      <c r="M50" s="438">
        <f t="shared" si="11"/>
        <v>103.68230141632051</v>
      </c>
    </row>
    <row r="51" spans="4:13" ht="14.25" x14ac:dyDescent="0.45">
      <c r="D51" s="1055"/>
      <c r="E51" s="433" t="s">
        <v>301</v>
      </c>
      <c r="F51" s="474" t="s">
        <v>307</v>
      </c>
      <c r="G51" s="434">
        <f t="shared" ref="G51:M51" si="12">G242*G$373*G$375</f>
        <v>58.779973461835255</v>
      </c>
      <c r="H51" s="435">
        <f t="shared" si="12"/>
        <v>73.870127960746956</v>
      </c>
      <c r="I51" s="436">
        <f t="shared" si="12"/>
        <v>89.51550028361433</v>
      </c>
      <c r="J51" s="437">
        <f t="shared" si="12"/>
        <v>93.031002682593098</v>
      </c>
      <c r="K51" s="437">
        <f t="shared" si="12"/>
        <v>96.070371802797652</v>
      </c>
      <c r="L51" s="437">
        <f t="shared" si="12"/>
        <v>98.938593814379729</v>
      </c>
      <c r="M51" s="438">
        <f t="shared" si="12"/>
        <v>102.06030143179539</v>
      </c>
    </row>
    <row r="52" spans="4:13" ht="14.25" x14ac:dyDescent="0.45">
      <c r="D52" s="1055"/>
      <c r="E52" s="433" t="s">
        <v>302</v>
      </c>
      <c r="F52" s="474" t="s">
        <v>307</v>
      </c>
      <c r="G52" s="434">
        <f t="shared" ref="G52:M52" si="13">G243*G$373*G$375</f>
        <v>0</v>
      </c>
      <c r="H52" s="435">
        <f t="shared" si="13"/>
        <v>0</v>
      </c>
      <c r="I52" s="436">
        <f t="shared" si="13"/>
        <v>0</v>
      </c>
      <c r="J52" s="437">
        <f t="shared" si="13"/>
        <v>0</v>
      </c>
      <c r="K52" s="437">
        <f t="shared" si="13"/>
        <v>0</v>
      </c>
      <c r="L52" s="437">
        <f t="shared" si="13"/>
        <v>0</v>
      </c>
      <c r="M52" s="438">
        <f t="shared" si="13"/>
        <v>0</v>
      </c>
    </row>
    <row r="53" spans="4:13" ht="14.65" thickBot="1" x14ac:dyDescent="0.5">
      <c r="D53" s="1056"/>
      <c r="E53" s="440" t="s">
        <v>232</v>
      </c>
      <c r="F53" s="475" t="s">
        <v>307</v>
      </c>
      <c r="G53" s="441">
        <f t="shared" ref="G53:M53" si="14">G244*G$373*G$375</f>
        <v>0</v>
      </c>
      <c r="H53" s="442">
        <f t="shared" si="14"/>
        <v>0</v>
      </c>
      <c r="I53" s="443">
        <f t="shared" si="14"/>
        <v>0</v>
      </c>
      <c r="J53" s="444">
        <f t="shared" si="14"/>
        <v>0</v>
      </c>
      <c r="K53" s="444">
        <f t="shared" si="14"/>
        <v>0</v>
      </c>
      <c r="L53" s="444">
        <f t="shared" si="14"/>
        <v>0</v>
      </c>
      <c r="M53" s="445">
        <f t="shared" si="14"/>
        <v>0</v>
      </c>
    </row>
    <row r="54" spans="4:13" ht="14.25" x14ac:dyDescent="0.45">
      <c r="D54" s="1054" t="s">
        <v>311</v>
      </c>
      <c r="E54" s="446" t="s">
        <v>297</v>
      </c>
      <c r="F54" s="476" t="s">
        <v>307</v>
      </c>
      <c r="G54" s="434">
        <f t="shared" ref="G54:M54" si="15">G245*G$373*G$375</f>
        <v>1433851.6499493204</v>
      </c>
      <c r="H54" s="435">
        <f t="shared" si="15"/>
        <v>1513858.6632563202</v>
      </c>
      <c r="I54" s="436">
        <f t="shared" si="15"/>
        <v>1555783.6031432392</v>
      </c>
      <c r="J54" s="437">
        <f t="shared" si="15"/>
        <v>1579014.2109767303</v>
      </c>
      <c r="K54" s="437">
        <f t="shared" si="15"/>
        <v>1593035.4241275915</v>
      </c>
      <c r="L54" s="437">
        <f t="shared" si="15"/>
        <v>1603180.0213265656</v>
      </c>
      <c r="M54" s="438">
        <f t="shared" si="15"/>
        <v>1616384.8992718912</v>
      </c>
    </row>
    <row r="55" spans="4:13" ht="14.25" x14ac:dyDescent="0.45">
      <c r="D55" s="1055"/>
      <c r="E55" s="433" t="s">
        <v>298</v>
      </c>
      <c r="F55" s="474" t="s">
        <v>307</v>
      </c>
      <c r="G55" s="434">
        <f t="shared" ref="G55:M55" si="16">G246*G$373*G$375</f>
        <v>6923642.6698797764</v>
      </c>
      <c r="H55" s="435">
        <f t="shared" si="16"/>
        <v>5595664.4572389685</v>
      </c>
      <c r="I55" s="436">
        <f t="shared" si="16"/>
        <v>6812592.3438410778</v>
      </c>
      <c r="J55" s="437">
        <f t="shared" si="16"/>
        <v>9574919.4517423883</v>
      </c>
      <c r="K55" s="437">
        <f t="shared" si="16"/>
        <v>5806342.5470375428</v>
      </c>
      <c r="L55" s="437">
        <f t="shared" si="16"/>
        <v>5827931.1592768654</v>
      </c>
      <c r="M55" s="438">
        <f t="shared" si="16"/>
        <v>5863173.094625771</v>
      </c>
    </row>
    <row r="56" spans="4:13" ht="14.25" x14ac:dyDescent="0.45">
      <c r="D56" s="1055"/>
      <c r="E56" s="433" t="s">
        <v>312</v>
      </c>
      <c r="F56" s="474" t="s">
        <v>307</v>
      </c>
      <c r="G56" s="434">
        <f t="shared" ref="G56:M56" si="17">G247*G$373*G$375</f>
        <v>1259021.843103393</v>
      </c>
      <c r="H56" s="435">
        <f t="shared" si="17"/>
        <v>6642675.0575595964</v>
      </c>
      <c r="I56" s="436">
        <f t="shared" si="17"/>
        <v>49721.273147143293</v>
      </c>
      <c r="J56" s="437">
        <f t="shared" si="17"/>
        <v>51986.457425031629</v>
      </c>
      <c r="K56" s="437">
        <f t="shared" si="17"/>
        <v>53924.577560409212</v>
      </c>
      <c r="L56" s="437">
        <f t="shared" si="17"/>
        <v>55680.969365907833</v>
      </c>
      <c r="M56" s="438">
        <f t="shared" si="17"/>
        <v>57491.154932735859</v>
      </c>
    </row>
    <row r="57" spans="4:13" ht="14.25" x14ac:dyDescent="0.45">
      <c r="D57" s="1055"/>
      <c r="E57" s="433" t="s">
        <v>313</v>
      </c>
      <c r="F57" s="474" t="s">
        <v>307</v>
      </c>
      <c r="G57" s="434">
        <f t="shared" ref="G57:M57" si="18">G248*G$373*G$375</f>
        <v>0</v>
      </c>
      <c r="H57" s="435">
        <f t="shared" si="18"/>
        <v>0</v>
      </c>
      <c r="I57" s="436">
        <f t="shared" si="18"/>
        <v>0</v>
      </c>
      <c r="J57" s="437">
        <f t="shared" si="18"/>
        <v>0</v>
      </c>
      <c r="K57" s="437">
        <f t="shared" si="18"/>
        <v>0</v>
      </c>
      <c r="L57" s="437">
        <f t="shared" si="18"/>
        <v>0</v>
      </c>
      <c r="M57" s="438">
        <f t="shared" si="18"/>
        <v>0</v>
      </c>
    </row>
    <row r="58" spans="4:13" ht="14.25" x14ac:dyDescent="0.45">
      <c r="D58" s="1055"/>
      <c r="E58" s="433" t="s">
        <v>314</v>
      </c>
      <c r="F58" s="474" t="s">
        <v>307</v>
      </c>
      <c r="G58" s="434">
        <f t="shared" ref="G58:M58" si="19">G249*G$373*G$375</f>
        <v>278.17778716121779</v>
      </c>
      <c r="H58" s="435">
        <f t="shared" si="19"/>
        <v>361.81781175733596</v>
      </c>
      <c r="I58" s="436">
        <f t="shared" si="19"/>
        <v>452.4186724775243</v>
      </c>
      <c r="J58" s="437">
        <f t="shared" si="19"/>
        <v>483.89691680860108</v>
      </c>
      <c r="K58" s="437">
        <f t="shared" si="19"/>
        <v>513.09248618493507</v>
      </c>
      <c r="L58" s="437">
        <f t="shared" si="19"/>
        <v>541.45876964209947</v>
      </c>
      <c r="M58" s="438">
        <f t="shared" si="19"/>
        <v>571.29699620170436</v>
      </c>
    </row>
    <row r="59" spans="4:13" ht="14.25" x14ac:dyDescent="0.45">
      <c r="D59" s="1055"/>
      <c r="E59" s="433" t="s">
        <v>301</v>
      </c>
      <c r="F59" s="474" t="s">
        <v>307</v>
      </c>
      <c r="G59" s="434">
        <f t="shared" ref="G59:M59" si="20">G250*G$373*G$375</f>
        <v>0</v>
      </c>
      <c r="H59" s="435">
        <f t="shared" si="20"/>
        <v>0</v>
      </c>
      <c r="I59" s="436">
        <f t="shared" si="20"/>
        <v>0</v>
      </c>
      <c r="J59" s="437">
        <f t="shared" si="20"/>
        <v>0</v>
      </c>
      <c r="K59" s="437">
        <f t="shared" si="20"/>
        <v>0</v>
      </c>
      <c r="L59" s="437">
        <f t="shared" si="20"/>
        <v>0</v>
      </c>
      <c r="M59" s="438">
        <f t="shared" si="20"/>
        <v>0</v>
      </c>
    </row>
    <row r="60" spans="4:13" ht="14.25" x14ac:dyDescent="0.45">
      <c r="D60" s="1055"/>
      <c r="E60" s="433" t="s">
        <v>315</v>
      </c>
      <c r="F60" s="474" t="s">
        <v>307</v>
      </c>
      <c r="G60" s="434">
        <f t="shared" ref="G60:M60" si="21">G251*G$373*G$375</f>
        <v>0</v>
      </c>
      <c r="H60" s="435">
        <f t="shared" si="21"/>
        <v>0</v>
      </c>
      <c r="I60" s="436">
        <f t="shared" si="21"/>
        <v>0</v>
      </c>
      <c r="J60" s="437">
        <f t="shared" si="21"/>
        <v>0</v>
      </c>
      <c r="K60" s="437">
        <f t="shared" si="21"/>
        <v>0</v>
      </c>
      <c r="L60" s="437">
        <f t="shared" si="21"/>
        <v>0</v>
      </c>
      <c r="M60" s="438">
        <f t="shared" si="21"/>
        <v>0</v>
      </c>
    </row>
    <row r="61" spans="4:13" ht="14.65" thickBot="1" x14ac:dyDescent="0.5">
      <c r="D61" s="1056"/>
      <c r="E61" s="440" t="s">
        <v>232</v>
      </c>
      <c r="F61" s="475" t="s">
        <v>307</v>
      </c>
      <c r="G61" s="441">
        <f t="shared" ref="G61:M61" si="22">G252*G$373*G$375</f>
        <v>0</v>
      </c>
      <c r="H61" s="442">
        <f t="shared" si="22"/>
        <v>0</v>
      </c>
      <c r="I61" s="443">
        <f t="shared" si="22"/>
        <v>0</v>
      </c>
      <c r="J61" s="444">
        <f t="shared" si="22"/>
        <v>0</v>
      </c>
      <c r="K61" s="444">
        <f t="shared" si="22"/>
        <v>0</v>
      </c>
      <c r="L61" s="444">
        <f t="shared" si="22"/>
        <v>0</v>
      </c>
      <c r="M61" s="445">
        <f t="shared" si="22"/>
        <v>0</v>
      </c>
    </row>
    <row r="62" spans="4:13" ht="14.25" x14ac:dyDescent="0.45">
      <c r="D62" s="1054" t="s">
        <v>316</v>
      </c>
      <c r="E62" s="446" t="s">
        <v>317</v>
      </c>
      <c r="F62" s="477" t="s">
        <v>318</v>
      </c>
      <c r="G62" s="434">
        <f t="shared" ref="G62:M62" si="23">G253*G$373*G$375</f>
        <v>14961.793611007142</v>
      </c>
      <c r="H62" s="435">
        <f t="shared" si="23"/>
        <v>18989.169600545123</v>
      </c>
      <c r="I62" s="436">
        <f t="shared" si="23"/>
        <v>1855124.7774785778</v>
      </c>
      <c r="J62" s="437">
        <f t="shared" si="23"/>
        <v>1876361.310698106</v>
      </c>
      <c r="K62" s="437">
        <f t="shared" si="23"/>
        <v>1887197.4680055461</v>
      </c>
      <c r="L62" s="437">
        <f t="shared" si="23"/>
        <v>1894268.3579457118</v>
      </c>
      <c r="M62" s="438">
        <f t="shared" si="23"/>
        <v>1905783.3501972598</v>
      </c>
    </row>
    <row r="63" spans="4:13" ht="14.25" x14ac:dyDescent="0.45">
      <c r="D63" s="1055"/>
      <c r="E63" s="433" t="s">
        <v>319</v>
      </c>
      <c r="F63" s="478" t="s">
        <v>320</v>
      </c>
      <c r="G63" s="434">
        <f t="shared" ref="G63:M63" si="24">G254*G$373*G$375</f>
        <v>0</v>
      </c>
      <c r="H63" s="435">
        <f t="shared" si="24"/>
        <v>0</v>
      </c>
      <c r="I63" s="436">
        <f t="shared" si="24"/>
        <v>0</v>
      </c>
      <c r="J63" s="437">
        <f t="shared" si="24"/>
        <v>0</v>
      </c>
      <c r="K63" s="437">
        <f t="shared" si="24"/>
        <v>0</v>
      </c>
      <c r="L63" s="437">
        <f t="shared" si="24"/>
        <v>0</v>
      </c>
      <c r="M63" s="438">
        <f t="shared" si="24"/>
        <v>0</v>
      </c>
    </row>
    <row r="64" spans="4:13" ht="14.25" x14ac:dyDescent="0.45">
      <c r="D64" s="1055"/>
      <c r="E64" s="433" t="s">
        <v>321</v>
      </c>
      <c r="F64" s="478" t="s">
        <v>320</v>
      </c>
      <c r="G64" s="434">
        <f t="shared" ref="G64:M64" si="25">G255*G$373*G$375</f>
        <v>0</v>
      </c>
      <c r="H64" s="435">
        <f t="shared" si="25"/>
        <v>0</v>
      </c>
      <c r="I64" s="436">
        <f t="shared" si="25"/>
        <v>0</v>
      </c>
      <c r="J64" s="437">
        <f t="shared" si="25"/>
        <v>0</v>
      </c>
      <c r="K64" s="437">
        <f t="shared" si="25"/>
        <v>0</v>
      </c>
      <c r="L64" s="437">
        <f t="shared" si="25"/>
        <v>0</v>
      </c>
      <c r="M64" s="438">
        <f t="shared" si="25"/>
        <v>0</v>
      </c>
    </row>
    <row r="65" spans="4:13" ht="14.25" x14ac:dyDescent="0.45">
      <c r="D65" s="1055"/>
      <c r="E65" s="433" t="s">
        <v>322</v>
      </c>
      <c r="F65" s="478" t="s">
        <v>320</v>
      </c>
      <c r="G65" s="434">
        <f t="shared" ref="G65:M65" si="26">G256*G$373*G$375</f>
        <v>0</v>
      </c>
      <c r="H65" s="435">
        <f t="shared" si="26"/>
        <v>0</v>
      </c>
      <c r="I65" s="436">
        <f t="shared" si="26"/>
        <v>0</v>
      </c>
      <c r="J65" s="437">
        <f t="shared" si="26"/>
        <v>0</v>
      </c>
      <c r="K65" s="437">
        <f t="shared" si="26"/>
        <v>0</v>
      </c>
      <c r="L65" s="437">
        <f t="shared" si="26"/>
        <v>0</v>
      </c>
      <c r="M65" s="438">
        <f t="shared" si="26"/>
        <v>0</v>
      </c>
    </row>
    <row r="66" spans="4:13" ht="14.25" x14ac:dyDescent="0.45">
      <c r="D66" s="1055"/>
      <c r="E66" s="433" t="s">
        <v>323</v>
      </c>
      <c r="F66" s="478" t="s">
        <v>320</v>
      </c>
      <c r="G66" s="434">
        <f t="shared" ref="G66:M66" si="27">G257*G$373*G$375</f>
        <v>0</v>
      </c>
      <c r="H66" s="435">
        <f t="shared" si="27"/>
        <v>0</v>
      </c>
      <c r="I66" s="436">
        <f t="shared" si="27"/>
        <v>0</v>
      </c>
      <c r="J66" s="437">
        <f t="shared" si="27"/>
        <v>0</v>
      </c>
      <c r="K66" s="437">
        <f t="shared" si="27"/>
        <v>0</v>
      </c>
      <c r="L66" s="437">
        <f t="shared" si="27"/>
        <v>0</v>
      </c>
      <c r="M66" s="438">
        <f t="shared" si="27"/>
        <v>0</v>
      </c>
    </row>
    <row r="67" spans="4:13" ht="14.25" x14ac:dyDescent="0.45">
      <c r="D67" s="1055"/>
      <c r="E67" s="433" t="s">
        <v>324</v>
      </c>
      <c r="F67" s="478" t="s">
        <v>320</v>
      </c>
      <c r="G67" s="434">
        <f t="shared" ref="G67:M67" si="28">G258*G$373*G$375</f>
        <v>0</v>
      </c>
      <c r="H67" s="435">
        <f t="shared" si="28"/>
        <v>0</v>
      </c>
      <c r="I67" s="436">
        <f t="shared" si="28"/>
        <v>0</v>
      </c>
      <c r="J67" s="437">
        <f t="shared" si="28"/>
        <v>0</v>
      </c>
      <c r="K67" s="437">
        <f t="shared" si="28"/>
        <v>0</v>
      </c>
      <c r="L67" s="437">
        <f t="shared" si="28"/>
        <v>0</v>
      </c>
      <c r="M67" s="438">
        <f t="shared" si="28"/>
        <v>0</v>
      </c>
    </row>
    <row r="68" spans="4:13" ht="14.25" x14ac:dyDescent="0.45">
      <c r="D68" s="1055"/>
      <c r="E68" s="433" t="s">
        <v>325</v>
      </c>
      <c r="F68" s="478" t="s">
        <v>320</v>
      </c>
      <c r="G68" s="434">
        <f t="shared" ref="G68:M68" si="29">G259*G$373*G$375</f>
        <v>0</v>
      </c>
      <c r="H68" s="435">
        <f t="shared" si="29"/>
        <v>0</v>
      </c>
      <c r="I68" s="436">
        <f t="shared" si="29"/>
        <v>0</v>
      </c>
      <c r="J68" s="437">
        <f t="shared" si="29"/>
        <v>0</v>
      </c>
      <c r="K68" s="437">
        <f t="shared" si="29"/>
        <v>0</v>
      </c>
      <c r="L68" s="437">
        <f t="shared" si="29"/>
        <v>0</v>
      </c>
      <c r="M68" s="438">
        <f t="shared" si="29"/>
        <v>0</v>
      </c>
    </row>
    <row r="69" spans="4:13" ht="14.25" x14ac:dyDescent="0.45">
      <c r="D69" s="1055"/>
      <c r="E69" s="433" t="s">
        <v>326</v>
      </c>
      <c r="F69" s="478" t="s">
        <v>320</v>
      </c>
      <c r="G69" s="434">
        <f t="shared" ref="G69:M69" si="30">G260*G$373*G$375</f>
        <v>0</v>
      </c>
      <c r="H69" s="435">
        <f t="shared" si="30"/>
        <v>0</v>
      </c>
      <c r="I69" s="436">
        <f t="shared" si="30"/>
        <v>0</v>
      </c>
      <c r="J69" s="437">
        <f t="shared" si="30"/>
        <v>0</v>
      </c>
      <c r="K69" s="437">
        <f t="shared" si="30"/>
        <v>0</v>
      </c>
      <c r="L69" s="437">
        <f t="shared" si="30"/>
        <v>0</v>
      </c>
      <c r="M69" s="438">
        <f t="shared" si="30"/>
        <v>0</v>
      </c>
    </row>
    <row r="70" spans="4:13" ht="14.25" x14ac:dyDescent="0.45">
      <c r="D70" s="1055"/>
      <c r="E70" s="433" t="s">
        <v>327</v>
      </c>
      <c r="F70" s="478" t="s">
        <v>320</v>
      </c>
      <c r="G70" s="434">
        <f t="shared" ref="G70:M70" si="31">G261*G$373*G$375</f>
        <v>0</v>
      </c>
      <c r="H70" s="435">
        <f t="shared" si="31"/>
        <v>0</v>
      </c>
      <c r="I70" s="436">
        <f t="shared" si="31"/>
        <v>0</v>
      </c>
      <c r="J70" s="437">
        <f t="shared" si="31"/>
        <v>0</v>
      </c>
      <c r="K70" s="437">
        <f t="shared" si="31"/>
        <v>0</v>
      </c>
      <c r="L70" s="437">
        <f t="shared" si="31"/>
        <v>0</v>
      </c>
      <c r="M70" s="438">
        <f t="shared" si="31"/>
        <v>0</v>
      </c>
    </row>
    <row r="71" spans="4:13" ht="14.25" x14ac:dyDescent="0.45">
      <c r="D71" s="1055"/>
      <c r="E71" s="433" t="s">
        <v>328</v>
      </c>
      <c r="F71" s="478" t="s">
        <v>320</v>
      </c>
      <c r="G71" s="434">
        <f t="shared" ref="G71:M71" si="32">G262*G$373*G$375</f>
        <v>0</v>
      </c>
      <c r="H71" s="435">
        <f t="shared" si="32"/>
        <v>0</v>
      </c>
      <c r="I71" s="436">
        <f t="shared" si="32"/>
        <v>0</v>
      </c>
      <c r="J71" s="437">
        <f t="shared" si="32"/>
        <v>0</v>
      </c>
      <c r="K71" s="437">
        <f t="shared" si="32"/>
        <v>0</v>
      </c>
      <c r="L71" s="437">
        <f t="shared" si="32"/>
        <v>0</v>
      </c>
      <c r="M71" s="438">
        <f t="shared" si="32"/>
        <v>0</v>
      </c>
    </row>
    <row r="72" spans="4:13" ht="14.25" x14ac:dyDescent="0.45">
      <c r="D72" s="1055"/>
      <c r="E72" s="433" t="s">
        <v>329</v>
      </c>
      <c r="F72" s="478" t="s">
        <v>320</v>
      </c>
      <c r="G72" s="434">
        <f t="shared" ref="G72:M72" si="33">G263*G$373*G$375</f>
        <v>0</v>
      </c>
      <c r="H72" s="435">
        <f t="shared" si="33"/>
        <v>0</v>
      </c>
      <c r="I72" s="436">
        <f t="shared" si="33"/>
        <v>0</v>
      </c>
      <c r="J72" s="437">
        <f t="shared" si="33"/>
        <v>0</v>
      </c>
      <c r="K72" s="437">
        <f t="shared" si="33"/>
        <v>0</v>
      </c>
      <c r="L72" s="437">
        <f t="shared" si="33"/>
        <v>0</v>
      </c>
      <c r="M72" s="438">
        <f t="shared" si="33"/>
        <v>0</v>
      </c>
    </row>
    <row r="73" spans="4:13" ht="14.25" x14ac:dyDescent="0.45">
      <c r="D73" s="1055"/>
      <c r="E73" s="433" t="s">
        <v>330</v>
      </c>
      <c r="F73" s="478" t="s">
        <v>320</v>
      </c>
      <c r="G73" s="434">
        <f t="shared" ref="G73:M73" si="34">G264*G$373*G$375</f>
        <v>0</v>
      </c>
      <c r="H73" s="435">
        <f t="shared" si="34"/>
        <v>0</v>
      </c>
      <c r="I73" s="436">
        <f t="shared" si="34"/>
        <v>0</v>
      </c>
      <c r="J73" s="437">
        <f t="shared" si="34"/>
        <v>0</v>
      </c>
      <c r="K73" s="437">
        <f t="shared" si="34"/>
        <v>0</v>
      </c>
      <c r="L73" s="437">
        <f t="shared" si="34"/>
        <v>0</v>
      </c>
      <c r="M73" s="438">
        <f t="shared" si="34"/>
        <v>0</v>
      </c>
    </row>
    <row r="74" spans="4:13" ht="14.25" x14ac:dyDescent="0.45">
      <c r="D74" s="1055"/>
      <c r="E74" s="433" t="s">
        <v>331</v>
      </c>
      <c r="F74" s="478" t="s">
        <v>320</v>
      </c>
      <c r="G74" s="434">
        <f t="shared" ref="G74:M74" si="35">G265*G$373*G$375</f>
        <v>0</v>
      </c>
      <c r="H74" s="435">
        <f t="shared" si="35"/>
        <v>0</v>
      </c>
      <c r="I74" s="436">
        <f t="shared" si="35"/>
        <v>0</v>
      </c>
      <c r="J74" s="437">
        <f t="shared" si="35"/>
        <v>0</v>
      </c>
      <c r="K74" s="437">
        <f t="shared" si="35"/>
        <v>0</v>
      </c>
      <c r="L74" s="437">
        <f t="shared" si="35"/>
        <v>0</v>
      </c>
      <c r="M74" s="438">
        <f t="shared" si="35"/>
        <v>0</v>
      </c>
    </row>
    <row r="75" spans="4:13" ht="14.25" x14ac:dyDescent="0.45">
      <c r="D75" s="1055"/>
      <c r="E75" s="433" t="s">
        <v>332</v>
      </c>
      <c r="F75" s="478" t="s">
        <v>320</v>
      </c>
      <c r="G75" s="434">
        <f t="shared" ref="G75:M75" si="36">G266*G$373*G$375</f>
        <v>0</v>
      </c>
      <c r="H75" s="435">
        <f t="shared" si="36"/>
        <v>0</v>
      </c>
      <c r="I75" s="436">
        <f t="shared" si="36"/>
        <v>0</v>
      </c>
      <c r="J75" s="437">
        <f t="shared" si="36"/>
        <v>0</v>
      </c>
      <c r="K75" s="437">
        <f t="shared" si="36"/>
        <v>0</v>
      </c>
      <c r="L75" s="437">
        <f t="shared" si="36"/>
        <v>0</v>
      </c>
      <c r="M75" s="438">
        <f t="shared" si="36"/>
        <v>0</v>
      </c>
    </row>
    <row r="76" spans="4:13" ht="14.25" x14ac:dyDescent="0.45">
      <c r="D76" s="1055"/>
      <c r="E76" s="433" t="s">
        <v>333</v>
      </c>
      <c r="F76" s="478" t="s">
        <v>320</v>
      </c>
      <c r="G76" s="434">
        <f t="shared" ref="G76:M76" si="37">G267*G$373*G$375</f>
        <v>0</v>
      </c>
      <c r="H76" s="435">
        <f t="shared" si="37"/>
        <v>0</v>
      </c>
      <c r="I76" s="436">
        <f t="shared" si="37"/>
        <v>0</v>
      </c>
      <c r="J76" s="437">
        <f t="shared" si="37"/>
        <v>0</v>
      </c>
      <c r="K76" s="437">
        <f t="shared" si="37"/>
        <v>0</v>
      </c>
      <c r="L76" s="437">
        <f t="shared" si="37"/>
        <v>0</v>
      </c>
      <c r="M76" s="438">
        <f t="shared" si="37"/>
        <v>0</v>
      </c>
    </row>
    <row r="77" spans="4:13" ht="14.65" thickBot="1" x14ac:dyDescent="0.5">
      <c r="D77" s="1056"/>
      <c r="E77" s="440" t="s">
        <v>232</v>
      </c>
      <c r="F77" s="479" t="s">
        <v>320</v>
      </c>
      <c r="G77" s="441">
        <f t="shared" ref="G77:M77" si="38">G268*G$373*G$375</f>
        <v>0</v>
      </c>
      <c r="H77" s="442">
        <f t="shared" si="38"/>
        <v>0</v>
      </c>
      <c r="I77" s="443">
        <f t="shared" si="38"/>
        <v>0</v>
      </c>
      <c r="J77" s="444">
        <f t="shared" si="38"/>
        <v>0</v>
      </c>
      <c r="K77" s="444">
        <f t="shared" si="38"/>
        <v>0</v>
      </c>
      <c r="L77" s="444">
        <f t="shared" si="38"/>
        <v>0</v>
      </c>
      <c r="M77" s="445">
        <f t="shared" si="38"/>
        <v>0</v>
      </c>
    </row>
    <row r="78" spans="4:13" ht="14.25" x14ac:dyDescent="0.45">
      <c r="D78" s="1054" t="s">
        <v>334</v>
      </c>
      <c r="E78" s="1027" t="s">
        <v>335</v>
      </c>
      <c r="F78" s="476"/>
      <c r="G78" s="434">
        <f t="shared" ref="G78:M78" si="39">G269*G$373*G$375</f>
        <v>15723.29205516774</v>
      </c>
      <c r="H78" s="435">
        <f t="shared" si="39"/>
        <v>19600.466849020799</v>
      </c>
      <c r="I78" s="436">
        <f t="shared" si="39"/>
        <v>23539.3277533935</v>
      </c>
      <c r="J78" s="437">
        <f t="shared" si="39"/>
        <v>24224.972885233481</v>
      </c>
      <c r="K78" s="437">
        <f t="shared" si="39"/>
        <v>24753.231048216236</v>
      </c>
      <c r="L78" s="437">
        <f t="shared" si="39"/>
        <v>25193.554062378309</v>
      </c>
      <c r="M78" s="438">
        <f t="shared" si="39"/>
        <v>25641.889311074945</v>
      </c>
    </row>
    <row r="79" spans="4:13" ht="14.25" x14ac:dyDescent="0.45">
      <c r="D79" s="1055"/>
      <c r="E79" s="1028" t="s">
        <v>336</v>
      </c>
      <c r="F79" s="474"/>
      <c r="G79" s="434">
        <f t="shared" ref="G79:M79" si="40">G270*G$373*G$375</f>
        <v>515.90978497287927</v>
      </c>
      <c r="H79" s="435">
        <f t="shared" si="40"/>
        <v>672.06288100080712</v>
      </c>
      <c r="I79" s="436">
        <f t="shared" si="40"/>
        <v>840.05018227721621</v>
      </c>
      <c r="J79" s="437">
        <f t="shared" si="40"/>
        <v>896.69050905320114</v>
      </c>
      <c r="K79" s="437">
        <f t="shared" si="40"/>
        <v>947.4950914387349</v>
      </c>
      <c r="L79" s="437">
        <f t="shared" si="40"/>
        <v>994.63739582593882</v>
      </c>
      <c r="M79" s="438">
        <f t="shared" si="40"/>
        <v>1041.7774279040354</v>
      </c>
    </row>
    <row r="80" spans="4:13" ht="14.25" x14ac:dyDescent="0.45">
      <c r="D80" s="1055"/>
      <c r="E80" s="1028" t="s">
        <v>337</v>
      </c>
      <c r="F80" s="474"/>
      <c r="G80" s="434">
        <f t="shared" ref="G80:M80" si="41">G271*G$373*G$375</f>
        <v>0</v>
      </c>
      <c r="H80" s="435">
        <f t="shared" si="41"/>
        <v>0</v>
      </c>
      <c r="I80" s="436">
        <f t="shared" si="41"/>
        <v>0</v>
      </c>
      <c r="J80" s="437">
        <f t="shared" si="41"/>
        <v>0</v>
      </c>
      <c r="K80" s="437">
        <f t="shared" si="41"/>
        <v>0</v>
      </c>
      <c r="L80" s="437">
        <f t="shared" si="41"/>
        <v>0</v>
      </c>
      <c r="M80" s="438">
        <f t="shared" si="41"/>
        <v>0</v>
      </c>
    </row>
    <row r="81" spans="4:13" ht="14.25" x14ac:dyDescent="0.45">
      <c r="D81" s="1055"/>
      <c r="E81" s="1028" t="s">
        <v>338</v>
      </c>
      <c r="F81" s="474"/>
      <c r="G81" s="434">
        <f t="shared" ref="G81:M81" si="42">G272*G$373*G$375</f>
        <v>78910.555536411717</v>
      </c>
      <c r="H81" s="435">
        <f t="shared" si="42"/>
        <v>99249.641526812164</v>
      </c>
      <c r="I81" s="436">
        <f t="shared" si="42"/>
        <v>120260.14269010544</v>
      </c>
      <c r="J81" s="437">
        <f t="shared" si="42"/>
        <v>124867.95554689945</v>
      </c>
      <c r="K81" s="437">
        <f t="shared" si="42"/>
        <v>128728.36230912854</v>
      </c>
      <c r="L81" s="437">
        <f t="shared" si="42"/>
        <v>132208.73610173538</v>
      </c>
      <c r="M81" s="438">
        <f t="shared" si="42"/>
        <v>135831.8496883511</v>
      </c>
    </row>
    <row r="82" spans="4:13" ht="14.25" x14ac:dyDescent="0.45">
      <c r="D82" s="1055"/>
      <c r="E82" s="1028" t="s">
        <v>339</v>
      </c>
      <c r="F82" s="474"/>
      <c r="G82" s="434">
        <f t="shared" ref="G82:M82" si="43">G273*G$373*G$375</f>
        <v>385622.17150755529</v>
      </c>
      <c r="H82" s="435">
        <f t="shared" si="43"/>
        <v>487626.00100886315</v>
      </c>
      <c r="I82" s="436">
        <f t="shared" si="43"/>
        <v>595901.96093421825</v>
      </c>
      <c r="J82" s="437">
        <f t="shared" si="43"/>
        <v>626022.4304590784</v>
      </c>
      <c r="K82" s="437">
        <f t="shared" si="43"/>
        <v>655069.30255499866</v>
      </c>
      <c r="L82" s="437">
        <f t="shared" si="43"/>
        <v>685234.35424460343</v>
      </c>
      <c r="M82" s="438">
        <f t="shared" si="43"/>
        <v>719619.55604294408</v>
      </c>
    </row>
    <row r="83" spans="4:13" ht="14.25" x14ac:dyDescent="0.45">
      <c r="D83" s="1055"/>
      <c r="E83" s="1028" t="s">
        <v>340</v>
      </c>
      <c r="F83" s="474"/>
      <c r="G83" s="434">
        <f t="shared" ref="G83:M83" si="44">G274*G$373*G$375</f>
        <v>1654.1403189354669</v>
      </c>
      <c r="H83" s="435">
        <f t="shared" si="44"/>
        <v>2008.2917483638466</v>
      </c>
      <c r="I83" s="436">
        <f t="shared" si="44"/>
        <v>2352.438116948455</v>
      </c>
      <c r="J83" s="437">
        <f t="shared" si="44"/>
        <v>2364.5599963568748</v>
      </c>
      <c r="K83" s="437">
        <f t="shared" si="44"/>
        <v>2362.931806246751</v>
      </c>
      <c r="L83" s="437">
        <f t="shared" si="44"/>
        <v>2355.0882664142969</v>
      </c>
      <c r="M83" s="438">
        <f t="shared" si="44"/>
        <v>2350.2797997573184</v>
      </c>
    </row>
    <row r="84" spans="4:13" ht="14.25" x14ac:dyDescent="0.45">
      <c r="D84" s="1055"/>
      <c r="E84" s="1028" t="s">
        <v>341</v>
      </c>
      <c r="F84" s="474"/>
      <c r="G84" s="434">
        <f t="shared" ref="G84:M84" si="45">G275*G$373*G$375</f>
        <v>800971.01864597842</v>
      </c>
      <c r="H84" s="435">
        <f t="shared" si="45"/>
        <v>736369.94317641389</v>
      </c>
      <c r="I84" s="436">
        <f t="shared" si="45"/>
        <v>737105.2131022315</v>
      </c>
      <c r="J84" s="437">
        <f t="shared" si="45"/>
        <v>745934.64839634823</v>
      </c>
      <c r="K84" s="437">
        <f t="shared" si="45"/>
        <v>750625.44821004244</v>
      </c>
      <c r="L84" s="437">
        <f t="shared" si="45"/>
        <v>753808.30049413664</v>
      </c>
      <c r="M84" s="438">
        <f t="shared" si="45"/>
        <v>758745.85984465061</v>
      </c>
    </row>
    <row r="85" spans="4:13" ht="14.25" x14ac:dyDescent="0.45">
      <c r="D85" s="1055"/>
      <c r="E85" s="1028" t="s">
        <v>342</v>
      </c>
      <c r="F85" s="474"/>
      <c r="G85" s="434">
        <f t="shared" ref="G85:M85" si="46">G276*G$373*G$375</f>
        <v>10373.18820752745</v>
      </c>
      <c r="H85" s="435">
        <f t="shared" si="46"/>
        <v>14252.779281469759</v>
      </c>
      <c r="I85" s="436">
        <f t="shared" si="46"/>
        <v>18635.65811134722</v>
      </c>
      <c r="J85" s="437">
        <f t="shared" si="46"/>
        <v>20677.525468782504</v>
      </c>
      <c r="K85" s="437">
        <f t="shared" si="46"/>
        <v>22600.777524594894</v>
      </c>
      <c r="L85" s="437">
        <f t="shared" si="46"/>
        <v>24448.148975554825</v>
      </c>
      <c r="M85" s="438">
        <f t="shared" si="46"/>
        <v>26308.78897502254</v>
      </c>
    </row>
    <row r="86" spans="4:13" ht="14.25" x14ac:dyDescent="0.45">
      <c r="D86" s="1055"/>
      <c r="E86" s="1028" t="s">
        <v>343</v>
      </c>
      <c r="F86" s="474"/>
      <c r="G86" s="434">
        <f t="shared" ref="G86:M86" si="47">G277*G$373*G$375</f>
        <v>0</v>
      </c>
      <c r="H86" s="435">
        <f t="shared" si="47"/>
        <v>0</v>
      </c>
      <c r="I86" s="436">
        <f t="shared" si="47"/>
        <v>0</v>
      </c>
      <c r="J86" s="437">
        <f t="shared" si="47"/>
        <v>0</v>
      </c>
      <c r="K86" s="437">
        <f t="shared" si="47"/>
        <v>0</v>
      </c>
      <c r="L86" s="437">
        <f t="shared" si="47"/>
        <v>0</v>
      </c>
      <c r="M86" s="438">
        <f t="shared" si="47"/>
        <v>0</v>
      </c>
    </row>
    <row r="87" spans="4:13" ht="14.25" x14ac:dyDescent="0.45">
      <c r="D87" s="1055"/>
      <c r="E87" s="1028" t="s">
        <v>344</v>
      </c>
      <c r="F87" s="474"/>
      <c r="G87" s="434">
        <f t="shared" ref="G87:M87" si="48">G278*G$373*G$375</f>
        <v>0</v>
      </c>
      <c r="H87" s="435">
        <f t="shared" si="48"/>
        <v>0</v>
      </c>
      <c r="I87" s="436">
        <f t="shared" si="48"/>
        <v>0</v>
      </c>
      <c r="J87" s="437">
        <f t="shared" si="48"/>
        <v>0</v>
      </c>
      <c r="K87" s="437">
        <f t="shared" si="48"/>
        <v>0</v>
      </c>
      <c r="L87" s="437">
        <f t="shared" si="48"/>
        <v>0</v>
      </c>
      <c r="M87" s="438">
        <f t="shared" si="48"/>
        <v>0</v>
      </c>
    </row>
    <row r="88" spans="4:13" ht="14.25" x14ac:dyDescent="0.45">
      <c r="D88" s="1055"/>
      <c r="E88" s="1028" t="s">
        <v>345</v>
      </c>
      <c r="F88" s="474"/>
      <c r="G88" s="434">
        <f t="shared" ref="G88:M88" si="49">G279*G$373*G$375</f>
        <v>1305922.0216614355</v>
      </c>
      <c r="H88" s="435">
        <f t="shared" si="49"/>
        <v>891707.78352936637</v>
      </c>
      <c r="I88" s="436">
        <f t="shared" si="49"/>
        <v>1161439.5149578296</v>
      </c>
      <c r="J88" s="437">
        <f t="shared" si="49"/>
        <v>1216286.4632907347</v>
      </c>
      <c r="K88" s="437">
        <f t="shared" si="49"/>
        <v>1266578.4879774984</v>
      </c>
      <c r="L88" s="437">
        <f t="shared" si="49"/>
        <v>1316131.6246611318</v>
      </c>
      <c r="M88" s="438">
        <f t="shared" si="49"/>
        <v>1370477.342686618</v>
      </c>
    </row>
    <row r="89" spans="4:13" ht="14.25" x14ac:dyDescent="0.45">
      <c r="D89" s="1055"/>
      <c r="E89" s="1028" t="s">
        <v>346</v>
      </c>
      <c r="F89" s="474"/>
      <c r="G89" s="434">
        <f t="shared" ref="G89:M89" si="50">G280*G$373*G$375</f>
        <v>180600.16955388241</v>
      </c>
      <c r="H89" s="435">
        <f t="shared" si="50"/>
        <v>238656.62585165759</v>
      </c>
      <c r="I89" s="436">
        <f t="shared" si="50"/>
        <v>303867.83095237234</v>
      </c>
      <c r="J89" s="437">
        <f t="shared" si="50"/>
        <v>331572.78425519203</v>
      </c>
      <c r="K89" s="437">
        <f t="shared" si="50"/>
        <v>359254.09119908599</v>
      </c>
      <c r="L89" s="437">
        <f t="shared" si="50"/>
        <v>387922.59073284984</v>
      </c>
      <c r="M89" s="438">
        <f t="shared" si="50"/>
        <v>419289.83171087794</v>
      </c>
    </row>
    <row r="90" spans="4:13" ht="14.25" x14ac:dyDescent="0.45">
      <c r="D90" s="1055"/>
      <c r="E90" s="1028" t="s">
        <v>347</v>
      </c>
      <c r="F90" s="474"/>
      <c r="G90" s="434">
        <f t="shared" ref="G90:M90" si="51">G281*G$373*G$375</f>
        <v>0</v>
      </c>
      <c r="H90" s="435">
        <f t="shared" si="51"/>
        <v>0</v>
      </c>
      <c r="I90" s="436">
        <f t="shared" si="51"/>
        <v>0</v>
      </c>
      <c r="J90" s="437">
        <f t="shared" si="51"/>
        <v>0</v>
      </c>
      <c r="K90" s="437">
        <f t="shared" si="51"/>
        <v>0</v>
      </c>
      <c r="L90" s="437">
        <f t="shared" si="51"/>
        <v>0</v>
      </c>
      <c r="M90" s="438">
        <f t="shared" si="51"/>
        <v>0</v>
      </c>
    </row>
    <row r="91" spans="4:13" ht="14.25" x14ac:dyDescent="0.45">
      <c r="D91" s="1055"/>
      <c r="E91" s="1028" t="s">
        <v>348</v>
      </c>
      <c r="F91" s="474"/>
      <c r="G91" s="434">
        <f t="shared" ref="G91:M91" si="52">G282*G$373*G$375</f>
        <v>227662.14928564109</v>
      </c>
      <c r="H91" s="435">
        <f t="shared" si="52"/>
        <v>273418.9796858771</v>
      </c>
      <c r="I91" s="436">
        <f t="shared" si="52"/>
        <v>317078.88729966857</v>
      </c>
      <c r="J91" s="437">
        <f t="shared" si="52"/>
        <v>315808.2366039881</v>
      </c>
      <c r="K91" s="437">
        <f t="shared" si="52"/>
        <v>312993.1587531651</v>
      </c>
      <c r="L91" s="437">
        <f t="shared" si="52"/>
        <v>309566.36606304045</v>
      </c>
      <c r="M91" s="438">
        <f t="shared" si="52"/>
        <v>306644.39687119186</v>
      </c>
    </row>
    <row r="92" spans="4:13" ht="14.25" x14ac:dyDescent="0.45">
      <c r="D92" s="1055"/>
      <c r="E92" s="1028" t="s">
        <v>349</v>
      </c>
      <c r="F92" s="474"/>
      <c r="G92" s="434">
        <f t="shared" ref="G92:M92" si="53">G283*G$373*G$375</f>
        <v>0</v>
      </c>
      <c r="H92" s="435">
        <f t="shared" si="53"/>
        <v>0</v>
      </c>
      <c r="I92" s="436">
        <f t="shared" si="53"/>
        <v>0</v>
      </c>
      <c r="J92" s="437">
        <f t="shared" si="53"/>
        <v>0</v>
      </c>
      <c r="K92" s="437">
        <f t="shared" si="53"/>
        <v>0</v>
      </c>
      <c r="L92" s="437">
        <f t="shared" si="53"/>
        <v>0</v>
      </c>
      <c r="M92" s="438">
        <f t="shared" si="53"/>
        <v>0</v>
      </c>
    </row>
    <row r="93" spans="4:13" ht="14.25" x14ac:dyDescent="0.45">
      <c r="D93" s="1055"/>
      <c r="E93" s="1028" t="s">
        <v>350</v>
      </c>
      <c r="F93" s="474"/>
      <c r="G93" s="434">
        <f t="shared" ref="G93:M93" si="54">G284*G$373*G$375</f>
        <v>0</v>
      </c>
      <c r="H93" s="435">
        <f t="shared" si="54"/>
        <v>0</v>
      </c>
      <c r="I93" s="436">
        <f t="shared" si="54"/>
        <v>0</v>
      </c>
      <c r="J93" s="437">
        <f t="shared" si="54"/>
        <v>0</v>
      </c>
      <c r="K93" s="437">
        <f t="shared" si="54"/>
        <v>0</v>
      </c>
      <c r="L93" s="437">
        <f t="shared" si="54"/>
        <v>0</v>
      </c>
      <c r="M93" s="438">
        <f t="shared" si="54"/>
        <v>0</v>
      </c>
    </row>
    <row r="94" spans="4:13" ht="14.25" x14ac:dyDescent="0.45">
      <c r="D94" s="1055"/>
      <c r="E94" s="1028" t="s">
        <v>351</v>
      </c>
      <c r="F94" s="474"/>
      <c r="G94" s="434">
        <f t="shared" ref="G94:M94" si="55">G285*G$373*G$375</f>
        <v>0</v>
      </c>
      <c r="H94" s="435">
        <f t="shared" si="55"/>
        <v>0</v>
      </c>
      <c r="I94" s="436">
        <f t="shared" si="55"/>
        <v>0</v>
      </c>
      <c r="J94" s="437">
        <f t="shared" si="55"/>
        <v>0</v>
      </c>
      <c r="K94" s="437">
        <f t="shared" si="55"/>
        <v>0</v>
      </c>
      <c r="L94" s="437">
        <f t="shared" si="55"/>
        <v>0</v>
      </c>
      <c r="M94" s="438">
        <f t="shared" si="55"/>
        <v>0</v>
      </c>
    </row>
    <row r="95" spans="4:13" ht="14.25" x14ac:dyDescent="0.45">
      <c r="D95" s="1055"/>
      <c r="E95" s="1028" t="s">
        <v>352</v>
      </c>
      <c r="F95" s="474"/>
      <c r="G95" s="434">
        <f t="shared" ref="G95:M95" si="56">G286*G$373*G$375</f>
        <v>296830.15496846114</v>
      </c>
      <c r="H95" s="435">
        <f t="shared" si="56"/>
        <v>377745.13027467439</v>
      </c>
      <c r="I95" s="436">
        <f t="shared" si="56"/>
        <v>462479.60659835441</v>
      </c>
      <c r="J95" s="437">
        <f t="shared" si="56"/>
        <v>484500.82708843873</v>
      </c>
      <c r="K95" s="437">
        <f t="shared" si="56"/>
        <v>503201.45033364859</v>
      </c>
      <c r="L95" s="437">
        <f t="shared" si="56"/>
        <v>520035.1430540905</v>
      </c>
      <c r="M95" s="438">
        <f t="shared" si="56"/>
        <v>537149.2190963272</v>
      </c>
    </row>
    <row r="96" spans="4:13" ht="14.25" x14ac:dyDescent="0.45">
      <c r="D96" s="1055"/>
      <c r="E96" s="1028" t="s">
        <v>353</v>
      </c>
      <c r="F96" s="474"/>
      <c r="G96" s="434">
        <f t="shared" ref="G96:M96" si="57">G287*G$373*G$375</f>
        <v>42328.264637465509</v>
      </c>
      <c r="H96" s="435">
        <f t="shared" si="57"/>
        <v>53307.114504498655</v>
      </c>
      <c r="I96" s="436">
        <f t="shared" si="57"/>
        <v>64696.032114191476</v>
      </c>
      <c r="J96" s="437">
        <f t="shared" si="57"/>
        <v>67303.161393181232</v>
      </c>
      <c r="K96" s="437">
        <f t="shared" si="57"/>
        <v>69535.578672812961</v>
      </c>
      <c r="L96" s="437">
        <f t="shared" si="57"/>
        <v>71602.090165965506</v>
      </c>
      <c r="M96" s="438">
        <f t="shared" si="57"/>
        <v>73798.106998366158</v>
      </c>
    </row>
    <row r="97" spans="4:13" ht="14.25" x14ac:dyDescent="0.45">
      <c r="D97" s="1055"/>
      <c r="E97" s="1028" t="s">
        <v>354</v>
      </c>
      <c r="F97" s="474"/>
      <c r="G97" s="434">
        <f t="shared" ref="G97:M97" si="58">G288*G$373*G$375</f>
        <v>0</v>
      </c>
      <c r="H97" s="435">
        <f t="shared" si="58"/>
        <v>0</v>
      </c>
      <c r="I97" s="436">
        <f t="shared" si="58"/>
        <v>0</v>
      </c>
      <c r="J97" s="437">
        <f t="shared" si="58"/>
        <v>0</v>
      </c>
      <c r="K97" s="437">
        <f t="shared" si="58"/>
        <v>0</v>
      </c>
      <c r="L97" s="437">
        <f t="shared" si="58"/>
        <v>0</v>
      </c>
      <c r="M97" s="438">
        <f t="shared" si="58"/>
        <v>0</v>
      </c>
    </row>
    <row r="98" spans="4:13" ht="14.25" x14ac:dyDescent="0.45">
      <c r="D98" s="1055"/>
      <c r="E98" s="1028" t="s">
        <v>355</v>
      </c>
      <c r="F98" s="474"/>
      <c r="G98" s="434">
        <f t="shared" ref="G98:M98" si="59">G289*G$373*G$375</f>
        <v>0</v>
      </c>
      <c r="H98" s="435">
        <f t="shared" si="59"/>
        <v>0</v>
      </c>
      <c r="I98" s="436">
        <f t="shared" si="59"/>
        <v>0</v>
      </c>
      <c r="J98" s="437">
        <f t="shared" si="59"/>
        <v>0</v>
      </c>
      <c r="K98" s="437">
        <f t="shared" si="59"/>
        <v>0</v>
      </c>
      <c r="L98" s="437">
        <f t="shared" si="59"/>
        <v>0</v>
      </c>
      <c r="M98" s="438">
        <f t="shared" si="59"/>
        <v>0</v>
      </c>
    </row>
    <row r="99" spans="4:13" ht="14.25" x14ac:dyDescent="0.45">
      <c r="D99" s="1055"/>
      <c r="E99" s="1028" t="s">
        <v>356</v>
      </c>
      <c r="F99" s="474"/>
      <c r="G99" s="434">
        <f t="shared" ref="G99:M99" si="60">G290*G$373*G$375</f>
        <v>679915.10478173418</v>
      </c>
      <c r="H99" s="435">
        <f t="shared" si="60"/>
        <v>905072.73055870563</v>
      </c>
      <c r="I99" s="436">
        <f t="shared" si="60"/>
        <v>0</v>
      </c>
      <c r="J99" s="437">
        <f t="shared" si="60"/>
        <v>0</v>
      </c>
      <c r="K99" s="437">
        <f t="shared" si="60"/>
        <v>0</v>
      </c>
      <c r="L99" s="437">
        <f t="shared" si="60"/>
        <v>0</v>
      </c>
      <c r="M99" s="438">
        <f t="shared" si="60"/>
        <v>0</v>
      </c>
    </row>
    <row r="100" spans="4:13" ht="14.25" x14ac:dyDescent="0.45">
      <c r="D100" s="1055"/>
      <c r="E100" s="1028" t="s">
        <v>357</v>
      </c>
      <c r="F100" s="474"/>
      <c r="G100" s="434">
        <f t="shared" ref="G100:M100" si="61">G291*G$373*G$375</f>
        <v>103043.84168125759</v>
      </c>
      <c r="H100" s="435">
        <f t="shared" si="61"/>
        <v>590224.74394029041</v>
      </c>
      <c r="I100" s="436">
        <f t="shared" si="61"/>
        <v>828487.02131493308</v>
      </c>
      <c r="J100" s="437">
        <f t="shared" si="61"/>
        <v>649075.20490142156</v>
      </c>
      <c r="K100" s="437">
        <f t="shared" si="61"/>
        <v>0</v>
      </c>
      <c r="L100" s="437">
        <f t="shared" si="61"/>
        <v>0</v>
      </c>
      <c r="M100" s="438">
        <f t="shared" si="61"/>
        <v>0</v>
      </c>
    </row>
    <row r="101" spans="4:13" ht="14.25" x14ac:dyDescent="0.45">
      <c r="D101" s="1055"/>
      <c r="E101" s="1028" t="s">
        <v>358</v>
      </c>
      <c r="F101" s="474"/>
      <c r="G101" s="434">
        <f t="shared" ref="G101:M101" si="62">G292*G$373*G$375</f>
        <v>0</v>
      </c>
      <c r="H101" s="435">
        <f t="shared" si="62"/>
        <v>0</v>
      </c>
      <c r="I101" s="436">
        <f t="shared" si="62"/>
        <v>0</v>
      </c>
      <c r="J101" s="437">
        <f t="shared" si="62"/>
        <v>0</v>
      </c>
      <c r="K101" s="437">
        <f t="shared" si="62"/>
        <v>0</v>
      </c>
      <c r="L101" s="437">
        <f t="shared" si="62"/>
        <v>0</v>
      </c>
      <c r="M101" s="438">
        <f t="shared" si="62"/>
        <v>0</v>
      </c>
    </row>
    <row r="102" spans="4:13" ht="14.25" x14ac:dyDescent="0.45">
      <c r="D102" s="1055"/>
      <c r="E102" s="1028" t="s">
        <v>359</v>
      </c>
      <c r="F102" s="474"/>
      <c r="G102" s="434">
        <f t="shared" ref="G102:M102" si="63">G293*G$373*G$375</f>
        <v>0</v>
      </c>
      <c r="H102" s="435">
        <f t="shared" si="63"/>
        <v>0</v>
      </c>
      <c r="I102" s="436">
        <f t="shared" si="63"/>
        <v>0</v>
      </c>
      <c r="J102" s="437">
        <f t="shared" si="63"/>
        <v>0</v>
      </c>
      <c r="K102" s="437">
        <f t="shared" si="63"/>
        <v>0</v>
      </c>
      <c r="L102" s="437">
        <f t="shared" si="63"/>
        <v>0</v>
      </c>
      <c r="M102" s="438">
        <f t="shared" si="63"/>
        <v>0</v>
      </c>
    </row>
    <row r="103" spans="4:13" ht="14.25" x14ac:dyDescent="0.45">
      <c r="D103" s="1055"/>
      <c r="E103" s="1028" t="s">
        <v>360</v>
      </c>
      <c r="F103" s="474"/>
      <c r="G103" s="434">
        <f t="shared" ref="G103:M103" si="64">G294*G$373*G$375</f>
        <v>0</v>
      </c>
      <c r="H103" s="435">
        <f t="shared" si="64"/>
        <v>0</v>
      </c>
      <c r="I103" s="436">
        <f t="shared" si="64"/>
        <v>0</v>
      </c>
      <c r="J103" s="437">
        <f t="shared" si="64"/>
        <v>0</v>
      </c>
      <c r="K103" s="437">
        <f t="shared" si="64"/>
        <v>0</v>
      </c>
      <c r="L103" s="437">
        <f t="shared" si="64"/>
        <v>0</v>
      </c>
      <c r="M103" s="438">
        <f t="shared" si="64"/>
        <v>0</v>
      </c>
    </row>
    <row r="104" spans="4:13" ht="14.25" x14ac:dyDescent="0.45">
      <c r="D104" s="1055"/>
      <c r="E104" s="1028" t="s">
        <v>361</v>
      </c>
      <c r="F104" s="474"/>
      <c r="G104" s="434">
        <f t="shared" ref="G104:M104" si="65">G295*G$373*G$375</f>
        <v>0</v>
      </c>
      <c r="H104" s="435">
        <f t="shared" si="65"/>
        <v>0</v>
      </c>
      <c r="I104" s="436">
        <f t="shared" si="65"/>
        <v>0</v>
      </c>
      <c r="J104" s="437">
        <f t="shared" si="65"/>
        <v>0</v>
      </c>
      <c r="K104" s="437">
        <f t="shared" si="65"/>
        <v>0</v>
      </c>
      <c r="L104" s="437">
        <f t="shared" si="65"/>
        <v>0</v>
      </c>
      <c r="M104" s="438">
        <f t="shared" si="65"/>
        <v>0</v>
      </c>
    </row>
    <row r="105" spans="4:13" ht="14.25" x14ac:dyDescent="0.45">
      <c r="D105" s="1055"/>
      <c r="E105" s="1028" t="s">
        <v>362</v>
      </c>
      <c r="F105" s="474"/>
      <c r="G105" s="434">
        <f t="shared" ref="G105:M105" si="66">G296*G$373*G$375</f>
        <v>0</v>
      </c>
      <c r="H105" s="435">
        <f t="shared" si="66"/>
        <v>0</v>
      </c>
      <c r="I105" s="436">
        <f t="shared" si="66"/>
        <v>0</v>
      </c>
      <c r="J105" s="437">
        <f t="shared" si="66"/>
        <v>0</v>
      </c>
      <c r="K105" s="437">
        <f t="shared" si="66"/>
        <v>0</v>
      </c>
      <c r="L105" s="437">
        <f t="shared" si="66"/>
        <v>0</v>
      </c>
      <c r="M105" s="438">
        <f t="shared" si="66"/>
        <v>0</v>
      </c>
    </row>
    <row r="106" spans="4:13" ht="14.65" thickBot="1" x14ac:dyDescent="0.5">
      <c r="D106" s="1056"/>
      <c r="E106" s="1029" t="s">
        <v>232</v>
      </c>
      <c r="F106" s="475"/>
      <c r="G106" s="441">
        <f t="shared" ref="G106:M106" si="67">G297*G$373*G$375</f>
        <v>0</v>
      </c>
      <c r="H106" s="442">
        <f t="shared" si="67"/>
        <v>0</v>
      </c>
      <c r="I106" s="443">
        <f t="shared" si="67"/>
        <v>0</v>
      </c>
      <c r="J106" s="444">
        <f t="shared" si="67"/>
        <v>0</v>
      </c>
      <c r="K106" s="444">
        <f t="shared" si="67"/>
        <v>0</v>
      </c>
      <c r="L106" s="444">
        <f t="shared" si="67"/>
        <v>0</v>
      </c>
      <c r="M106" s="445">
        <f t="shared" si="67"/>
        <v>0</v>
      </c>
    </row>
    <row r="107" spans="4:13" ht="14.25" x14ac:dyDescent="0.45">
      <c r="D107" s="1054" t="s">
        <v>363</v>
      </c>
      <c r="E107" s="446" t="s">
        <v>364</v>
      </c>
      <c r="F107" s="476"/>
      <c r="G107" s="434">
        <f t="shared" ref="G107:M107" si="68">G298*G$373*G$375</f>
        <v>0</v>
      </c>
      <c r="H107" s="435">
        <f t="shared" si="68"/>
        <v>0</v>
      </c>
      <c r="I107" s="436">
        <f t="shared" si="68"/>
        <v>0</v>
      </c>
      <c r="J107" s="437">
        <f t="shared" si="68"/>
        <v>0</v>
      </c>
      <c r="K107" s="437">
        <f t="shared" si="68"/>
        <v>0</v>
      </c>
      <c r="L107" s="437">
        <f t="shared" si="68"/>
        <v>0</v>
      </c>
      <c r="M107" s="438">
        <f t="shared" si="68"/>
        <v>0</v>
      </c>
    </row>
    <row r="108" spans="4:13" ht="14.25" x14ac:dyDescent="0.45">
      <c r="D108" s="1055"/>
      <c r="E108" s="433" t="s">
        <v>365</v>
      </c>
      <c r="F108" s="474"/>
      <c r="G108" s="434">
        <f t="shared" ref="G108:M108" si="69">G299*G$373*G$375</f>
        <v>1825199.1526378586</v>
      </c>
      <c r="H108" s="435">
        <f t="shared" si="69"/>
        <v>1669866.8818045256</v>
      </c>
      <c r="I108" s="436">
        <f t="shared" si="69"/>
        <v>2027610.2467985705</v>
      </c>
      <c r="J108" s="437">
        <f t="shared" si="69"/>
        <v>2071051.7609182049</v>
      </c>
      <c r="K108" s="437">
        <f t="shared" si="69"/>
        <v>2107604.2679974958</v>
      </c>
      <c r="L108" s="437">
        <f t="shared" si="69"/>
        <v>2152286.9693806581</v>
      </c>
      <c r="M108" s="438">
        <f t="shared" si="69"/>
        <v>2201422.3933658563</v>
      </c>
    </row>
    <row r="109" spans="4:13" ht="14.25" x14ac:dyDescent="0.45">
      <c r="D109" s="1055"/>
      <c r="E109" s="433" t="s">
        <v>366</v>
      </c>
      <c r="F109" s="474"/>
      <c r="G109" s="434">
        <f t="shared" ref="G109:M109" si="70">G300*G$373*G$375</f>
        <v>446573.04510737967</v>
      </c>
      <c r="H109" s="435">
        <f t="shared" si="70"/>
        <v>755292.59854804282</v>
      </c>
      <c r="I109" s="436">
        <f t="shared" si="70"/>
        <v>2104147.5993606867</v>
      </c>
      <c r="J109" s="437">
        <f t="shared" si="70"/>
        <v>868410.17521121644</v>
      </c>
      <c r="K109" s="437">
        <f t="shared" si="70"/>
        <v>331627.88038224768</v>
      </c>
      <c r="L109" s="437">
        <f t="shared" si="70"/>
        <v>341871.06879208359</v>
      </c>
      <c r="M109" s="438">
        <f t="shared" si="70"/>
        <v>352664.63561005739</v>
      </c>
    </row>
    <row r="110" spans="4:13" ht="14.25" x14ac:dyDescent="0.45">
      <c r="D110" s="1055"/>
      <c r="E110" s="433" t="s">
        <v>367</v>
      </c>
      <c r="F110" s="474"/>
      <c r="G110" s="434">
        <f t="shared" ref="G110:M110" si="71">G301*G$373*G$375</f>
        <v>177112.23864952094</v>
      </c>
      <c r="H110" s="435">
        <f t="shared" si="71"/>
        <v>223510.97877590545</v>
      </c>
      <c r="I110" s="436">
        <f t="shared" si="71"/>
        <v>271880.15754785168</v>
      </c>
      <c r="J110" s="437">
        <f t="shared" si="71"/>
        <v>283535.52506654087</v>
      </c>
      <c r="K110" s="437">
        <f t="shared" si="71"/>
        <v>293719.68684642576</v>
      </c>
      <c r="L110" s="437">
        <f t="shared" si="71"/>
        <v>303341.80871395831</v>
      </c>
      <c r="M110" s="438">
        <f t="shared" si="71"/>
        <v>313690.04669203673</v>
      </c>
    </row>
    <row r="111" spans="4:13" ht="14.25" x14ac:dyDescent="0.45">
      <c r="D111" s="1055"/>
      <c r="E111" s="433" t="s">
        <v>368</v>
      </c>
      <c r="F111" s="474"/>
      <c r="G111" s="434">
        <f t="shared" ref="G111:M111" si="72">G302*G$373*G$375</f>
        <v>259213.50904808531</v>
      </c>
      <c r="H111" s="435">
        <f t="shared" si="72"/>
        <v>322745.61682851479</v>
      </c>
      <c r="I111" s="436">
        <f t="shared" si="72"/>
        <v>396980.77857651561</v>
      </c>
      <c r="J111" s="437">
        <f t="shared" si="72"/>
        <v>419277.20633167238</v>
      </c>
      <c r="K111" s="437">
        <f t="shared" si="72"/>
        <v>439450.8823060288</v>
      </c>
      <c r="L111" s="437">
        <f t="shared" si="72"/>
        <v>459425.59366913885</v>
      </c>
      <c r="M111" s="438">
        <f t="shared" si="72"/>
        <v>479172.53831125284</v>
      </c>
    </row>
    <row r="112" spans="4:13" ht="14.25" x14ac:dyDescent="0.45">
      <c r="D112" s="1055"/>
      <c r="E112" s="433" t="s">
        <v>369</v>
      </c>
      <c r="F112" s="474"/>
      <c r="G112" s="434">
        <f t="shared" ref="G112:M112" si="73">G303*G$373*G$375</f>
        <v>0</v>
      </c>
      <c r="H112" s="435">
        <f t="shared" si="73"/>
        <v>0</v>
      </c>
      <c r="I112" s="436">
        <f t="shared" si="73"/>
        <v>0</v>
      </c>
      <c r="J112" s="437">
        <f t="shared" si="73"/>
        <v>0</v>
      </c>
      <c r="K112" s="437">
        <f t="shared" si="73"/>
        <v>0</v>
      </c>
      <c r="L112" s="437">
        <f t="shared" si="73"/>
        <v>0</v>
      </c>
      <c r="M112" s="438">
        <f t="shared" si="73"/>
        <v>0</v>
      </c>
    </row>
    <row r="113" spans="4:13" ht="14.25" x14ac:dyDescent="0.45">
      <c r="D113" s="1055"/>
      <c r="E113" s="433" t="s">
        <v>370</v>
      </c>
      <c r="F113" s="474"/>
      <c r="G113" s="434">
        <f t="shared" ref="G113:M113" si="74">G304*G$373*G$375</f>
        <v>0</v>
      </c>
      <c r="H113" s="435">
        <f t="shared" si="74"/>
        <v>0</v>
      </c>
      <c r="I113" s="436">
        <f t="shared" si="74"/>
        <v>0</v>
      </c>
      <c r="J113" s="437">
        <f t="shared" si="74"/>
        <v>0</v>
      </c>
      <c r="K113" s="437">
        <f t="shared" si="74"/>
        <v>0</v>
      </c>
      <c r="L113" s="437">
        <f t="shared" si="74"/>
        <v>0</v>
      </c>
      <c r="M113" s="438">
        <f t="shared" si="74"/>
        <v>0</v>
      </c>
    </row>
    <row r="114" spans="4:13" ht="14.25" x14ac:dyDescent="0.45">
      <c r="D114" s="1055"/>
      <c r="E114" s="433" t="s">
        <v>371</v>
      </c>
      <c r="F114" s="474"/>
      <c r="G114" s="434">
        <f t="shared" ref="G114:M114" si="75">G305*G$373*G$375</f>
        <v>1159.8063604314025</v>
      </c>
      <c r="H114" s="435">
        <f t="shared" si="75"/>
        <v>1485.2012476378532</v>
      </c>
      <c r="I114" s="436">
        <f t="shared" si="75"/>
        <v>1831.3499809588784</v>
      </c>
      <c r="J114" s="437">
        <f t="shared" si="75"/>
        <v>1934.2760664908631</v>
      </c>
      <c r="K114" s="437">
        <f t="shared" si="75"/>
        <v>2027.7536811693881</v>
      </c>
      <c r="L114" s="437">
        <f t="shared" si="75"/>
        <v>2117.823801725121</v>
      </c>
      <c r="M114" s="438">
        <f t="shared" si="75"/>
        <v>2213.5129155835848</v>
      </c>
    </row>
    <row r="115" spans="4:13" ht="14.25" x14ac:dyDescent="0.45">
      <c r="D115" s="1055"/>
      <c r="E115" s="433" t="s">
        <v>372</v>
      </c>
      <c r="F115" s="474"/>
      <c r="G115" s="434">
        <f t="shared" ref="G115:M115" si="76">G306*G$373*G$375</f>
        <v>1757903.3027781365</v>
      </c>
      <c r="H115" s="435">
        <f t="shared" si="76"/>
        <v>833924.18551907782</v>
      </c>
      <c r="I115" s="436">
        <f t="shared" si="76"/>
        <v>507890.43357946939</v>
      </c>
      <c r="J115" s="437">
        <f t="shared" si="76"/>
        <v>364421.19054111512</v>
      </c>
      <c r="K115" s="437">
        <f t="shared" si="76"/>
        <v>82312.044583267154</v>
      </c>
      <c r="L115" s="437">
        <f t="shared" si="76"/>
        <v>82933.70870296807</v>
      </c>
      <c r="M115" s="438">
        <f t="shared" si="76"/>
        <v>83919.600801655644</v>
      </c>
    </row>
    <row r="116" spans="4:13" ht="14.25" x14ac:dyDescent="0.45">
      <c r="D116" s="1055"/>
      <c r="E116" s="433" t="s">
        <v>373</v>
      </c>
      <c r="F116" s="474"/>
      <c r="G116" s="434">
        <f t="shared" ref="G116:M116" si="77">G307*G$373*G$375</f>
        <v>0</v>
      </c>
      <c r="H116" s="435">
        <f t="shared" si="77"/>
        <v>0</v>
      </c>
      <c r="I116" s="436">
        <f t="shared" si="77"/>
        <v>0</v>
      </c>
      <c r="J116" s="437">
        <f t="shared" si="77"/>
        <v>0</v>
      </c>
      <c r="K116" s="437">
        <f t="shared" si="77"/>
        <v>0</v>
      </c>
      <c r="L116" s="437">
        <f t="shared" si="77"/>
        <v>0</v>
      </c>
      <c r="M116" s="438">
        <f t="shared" si="77"/>
        <v>0</v>
      </c>
    </row>
    <row r="117" spans="4:13" ht="14.25" x14ac:dyDescent="0.45">
      <c r="D117" s="1055"/>
      <c r="E117" s="433" t="s">
        <v>374</v>
      </c>
      <c r="F117" s="474"/>
      <c r="G117" s="434">
        <f t="shared" ref="G117:M117" si="78">G308*G$373*G$375</f>
        <v>194955.12930162228</v>
      </c>
      <c r="H117" s="435">
        <f t="shared" si="78"/>
        <v>159175.85652198794</v>
      </c>
      <c r="I117" s="436">
        <f t="shared" si="78"/>
        <v>161688.00805695928</v>
      </c>
      <c r="J117" s="437">
        <f t="shared" si="78"/>
        <v>148078.77716517134</v>
      </c>
      <c r="K117" s="437">
        <f t="shared" si="78"/>
        <v>137587.79297351959</v>
      </c>
      <c r="L117" s="437">
        <f t="shared" si="78"/>
        <v>137716.71563603805</v>
      </c>
      <c r="M117" s="438">
        <f t="shared" si="78"/>
        <v>138490.53492050449</v>
      </c>
    </row>
    <row r="118" spans="4:13" ht="14.25" x14ac:dyDescent="0.45">
      <c r="D118" s="1055"/>
      <c r="E118" s="433" t="s">
        <v>375</v>
      </c>
      <c r="F118" s="474"/>
      <c r="G118" s="434">
        <f t="shared" ref="G118:M118" si="79">G309*G$373*G$375</f>
        <v>0</v>
      </c>
      <c r="H118" s="435">
        <f t="shared" si="79"/>
        <v>0</v>
      </c>
      <c r="I118" s="436">
        <f t="shared" si="79"/>
        <v>0</v>
      </c>
      <c r="J118" s="437">
        <f t="shared" si="79"/>
        <v>0</v>
      </c>
      <c r="K118" s="437">
        <f t="shared" si="79"/>
        <v>0</v>
      </c>
      <c r="L118" s="437">
        <f t="shared" si="79"/>
        <v>0</v>
      </c>
      <c r="M118" s="438">
        <f t="shared" si="79"/>
        <v>0</v>
      </c>
    </row>
    <row r="119" spans="4:13" ht="14.25" x14ac:dyDescent="0.45">
      <c r="D119" s="1055"/>
      <c r="E119" s="433" t="s">
        <v>376</v>
      </c>
      <c r="F119" s="474"/>
      <c r="G119" s="434">
        <f t="shared" ref="G119:M119" si="80">G310*G$373*G$375</f>
        <v>0</v>
      </c>
      <c r="H119" s="435">
        <f t="shared" si="80"/>
        <v>0</v>
      </c>
      <c r="I119" s="436">
        <f t="shared" si="80"/>
        <v>0</v>
      </c>
      <c r="J119" s="437">
        <f t="shared" si="80"/>
        <v>0</v>
      </c>
      <c r="K119" s="437">
        <f t="shared" si="80"/>
        <v>0</v>
      </c>
      <c r="L119" s="437">
        <f t="shared" si="80"/>
        <v>0</v>
      </c>
      <c r="M119" s="438">
        <f t="shared" si="80"/>
        <v>0</v>
      </c>
    </row>
    <row r="120" spans="4:13" ht="14.65" thickBot="1" x14ac:dyDescent="0.5">
      <c r="D120" s="1056"/>
      <c r="E120" s="440" t="s">
        <v>232</v>
      </c>
      <c r="F120" s="475"/>
      <c r="G120" s="441">
        <f t="shared" ref="G120:M120" si="81">G311*G$373*G$375</f>
        <v>0</v>
      </c>
      <c r="H120" s="442">
        <f t="shared" si="81"/>
        <v>0</v>
      </c>
      <c r="I120" s="443">
        <f t="shared" si="81"/>
        <v>0</v>
      </c>
      <c r="J120" s="444">
        <f t="shared" si="81"/>
        <v>0</v>
      </c>
      <c r="K120" s="444">
        <f t="shared" si="81"/>
        <v>0</v>
      </c>
      <c r="L120" s="444">
        <f t="shared" si="81"/>
        <v>0</v>
      </c>
      <c r="M120" s="445">
        <f t="shared" si="81"/>
        <v>0</v>
      </c>
    </row>
    <row r="121" spans="4:13" ht="14.25" x14ac:dyDescent="0.45">
      <c r="D121" s="1054" t="s">
        <v>377</v>
      </c>
      <c r="E121" s="446" t="s">
        <v>378</v>
      </c>
      <c r="F121" s="476"/>
      <c r="G121" s="452">
        <f t="shared" ref="G121:M121" si="82">G312*G$373*G$375</f>
        <v>0</v>
      </c>
      <c r="H121" s="453">
        <f t="shared" si="82"/>
        <v>0</v>
      </c>
      <c r="I121" s="454">
        <f t="shared" si="82"/>
        <v>0</v>
      </c>
      <c r="J121" s="455">
        <f t="shared" si="82"/>
        <v>0</v>
      </c>
      <c r="K121" s="455">
        <f t="shared" si="82"/>
        <v>0</v>
      </c>
      <c r="L121" s="455">
        <f t="shared" si="82"/>
        <v>0</v>
      </c>
      <c r="M121" s="456">
        <f t="shared" si="82"/>
        <v>0</v>
      </c>
    </row>
    <row r="122" spans="4:13" ht="14.25" x14ac:dyDescent="0.45">
      <c r="D122" s="1055"/>
      <c r="E122" s="433" t="s">
        <v>379</v>
      </c>
      <c r="F122" s="474"/>
      <c r="G122" s="452">
        <f t="shared" ref="G122:M122" si="83">G313*G$373*G$375</f>
        <v>0</v>
      </c>
      <c r="H122" s="453">
        <f t="shared" si="83"/>
        <v>0</v>
      </c>
      <c r="I122" s="454">
        <f t="shared" si="83"/>
        <v>0</v>
      </c>
      <c r="J122" s="455">
        <f t="shared" si="83"/>
        <v>0</v>
      </c>
      <c r="K122" s="455">
        <f t="shared" si="83"/>
        <v>0</v>
      </c>
      <c r="L122" s="455">
        <f t="shared" si="83"/>
        <v>0</v>
      </c>
      <c r="M122" s="456">
        <f t="shared" si="83"/>
        <v>0</v>
      </c>
    </row>
    <row r="123" spans="4:13" ht="14.25" x14ac:dyDescent="0.45">
      <c r="D123" s="1055"/>
      <c r="E123" s="433" t="s">
        <v>380</v>
      </c>
      <c r="F123" s="474"/>
      <c r="G123" s="452">
        <f t="shared" ref="G123:M123" si="84">G314*G$373*G$375</f>
        <v>0</v>
      </c>
      <c r="H123" s="453">
        <f t="shared" si="84"/>
        <v>0</v>
      </c>
      <c r="I123" s="454">
        <f t="shared" si="84"/>
        <v>0</v>
      </c>
      <c r="J123" s="455">
        <f t="shared" si="84"/>
        <v>0</v>
      </c>
      <c r="K123" s="455">
        <f t="shared" si="84"/>
        <v>0</v>
      </c>
      <c r="L123" s="455">
        <f t="shared" si="84"/>
        <v>0</v>
      </c>
      <c r="M123" s="456">
        <f t="shared" si="84"/>
        <v>0</v>
      </c>
    </row>
    <row r="124" spans="4:13" ht="14.25" x14ac:dyDescent="0.45">
      <c r="D124" s="1055"/>
      <c r="E124" s="433" t="s">
        <v>381</v>
      </c>
      <c r="F124" s="474"/>
      <c r="G124" s="452">
        <f t="shared" ref="G124:M124" si="85">G315*G$373*G$375</f>
        <v>0</v>
      </c>
      <c r="H124" s="453">
        <f t="shared" si="85"/>
        <v>0</v>
      </c>
      <c r="I124" s="454">
        <f t="shared" si="85"/>
        <v>0</v>
      </c>
      <c r="J124" s="455">
        <f t="shared" si="85"/>
        <v>0</v>
      </c>
      <c r="K124" s="455">
        <f t="shared" si="85"/>
        <v>0</v>
      </c>
      <c r="L124" s="455">
        <f t="shared" si="85"/>
        <v>0</v>
      </c>
      <c r="M124" s="456">
        <f t="shared" si="85"/>
        <v>0</v>
      </c>
    </row>
    <row r="125" spans="4:13" ht="14.25" x14ac:dyDescent="0.45">
      <c r="D125" s="1055"/>
      <c r="E125" s="433" t="s">
        <v>382</v>
      </c>
      <c r="F125" s="474"/>
      <c r="G125" s="452">
        <f t="shared" ref="G125:M125" si="86">G316*G$373*G$375</f>
        <v>0</v>
      </c>
      <c r="H125" s="453">
        <f t="shared" si="86"/>
        <v>0</v>
      </c>
      <c r="I125" s="454">
        <f t="shared" si="86"/>
        <v>0</v>
      </c>
      <c r="J125" s="455">
        <f t="shared" si="86"/>
        <v>0</v>
      </c>
      <c r="K125" s="455">
        <f t="shared" si="86"/>
        <v>0</v>
      </c>
      <c r="L125" s="455">
        <f t="shared" si="86"/>
        <v>0</v>
      </c>
      <c r="M125" s="456">
        <f t="shared" si="86"/>
        <v>0</v>
      </c>
    </row>
    <row r="126" spans="4:13" ht="14.25" x14ac:dyDescent="0.45">
      <c r="D126" s="1055"/>
      <c r="E126" s="433" t="s">
        <v>383</v>
      </c>
      <c r="F126" s="474"/>
      <c r="G126" s="452">
        <f t="shared" ref="G126:M126" si="87">G317*G$373*G$375</f>
        <v>0</v>
      </c>
      <c r="H126" s="453">
        <f t="shared" si="87"/>
        <v>0</v>
      </c>
      <c r="I126" s="454">
        <f t="shared" si="87"/>
        <v>0</v>
      </c>
      <c r="J126" s="455">
        <f t="shared" si="87"/>
        <v>0</v>
      </c>
      <c r="K126" s="455">
        <f t="shared" si="87"/>
        <v>0</v>
      </c>
      <c r="L126" s="455">
        <f t="shared" si="87"/>
        <v>0</v>
      </c>
      <c r="M126" s="456">
        <f t="shared" si="87"/>
        <v>0</v>
      </c>
    </row>
    <row r="127" spans="4:13" ht="14.25" x14ac:dyDescent="0.45">
      <c r="D127" s="1055"/>
      <c r="E127" s="433" t="s">
        <v>384</v>
      </c>
      <c r="F127" s="474"/>
      <c r="G127" s="452">
        <f t="shared" ref="G127:M127" si="88">G318*G$373*G$375</f>
        <v>0</v>
      </c>
      <c r="H127" s="453">
        <f t="shared" si="88"/>
        <v>0</v>
      </c>
      <c r="I127" s="454">
        <f t="shared" si="88"/>
        <v>0</v>
      </c>
      <c r="J127" s="455">
        <f t="shared" si="88"/>
        <v>0</v>
      </c>
      <c r="K127" s="455">
        <f t="shared" si="88"/>
        <v>0</v>
      </c>
      <c r="L127" s="455">
        <f t="shared" si="88"/>
        <v>0</v>
      </c>
      <c r="M127" s="456">
        <f t="shared" si="88"/>
        <v>0</v>
      </c>
    </row>
    <row r="128" spans="4:13" ht="14.25" x14ac:dyDescent="0.45">
      <c r="D128" s="1055"/>
      <c r="E128" s="433" t="s">
        <v>385</v>
      </c>
      <c r="F128" s="474"/>
      <c r="G128" s="452">
        <f t="shared" ref="G128:M128" si="89">G319*G$373*G$375</f>
        <v>0</v>
      </c>
      <c r="H128" s="453">
        <f t="shared" si="89"/>
        <v>0</v>
      </c>
      <c r="I128" s="454">
        <f t="shared" si="89"/>
        <v>0</v>
      </c>
      <c r="J128" s="455">
        <f t="shared" si="89"/>
        <v>0</v>
      </c>
      <c r="K128" s="455">
        <f t="shared" si="89"/>
        <v>0</v>
      </c>
      <c r="L128" s="455">
        <f t="shared" si="89"/>
        <v>0</v>
      </c>
      <c r="M128" s="456">
        <f t="shared" si="89"/>
        <v>0</v>
      </c>
    </row>
    <row r="129" spans="4:13" ht="14.65" thickBot="1" x14ac:dyDescent="0.5">
      <c r="D129" s="1056"/>
      <c r="E129" s="440" t="s">
        <v>232</v>
      </c>
      <c r="F129" s="475"/>
      <c r="G129" s="457">
        <f t="shared" ref="G129:M129" si="90">G320*G$373*G$375</f>
        <v>0</v>
      </c>
      <c r="H129" s="458">
        <f t="shared" si="90"/>
        <v>0</v>
      </c>
      <c r="I129" s="459">
        <f t="shared" si="90"/>
        <v>0</v>
      </c>
      <c r="J129" s="460">
        <f t="shared" si="90"/>
        <v>0</v>
      </c>
      <c r="K129" s="460">
        <f t="shared" si="90"/>
        <v>0</v>
      </c>
      <c r="L129" s="460">
        <f t="shared" si="90"/>
        <v>0</v>
      </c>
      <c r="M129" s="461">
        <f t="shared" si="90"/>
        <v>0</v>
      </c>
    </row>
    <row r="130" spans="4:13" ht="14.25" x14ac:dyDescent="0.45">
      <c r="D130" s="1054" t="s">
        <v>386</v>
      </c>
      <c r="E130" s="446" t="s">
        <v>387</v>
      </c>
      <c r="F130" s="476"/>
      <c r="G130" s="434">
        <f t="shared" ref="G130:M130" si="91">G321*G$373*G$375</f>
        <v>748774.90227457997</v>
      </c>
      <c r="H130" s="435">
        <f t="shared" si="91"/>
        <v>3120394.9195235972</v>
      </c>
      <c r="I130" s="436">
        <f t="shared" si="91"/>
        <v>4390185.3838830879</v>
      </c>
      <c r="J130" s="437">
        <f t="shared" si="91"/>
        <v>2623418.329942306</v>
      </c>
      <c r="K130" s="437">
        <f t="shared" si="91"/>
        <v>167955.48628993711</v>
      </c>
      <c r="L130" s="437">
        <f t="shared" si="91"/>
        <v>168112.86412127744</v>
      </c>
      <c r="M130" s="438">
        <f t="shared" si="91"/>
        <v>169057.47694930725</v>
      </c>
    </row>
    <row r="131" spans="4:13" ht="14.25" x14ac:dyDescent="0.45">
      <c r="D131" s="1055"/>
      <c r="E131" s="433" t="s">
        <v>388</v>
      </c>
      <c r="F131" s="474"/>
      <c r="G131" s="434">
        <f t="shared" ref="G131:M131" si="92">G322*G$373*G$375</f>
        <v>221587.59978596849</v>
      </c>
      <c r="H131" s="435">
        <f t="shared" si="92"/>
        <v>180920.58473626169</v>
      </c>
      <c r="I131" s="436">
        <f t="shared" si="92"/>
        <v>183775.91678588279</v>
      </c>
      <c r="J131" s="437">
        <f t="shared" si="92"/>
        <v>168307.553275535</v>
      </c>
      <c r="K131" s="437">
        <f t="shared" si="92"/>
        <v>156383.41455321357</v>
      </c>
      <c r="L131" s="437">
        <f t="shared" si="92"/>
        <v>156529.94910938456</v>
      </c>
      <c r="M131" s="438">
        <f t="shared" si="92"/>
        <v>157409.47845814933</v>
      </c>
    </row>
    <row r="132" spans="4:13" ht="14.25" x14ac:dyDescent="0.45">
      <c r="D132" s="1055"/>
      <c r="E132" s="433" t="s">
        <v>389</v>
      </c>
      <c r="F132" s="474"/>
      <c r="G132" s="434">
        <f t="shared" ref="G132:M132" si="93">G323*G$373*G$375</f>
        <v>943145.17305745988</v>
      </c>
      <c r="H132" s="435">
        <f t="shared" si="93"/>
        <v>1198340.7279615451</v>
      </c>
      <c r="I132" s="436">
        <f t="shared" si="93"/>
        <v>1840516.6040079091</v>
      </c>
      <c r="J132" s="437">
        <f t="shared" si="93"/>
        <v>1665530.2612525078</v>
      </c>
      <c r="K132" s="437">
        <f t="shared" si="93"/>
        <v>7247.099939053458</v>
      </c>
      <c r="L132" s="437">
        <f t="shared" si="93"/>
        <v>7253.8906244732025</v>
      </c>
      <c r="M132" s="438">
        <f t="shared" si="93"/>
        <v>7294.6496596179441</v>
      </c>
    </row>
    <row r="133" spans="4:13" ht="14.25" x14ac:dyDescent="0.45">
      <c r="D133" s="1055"/>
      <c r="E133" s="433" t="s">
        <v>390</v>
      </c>
      <c r="F133" s="474"/>
      <c r="G133" s="434">
        <f t="shared" ref="G133:M133" si="94">G324*G$373*G$375</f>
        <v>5623079.2963542845</v>
      </c>
      <c r="H133" s="435">
        <f t="shared" si="94"/>
        <v>5670077.1014136868</v>
      </c>
      <c r="I133" s="436">
        <f t="shared" si="94"/>
        <v>5083408.7737431657</v>
      </c>
      <c r="J133" s="437">
        <f t="shared" si="94"/>
        <v>1838761.1350892782</v>
      </c>
      <c r="K133" s="437">
        <f t="shared" si="94"/>
        <v>3060336.7551607653</v>
      </c>
      <c r="L133" s="437">
        <f t="shared" si="94"/>
        <v>2729917.1092889169</v>
      </c>
      <c r="M133" s="438">
        <f t="shared" si="94"/>
        <v>2376715.2765718088</v>
      </c>
    </row>
    <row r="134" spans="4:13" ht="14.25" x14ac:dyDescent="0.45">
      <c r="D134" s="1055"/>
      <c r="E134" s="433" t="s">
        <v>391</v>
      </c>
      <c r="F134" s="474"/>
      <c r="G134" s="434">
        <f t="shared" ref="G134:M134" si="95">G325*G$373*G$375</f>
        <v>1058249.5083403443</v>
      </c>
      <c r="H134" s="435">
        <f t="shared" si="95"/>
        <v>1000321.4014144503</v>
      </c>
      <c r="I134" s="436">
        <f t="shared" si="95"/>
        <v>1718747.0251599215</v>
      </c>
      <c r="J134" s="437">
        <f t="shared" si="95"/>
        <v>1613645.733350947</v>
      </c>
      <c r="K134" s="437">
        <f t="shared" si="95"/>
        <v>1277032.9797301404</v>
      </c>
      <c r="L134" s="437">
        <f t="shared" si="95"/>
        <v>1398379.7409747723</v>
      </c>
      <c r="M134" s="438">
        <f t="shared" si="95"/>
        <v>1165864.079254278</v>
      </c>
    </row>
    <row r="135" spans="4:13" ht="14.25" x14ac:dyDescent="0.45">
      <c r="D135" s="1055"/>
      <c r="E135" s="433" t="s">
        <v>392</v>
      </c>
      <c r="F135" s="474"/>
      <c r="G135" s="434">
        <f t="shared" ref="G135:M135" si="96">G326*G$373*G$375</f>
        <v>0</v>
      </c>
      <c r="H135" s="435">
        <f t="shared" si="96"/>
        <v>0</v>
      </c>
      <c r="I135" s="436">
        <f t="shared" si="96"/>
        <v>0</v>
      </c>
      <c r="J135" s="437">
        <f t="shared" si="96"/>
        <v>227309.2064218907</v>
      </c>
      <c r="K135" s="437">
        <f t="shared" si="96"/>
        <v>0</v>
      </c>
      <c r="L135" s="437">
        <f t="shared" si="96"/>
        <v>229267.89294367653</v>
      </c>
      <c r="M135" s="438">
        <f t="shared" si="96"/>
        <v>0</v>
      </c>
    </row>
    <row r="136" spans="4:13" ht="14.25" x14ac:dyDescent="0.45">
      <c r="D136" s="1055"/>
      <c r="E136" s="433" t="s">
        <v>393</v>
      </c>
      <c r="F136" s="474"/>
      <c r="G136" s="434">
        <f t="shared" ref="G136:M136" si="97">G327*G$373*G$375</f>
        <v>0</v>
      </c>
      <c r="H136" s="435">
        <f t="shared" si="97"/>
        <v>0</v>
      </c>
      <c r="I136" s="436">
        <f t="shared" si="97"/>
        <v>0</v>
      </c>
      <c r="J136" s="437">
        <f t="shared" si="97"/>
        <v>0</v>
      </c>
      <c r="K136" s="437">
        <f t="shared" si="97"/>
        <v>0</v>
      </c>
      <c r="L136" s="437">
        <f t="shared" si="97"/>
        <v>0</v>
      </c>
      <c r="M136" s="438">
        <f t="shared" si="97"/>
        <v>0</v>
      </c>
    </row>
    <row r="137" spans="4:13" ht="14.65" thickBot="1" x14ac:dyDescent="0.5">
      <c r="D137" s="1056"/>
      <c r="E137" s="440" t="s">
        <v>232</v>
      </c>
      <c r="F137" s="475"/>
      <c r="G137" s="441">
        <f t="shared" ref="G137:M137" si="98">G328*G$373*G$375</f>
        <v>0</v>
      </c>
      <c r="H137" s="442">
        <f t="shared" si="98"/>
        <v>0</v>
      </c>
      <c r="I137" s="443">
        <f t="shared" si="98"/>
        <v>0</v>
      </c>
      <c r="J137" s="444">
        <f t="shared" si="98"/>
        <v>0</v>
      </c>
      <c r="K137" s="444">
        <f t="shared" si="98"/>
        <v>0</v>
      </c>
      <c r="L137" s="444">
        <f t="shared" si="98"/>
        <v>0</v>
      </c>
      <c r="M137" s="445">
        <f t="shared" si="98"/>
        <v>0</v>
      </c>
    </row>
    <row r="138" spans="4:13" ht="25.5" x14ac:dyDescent="0.45">
      <c r="D138" s="413" t="s">
        <v>394</v>
      </c>
      <c r="E138" s="1030" t="str">
        <f>E329</f>
        <v>Buildings</v>
      </c>
      <c r="F138" s="480"/>
      <c r="G138" s="434">
        <f t="shared" ref="G138:M138" si="99">G329*G$373*G$375</f>
        <v>287095.29057697108</v>
      </c>
      <c r="H138" s="435">
        <f t="shared" si="99"/>
        <v>2035626.7293729985</v>
      </c>
      <c r="I138" s="436">
        <f t="shared" si="99"/>
        <v>1536937.5906788572</v>
      </c>
      <c r="J138" s="437">
        <f t="shared" si="99"/>
        <v>176074.02170366765</v>
      </c>
      <c r="K138" s="437">
        <f t="shared" si="99"/>
        <v>243446.9502617447</v>
      </c>
      <c r="L138" s="437">
        <f t="shared" si="99"/>
        <v>15369.472135443402</v>
      </c>
      <c r="M138" s="438">
        <f t="shared" si="99"/>
        <v>15455.831978368409</v>
      </c>
    </row>
    <row r="139" spans="4:13" ht="14.25" x14ac:dyDescent="0.45">
      <c r="D139" s="462"/>
      <c r="E139" s="1031" t="str">
        <f t="shared" ref="E139:E153" si="100">E330</f>
        <v>Instrument Transformers</v>
      </c>
      <c r="F139" s="481"/>
      <c r="G139" s="434">
        <f t="shared" ref="G139:M139" si="101">G330*G$373*G$375</f>
        <v>33248.429267122578</v>
      </c>
      <c r="H139" s="435">
        <f t="shared" si="101"/>
        <v>27146.488659023598</v>
      </c>
      <c r="I139" s="436">
        <f t="shared" si="101"/>
        <v>27574.92105225171</v>
      </c>
      <c r="J139" s="437">
        <f t="shared" si="101"/>
        <v>25253.948260684403</v>
      </c>
      <c r="K139" s="437">
        <f t="shared" si="101"/>
        <v>23464.773761464232</v>
      </c>
      <c r="L139" s="437">
        <f t="shared" si="101"/>
        <v>23486.760749142002</v>
      </c>
      <c r="M139" s="438">
        <f t="shared" si="101"/>
        <v>23618.730991921882</v>
      </c>
    </row>
    <row r="140" spans="4:13" ht="14.25" x14ac:dyDescent="0.45">
      <c r="D140" s="462"/>
      <c r="E140" s="1031" t="str">
        <f t="shared" si="100"/>
        <v>Metering Units</v>
      </c>
      <c r="F140" s="481"/>
      <c r="G140" s="434">
        <f t="shared" ref="G140:M140" si="102">G331*G$373*G$375</f>
        <v>24902.202335154569</v>
      </c>
      <c r="H140" s="435">
        <f t="shared" si="102"/>
        <v>20332.008704677326</v>
      </c>
      <c r="I140" s="436">
        <f t="shared" si="102"/>
        <v>20652.893341283321</v>
      </c>
      <c r="J140" s="437">
        <f t="shared" si="102"/>
        <v>18914.54553526681</v>
      </c>
      <c r="K140" s="437">
        <f t="shared" si="102"/>
        <v>17574.500715870279</v>
      </c>
      <c r="L140" s="437">
        <f t="shared" si="102"/>
        <v>17590.968393530889</v>
      </c>
      <c r="M140" s="438">
        <f t="shared" si="102"/>
        <v>17689.810647446735</v>
      </c>
    </row>
    <row r="141" spans="4:13" ht="14.25" x14ac:dyDescent="0.45">
      <c r="D141" s="462"/>
      <c r="E141" s="1031" t="str">
        <f t="shared" si="100"/>
        <v>Pillars</v>
      </c>
      <c r="F141" s="481"/>
      <c r="G141" s="434">
        <f t="shared" ref="G141:M141" si="103">G332*G$373*G$375</f>
        <v>0</v>
      </c>
      <c r="H141" s="435">
        <f t="shared" si="103"/>
        <v>0</v>
      </c>
      <c r="I141" s="436">
        <f t="shared" si="103"/>
        <v>671464.52445245755</v>
      </c>
      <c r="J141" s="437">
        <f t="shared" si="103"/>
        <v>678838.21322779998</v>
      </c>
      <c r="K141" s="437">
        <f t="shared" si="103"/>
        <v>682444.71843854454</v>
      </c>
      <c r="L141" s="437">
        <f t="shared" si="103"/>
        <v>684687.6518829799</v>
      </c>
      <c r="M141" s="438">
        <f t="shared" si="103"/>
        <v>688534.85740495392</v>
      </c>
    </row>
    <row r="142" spans="4:13" ht="14.25" x14ac:dyDescent="0.45">
      <c r="D142" s="462"/>
      <c r="E142" s="1031" t="str">
        <f t="shared" si="100"/>
        <v>Substation Auxiliary Plant</v>
      </c>
      <c r="F142" s="481"/>
      <c r="G142" s="434">
        <f t="shared" ref="G142:M142" si="104">G333*G$373*G$375</f>
        <v>479854.06941813749</v>
      </c>
      <c r="H142" s="435">
        <f t="shared" si="104"/>
        <v>621887.88648627314</v>
      </c>
      <c r="I142" s="436">
        <f t="shared" si="104"/>
        <v>1421555.2948217716</v>
      </c>
      <c r="J142" s="437">
        <f t="shared" si="104"/>
        <v>709106.79961911659</v>
      </c>
      <c r="K142" s="437">
        <f t="shared" si="104"/>
        <v>85091.637773279799</v>
      </c>
      <c r="L142" s="437">
        <f t="shared" si="104"/>
        <v>172477.52775236103</v>
      </c>
      <c r="M142" s="438">
        <f t="shared" si="104"/>
        <v>117158.55871801652</v>
      </c>
    </row>
    <row r="143" spans="4:13" ht="14.25" x14ac:dyDescent="0.45">
      <c r="D143" s="462"/>
      <c r="E143" s="1031" t="str">
        <f t="shared" si="100"/>
        <v>Voltage Regulators</v>
      </c>
      <c r="F143" s="481"/>
      <c r="G143" s="434">
        <f t="shared" ref="G143:M143" si="105">G334*G$373*G$375</f>
        <v>0</v>
      </c>
      <c r="H143" s="435">
        <f t="shared" si="105"/>
        <v>0</v>
      </c>
      <c r="I143" s="436">
        <f t="shared" si="105"/>
        <v>0</v>
      </c>
      <c r="J143" s="437">
        <f t="shared" si="105"/>
        <v>0</v>
      </c>
      <c r="K143" s="437">
        <f t="shared" si="105"/>
        <v>0</v>
      </c>
      <c r="L143" s="437">
        <f t="shared" si="105"/>
        <v>0</v>
      </c>
      <c r="M143" s="438">
        <f t="shared" si="105"/>
        <v>0</v>
      </c>
    </row>
    <row r="144" spans="4:13" ht="14.25" x14ac:dyDescent="0.45">
      <c r="D144" s="462"/>
      <c r="E144" s="1031" t="str">
        <f t="shared" si="100"/>
        <v>Civil and Grounds</v>
      </c>
      <c r="F144" s="481"/>
      <c r="G144" s="434">
        <f t="shared" ref="G144:M144" si="106">G335*G$373*G$375</f>
        <v>1086030.5544981675</v>
      </c>
      <c r="H144" s="435">
        <f t="shared" si="106"/>
        <v>3000645.9619853762</v>
      </c>
      <c r="I144" s="436">
        <f t="shared" si="106"/>
        <v>3659077.4020222668</v>
      </c>
      <c r="J144" s="437">
        <f t="shared" si="106"/>
        <v>1721980.8186428603</v>
      </c>
      <c r="K144" s="437">
        <f t="shared" si="106"/>
        <v>272995.35963549564</v>
      </c>
      <c r="L144" s="437">
        <f t="shared" si="106"/>
        <v>419968.63867140381</v>
      </c>
      <c r="M144" s="438">
        <f t="shared" si="106"/>
        <v>502662.61733883526</v>
      </c>
    </row>
    <row r="145" spans="4:13" ht="14.25" x14ac:dyDescent="0.45">
      <c r="D145" s="462"/>
      <c r="E145" s="1031" t="str">
        <f t="shared" si="100"/>
        <v>Fire Systems</v>
      </c>
      <c r="F145" s="481"/>
      <c r="G145" s="434">
        <f t="shared" ref="G145:M145" si="107">G336*G$373*G$375</f>
        <v>7219.759960913213</v>
      </c>
      <c r="H145" s="435">
        <f t="shared" si="107"/>
        <v>0</v>
      </c>
      <c r="I145" s="436">
        <f t="shared" si="107"/>
        <v>271656.01571323408</v>
      </c>
      <c r="J145" s="437">
        <f t="shared" si="107"/>
        <v>370791.33607224713</v>
      </c>
      <c r="K145" s="437">
        <f t="shared" si="107"/>
        <v>353616.00948132458</v>
      </c>
      <c r="L145" s="437">
        <f t="shared" si="107"/>
        <v>0</v>
      </c>
      <c r="M145" s="438">
        <f t="shared" si="107"/>
        <v>106492.12826776315</v>
      </c>
    </row>
    <row r="146" spans="4:13" ht="14.25" x14ac:dyDescent="0.45">
      <c r="D146" s="462"/>
      <c r="E146" s="1031" t="str">
        <f t="shared" si="100"/>
        <v>Capacitor Banks</v>
      </c>
      <c r="F146" s="481"/>
      <c r="G146" s="434">
        <f t="shared" ref="G146:M146" si="108">G337*G$373*G$375</f>
        <v>0</v>
      </c>
      <c r="H146" s="435">
        <f t="shared" si="108"/>
        <v>0</v>
      </c>
      <c r="I146" s="436">
        <f t="shared" si="108"/>
        <v>0</v>
      </c>
      <c r="J146" s="437">
        <f t="shared" si="108"/>
        <v>0</v>
      </c>
      <c r="K146" s="437">
        <f t="shared" si="108"/>
        <v>0</v>
      </c>
      <c r="L146" s="437">
        <f t="shared" si="108"/>
        <v>0</v>
      </c>
      <c r="M146" s="438">
        <f t="shared" si="108"/>
        <v>0</v>
      </c>
    </row>
    <row r="147" spans="4:13" ht="14.25" x14ac:dyDescent="0.45">
      <c r="D147" s="462"/>
      <c r="E147" s="1031" t="str">
        <f t="shared" si="100"/>
        <v>Cable Tunnels</v>
      </c>
      <c r="F147" s="481"/>
      <c r="G147" s="434">
        <f t="shared" ref="G147:M147" si="109">G338*G$373*G$375</f>
        <v>0</v>
      </c>
      <c r="H147" s="435">
        <f t="shared" si="109"/>
        <v>0</v>
      </c>
      <c r="I147" s="436">
        <f t="shared" si="109"/>
        <v>149066.50383010393</v>
      </c>
      <c r="J147" s="437">
        <f t="shared" si="109"/>
        <v>440517.85843638447</v>
      </c>
      <c r="K147" s="437">
        <f t="shared" si="109"/>
        <v>151504.12945182537</v>
      </c>
      <c r="L147" s="437">
        <f t="shared" si="109"/>
        <v>152002.06528418857</v>
      </c>
      <c r="M147" s="438">
        <f t="shared" si="109"/>
        <v>152856.15281345038</v>
      </c>
    </row>
    <row r="148" spans="4:13" ht="14.25" x14ac:dyDescent="0.45">
      <c r="D148" s="462"/>
      <c r="E148" s="1031" t="str">
        <f t="shared" si="100"/>
        <v>Power Transformer Refurbishment</v>
      </c>
      <c r="F148" s="481"/>
      <c r="G148" s="434">
        <f t="shared" ref="G148:M148" si="110">G339*G$373*G$375</f>
        <v>0</v>
      </c>
      <c r="H148" s="435">
        <f t="shared" si="110"/>
        <v>0</v>
      </c>
      <c r="I148" s="436">
        <f t="shared" si="110"/>
        <v>0</v>
      </c>
      <c r="J148" s="437">
        <f t="shared" si="110"/>
        <v>0</v>
      </c>
      <c r="K148" s="437">
        <f t="shared" si="110"/>
        <v>0</v>
      </c>
      <c r="L148" s="437">
        <f t="shared" si="110"/>
        <v>0</v>
      </c>
      <c r="M148" s="438">
        <f t="shared" si="110"/>
        <v>0</v>
      </c>
    </row>
    <row r="149" spans="4:13" ht="14.25" x14ac:dyDescent="0.45">
      <c r="D149" s="462"/>
      <c r="E149" s="1031" t="str">
        <f t="shared" si="100"/>
        <v>Power Transformer Spares</v>
      </c>
      <c r="F149" s="481"/>
      <c r="G149" s="434">
        <f t="shared" ref="G149:M149" si="111">G340*G$373*G$375</f>
        <v>0</v>
      </c>
      <c r="H149" s="435">
        <f t="shared" si="111"/>
        <v>0</v>
      </c>
      <c r="I149" s="436">
        <f t="shared" si="111"/>
        <v>0</v>
      </c>
      <c r="J149" s="437">
        <f t="shared" si="111"/>
        <v>0</v>
      </c>
      <c r="K149" s="437">
        <f t="shared" si="111"/>
        <v>0</v>
      </c>
      <c r="L149" s="437">
        <f t="shared" si="111"/>
        <v>0</v>
      </c>
      <c r="M149" s="438">
        <f t="shared" si="111"/>
        <v>0</v>
      </c>
    </row>
    <row r="150" spans="4:13" ht="14.25" x14ac:dyDescent="0.45">
      <c r="D150" s="462"/>
      <c r="E150" s="1031" t="str">
        <f t="shared" si="100"/>
        <v>Pole Refurbishment</v>
      </c>
      <c r="F150" s="481"/>
      <c r="G150" s="434">
        <f t="shared" ref="G150:M150" si="112">G341*G$373*G$375</f>
        <v>4493296.779465382</v>
      </c>
      <c r="H150" s="435">
        <f t="shared" si="112"/>
        <v>3085198.0695890398</v>
      </c>
      <c r="I150" s="436">
        <f t="shared" si="112"/>
        <v>2030906.3857913003</v>
      </c>
      <c r="J150" s="437">
        <f t="shared" si="112"/>
        <v>2053208.7875941235</v>
      </c>
      <c r="K150" s="437">
        <f t="shared" si="112"/>
        <v>2064116.9952449498</v>
      </c>
      <c r="L150" s="437">
        <f t="shared" si="112"/>
        <v>2070900.9543214526</v>
      </c>
      <c r="M150" s="438">
        <f t="shared" si="112"/>
        <v>2082537.1822642467</v>
      </c>
    </row>
    <row r="151" spans="4:13" ht="14.25" x14ac:dyDescent="0.45">
      <c r="D151" s="462"/>
      <c r="E151" s="1031" t="str">
        <f t="shared" si="100"/>
        <v>Tower Refurbishment</v>
      </c>
      <c r="F151" s="481"/>
      <c r="G151" s="434">
        <f t="shared" ref="G151:M151" si="113">G342*G$373*G$375</f>
        <v>0</v>
      </c>
      <c r="H151" s="435">
        <f t="shared" si="113"/>
        <v>0</v>
      </c>
      <c r="I151" s="436">
        <f t="shared" si="113"/>
        <v>0</v>
      </c>
      <c r="J151" s="437">
        <f t="shared" si="113"/>
        <v>0</v>
      </c>
      <c r="K151" s="437">
        <f t="shared" si="113"/>
        <v>0</v>
      </c>
      <c r="L151" s="437">
        <f t="shared" si="113"/>
        <v>0</v>
      </c>
      <c r="M151" s="438">
        <f t="shared" si="113"/>
        <v>0</v>
      </c>
    </row>
    <row r="152" spans="4:13" ht="14.25" x14ac:dyDescent="0.45">
      <c r="D152" s="462"/>
      <c r="E152" s="1031" t="str">
        <f t="shared" si="100"/>
        <v>EDO Refurbishment</v>
      </c>
      <c r="F152" s="481"/>
      <c r="G152" s="434">
        <f t="shared" ref="G152:M152" si="114">G343*G$373*G$375</f>
        <v>0</v>
      </c>
      <c r="H152" s="435">
        <f t="shared" si="114"/>
        <v>0</v>
      </c>
      <c r="I152" s="436">
        <f t="shared" si="114"/>
        <v>0</v>
      </c>
      <c r="J152" s="437">
        <f t="shared" si="114"/>
        <v>0</v>
      </c>
      <c r="K152" s="437">
        <f t="shared" si="114"/>
        <v>0</v>
      </c>
      <c r="L152" s="437">
        <f t="shared" si="114"/>
        <v>0</v>
      </c>
      <c r="M152" s="438">
        <f t="shared" si="114"/>
        <v>0</v>
      </c>
    </row>
    <row r="153" spans="4:13" ht="14.25" x14ac:dyDescent="0.45">
      <c r="D153" s="462"/>
      <c r="E153" s="1031" t="str">
        <f t="shared" si="100"/>
        <v>Surge Arrestors</v>
      </c>
      <c r="F153" s="481"/>
      <c r="G153" s="434">
        <f t="shared" ref="G153:M153" si="115">G344*G$373*G$375</f>
        <v>0</v>
      </c>
      <c r="H153" s="435">
        <f t="shared" si="115"/>
        <v>0</v>
      </c>
      <c r="I153" s="436">
        <f t="shared" si="115"/>
        <v>0</v>
      </c>
      <c r="J153" s="437">
        <f t="shared" si="115"/>
        <v>0</v>
      </c>
      <c r="K153" s="437">
        <f t="shared" si="115"/>
        <v>0</v>
      </c>
      <c r="L153" s="437">
        <f t="shared" si="115"/>
        <v>0</v>
      </c>
      <c r="M153" s="438">
        <f t="shared" si="115"/>
        <v>0</v>
      </c>
    </row>
    <row r="154" spans="4:13" ht="11.25" customHeight="1" x14ac:dyDescent="0.45">
      <c r="D154" s="462"/>
      <c r="E154" s="895"/>
      <c r="F154" s="481"/>
      <c r="G154" s="434"/>
      <c r="H154" s="435"/>
      <c r="I154" s="436"/>
      <c r="J154" s="437"/>
      <c r="K154" s="437"/>
      <c r="L154" s="437"/>
      <c r="M154" s="438"/>
    </row>
    <row r="155" spans="4:13" ht="11.25" customHeight="1" x14ac:dyDescent="0.45">
      <c r="D155" s="462"/>
      <c r="E155" s="895"/>
      <c r="F155" s="481"/>
      <c r="G155" s="434"/>
      <c r="H155" s="435"/>
      <c r="I155" s="436"/>
      <c r="J155" s="437"/>
      <c r="K155" s="437"/>
      <c r="L155" s="437"/>
      <c r="M155" s="438"/>
    </row>
    <row r="156" spans="4:13" ht="11.25" customHeight="1" x14ac:dyDescent="0.45">
      <c r="D156" s="462"/>
      <c r="E156" s="895"/>
      <c r="F156" s="481"/>
      <c r="G156" s="434"/>
      <c r="H156" s="435"/>
      <c r="I156" s="436"/>
      <c r="J156" s="437"/>
      <c r="K156" s="437"/>
      <c r="L156" s="437"/>
      <c r="M156" s="438"/>
    </row>
    <row r="157" spans="4:13" ht="11.25" customHeight="1" x14ac:dyDescent="0.45">
      <c r="D157" s="462"/>
      <c r="E157" s="895"/>
      <c r="F157" s="481"/>
      <c r="G157" s="434"/>
      <c r="H157" s="435"/>
      <c r="I157" s="436"/>
      <c r="J157" s="437"/>
      <c r="K157" s="437"/>
      <c r="L157" s="437"/>
      <c r="M157" s="438"/>
    </row>
    <row r="158" spans="4:13" ht="11.25" customHeight="1" x14ac:dyDescent="0.45">
      <c r="D158" s="462"/>
      <c r="E158" s="895"/>
      <c r="F158" s="481"/>
      <c r="G158" s="434"/>
      <c r="H158" s="435"/>
      <c r="I158" s="436"/>
      <c r="J158" s="437"/>
      <c r="K158" s="437"/>
      <c r="L158" s="437"/>
      <c r="M158" s="438"/>
    </row>
    <row r="159" spans="4:13" ht="11.25" customHeight="1" x14ac:dyDescent="0.45">
      <c r="D159" s="462"/>
      <c r="E159" s="895"/>
      <c r="F159" s="481"/>
      <c r="G159" s="434"/>
      <c r="H159" s="435"/>
      <c r="I159" s="436"/>
      <c r="J159" s="437"/>
      <c r="K159" s="437"/>
      <c r="L159" s="437"/>
      <c r="M159" s="438"/>
    </row>
    <row r="160" spans="4:13" ht="11.25" customHeight="1" x14ac:dyDescent="0.45">
      <c r="D160" s="462"/>
      <c r="E160" s="895"/>
      <c r="F160" s="481"/>
      <c r="G160" s="434"/>
      <c r="H160" s="435"/>
      <c r="I160" s="436"/>
      <c r="J160" s="437"/>
      <c r="K160" s="437"/>
      <c r="L160" s="437"/>
      <c r="M160" s="438"/>
    </row>
    <row r="161" spans="4:13" ht="11.25" customHeight="1" x14ac:dyDescent="0.45">
      <c r="D161" s="462"/>
      <c r="E161" s="895"/>
      <c r="F161" s="481"/>
      <c r="G161" s="434"/>
      <c r="H161" s="435"/>
      <c r="I161" s="436"/>
      <c r="J161" s="437"/>
      <c r="K161" s="437"/>
      <c r="L161" s="437"/>
      <c r="M161" s="438"/>
    </row>
    <row r="162" spans="4:13" ht="11.25" customHeight="1" x14ac:dyDescent="0.45">
      <c r="D162" s="462"/>
      <c r="E162" s="895"/>
      <c r="F162" s="481"/>
      <c r="G162" s="434"/>
      <c r="H162" s="435"/>
      <c r="I162" s="436"/>
      <c r="J162" s="437"/>
      <c r="K162" s="437"/>
      <c r="L162" s="437"/>
      <c r="M162" s="438"/>
    </row>
    <row r="163" spans="4:13" ht="11.25" customHeight="1" x14ac:dyDescent="0.45">
      <c r="D163" s="462"/>
      <c r="E163" s="895"/>
      <c r="F163" s="481"/>
      <c r="G163" s="434"/>
      <c r="H163" s="435"/>
      <c r="I163" s="436"/>
      <c r="J163" s="437"/>
      <c r="K163" s="437"/>
      <c r="L163" s="437"/>
      <c r="M163" s="438"/>
    </row>
    <row r="164" spans="4:13" ht="11.25" customHeight="1" x14ac:dyDescent="0.45">
      <c r="D164" s="462"/>
      <c r="E164" s="895"/>
      <c r="F164" s="481"/>
      <c r="G164" s="434"/>
      <c r="H164" s="435"/>
      <c r="I164" s="436"/>
      <c r="J164" s="437"/>
      <c r="K164" s="437"/>
      <c r="L164" s="437"/>
      <c r="M164" s="438"/>
    </row>
    <row r="165" spans="4:13" ht="11.25" customHeight="1" x14ac:dyDescent="0.45">
      <c r="D165" s="462"/>
      <c r="E165" s="895"/>
      <c r="F165" s="481"/>
      <c r="G165" s="434"/>
      <c r="H165" s="435"/>
      <c r="I165" s="436"/>
      <c r="J165" s="437"/>
      <c r="K165" s="437"/>
      <c r="L165" s="437"/>
      <c r="M165" s="438"/>
    </row>
    <row r="166" spans="4:13" ht="11.25" customHeight="1" x14ac:dyDescent="0.45">
      <c r="D166" s="462"/>
      <c r="E166" s="895"/>
      <c r="F166" s="481"/>
      <c r="G166" s="434"/>
      <c r="H166" s="435"/>
      <c r="I166" s="436"/>
      <c r="J166" s="437"/>
      <c r="K166" s="437"/>
      <c r="L166" s="437"/>
      <c r="M166" s="438"/>
    </row>
    <row r="167" spans="4:13" ht="11.25" customHeight="1" x14ac:dyDescent="0.45">
      <c r="D167" s="462"/>
      <c r="E167" s="895"/>
      <c r="F167" s="481"/>
      <c r="G167" s="434"/>
      <c r="H167" s="435"/>
      <c r="I167" s="436"/>
      <c r="J167" s="437"/>
      <c r="K167" s="437"/>
      <c r="L167" s="437"/>
      <c r="M167" s="438"/>
    </row>
    <row r="168" spans="4:13" ht="11.25" customHeight="1" x14ac:dyDescent="0.45">
      <c r="D168" s="462"/>
      <c r="E168" s="895"/>
      <c r="F168" s="481"/>
      <c r="G168" s="434"/>
      <c r="H168" s="435"/>
      <c r="I168" s="436"/>
      <c r="J168" s="437"/>
      <c r="K168" s="437"/>
      <c r="L168" s="437"/>
      <c r="M168" s="438"/>
    </row>
    <row r="169" spans="4:13" ht="11.25" customHeight="1" x14ac:dyDescent="0.45">
      <c r="D169" s="462"/>
      <c r="E169" s="895"/>
      <c r="F169" s="481"/>
      <c r="G169" s="434"/>
      <c r="H169" s="435"/>
      <c r="I169" s="436"/>
      <c r="J169" s="437"/>
      <c r="K169" s="437"/>
      <c r="L169" s="437"/>
      <c r="M169" s="438"/>
    </row>
    <row r="170" spans="4:13" ht="11.25" customHeight="1" x14ac:dyDescent="0.45">
      <c r="D170" s="462"/>
      <c r="E170" s="895"/>
      <c r="F170" s="481"/>
      <c r="G170" s="434"/>
      <c r="H170" s="435"/>
      <c r="I170" s="436"/>
      <c r="J170" s="437"/>
      <c r="K170" s="437"/>
      <c r="L170" s="437"/>
      <c r="M170" s="438"/>
    </row>
    <row r="171" spans="4:13" ht="11.25" customHeight="1" x14ac:dyDescent="0.45">
      <c r="D171" s="462"/>
      <c r="E171" s="895"/>
      <c r="F171" s="481"/>
      <c r="G171" s="434"/>
      <c r="H171" s="435"/>
      <c r="I171" s="436"/>
      <c r="J171" s="437"/>
      <c r="K171" s="437"/>
      <c r="L171" s="437"/>
      <c r="M171" s="438"/>
    </row>
    <row r="172" spans="4:13" ht="11.25" customHeight="1" x14ac:dyDescent="0.45">
      <c r="D172" s="462"/>
      <c r="E172" s="895"/>
      <c r="F172" s="481"/>
      <c r="G172" s="434"/>
      <c r="H172" s="435"/>
      <c r="I172" s="436"/>
      <c r="J172" s="437"/>
      <c r="K172" s="437"/>
      <c r="L172" s="437"/>
      <c r="M172" s="438"/>
    </row>
    <row r="173" spans="4:13" ht="11.25" customHeight="1" x14ac:dyDescent="0.45">
      <c r="D173" s="462"/>
      <c r="E173" s="895"/>
      <c r="F173" s="481"/>
      <c r="G173" s="434"/>
      <c r="H173" s="435"/>
      <c r="I173" s="436"/>
      <c r="J173" s="437"/>
      <c r="K173" s="437"/>
      <c r="L173" s="437"/>
      <c r="M173" s="438"/>
    </row>
    <row r="174" spans="4:13" ht="11.25" customHeight="1" x14ac:dyDescent="0.45">
      <c r="D174" s="462"/>
      <c r="E174" s="895"/>
      <c r="F174" s="481"/>
      <c r="G174" s="434"/>
      <c r="H174" s="435"/>
      <c r="I174" s="436"/>
      <c r="J174" s="437"/>
      <c r="K174" s="437"/>
      <c r="L174" s="437"/>
      <c r="M174" s="438"/>
    </row>
    <row r="175" spans="4:13" ht="11.25" customHeight="1" x14ac:dyDescent="0.45">
      <c r="D175" s="462"/>
      <c r="E175" s="895"/>
      <c r="F175" s="481"/>
      <c r="G175" s="434"/>
      <c r="H175" s="435"/>
      <c r="I175" s="436"/>
      <c r="J175" s="437"/>
      <c r="K175" s="437"/>
      <c r="L175" s="437"/>
      <c r="M175" s="438"/>
    </row>
    <row r="176" spans="4:13" ht="11.25" customHeight="1" x14ac:dyDescent="0.45">
      <c r="D176" s="462"/>
      <c r="E176" s="895"/>
      <c r="F176" s="481"/>
      <c r="G176" s="434"/>
      <c r="H176" s="435"/>
      <c r="I176" s="436"/>
      <c r="J176" s="437"/>
      <c r="K176" s="437"/>
      <c r="L176" s="437"/>
      <c r="M176" s="438"/>
    </row>
    <row r="177" spans="1:13" ht="11.25" customHeight="1" x14ac:dyDescent="0.45">
      <c r="D177" s="462"/>
      <c r="E177" s="895"/>
      <c r="F177" s="481"/>
      <c r="G177" s="434"/>
      <c r="H177" s="435"/>
      <c r="I177" s="436"/>
      <c r="J177" s="437"/>
      <c r="K177" s="437"/>
      <c r="L177" s="437"/>
      <c r="M177" s="438"/>
    </row>
    <row r="178" spans="1:13" ht="11.25" customHeight="1" thickBot="1" x14ac:dyDescent="0.5">
      <c r="D178" s="464"/>
      <c r="E178" s="896"/>
      <c r="F178" s="482"/>
      <c r="G178" s="466"/>
      <c r="H178" s="467"/>
      <c r="I178" s="468"/>
      <c r="J178" s="318"/>
      <c r="K178" s="318"/>
      <c r="L178" s="318"/>
      <c r="M178" s="319"/>
    </row>
    <row r="179" spans="1:13" ht="11.25" customHeight="1" x14ac:dyDescent="0.3"/>
    <row r="180" spans="1:13" ht="12.75" x14ac:dyDescent="0.3">
      <c r="D180" s="6" t="s">
        <v>83</v>
      </c>
      <c r="E180" s="6"/>
      <c r="G180" s="118">
        <f>'WkB_1_2.1.1'!E11</f>
        <v>38592859.769823328</v>
      </c>
      <c r="H180" s="118">
        <f>'WkB_1_2.1.1'!F11</f>
        <v>47541407.359175004</v>
      </c>
      <c r="I180" s="118">
        <f>'WkB_1_2.1.1'!G11</f>
        <v>47509401.939582162</v>
      </c>
      <c r="J180" s="118">
        <f>'WkB_1_2.1.1'!H11</f>
        <v>44023794.146622419</v>
      </c>
      <c r="K180" s="118">
        <f>'WkB_1_2.1.1'!I11</f>
        <v>30431118.927909762</v>
      </c>
      <c r="L180" s="118">
        <f>'WkB_1_2.1.1'!J11</f>
        <v>27450230.710457563</v>
      </c>
      <c r="M180" s="118">
        <f>'WkB_1_2.1.1'!K11</f>
        <v>27213012.894361537</v>
      </c>
    </row>
    <row r="181" spans="1:13" ht="12.75" x14ac:dyDescent="0.3">
      <c r="D181" s="6" t="s">
        <v>396</v>
      </c>
      <c r="E181" s="6"/>
      <c r="G181" s="118">
        <f t="shared" ref="G181:M181" si="116">SUM(G12:G178)</f>
        <v>38592859.769823335</v>
      </c>
      <c r="H181" s="118">
        <f t="shared" si="116"/>
        <v>47541407.359175004</v>
      </c>
      <c r="I181" s="118">
        <f t="shared" si="116"/>
        <v>47509401.939582162</v>
      </c>
      <c r="J181" s="118">
        <f t="shared" si="116"/>
        <v>44023794.146622427</v>
      </c>
      <c r="K181" s="118">
        <f t="shared" si="116"/>
        <v>30431118.92790975</v>
      </c>
      <c r="L181" s="118">
        <f t="shared" si="116"/>
        <v>27450230.710457556</v>
      </c>
      <c r="M181" s="118">
        <f t="shared" si="116"/>
        <v>27213012.894361552</v>
      </c>
    </row>
    <row r="182" spans="1:13" ht="12.75" x14ac:dyDescent="0.3">
      <c r="A182" s="41">
        <f>IF(SUM($G182:$M182)&gt;0,1,0)</f>
        <v>0</v>
      </c>
      <c r="D182" s="6" t="s">
        <v>84</v>
      </c>
      <c r="E182" s="6"/>
      <c r="G182" s="62">
        <f>IF(ROUND(G181-G180,3)&lt;&gt;0,1,0)</f>
        <v>0</v>
      </c>
      <c r="H182" s="62">
        <f t="shared" ref="H182:M182" si="117">IF(ROUND(H181-H180,3)&lt;&gt;0,1,0)</f>
        <v>0</v>
      </c>
      <c r="I182" s="62">
        <f t="shared" si="117"/>
        <v>0</v>
      </c>
      <c r="J182" s="62">
        <f t="shared" si="117"/>
        <v>0</v>
      </c>
      <c r="K182" s="62">
        <f t="shared" si="117"/>
        <v>0</v>
      </c>
      <c r="L182" s="62">
        <f t="shared" si="117"/>
        <v>0</v>
      </c>
      <c r="M182" s="62">
        <f t="shared" si="117"/>
        <v>0</v>
      </c>
    </row>
    <row r="183" spans="1:13" ht="11.25" customHeight="1" x14ac:dyDescent="0.3"/>
    <row r="184" spans="1:13" ht="12.75" x14ac:dyDescent="0.3">
      <c r="A184" s="41">
        <f>IF(SUM($I184)&gt;0,1,0)</f>
        <v>0</v>
      </c>
      <c r="D184" s="6" t="s">
        <v>730</v>
      </c>
      <c r="G184" s="118">
        <f>SUM(I12:M31)</f>
        <v>11807346.736405037</v>
      </c>
      <c r="H184" s="139"/>
      <c r="I184" s="139"/>
      <c r="J184" s="62"/>
      <c r="K184" s="62"/>
      <c r="L184" s="62"/>
      <c r="M184" s="62"/>
    </row>
    <row r="185" spans="1:13" ht="12.75" x14ac:dyDescent="0.3">
      <c r="A185" s="41">
        <f t="shared" ref="A185:A194" si="118">IF(SUM($I185)&gt;0,1,0)</f>
        <v>0</v>
      </c>
      <c r="D185" s="6" t="s">
        <v>731</v>
      </c>
      <c r="G185" s="118">
        <f>SUM(I32:M38)</f>
        <v>8695649.1031922139</v>
      </c>
      <c r="H185" s="115">
        <v>20502995.839597251</v>
      </c>
      <c r="I185" s="62">
        <f>IF(ROUND(G185+G184-H185,3)=0,0,1)</f>
        <v>0</v>
      </c>
      <c r="J185" s="62"/>
      <c r="K185" s="62"/>
      <c r="L185" s="62"/>
      <c r="M185" s="62"/>
    </row>
    <row r="186" spans="1:13" ht="12.75" x14ac:dyDescent="0.3">
      <c r="A186" s="41">
        <f t="shared" si="118"/>
        <v>0</v>
      </c>
      <c r="D186" s="6" t="s">
        <v>732</v>
      </c>
      <c r="G186" s="118">
        <f>SUM(G39:G44)</f>
        <v>0</v>
      </c>
      <c r="H186" s="139"/>
      <c r="I186" s="62">
        <f t="shared" ref="I186:I194" si="119">IF(ROUND(G186-H186,3)=0,0,1)</f>
        <v>0</v>
      </c>
      <c r="J186" s="62"/>
      <c r="K186" s="62"/>
      <c r="L186" s="62"/>
      <c r="M186" s="62"/>
    </row>
    <row r="187" spans="1:13" ht="12.75" x14ac:dyDescent="0.3">
      <c r="A187" s="41">
        <f t="shared" si="118"/>
        <v>0</v>
      </c>
      <c r="D187" s="6" t="s">
        <v>733</v>
      </c>
      <c r="G187" s="118">
        <f>SUM(I45:M53)</f>
        <v>848813.51329254347</v>
      </c>
      <c r="H187" s="115">
        <v>848813.51329254347</v>
      </c>
      <c r="I187" s="62">
        <f t="shared" si="119"/>
        <v>0</v>
      </c>
      <c r="J187" s="118"/>
      <c r="K187" s="62"/>
      <c r="L187" s="62"/>
      <c r="M187" s="62"/>
    </row>
    <row r="188" spans="1:13" ht="12.75" x14ac:dyDescent="0.3">
      <c r="A188" s="41">
        <f t="shared" si="118"/>
        <v>0</v>
      </c>
      <c r="D188" s="6" t="s">
        <v>734</v>
      </c>
      <c r="G188" s="118">
        <f>SUM(I54:M61)</f>
        <v>42103723.351642206</v>
      </c>
      <c r="H188" s="115">
        <v>42103723.351642206</v>
      </c>
      <c r="I188" s="62">
        <f t="shared" si="119"/>
        <v>0</v>
      </c>
      <c r="J188" s="118"/>
      <c r="K188" s="62"/>
      <c r="L188" s="62"/>
      <c r="M188" s="62"/>
    </row>
    <row r="189" spans="1:13" ht="12.75" x14ac:dyDescent="0.3">
      <c r="A189" s="41">
        <f t="shared" si="118"/>
        <v>0</v>
      </c>
      <c r="D189" s="6" t="s">
        <v>735</v>
      </c>
      <c r="G189" s="118">
        <f>SUM(I62:M77)</f>
        <v>9418735.2643252015</v>
      </c>
      <c r="H189" s="115">
        <v>9418735.2643252015</v>
      </c>
      <c r="I189" s="62">
        <f t="shared" si="119"/>
        <v>0</v>
      </c>
      <c r="J189" s="118"/>
      <c r="K189" s="62"/>
      <c r="L189" s="62"/>
      <c r="M189" s="62"/>
    </row>
    <row r="190" spans="1:13" ht="12.75" x14ac:dyDescent="0.3">
      <c r="A190" s="41">
        <f t="shared" si="118"/>
        <v>0</v>
      </c>
      <c r="D190" s="6" t="s">
        <v>736</v>
      </c>
      <c r="G190" s="118">
        <f>SUM(I78:M106)</f>
        <v>21949268.993074268</v>
      </c>
      <c r="H190" s="115">
        <v>21949268.993074268</v>
      </c>
      <c r="I190" s="62">
        <f t="shared" si="119"/>
        <v>0</v>
      </c>
      <c r="J190" s="118"/>
      <c r="K190" s="62"/>
      <c r="L190" s="62"/>
      <c r="M190" s="62"/>
    </row>
    <row r="191" spans="1:13" ht="12.75" x14ac:dyDescent="0.3">
      <c r="A191" s="41">
        <f t="shared" si="118"/>
        <v>0</v>
      </c>
      <c r="D191" s="6" t="s">
        <v>737</v>
      </c>
      <c r="G191" s="118">
        <f>SUM(I107:M120)</f>
        <v>20074334.745285094</v>
      </c>
      <c r="H191" s="115">
        <v>20074334.745285094</v>
      </c>
      <c r="I191" s="62">
        <f t="shared" si="119"/>
        <v>0</v>
      </c>
      <c r="J191" s="118"/>
      <c r="K191" s="62"/>
      <c r="L191" s="62"/>
      <c r="M191" s="62"/>
    </row>
    <row r="192" spans="1:13" ht="12.75" x14ac:dyDescent="0.3">
      <c r="A192" s="41">
        <f t="shared" si="118"/>
        <v>0</v>
      </c>
      <c r="D192" s="6" t="s">
        <v>247</v>
      </c>
      <c r="G192" s="118">
        <f>SUM(I121:M129)</f>
        <v>0</v>
      </c>
      <c r="H192" s="139"/>
      <c r="I192" s="62">
        <f t="shared" si="119"/>
        <v>0</v>
      </c>
      <c r="J192" s="62"/>
      <c r="K192" s="62"/>
      <c r="L192" s="62"/>
      <c r="M192" s="62"/>
    </row>
    <row r="193" spans="1:15" ht="12.75" x14ac:dyDescent="0.3">
      <c r="A193" s="41">
        <f t="shared" si="118"/>
        <v>0</v>
      </c>
      <c r="D193" s="6" t="s">
        <v>738</v>
      </c>
      <c r="G193" s="118">
        <f>SUM(I130:M137)</f>
        <v>34588364.066541202</v>
      </c>
      <c r="H193" s="115">
        <v>34588364.066541202</v>
      </c>
      <c r="I193" s="62">
        <f t="shared" si="119"/>
        <v>0</v>
      </c>
      <c r="J193" s="118"/>
      <c r="K193" s="62"/>
      <c r="L193" s="62"/>
      <c r="M193" s="62"/>
    </row>
    <row r="194" spans="1:15" ht="12.75" x14ac:dyDescent="0.3">
      <c r="A194" s="41">
        <f t="shared" si="118"/>
        <v>0</v>
      </c>
      <c r="D194" s="6" t="s">
        <v>232</v>
      </c>
      <c r="G194" s="118">
        <f>SUM(I138:M178)</f>
        <v>27141322.845175683</v>
      </c>
      <c r="H194" s="115">
        <v>27141322.845175683</v>
      </c>
      <c r="I194" s="62">
        <f t="shared" si="119"/>
        <v>0</v>
      </c>
      <c r="J194" s="118"/>
      <c r="K194" s="62"/>
      <c r="L194" s="62"/>
      <c r="M194" s="62"/>
    </row>
    <row r="195" spans="1:15" ht="12.75" x14ac:dyDescent="0.3">
      <c r="A195" s="41"/>
      <c r="D195" s="6" t="s">
        <v>81</v>
      </c>
      <c r="G195" s="118">
        <f>SUM(G184:G194)</f>
        <v>176627558.61893344</v>
      </c>
      <c r="H195" s="118">
        <f>SUM(H184:H194)</f>
        <v>176627558.61893344</v>
      </c>
      <c r="I195" s="62"/>
      <c r="J195" s="62"/>
      <c r="K195" s="62"/>
      <c r="L195" s="62"/>
      <c r="M195" s="62"/>
    </row>
    <row r="196" spans="1:15" ht="11.25" customHeight="1" x14ac:dyDescent="0.3"/>
    <row r="197" spans="1:15" s="7" customFormat="1" ht="13.9" x14ac:dyDescent="0.3">
      <c r="C197" s="7" t="s">
        <v>651</v>
      </c>
    </row>
    <row r="198" spans="1:15" ht="11.25" customHeight="1" thickBot="1" x14ac:dyDescent="0.35"/>
    <row r="199" spans="1:15" ht="15.4" thickBot="1" x14ac:dyDescent="0.35">
      <c r="D199" s="325" t="s">
        <v>275</v>
      </c>
      <c r="E199" s="325"/>
      <c r="F199" s="325"/>
      <c r="G199" s="325"/>
      <c r="H199" s="325"/>
      <c r="I199" s="325"/>
      <c r="J199" s="325"/>
      <c r="K199" s="325"/>
      <c r="L199" s="325"/>
      <c r="M199" s="325"/>
    </row>
    <row r="200" spans="1:15" ht="28.15" customHeight="1" thickBot="1" x14ac:dyDescent="0.35">
      <c r="D200" s="426" t="s">
        <v>175</v>
      </c>
      <c r="E200" s="427"/>
      <c r="F200" s="427"/>
      <c r="G200" s="427"/>
      <c r="H200" s="427"/>
      <c r="I200" s="427"/>
      <c r="J200" s="427"/>
      <c r="K200" s="427"/>
      <c r="L200" s="427"/>
      <c r="M200" s="428"/>
    </row>
    <row r="201" spans="1:15" ht="28.5" x14ac:dyDescent="0.3">
      <c r="D201" s="429"/>
      <c r="E201" s="430"/>
      <c r="F201" s="431"/>
      <c r="G201" s="471" t="s">
        <v>395</v>
      </c>
      <c r="H201" s="472"/>
      <c r="I201" s="472"/>
      <c r="J201" s="472"/>
      <c r="K201" s="472"/>
      <c r="L201" s="472"/>
      <c r="M201" s="473"/>
    </row>
    <row r="202" spans="1:15" ht="14.65" thickBot="1" x14ac:dyDescent="0.45">
      <c r="D202" s="173" t="s">
        <v>114</v>
      </c>
      <c r="E202" s="173" t="s">
        <v>115</v>
      </c>
      <c r="F202" s="174" t="s">
        <v>276</v>
      </c>
      <c r="G202" s="469" t="s">
        <v>70</v>
      </c>
      <c r="H202" s="469" t="s">
        <v>71</v>
      </c>
      <c r="I202" s="470" t="s">
        <v>72</v>
      </c>
      <c r="J202" s="470" t="s">
        <v>73</v>
      </c>
      <c r="K202" s="470" t="s">
        <v>74</v>
      </c>
      <c r="L202" s="470" t="s">
        <v>82</v>
      </c>
      <c r="M202" s="470" t="s">
        <v>243</v>
      </c>
      <c r="N202" s="350"/>
      <c r="O202" s="350"/>
    </row>
    <row r="203" spans="1:15" ht="45" x14ac:dyDescent="0.45">
      <c r="D203" s="432" t="s">
        <v>277</v>
      </c>
      <c r="E203" s="433" t="s">
        <v>755</v>
      </c>
      <c r="F203" s="474"/>
      <c r="G203" s="434">
        <v>0</v>
      </c>
      <c r="H203" s="435">
        <v>0</v>
      </c>
      <c r="I203" s="436">
        <v>0</v>
      </c>
      <c r="J203" s="437">
        <v>0</v>
      </c>
      <c r="K203" s="437">
        <v>0</v>
      </c>
      <c r="L203" s="437">
        <v>0</v>
      </c>
      <c r="M203" s="438">
        <v>0</v>
      </c>
      <c r="N203" s="350"/>
      <c r="O203" s="350"/>
    </row>
    <row r="204" spans="1:15" ht="15" x14ac:dyDescent="0.45">
      <c r="D204" s="439"/>
      <c r="E204" s="433" t="s">
        <v>278</v>
      </c>
      <c r="F204" s="474"/>
      <c r="G204" s="434">
        <v>0</v>
      </c>
      <c r="H204" s="435">
        <v>0</v>
      </c>
      <c r="I204" s="436">
        <v>0</v>
      </c>
      <c r="J204" s="437">
        <v>0</v>
      </c>
      <c r="K204" s="437">
        <v>0</v>
      </c>
      <c r="L204" s="437">
        <v>0</v>
      </c>
      <c r="M204" s="438">
        <v>0</v>
      </c>
      <c r="N204" s="350"/>
      <c r="O204" s="350"/>
    </row>
    <row r="205" spans="1:15" ht="15" x14ac:dyDescent="0.45">
      <c r="D205" s="439"/>
      <c r="E205" s="433" t="s">
        <v>279</v>
      </c>
      <c r="F205" s="474"/>
      <c r="G205" s="434">
        <v>0</v>
      </c>
      <c r="H205" s="435">
        <v>0</v>
      </c>
      <c r="I205" s="436">
        <v>0</v>
      </c>
      <c r="J205" s="437">
        <v>0</v>
      </c>
      <c r="K205" s="437">
        <v>0</v>
      </c>
      <c r="L205" s="437">
        <v>0</v>
      </c>
      <c r="M205" s="438">
        <v>0</v>
      </c>
      <c r="N205" s="350"/>
      <c r="O205" s="350"/>
    </row>
    <row r="206" spans="1:15" ht="15" x14ac:dyDescent="0.45">
      <c r="D206" s="439"/>
      <c r="E206" s="433" t="s">
        <v>280</v>
      </c>
      <c r="F206" s="474"/>
      <c r="G206" s="434">
        <v>0</v>
      </c>
      <c r="H206" s="435">
        <v>0</v>
      </c>
      <c r="I206" s="436">
        <v>0</v>
      </c>
      <c r="J206" s="437">
        <v>0</v>
      </c>
      <c r="K206" s="437">
        <v>0</v>
      </c>
      <c r="L206" s="437">
        <v>0</v>
      </c>
      <c r="M206" s="438">
        <v>0</v>
      </c>
      <c r="N206" s="350"/>
      <c r="O206" s="350"/>
    </row>
    <row r="207" spans="1:15" ht="15" x14ac:dyDescent="0.45">
      <c r="D207" s="439"/>
      <c r="E207" s="433" t="s">
        <v>281</v>
      </c>
      <c r="F207" s="474"/>
      <c r="G207" s="434">
        <v>0</v>
      </c>
      <c r="H207" s="435">
        <v>0</v>
      </c>
      <c r="I207" s="436">
        <v>0</v>
      </c>
      <c r="J207" s="437">
        <v>0</v>
      </c>
      <c r="K207" s="437">
        <v>0</v>
      </c>
      <c r="L207" s="437">
        <v>0</v>
      </c>
      <c r="M207" s="438">
        <v>0</v>
      </c>
      <c r="N207" s="350"/>
      <c r="O207" s="350"/>
    </row>
    <row r="208" spans="1:15" ht="15" x14ac:dyDescent="0.45">
      <c r="D208" s="439"/>
      <c r="E208" s="433" t="s">
        <v>282</v>
      </c>
      <c r="F208" s="474"/>
      <c r="G208" s="434">
        <v>0</v>
      </c>
      <c r="H208" s="435">
        <v>0</v>
      </c>
      <c r="I208" s="436">
        <v>0</v>
      </c>
      <c r="J208" s="437">
        <v>0</v>
      </c>
      <c r="K208" s="437">
        <v>0</v>
      </c>
      <c r="L208" s="437">
        <v>0</v>
      </c>
      <c r="M208" s="438">
        <v>0</v>
      </c>
      <c r="N208" s="350"/>
      <c r="O208" s="350"/>
    </row>
    <row r="209" spans="1:15" ht="15" x14ac:dyDescent="0.45">
      <c r="D209" s="439"/>
      <c r="E209" s="433" t="s">
        <v>283</v>
      </c>
      <c r="F209" s="474"/>
      <c r="G209" s="434">
        <v>0</v>
      </c>
      <c r="H209" s="435">
        <v>0</v>
      </c>
      <c r="I209" s="436">
        <v>0</v>
      </c>
      <c r="J209" s="437">
        <v>0</v>
      </c>
      <c r="K209" s="437">
        <v>0</v>
      </c>
      <c r="L209" s="437">
        <v>0</v>
      </c>
      <c r="M209" s="438">
        <v>0</v>
      </c>
      <c r="N209" s="350"/>
      <c r="O209" s="350"/>
    </row>
    <row r="210" spans="1:15" ht="15" x14ac:dyDescent="0.45">
      <c r="D210" s="439"/>
      <c r="E210" s="433" t="s">
        <v>284</v>
      </c>
      <c r="F210" s="474"/>
      <c r="G210" s="434">
        <v>0</v>
      </c>
      <c r="H210" s="435">
        <v>0</v>
      </c>
      <c r="I210" s="436">
        <v>0</v>
      </c>
      <c r="J210" s="437">
        <v>0</v>
      </c>
      <c r="K210" s="437">
        <v>0</v>
      </c>
      <c r="L210" s="437">
        <v>0</v>
      </c>
      <c r="M210" s="438">
        <v>0</v>
      </c>
      <c r="N210" s="350"/>
      <c r="O210" s="350"/>
    </row>
    <row r="211" spans="1:15" ht="15" x14ac:dyDescent="0.45">
      <c r="D211" s="439"/>
      <c r="E211" s="433" t="s">
        <v>285</v>
      </c>
      <c r="F211" s="474"/>
      <c r="G211" s="434">
        <v>0</v>
      </c>
      <c r="H211" s="435">
        <v>0</v>
      </c>
      <c r="I211" s="436">
        <v>0</v>
      </c>
      <c r="J211" s="437">
        <v>0</v>
      </c>
      <c r="K211" s="437">
        <v>0</v>
      </c>
      <c r="L211" s="437">
        <v>0</v>
      </c>
      <c r="M211" s="438">
        <v>0</v>
      </c>
      <c r="N211" s="350"/>
      <c r="O211" s="350"/>
    </row>
    <row r="212" spans="1:15" ht="15" x14ac:dyDescent="0.45">
      <c r="D212" s="439"/>
      <c r="E212" s="433" t="s">
        <v>286</v>
      </c>
      <c r="F212" s="474"/>
      <c r="G212" s="434">
        <v>0</v>
      </c>
      <c r="H212" s="435">
        <v>0</v>
      </c>
      <c r="I212" s="436">
        <v>0</v>
      </c>
      <c r="J212" s="437">
        <v>0</v>
      </c>
      <c r="K212" s="437">
        <v>0</v>
      </c>
      <c r="L212" s="437">
        <v>0</v>
      </c>
      <c r="M212" s="438">
        <v>0</v>
      </c>
      <c r="O212" s="350"/>
    </row>
    <row r="213" spans="1:15" ht="15" x14ac:dyDescent="0.45">
      <c r="D213" s="439"/>
      <c r="E213" s="433" t="s">
        <v>287</v>
      </c>
      <c r="F213" s="474"/>
      <c r="G213" s="434">
        <v>0</v>
      </c>
      <c r="H213" s="435">
        <v>0</v>
      </c>
      <c r="I213" s="436">
        <v>0</v>
      </c>
      <c r="J213" s="437">
        <v>0</v>
      </c>
      <c r="K213" s="437">
        <v>0</v>
      </c>
      <c r="L213" s="437">
        <v>0</v>
      </c>
      <c r="M213" s="438">
        <v>0</v>
      </c>
      <c r="O213" s="350"/>
    </row>
    <row r="214" spans="1:15" ht="15" x14ac:dyDescent="0.45">
      <c r="A214" s="41"/>
      <c r="D214" s="439"/>
      <c r="E214" s="433" t="s">
        <v>288</v>
      </c>
      <c r="F214" s="474"/>
      <c r="G214" s="434">
        <v>0</v>
      </c>
      <c r="H214" s="435">
        <v>0</v>
      </c>
      <c r="I214" s="436">
        <v>0</v>
      </c>
      <c r="J214" s="437">
        <v>0</v>
      </c>
      <c r="K214" s="437">
        <v>0</v>
      </c>
      <c r="L214" s="437">
        <v>0</v>
      </c>
      <c r="M214" s="438">
        <v>0</v>
      </c>
      <c r="O214" s="350"/>
    </row>
    <row r="215" spans="1:15" ht="15" x14ac:dyDescent="0.45">
      <c r="A215" s="41"/>
      <c r="D215" s="439"/>
      <c r="E215" s="433" t="s">
        <v>289</v>
      </c>
      <c r="F215" s="474"/>
      <c r="G215" s="434">
        <v>0</v>
      </c>
      <c r="H215" s="435">
        <v>0</v>
      </c>
      <c r="I215" s="436">
        <v>0</v>
      </c>
      <c r="J215" s="437">
        <v>0</v>
      </c>
      <c r="K215" s="437">
        <v>0</v>
      </c>
      <c r="L215" s="437">
        <v>0</v>
      </c>
      <c r="M215" s="438">
        <v>0</v>
      </c>
      <c r="O215" s="350"/>
    </row>
    <row r="216" spans="1:15" ht="15" x14ac:dyDescent="0.45">
      <c r="A216" s="41"/>
      <c r="D216" s="439"/>
      <c r="E216" s="433" t="s">
        <v>290</v>
      </c>
      <c r="F216" s="474"/>
      <c r="G216" s="434">
        <v>90443.375334283992</v>
      </c>
      <c r="H216" s="435">
        <v>118897.86456945477</v>
      </c>
      <c r="I216" s="436">
        <v>148371.65456001135</v>
      </c>
      <c r="J216" s="437">
        <v>159099.72688689202</v>
      </c>
      <c r="K216" s="437">
        <v>170374.09260369546</v>
      </c>
      <c r="L216" s="437">
        <v>182208.9293687942</v>
      </c>
      <c r="M216" s="438">
        <v>194618.00455681086</v>
      </c>
      <c r="O216" s="350"/>
    </row>
    <row r="217" spans="1:15" ht="15" x14ac:dyDescent="0.45">
      <c r="A217" s="41"/>
      <c r="D217" s="439"/>
      <c r="E217" s="433" t="s">
        <v>291</v>
      </c>
      <c r="F217" s="474"/>
      <c r="G217" s="434">
        <v>100548.52313394663</v>
      </c>
      <c r="H217" s="435">
        <v>131979.29097154338</v>
      </c>
      <c r="I217" s="436">
        <v>164427.1463661606</v>
      </c>
      <c r="J217" s="437">
        <v>176012.02925375581</v>
      </c>
      <c r="K217" s="437">
        <v>188142.7677419979</v>
      </c>
      <c r="L217" s="437">
        <v>200828.99772950495</v>
      </c>
      <c r="M217" s="438">
        <v>214079.515601355</v>
      </c>
      <c r="O217" s="350"/>
    </row>
    <row r="218" spans="1:15" ht="15" x14ac:dyDescent="0.45">
      <c r="A218" s="41"/>
      <c r="D218" s="439"/>
      <c r="E218" s="433" t="s">
        <v>292</v>
      </c>
      <c r="F218" s="474"/>
      <c r="G218" s="434">
        <v>1237796.5008700169</v>
      </c>
      <c r="H218" s="435">
        <v>520612.14371298492</v>
      </c>
      <c r="I218" s="436">
        <v>1084646.541754375</v>
      </c>
      <c r="J218" s="437">
        <v>1759001.0245706062</v>
      </c>
      <c r="K218" s="437">
        <v>1900723.9978653949</v>
      </c>
      <c r="L218" s="437">
        <v>264919.31562215771</v>
      </c>
      <c r="M218" s="438">
        <v>284054.35725658393</v>
      </c>
      <c r="O218" s="350"/>
    </row>
    <row r="219" spans="1:15" ht="15" x14ac:dyDescent="0.45">
      <c r="A219" s="41"/>
      <c r="D219" s="439"/>
      <c r="E219" s="433" t="s">
        <v>293</v>
      </c>
      <c r="F219" s="474"/>
      <c r="G219" s="434">
        <v>309326.57142857142</v>
      </c>
      <c r="H219" s="435">
        <v>1212093.3346492855</v>
      </c>
      <c r="I219" s="436">
        <v>912851.94364671421</v>
      </c>
      <c r="J219" s="437">
        <v>2434271.8497245712</v>
      </c>
      <c r="K219" s="437">
        <v>0</v>
      </c>
      <c r="L219" s="437">
        <v>0</v>
      </c>
      <c r="M219" s="438">
        <v>0</v>
      </c>
      <c r="O219" s="350"/>
    </row>
    <row r="220" spans="1:15" ht="15" x14ac:dyDescent="0.45">
      <c r="A220" s="41"/>
      <c r="D220" s="439"/>
      <c r="E220" s="433" t="s">
        <v>294</v>
      </c>
      <c r="F220" s="474"/>
      <c r="G220" s="434">
        <v>458724.02715085173</v>
      </c>
      <c r="H220" s="435">
        <v>573405.03393856471</v>
      </c>
      <c r="I220" s="436">
        <v>0</v>
      </c>
      <c r="J220" s="437">
        <v>0</v>
      </c>
      <c r="K220" s="437">
        <v>0</v>
      </c>
      <c r="L220" s="437">
        <v>0</v>
      </c>
      <c r="M220" s="438">
        <v>0</v>
      </c>
      <c r="O220" s="350"/>
    </row>
    <row r="221" spans="1:15" ht="15" x14ac:dyDescent="0.45">
      <c r="A221" s="41"/>
      <c r="D221" s="439"/>
      <c r="E221" s="433" t="s">
        <v>295</v>
      </c>
      <c r="F221" s="474"/>
      <c r="G221" s="434">
        <v>0</v>
      </c>
      <c r="H221" s="435">
        <v>0</v>
      </c>
      <c r="I221" s="436">
        <v>0</v>
      </c>
      <c r="J221" s="437">
        <v>0</v>
      </c>
      <c r="K221" s="437">
        <v>0</v>
      </c>
      <c r="L221" s="437">
        <v>0</v>
      </c>
      <c r="M221" s="438">
        <v>0</v>
      </c>
      <c r="O221" s="350"/>
    </row>
    <row r="222" spans="1:15" ht="15.4" thickBot="1" x14ac:dyDescent="0.5">
      <c r="A222" s="41"/>
      <c r="D222" s="439"/>
      <c r="E222" s="440" t="s">
        <v>232</v>
      </c>
      <c r="F222" s="475"/>
      <c r="G222" s="441">
        <v>0</v>
      </c>
      <c r="H222" s="442">
        <v>0</v>
      </c>
      <c r="I222" s="443">
        <v>0</v>
      </c>
      <c r="J222" s="444">
        <v>0</v>
      </c>
      <c r="K222" s="444">
        <v>0</v>
      </c>
      <c r="L222" s="444">
        <v>0</v>
      </c>
      <c r="M222" s="445">
        <v>0</v>
      </c>
      <c r="O222" s="350"/>
    </row>
    <row r="223" spans="1:15" ht="14.25" x14ac:dyDescent="0.45">
      <c r="A223" s="41"/>
      <c r="D223" s="1048" t="s">
        <v>296</v>
      </c>
      <c r="E223" s="446" t="s">
        <v>297</v>
      </c>
      <c r="F223" s="476"/>
      <c r="G223" s="447">
        <v>53446.363658566348</v>
      </c>
      <c r="H223" s="448">
        <v>70281.199684356077</v>
      </c>
      <c r="I223" s="449">
        <v>87729.687343712314</v>
      </c>
      <c r="J223" s="437">
        <v>94102.849291851715</v>
      </c>
      <c r="K223" s="437">
        <v>100805.00873335304</v>
      </c>
      <c r="L223" s="437">
        <v>107845.32020169598</v>
      </c>
      <c r="M223" s="438">
        <v>115232.76780175613</v>
      </c>
      <c r="O223" s="350"/>
    </row>
    <row r="224" spans="1:15" ht="14.25" x14ac:dyDescent="0.45">
      <c r="A224" s="41"/>
      <c r="D224" s="1049"/>
      <c r="E224" s="433" t="s">
        <v>298</v>
      </c>
      <c r="F224" s="474"/>
      <c r="G224" s="434">
        <v>536485.32330902421</v>
      </c>
      <c r="H224" s="435">
        <v>569091.67355666228</v>
      </c>
      <c r="I224" s="436">
        <v>171882.21841325157</v>
      </c>
      <c r="J224" s="437">
        <v>183261.54922050631</v>
      </c>
      <c r="K224" s="437">
        <v>195066.56894875146</v>
      </c>
      <c r="L224" s="437">
        <v>207289.8063604428</v>
      </c>
      <c r="M224" s="438">
        <v>219921.56976023948</v>
      </c>
      <c r="O224" s="350"/>
    </row>
    <row r="225" spans="1:15" ht="14.25" x14ac:dyDescent="0.45">
      <c r="A225" s="41"/>
      <c r="D225" s="1049"/>
      <c r="E225" s="433" t="s">
        <v>299</v>
      </c>
      <c r="F225" s="474"/>
      <c r="G225" s="434">
        <v>1029875.542053474</v>
      </c>
      <c r="H225" s="435">
        <v>566587.47632340982</v>
      </c>
      <c r="I225" s="436">
        <v>585977.10097547772</v>
      </c>
      <c r="J225" s="437">
        <v>756165.32974880596</v>
      </c>
      <c r="K225" s="437">
        <v>815053.94133080787</v>
      </c>
      <c r="L225" s="437">
        <v>485887.68674428953</v>
      </c>
      <c r="M225" s="438">
        <v>518514.55815704883</v>
      </c>
      <c r="O225" s="350"/>
    </row>
    <row r="226" spans="1:15" ht="14.25" x14ac:dyDescent="0.45">
      <c r="A226" s="41"/>
      <c r="D226" s="1049"/>
      <c r="E226" s="433" t="s">
        <v>300</v>
      </c>
      <c r="F226" s="474"/>
      <c r="G226" s="434">
        <v>239089.24905412004</v>
      </c>
      <c r="H226" s="435">
        <v>238729.89627196186</v>
      </c>
      <c r="I226" s="436">
        <v>146861.19562094999</v>
      </c>
      <c r="J226" s="437">
        <v>262888.79022879264</v>
      </c>
      <c r="K226" s="437">
        <v>262888.79022879264</v>
      </c>
      <c r="L226" s="437">
        <v>146861.19562094999</v>
      </c>
      <c r="M226" s="438">
        <v>146861.19562094999</v>
      </c>
      <c r="O226" s="350"/>
    </row>
    <row r="227" spans="1:15" ht="14.25" x14ac:dyDescent="0.45">
      <c r="A227" s="41"/>
      <c r="D227" s="1049"/>
      <c r="E227" s="433" t="s">
        <v>301</v>
      </c>
      <c r="F227" s="474"/>
      <c r="G227" s="434">
        <v>248619.16313666452</v>
      </c>
      <c r="H227" s="435">
        <v>320102.65936331218</v>
      </c>
      <c r="I227" s="436">
        <v>200854.58108723807</v>
      </c>
      <c r="J227" s="437">
        <v>725245.87626780523</v>
      </c>
      <c r="K227" s="437">
        <v>725245.87626780523</v>
      </c>
      <c r="L227" s="437">
        <v>200854.58108723807</v>
      </c>
      <c r="M227" s="438">
        <v>200854.58108723807</v>
      </c>
      <c r="O227" s="350"/>
    </row>
    <row r="228" spans="1:15" ht="14.25" x14ac:dyDescent="0.45">
      <c r="A228" s="41"/>
      <c r="D228" s="1049"/>
      <c r="E228" s="433" t="s">
        <v>302</v>
      </c>
      <c r="F228" s="474"/>
      <c r="G228" s="434">
        <v>0</v>
      </c>
      <c r="H228" s="435">
        <v>0</v>
      </c>
      <c r="I228" s="436">
        <v>0</v>
      </c>
      <c r="J228" s="437">
        <v>0</v>
      </c>
      <c r="K228" s="437">
        <v>0</v>
      </c>
      <c r="L228" s="437">
        <v>0</v>
      </c>
      <c r="M228" s="438">
        <v>0</v>
      </c>
      <c r="O228" s="350"/>
    </row>
    <row r="229" spans="1:15" ht="14.65" thickBot="1" x14ac:dyDescent="0.5">
      <c r="A229" s="41"/>
      <c r="D229" s="1050"/>
      <c r="E229" s="440" t="s">
        <v>232</v>
      </c>
      <c r="F229" s="475"/>
      <c r="G229" s="441">
        <v>0</v>
      </c>
      <c r="H229" s="442">
        <v>0</v>
      </c>
      <c r="I229" s="443">
        <v>0</v>
      </c>
      <c r="J229" s="444">
        <v>0</v>
      </c>
      <c r="K229" s="444">
        <v>0</v>
      </c>
      <c r="L229" s="444">
        <v>0</v>
      </c>
      <c r="M229" s="445">
        <v>0</v>
      </c>
      <c r="O229" s="350"/>
    </row>
    <row r="230" spans="1:15" ht="25.5" x14ac:dyDescent="0.45">
      <c r="A230" s="41"/>
      <c r="D230" s="1051" t="s">
        <v>303</v>
      </c>
      <c r="E230" s="446" t="s">
        <v>304</v>
      </c>
      <c r="F230" s="476" t="s">
        <v>305</v>
      </c>
      <c r="G230" s="434">
        <v>0</v>
      </c>
      <c r="H230" s="435">
        <v>0</v>
      </c>
      <c r="I230" s="436">
        <v>0</v>
      </c>
      <c r="J230" s="437">
        <v>0</v>
      </c>
      <c r="K230" s="437">
        <v>0</v>
      </c>
      <c r="L230" s="437">
        <v>0</v>
      </c>
      <c r="M230" s="438">
        <v>0</v>
      </c>
      <c r="O230" s="350"/>
    </row>
    <row r="231" spans="1:15" ht="25.5" x14ac:dyDescent="0.45">
      <c r="A231" s="41"/>
      <c r="D231" s="1052"/>
      <c r="E231" s="433" t="s">
        <v>298</v>
      </c>
      <c r="F231" s="474" t="s">
        <v>305</v>
      </c>
      <c r="G231" s="434">
        <v>0</v>
      </c>
      <c r="H231" s="435">
        <v>0</v>
      </c>
      <c r="I231" s="436">
        <v>0</v>
      </c>
      <c r="J231" s="437">
        <v>0</v>
      </c>
      <c r="K231" s="437">
        <v>0</v>
      </c>
      <c r="L231" s="437">
        <v>0</v>
      </c>
      <c r="M231" s="438">
        <v>0</v>
      </c>
      <c r="O231" s="350"/>
    </row>
    <row r="232" spans="1:15" ht="25.5" x14ac:dyDescent="0.45">
      <c r="A232" s="41"/>
      <c r="D232" s="1052"/>
      <c r="E232" s="433" t="s">
        <v>299</v>
      </c>
      <c r="F232" s="474" t="s">
        <v>305</v>
      </c>
      <c r="G232" s="434">
        <v>0</v>
      </c>
      <c r="H232" s="435">
        <v>0</v>
      </c>
      <c r="I232" s="436">
        <v>0</v>
      </c>
      <c r="J232" s="437">
        <v>0</v>
      </c>
      <c r="K232" s="437">
        <v>0</v>
      </c>
      <c r="L232" s="437">
        <v>0</v>
      </c>
      <c r="M232" s="438">
        <v>0</v>
      </c>
      <c r="O232" s="350"/>
    </row>
    <row r="233" spans="1:15" ht="25.5" x14ac:dyDescent="0.45">
      <c r="A233" s="41"/>
      <c r="D233" s="1052"/>
      <c r="E233" s="433" t="s">
        <v>300</v>
      </c>
      <c r="F233" s="474" t="s">
        <v>305</v>
      </c>
      <c r="G233" s="434">
        <v>0</v>
      </c>
      <c r="H233" s="435">
        <v>0</v>
      </c>
      <c r="I233" s="436">
        <v>0</v>
      </c>
      <c r="J233" s="437">
        <v>0</v>
      </c>
      <c r="K233" s="437">
        <v>0</v>
      </c>
      <c r="L233" s="437">
        <v>0</v>
      </c>
      <c r="M233" s="438">
        <v>0</v>
      </c>
      <c r="O233" s="350"/>
    </row>
    <row r="234" spans="1:15" ht="25.5" x14ac:dyDescent="0.45">
      <c r="A234" s="41"/>
      <c r="D234" s="1052"/>
      <c r="E234" s="433" t="s">
        <v>301</v>
      </c>
      <c r="F234" s="474" t="s">
        <v>305</v>
      </c>
      <c r="G234" s="434">
        <v>0</v>
      </c>
      <c r="H234" s="435">
        <v>0</v>
      </c>
      <c r="I234" s="436">
        <v>0</v>
      </c>
      <c r="J234" s="437">
        <v>0</v>
      </c>
      <c r="K234" s="437">
        <v>0</v>
      </c>
      <c r="L234" s="437">
        <v>0</v>
      </c>
      <c r="M234" s="438">
        <v>0</v>
      </c>
      <c r="O234" s="350"/>
    </row>
    <row r="235" spans="1:15" ht="25.9" thickBot="1" x14ac:dyDescent="0.5">
      <c r="A235" s="41"/>
      <c r="D235" s="1053"/>
      <c r="E235" s="440" t="s">
        <v>302</v>
      </c>
      <c r="F235" s="475" t="s">
        <v>305</v>
      </c>
      <c r="G235" s="441">
        <v>0</v>
      </c>
      <c r="H235" s="442">
        <v>0</v>
      </c>
      <c r="I235" s="443">
        <v>0</v>
      </c>
      <c r="J235" s="444">
        <v>0</v>
      </c>
      <c r="K235" s="444">
        <v>0</v>
      </c>
      <c r="L235" s="444">
        <v>0</v>
      </c>
      <c r="M235" s="445">
        <v>0</v>
      </c>
      <c r="O235" s="350"/>
    </row>
    <row r="236" spans="1:15" ht="14.25" x14ac:dyDescent="0.45">
      <c r="A236" s="41"/>
      <c r="D236" s="1054" t="s">
        <v>306</v>
      </c>
      <c r="E236" s="446" t="s">
        <v>297</v>
      </c>
      <c r="F236" s="476" t="s">
        <v>307</v>
      </c>
      <c r="G236" s="434">
        <v>9213.8971527982594</v>
      </c>
      <c r="H236" s="435">
        <v>11401.967386668868</v>
      </c>
      <c r="I236" s="436">
        <v>13404.206365166798</v>
      </c>
      <c r="J236" s="437">
        <v>13551.31431168448</v>
      </c>
      <c r="K236" s="437">
        <v>13689.374624679884</v>
      </c>
      <c r="L236" s="437">
        <v>13815.79808764763</v>
      </c>
      <c r="M236" s="438">
        <v>13930.630513004782</v>
      </c>
      <c r="O236" s="350"/>
    </row>
    <row r="237" spans="1:15" ht="14.25" x14ac:dyDescent="0.45">
      <c r="A237" s="41"/>
      <c r="D237" s="1055"/>
      <c r="E237" s="433" t="s">
        <v>298</v>
      </c>
      <c r="F237" s="474" t="s">
        <v>307</v>
      </c>
      <c r="G237" s="434">
        <v>8173.7180736752462</v>
      </c>
      <c r="H237" s="435">
        <v>10050.951702072764</v>
      </c>
      <c r="I237" s="436">
        <v>11742.803575540298</v>
      </c>
      <c r="J237" s="437">
        <v>11799.587220563411</v>
      </c>
      <c r="K237" s="437">
        <v>11848.186563080226</v>
      </c>
      <c r="L237" s="437">
        <v>11885.872363974424</v>
      </c>
      <c r="M237" s="438">
        <v>11912.826041158243</v>
      </c>
      <c r="O237" s="350"/>
    </row>
    <row r="238" spans="1:15" ht="14.25" x14ac:dyDescent="0.45">
      <c r="A238" s="41"/>
      <c r="D238" s="1055"/>
      <c r="E238" s="433" t="s">
        <v>308</v>
      </c>
      <c r="F238" s="474" t="s">
        <v>307</v>
      </c>
      <c r="G238" s="434">
        <v>98.434449427563493</v>
      </c>
      <c r="H238" s="435">
        <v>122.71032196128492</v>
      </c>
      <c r="I238" s="436">
        <v>145.19668432535468</v>
      </c>
      <c r="J238" s="437">
        <v>147.62328944337676</v>
      </c>
      <c r="K238" s="437">
        <v>149.82905643401398</v>
      </c>
      <c r="L238" s="437">
        <v>151.75696909238769</v>
      </c>
      <c r="M238" s="438">
        <v>153.40890802273003</v>
      </c>
      <c r="O238" s="350"/>
    </row>
    <row r="239" spans="1:15" ht="14.25" x14ac:dyDescent="0.45">
      <c r="A239" s="41"/>
      <c r="D239" s="1055"/>
      <c r="E239" s="433" t="s">
        <v>309</v>
      </c>
      <c r="F239" s="474" t="s">
        <v>307</v>
      </c>
      <c r="G239" s="434">
        <v>0</v>
      </c>
      <c r="H239" s="435">
        <v>0</v>
      </c>
      <c r="I239" s="436">
        <v>0</v>
      </c>
      <c r="J239" s="437">
        <v>0</v>
      </c>
      <c r="K239" s="437">
        <v>0</v>
      </c>
      <c r="L239" s="437">
        <v>0</v>
      </c>
      <c r="M239" s="438">
        <v>0</v>
      </c>
      <c r="O239" s="350"/>
    </row>
    <row r="240" spans="1:15" ht="14.25" x14ac:dyDescent="0.45">
      <c r="A240" s="41"/>
      <c r="D240" s="1055"/>
      <c r="E240" s="433" t="s">
        <v>310</v>
      </c>
      <c r="F240" s="474" t="s">
        <v>307</v>
      </c>
      <c r="G240" s="434">
        <v>348101.22204303194</v>
      </c>
      <c r="H240" s="435">
        <v>128181.99106412595</v>
      </c>
      <c r="I240" s="436">
        <v>37014.6388295375</v>
      </c>
      <c r="J240" s="437">
        <v>43789.839529367935</v>
      </c>
      <c r="K240" s="437">
        <v>45474.052076166947</v>
      </c>
      <c r="L240" s="437">
        <v>30228.689258834962</v>
      </c>
      <c r="M240" s="438">
        <v>30655.665697068467</v>
      </c>
      <c r="O240" s="350"/>
    </row>
    <row r="241" spans="1:15" ht="14.25" x14ac:dyDescent="0.45">
      <c r="A241" s="41"/>
      <c r="D241" s="1055"/>
      <c r="E241" s="433" t="s">
        <v>300</v>
      </c>
      <c r="F241" s="474" t="s">
        <v>307</v>
      </c>
      <c r="G241" s="434">
        <v>53.159647524010147</v>
      </c>
      <c r="H241" s="435">
        <v>197585.02695445917</v>
      </c>
      <c r="I241" s="436">
        <v>118591.22713500164</v>
      </c>
      <c r="J241" s="437">
        <v>316111.61006578477</v>
      </c>
      <c r="K241" s="437">
        <v>85.44061635829442</v>
      </c>
      <c r="L241" s="437">
        <v>87.917367818051957</v>
      </c>
      <c r="M241" s="438">
        <v>90.393151118344377</v>
      </c>
      <c r="O241" s="350"/>
    </row>
    <row r="242" spans="1:15" ht="14.25" x14ac:dyDescent="0.45">
      <c r="A242" s="41"/>
      <c r="D242" s="1055"/>
      <c r="E242" s="433" t="s">
        <v>301</v>
      </c>
      <c r="F242" s="474" t="s">
        <v>307</v>
      </c>
      <c r="G242" s="434">
        <v>53.173643154880565</v>
      </c>
      <c r="H242" s="435">
        <v>66.933853439244302</v>
      </c>
      <c r="I242" s="436">
        <v>80.026164013625717</v>
      </c>
      <c r="J242" s="437">
        <v>82.265596154067183</v>
      </c>
      <c r="K242" s="437">
        <v>84.5043029213968</v>
      </c>
      <c r="L242" s="437">
        <v>86.742126977067869</v>
      </c>
      <c r="M242" s="438">
        <v>88.979045839889849</v>
      </c>
      <c r="O242" s="350"/>
    </row>
    <row r="243" spans="1:15" ht="14.25" x14ac:dyDescent="0.45">
      <c r="A243" s="41"/>
      <c r="D243" s="1055"/>
      <c r="E243" s="433" t="s">
        <v>302</v>
      </c>
      <c r="F243" s="474" t="s">
        <v>307</v>
      </c>
      <c r="G243" s="434">
        <v>0</v>
      </c>
      <c r="H243" s="435">
        <v>0</v>
      </c>
      <c r="I243" s="436">
        <v>0</v>
      </c>
      <c r="J243" s="437">
        <v>0</v>
      </c>
      <c r="K243" s="437">
        <v>0</v>
      </c>
      <c r="L243" s="437">
        <v>0</v>
      </c>
      <c r="M243" s="438">
        <v>0</v>
      </c>
      <c r="O243" s="350"/>
    </row>
    <row r="244" spans="1:15" ht="14.65" thickBot="1" x14ac:dyDescent="0.5">
      <c r="A244" s="41"/>
      <c r="D244" s="1056"/>
      <c r="E244" s="440" t="s">
        <v>232</v>
      </c>
      <c r="F244" s="475" t="s">
        <v>307</v>
      </c>
      <c r="G244" s="441">
        <v>0</v>
      </c>
      <c r="H244" s="442">
        <v>0</v>
      </c>
      <c r="I244" s="443">
        <v>0</v>
      </c>
      <c r="J244" s="444">
        <v>0</v>
      </c>
      <c r="K244" s="444">
        <v>0</v>
      </c>
      <c r="L244" s="444">
        <v>0</v>
      </c>
      <c r="M244" s="445">
        <v>0</v>
      </c>
      <c r="O244" s="350"/>
    </row>
    <row r="245" spans="1:15" ht="14.25" x14ac:dyDescent="0.45">
      <c r="A245" s="41"/>
      <c r="D245" s="1054" t="s">
        <v>311</v>
      </c>
      <c r="E245" s="446" t="s">
        <v>297</v>
      </c>
      <c r="F245" s="476" t="s">
        <v>307</v>
      </c>
      <c r="G245" s="434">
        <v>1297093.4058169511</v>
      </c>
      <c r="H245" s="435">
        <v>1371710.0090576888</v>
      </c>
      <c r="I245" s="436">
        <v>1390858.4926675607</v>
      </c>
      <c r="J245" s="437">
        <v>1396293.0814036026</v>
      </c>
      <c r="K245" s="437">
        <v>1401247.2890322844</v>
      </c>
      <c r="L245" s="437">
        <v>1405551.055616437</v>
      </c>
      <c r="M245" s="438">
        <v>1409209.8889530909</v>
      </c>
      <c r="O245" s="350"/>
    </row>
    <row r="246" spans="1:15" ht="14.25" x14ac:dyDescent="0.45">
      <c r="A246" s="41"/>
      <c r="D246" s="1055"/>
      <c r="E246" s="433" t="s">
        <v>298</v>
      </c>
      <c r="F246" s="474" t="s">
        <v>307</v>
      </c>
      <c r="G246" s="434">
        <v>6263277.8304864019</v>
      </c>
      <c r="H246" s="435">
        <v>5070241.4496295992</v>
      </c>
      <c r="I246" s="436">
        <v>6090404.7962517207</v>
      </c>
      <c r="J246" s="437">
        <v>8466924.2952504978</v>
      </c>
      <c r="K246" s="437">
        <v>5107307.4898411781</v>
      </c>
      <c r="L246" s="437">
        <v>5109504.0382323572</v>
      </c>
      <c r="M246" s="438">
        <v>5111679.47022531</v>
      </c>
      <c r="O246" s="350"/>
    </row>
    <row r="247" spans="1:15" ht="14.25" x14ac:dyDescent="0.45">
      <c r="A247" s="41"/>
      <c r="D247" s="1055"/>
      <c r="E247" s="433" t="s">
        <v>312</v>
      </c>
      <c r="F247" s="474" t="s">
        <v>307</v>
      </c>
      <c r="G247" s="434">
        <v>1138938.5579230848</v>
      </c>
      <c r="H247" s="435">
        <v>6018939.6041587945</v>
      </c>
      <c r="I247" s="436">
        <v>44450.433134292878</v>
      </c>
      <c r="J247" s="437">
        <v>45970.663420662742</v>
      </c>
      <c r="K247" s="437">
        <v>47432.509644357153</v>
      </c>
      <c r="L247" s="437">
        <v>48817.003847914275</v>
      </c>
      <c r="M247" s="438">
        <v>50122.408403493624</v>
      </c>
      <c r="O247" s="350"/>
    </row>
    <row r="248" spans="1:15" ht="14.25" x14ac:dyDescent="0.45">
      <c r="A248" s="41"/>
      <c r="D248" s="1055"/>
      <c r="E248" s="433" t="s">
        <v>313</v>
      </c>
      <c r="F248" s="474" t="s">
        <v>307</v>
      </c>
      <c r="G248" s="434">
        <v>0</v>
      </c>
      <c r="H248" s="435">
        <v>0</v>
      </c>
      <c r="I248" s="436">
        <v>0</v>
      </c>
      <c r="J248" s="437">
        <v>0</v>
      </c>
      <c r="K248" s="437">
        <v>0</v>
      </c>
      <c r="L248" s="437">
        <v>0</v>
      </c>
      <c r="M248" s="438">
        <v>0</v>
      </c>
      <c r="O248" s="350"/>
    </row>
    <row r="249" spans="1:15" ht="14.25" x14ac:dyDescent="0.45">
      <c r="A249" s="41"/>
      <c r="D249" s="1055"/>
      <c r="E249" s="433" t="s">
        <v>314</v>
      </c>
      <c r="F249" s="474" t="s">
        <v>307</v>
      </c>
      <c r="G249" s="434">
        <v>251.64567993091907</v>
      </c>
      <c r="H249" s="435">
        <v>327.84375839639097</v>
      </c>
      <c r="I249" s="436">
        <v>404.45878950352585</v>
      </c>
      <c r="J249" s="437">
        <v>427.90109953123249</v>
      </c>
      <c r="K249" s="437">
        <v>451.32044422879727</v>
      </c>
      <c r="L249" s="437">
        <v>474.71147040211628</v>
      </c>
      <c r="M249" s="438">
        <v>498.07281479757035</v>
      </c>
      <c r="O249" s="350"/>
    </row>
    <row r="250" spans="1:15" ht="14.25" x14ac:dyDescent="0.45">
      <c r="A250" s="41"/>
      <c r="D250" s="1055"/>
      <c r="E250" s="433" t="s">
        <v>301</v>
      </c>
      <c r="F250" s="474" t="s">
        <v>307</v>
      </c>
      <c r="G250" s="434">
        <v>0</v>
      </c>
      <c r="H250" s="435">
        <v>0</v>
      </c>
      <c r="I250" s="436">
        <v>0</v>
      </c>
      <c r="J250" s="437">
        <v>0</v>
      </c>
      <c r="K250" s="437">
        <v>0</v>
      </c>
      <c r="L250" s="437">
        <v>0</v>
      </c>
      <c r="M250" s="438">
        <v>0</v>
      </c>
      <c r="O250" s="350"/>
    </row>
    <row r="251" spans="1:15" ht="14.25" x14ac:dyDescent="0.45">
      <c r="A251" s="41"/>
      <c r="D251" s="1055"/>
      <c r="E251" s="433" t="s">
        <v>315</v>
      </c>
      <c r="F251" s="474" t="s">
        <v>307</v>
      </c>
      <c r="G251" s="434">
        <v>0</v>
      </c>
      <c r="H251" s="435">
        <v>0</v>
      </c>
      <c r="I251" s="436">
        <v>0</v>
      </c>
      <c r="J251" s="437">
        <v>0</v>
      </c>
      <c r="K251" s="437">
        <v>0</v>
      </c>
      <c r="L251" s="437">
        <v>0</v>
      </c>
      <c r="M251" s="438">
        <v>0</v>
      </c>
      <c r="O251" s="350"/>
    </row>
    <row r="252" spans="1:15" ht="14.65" thickBot="1" x14ac:dyDescent="0.5">
      <c r="A252" s="41"/>
      <c r="D252" s="1056"/>
      <c r="E252" s="440" t="s">
        <v>232</v>
      </c>
      <c r="F252" s="475" t="s">
        <v>307</v>
      </c>
      <c r="G252" s="441">
        <v>0</v>
      </c>
      <c r="H252" s="442">
        <v>0</v>
      </c>
      <c r="I252" s="443">
        <v>0</v>
      </c>
      <c r="J252" s="444">
        <v>0</v>
      </c>
      <c r="K252" s="444">
        <v>0</v>
      </c>
      <c r="L252" s="444">
        <v>0</v>
      </c>
      <c r="M252" s="445">
        <v>0</v>
      </c>
      <c r="O252" s="350"/>
    </row>
    <row r="253" spans="1:15" ht="14.25" x14ac:dyDescent="0.45">
      <c r="A253" s="41"/>
      <c r="D253" s="1054" t="s">
        <v>316</v>
      </c>
      <c r="E253" s="446" t="s">
        <v>317</v>
      </c>
      <c r="F253" s="477" t="s">
        <v>318</v>
      </c>
      <c r="G253" s="434">
        <v>13534.764096911622</v>
      </c>
      <c r="H253" s="435">
        <v>17206.120120046809</v>
      </c>
      <c r="I253" s="436">
        <v>1658467.1843186547</v>
      </c>
      <c r="J253" s="437">
        <v>1659231.6257372627</v>
      </c>
      <c r="K253" s="437">
        <v>1659994.6842736132</v>
      </c>
      <c r="L253" s="437">
        <v>1660756.0315829709</v>
      </c>
      <c r="M253" s="438">
        <v>1661515.6108609366</v>
      </c>
      <c r="O253" s="350"/>
    </row>
    <row r="254" spans="1:15" ht="14.25" x14ac:dyDescent="0.45">
      <c r="A254" s="41"/>
      <c r="D254" s="1055"/>
      <c r="E254" s="433" t="s">
        <v>319</v>
      </c>
      <c r="F254" s="478" t="s">
        <v>320</v>
      </c>
      <c r="G254" s="434">
        <v>0</v>
      </c>
      <c r="H254" s="435">
        <v>0</v>
      </c>
      <c r="I254" s="436">
        <v>0</v>
      </c>
      <c r="J254" s="437">
        <v>0</v>
      </c>
      <c r="K254" s="437">
        <v>0</v>
      </c>
      <c r="L254" s="437">
        <v>0</v>
      </c>
      <c r="M254" s="438">
        <v>0</v>
      </c>
      <c r="O254" s="350"/>
    </row>
    <row r="255" spans="1:15" ht="14.25" x14ac:dyDescent="0.45">
      <c r="A255" s="41"/>
      <c r="D255" s="1055"/>
      <c r="E255" s="433" t="s">
        <v>321</v>
      </c>
      <c r="F255" s="478" t="s">
        <v>320</v>
      </c>
      <c r="G255" s="434">
        <v>0</v>
      </c>
      <c r="H255" s="435">
        <v>0</v>
      </c>
      <c r="I255" s="436">
        <v>0</v>
      </c>
      <c r="J255" s="437">
        <v>0</v>
      </c>
      <c r="K255" s="437">
        <v>0</v>
      </c>
      <c r="L255" s="437">
        <v>0</v>
      </c>
      <c r="M255" s="438">
        <v>0</v>
      </c>
      <c r="O255" s="350"/>
    </row>
    <row r="256" spans="1:15" ht="14.25" x14ac:dyDescent="0.45">
      <c r="A256" s="41"/>
      <c r="D256" s="1055"/>
      <c r="E256" s="433" t="s">
        <v>322</v>
      </c>
      <c r="F256" s="478" t="s">
        <v>320</v>
      </c>
      <c r="G256" s="434">
        <v>0</v>
      </c>
      <c r="H256" s="435">
        <v>0</v>
      </c>
      <c r="I256" s="436">
        <v>0</v>
      </c>
      <c r="J256" s="437">
        <v>0</v>
      </c>
      <c r="K256" s="437">
        <v>0</v>
      </c>
      <c r="L256" s="437">
        <v>0</v>
      </c>
      <c r="M256" s="438">
        <v>0</v>
      </c>
      <c r="O256" s="350"/>
    </row>
    <row r="257" spans="1:15" ht="14.25" x14ac:dyDescent="0.45">
      <c r="A257" s="41"/>
      <c r="D257" s="1055"/>
      <c r="E257" s="433" t="s">
        <v>323</v>
      </c>
      <c r="F257" s="478" t="s">
        <v>320</v>
      </c>
      <c r="G257" s="434">
        <v>0</v>
      </c>
      <c r="H257" s="435">
        <v>0</v>
      </c>
      <c r="I257" s="436">
        <v>0</v>
      </c>
      <c r="J257" s="437">
        <v>0</v>
      </c>
      <c r="K257" s="437">
        <v>0</v>
      </c>
      <c r="L257" s="437">
        <v>0</v>
      </c>
      <c r="M257" s="438">
        <v>0</v>
      </c>
      <c r="O257" s="350"/>
    </row>
    <row r="258" spans="1:15" ht="14.25" x14ac:dyDescent="0.45">
      <c r="A258" s="41"/>
      <c r="D258" s="1055"/>
      <c r="E258" s="433" t="s">
        <v>324</v>
      </c>
      <c r="F258" s="478" t="s">
        <v>320</v>
      </c>
      <c r="G258" s="434">
        <v>0</v>
      </c>
      <c r="H258" s="435">
        <v>0</v>
      </c>
      <c r="I258" s="436">
        <v>0</v>
      </c>
      <c r="J258" s="437">
        <v>0</v>
      </c>
      <c r="K258" s="437">
        <v>0</v>
      </c>
      <c r="L258" s="437">
        <v>0</v>
      </c>
      <c r="M258" s="438">
        <v>0</v>
      </c>
      <c r="O258" s="350"/>
    </row>
    <row r="259" spans="1:15" ht="14.25" x14ac:dyDescent="0.45">
      <c r="A259" s="41"/>
      <c r="D259" s="1055"/>
      <c r="E259" s="433" t="s">
        <v>325</v>
      </c>
      <c r="F259" s="478" t="s">
        <v>320</v>
      </c>
      <c r="G259" s="434">
        <v>0</v>
      </c>
      <c r="H259" s="435">
        <v>0</v>
      </c>
      <c r="I259" s="436">
        <v>0</v>
      </c>
      <c r="J259" s="437">
        <v>0</v>
      </c>
      <c r="K259" s="437">
        <v>0</v>
      </c>
      <c r="L259" s="437">
        <v>0</v>
      </c>
      <c r="M259" s="438">
        <v>0</v>
      </c>
      <c r="O259" s="350"/>
    </row>
    <row r="260" spans="1:15" ht="14.25" x14ac:dyDescent="0.45">
      <c r="A260" s="41"/>
      <c r="D260" s="1055"/>
      <c r="E260" s="433" t="s">
        <v>326</v>
      </c>
      <c r="F260" s="478" t="s">
        <v>320</v>
      </c>
      <c r="G260" s="434">
        <v>0</v>
      </c>
      <c r="H260" s="435">
        <v>0</v>
      </c>
      <c r="I260" s="436">
        <v>0</v>
      </c>
      <c r="J260" s="437">
        <v>0</v>
      </c>
      <c r="K260" s="437">
        <v>0</v>
      </c>
      <c r="L260" s="437">
        <v>0</v>
      </c>
      <c r="M260" s="438">
        <v>0</v>
      </c>
      <c r="O260" s="350"/>
    </row>
    <row r="261" spans="1:15" ht="14.25" x14ac:dyDescent="0.45">
      <c r="A261" s="41"/>
      <c r="D261" s="1055"/>
      <c r="E261" s="433" t="s">
        <v>327</v>
      </c>
      <c r="F261" s="478" t="s">
        <v>320</v>
      </c>
      <c r="G261" s="434">
        <v>0</v>
      </c>
      <c r="H261" s="435">
        <v>0</v>
      </c>
      <c r="I261" s="436">
        <v>0</v>
      </c>
      <c r="J261" s="437">
        <v>0</v>
      </c>
      <c r="K261" s="437">
        <v>0</v>
      </c>
      <c r="L261" s="437">
        <v>0</v>
      </c>
      <c r="M261" s="438">
        <v>0</v>
      </c>
      <c r="O261" s="350"/>
    </row>
    <row r="262" spans="1:15" ht="14.25" x14ac:dyDescent="0.45">
      <c r="A262" s="41"/>
      <c r="D262" s="1055"/>
      <c r="E262" s="433" t="s">
        <v>328</v>
      </c>
      <c r="F262" s="478" t="s">
        <v>320</v>
      </c>
      <c r="G262" s="434">
        <v>0</v>
      </c>
      <c r="H262" s="435">
        <v>0</v>
      </c>
      <c r="I262" s="436">
        <v>0</v>
      </c>
      <c r="J262" s="437">
        <v>0</v>
      </c>
      <c r="K262" s="437">
        <v>0</v>
      </c>
      <c r="L262" s="437">
        <v>0</v>
      </c>
      <c r="M262" s="438">
        <v>0</v>
      </c>
      <c r="O262" s="350"/>
    </row>
    <row r="263" spans="1:15" ht="14.25" x14ac:dyDescent="0.45">
      <c r="A263" s="41"/>
      <c r="D263" s="1055"/>
      <c r="E263" s="433" t="s">
        <v>329</v>
      </c>
      <c r="F263" s="478" t="s">
        <v>320</v>
      </c>
      <c r="G263" s="434">
        <v>0</v>
      </c>
      <c r="H263" s="435">
        <v>0</v>
      </c>
      <c r="I263" s="436">
        <v>0</v>
      </c>
      <c r="J263" s="437">
        <v>0</v>
      </c>
      <c r="K263" s="437">
        <v>0</v>
      </c>
      <c r="L263" s="437">
        <v>0</v>
      </c>
      <c r="M263" s="438">
        <v>0</v>
      </c>
      <c r="O263" s="350"/>
    </row>
    <row r="264" spans="1:15" ht="14.25" x14ac:dyDescent="0.45">
      <c r="A264" s="41"/>
      <c r="D264" s="1055"/>
      <c r="E264" s="433" t="s">
        <v>330</v>
      </c>
      <c r="F264" s="478" t="s">
        <v>320</v>
      </c>
      <c r="G264" s="434">
        <v>0</v>
      </c>
      <c r="H264" s="435">
        <v>0</v>
      </c>
      <c r="I264" s="436">
        <v>0</v>
      </c>
      <c r="J264" s="437">
        <v>0</v>
      </c>
      <c r="K264" s="437">
        <v>0</v>
      </c>
      <c r="L264" s="437">
        <v>0</v>
      </c>
      <c r="M264" s="438">
        <v>0</v>
      </c>
      <c r="O264" s="350"/>
    </row>
    <row r="265" spans="1:15" ht="14.25" x14ac:dyDescent="0.45">
      <c r="A265" s="41"/>
      <c r="D265" s="1055"/>
      <c r="E265" s="433" t="s">
        <v>331</v>
      </c>
      <c r="F265" s="478" t="s">
        <v>320</v>
      </c>
      <c r="G265" s="434">
        <v>0</v>
      </c>
      <c r="H265" s="435">
        <v>0</v>
      </c>
      <c r="I265" s="436">
        <v>0</v>
      </c>
      <c r="J265" s="437">
        <v>0</v>
      </c>
      <c r="K265" s="437">
        <v>0</v>
      </c>
      <c r="L265" s="437">
        <v>0</v>
      </c>
      <c r="M265" s="438">
        <v>0</v>
      </c>
      <c r="O265" s="350"/>
    </row>
    <row r="266" spans="1:15" ht="14.25" x14ac:dyDescent="0.45">
      <c r="A266" s="41"/>
      <c r="D266" s="1055"/>
      <c r="E266" s="433" t="s">
        <v>332</v>
      </c>
      <c r="F266" s="478" t="s">
        <v>320</v>
      </c>
      <c r="G266" s="434">
        <v>0</v>
      </c>
      <c r="H266" s="435">
        <v>0</v>
      </c>
      <c r="I266" s="436">
        <v>0</v>
      </c>
      <c r="J266" s="437">
        <v>0</v>
      </c>
      <c r="K266" s="437">
        <v>0</v>
      </c>
      <c r="L266" s="437">
        <v>0</v>
      </c>
      <c r="M266" s="438">
        <v>0</v>
      </c>
      <c r="O266" s="350"/>
    </row>
    <row r="267" spans="1:15" ht="14.25" x14ac:dyDescent="0.45">
      <c r="A267" s="41"/>
      <c r="D267" s="1055"/>
      <c r="E267" s="433" t="s">
        <v>333</v>
      </c>
      <c r="F267" s="478" t="s">
        <v>320</v>
      </c>
      <c r="G267" s="434">
        <v>0</v>
      </c>
      <c r="H267" s="435">
        <v>0</v>
      </c>
      <c r="I267" s="436">
        <v>0</v>
      </c>
      <c r="J267" s="437">
        <v>0</v>
      </c>
      <c r="K267" s="437">
        <v>0</v>
      </c>
      <c r="L267" s="437">
        <v>0</v>
      </c>
      <c r="M267" s="438">
        <v>0</v>
      </c>
      <c r="O267" s="350"/>
    </row>
    <row r="268" spans="1:15" ht="14.65" thickBot="1" x14ac:dyDescent="0.5">
      <c r="A268" s="41"/>
      <c r="D268" s="1056"/>
      <c r="E268" s="440" t="s">
        <v>232</v>
      </c>
      <c r="F268" s="479" t="s">
        <v>320</v>
      </c>
      <c r="G268" s="441">
        <v>0</v>
      </c>
      <c r="H268" s="442">
        <v>0</v>
      </c>
      <c r="I268" s="443">
        <v>0</v>
      </c>
      <c r="J268" s="444">
        <v>0</v>
      </c>
      <c r="K268" s="444">
        <v>0</v>
      </c>
      <c r="L268" s="444">
        <v>0</v>
      </c>
      <c r="M268" s="445">
        <v>0</v>
      </c>
      <c r="O268" s="350"/>
    </row>
    <row r="269" spans="1:15" ht="14.25" x14ac:dyDescent="0.45">
      <c r="A269" s="41"/>
      <c r="D269" s="1054" t="s">
        <v>334</v>
      </c>
      <c r="E269" s="446" t="s">
        <v>335</v>
      </c>
      <c r="F269" s="476"/>
      <c r="G269" s="434">
        <v>14223.632161118605</v>
      </c>
      <c r="H269" s="435">
        <v>17760.017636767323</v>
      </c>
      <c r="I269" s="436">
        <v>21043.976714593413</v>
      </c>
      <c r="J269" s="437">
        <v>21421.695765434662</v>
      </c>
      <c r="K269" s="437">
        <v>21773.149156490261</v>
      </c>
      <c r="L269" s="437">
        <v>22087.86663758734</v>
      </c>
      <c r="M269" s="438">
        <v>22355.321436672959</v>
      </c>
      <c r="O269" s="350"/>
    </row>
    <row r="270" spans="1:15" ht="14.25" x14ac:dyDescent="0.45">
      <c r="A270" s="41"/>
      <c r="D270" s="1055"/>
      <c r="E270" s="433" t="s">
        <v>336</v>
      </c>
      <c r="F270" s="474"/>
      <c r="G270" s="434">
        <v>466.70321864079534</v>
      </c>
      <c r="H270" s="435">
        <v>608.95736369602253</v>
      </c>
      <c r="I270" s="436">
        <v>750.9983573079387</v>
      </c>
      <c r="J270" s="437">
        <v>792.92684337323578</v>
      </c>
      <c r="K270" s="437">
        <v>833.42461074085054</v>
      </c>
      <c r="L270" s="437">
        <v>872.02536400243639</v>
      </c>
      <c r="M270" s="438">
        <v>908.25090864916376</v>
      </c>
      <c r="O270" s="350"/>
    </row>
    <row r="271" spans="1:15" ht="14.25" x14ac:dyDescent="0.45">
      <c r="A271" s="41"/>
      <c r="D271" s="1055"/>
      <c r="E271" s="433" t="s">
        <v>337</v>
      </c>
      <c r="F271" s="474"/>
      <c r="G271" s="434">
        <v>0</v>
      </c>
      <c r="H271" s="435">
        <v>0</v>
      </c>
      <c r="I271" s="436">
        <v>0</v>
      </c>
      <c r="J271" s="437">
        <v>0</v>
      </c>
      <c r="K271" s="437">
        <v>0</v>
      </c>
      <c r="L271" s="437">
        <v>0</v>
      </c>
      <c r="M271" s="438">
        <v>0</v>
      </c>
      <c r="O271" s="350"/>
    </row>
    <row r="272" spans="1:15" ht="14.25" x14ac:dyDescent="0.45">
      <c r="A272" s="41"/>
      <c r="D272" s="1055"/>
      <c r="E272" s="433" t="s">
        <v>338</v>
      </c>
      <c r="F272" s="474"/>
      <c r="G272" s="434">
        <v>71384.205778366028</v>
      </c>
      <c r="H272" s="435">
        <v>89930.275515201734</v>
      </c>
      <c r="I272" s="436">
        <v>107511.63622756471</v>
      </c>
      <c r="J272" s="437">
        <v>110418.42512063225</v>
      </c>
      <c r="K272" s="437">
        <v>113230.54464153887</v>
      </c>
      <c r="L272" s="437">
        <v>115910.95579880396</v>
      </c>
      <c r="M272" s="438">
        <v>118422.03295875771</v>
      </c>
      <c r="O272" s="350"/>
    </row>
    <row r="273" spans="1:15" ht="14.25" x14ac:dyDescent="0.45">
      <c r="A273" s="41"/>
      <c r="D273" s="1055"/>
      <c r="E273" s="433" t="s">
        <v>339</v>
      </c>
      <c r="F273" s="474"/>
      <c r="G273" s="434">
        <v>348842.20819981099</v>
      </c>
      <c r="H273" s="435">
        <v>441838.78092150541</v>
      </c>
      <c r="I273" s="436">
        <v>532731.73819810618</v>
      </c>
      <c r="J273" s="437">
        <v>553580.06430656556</v>
      </c>
      <c r="K273" s="437">
        <v>576204.43992081773</v>
      </c>
      <c r="L273" s="437">
        <v>600763.3934685624</v>
      </c>
      <c r="M273" s="438">
        <v>627384.60073250742</v>
      </c>
      <c r="O273" s="350"/>
    </row>
    <row r="274" spans="1:15" ht="14.25" x14ac:dyDescent="0.45">
      <c r="A274" s="41"/>
      <c r="D274" s="1055"/>
      <c r="E274" s="433" t="s">
        <v>340</v>
      </c>
      <c r="F274" s="474"/>
      <c r="G274" s="434">
        <v>1496.3713296720605</v>
      </c>
      <c r="H274" s="435">
        <v>1819.716700905931</v>
      </c>
      <c r="I274" s="436">
        <v>2103.0614584330483</v>
      </c>
      <c r="J274" s="437">
        <v>2090.9366999518966</v>
      </c>
      <c r="K274" s="437">
        <v>2078.4545889710394</v>
      </c>
      <c r="L274" s="437">
        <v>2064.7692429384492</v>
      </c>
      <c r="M274" s="438">
        <v>2049.0401371088205</v>
      </c>
      <c r="O274" s="350"/>
    </row>
    <row r="275" spans="1:15" ht="14.25" x14ac:dyDescent="0.45">
      <c r="A275" s="41"/>
      <c r="D275" s="1055"/>
      <c r="E275" s="433" t="s">
        <v>341</v>
      </c>
      <c r="F275" s="474"/>
      <c r="G275" s="434">
        <v>724575.81408293243</v>
      </c>
      <c r="H275" s="435">
        <v>667226.10633388092</v>
      </c>
      <c r="I275" s="436">
        <v>658966.3521080194</v>
      </c>
      <c r="J275" s="437">
        <v>659616.22225729236</v>
      </c>
      <c r="K275" s="437">
        <v>660256.42521978356</v>
      </c>
      <c r="L275" s="437">
        <v>660884.01701467065</v>
      </c>
      <c r="M275" s="438">
        <v>661496.01457978145</v>
      </c>
      <c r="O275" s="350"/>
    </row>
    <row r="276" spans="1:15" ht="14.25" x14ac:dyDescent="0.45">
      <c r="A276" s="41"/>
      <c r="D276" s="1055"/>
      <c r="E276" s="433" t="s">
        <v>342</v>
      </c>
      <c r="F276" s="474"/>
      <c r="G276" s="434">
        <v>9383.8117923549344</v>
      </c>
      <c r="H276" s="435">
        <v>12914.468484943289</v>
      </c>
      <c r="I276" s="436">
        <v>16660.134030368758</v>
      </c>
      <c r="J276" s="437">
        <v>18284.753583533948</v>
      </c>
      <c r="K276" s="437">
        <v>19879.833026126027</v>
      </c>
      <c r="L276" s="437">
        <v>21434.349944072361</v>
      </c>
      <c r="M276" s="438">
        <v>22936.743350350684</v>
      </c>
      <c r="O276" s="350"/>
    </row>
    <row r="277" spans="1:15" ht="14.25" x14ac:dyDescent="0.45">
      <c r="A277" s="41"/>
      <c r="D277" s="1055"/>
      <c r="E277" s="433" t="s">
        <v>343</v>
      </c>
      <c r="F277" s="474"/>
      <c r="G277" s="434">
        <v>0</v>
      </c>
      <c r="H277" s="435">
        <v>0</v>
      </c>
      <c r="I277" s="436">
        <v>0</v>
      </c>
      <c r="J277" s="437">
        <v>0</v>
      </c>
      <c r="K277" s="437">
        <v>0</v>
      </c>
      <c r="L277" s="437">
        <v>0</v>
      </c>
      <c r="M277" s="438">
        <v>0</v>
      </c>
      <c r="O277" s="350"/>
    </row>
    <row r="278" spans="1:15" ht="14.25" x14ac:dyDescent="0.45">
      <c r="A278" s="41"/>
      <c r="D278" s="1055"/>
      <c r="E278" s="433" t="s">
        <v>344</v>
      </c>
      <c r="F278" s="474"/>
      <c r="G278" s="434">
        <v>0</v>
      </c>
      <c r="H278" s="435">
        <v>0</v>
      </c>
      <c r="I278" s="436">
        <v>0</v>
      </c>
      <c r="J278" s="437">
        <v>0</v>
      </c>
      <c r="K278" s="437">
        <v>0</v>
      </c>
      <c r="L278" s="437">
        <v>0</v>
      </c>
      <c r="M278" s="438">
        <v>0</v>
      </c>
      <c r="O278" s="350"/>
    </row>
    <row r="279" spans="1:15" ht="14.25" x14ac:dyDescent="0.45">
      <c r="A279" s="41"/>
      <c r="D279" s="1055"/>
      <c r="E279" s="433" t="s">
        <v>345</v>
      </c>
      <c r="F279" s="474"/>
      <c r="G279" s="434">
        <v>1181365.4800816113</v>
      </c>
      <c r="H279" s="435">
        <v>807977.99788709707</v>
      </c>
      <c r="I279" s="436">
        <v>1038317.9317709148</v>
      </c>
      <c r="J279" s="437">
        <v>1075539.6385237076</v>
      </c>
      <c r="K279" s="437">
        <v>1114093.0363158896</v>
      </c>
      <c r="L279" s="437">
        <v>1153888.0036952568</v>
      </c>
      <c r="M279" s="438">
        <v>1194820.7538749559</v>
      </c>
      <c r="O279" s="350"/>
    </row>
    <row r="280" spans="1:15" ht="14.25" x14ac:dyDescent="0.45">
      <c r="A280" s="41"/>
      <c r="D280" s="1055"/>
      <c r="E280" s="433" t="s">
        <v>346</v>
      </c>
      <c r="F280" s="474"/>
      <c r="G280" s="434">
        <v>163374.84357328317</v>
      </c>
      <c r="H280" s="435">
        <v>216247.19027896869</v>
      </c>
      <c r="I280" s="436">
        <v>271655.48761068028</v>
      </c>
      <c r="J280" s="437">
        <v>293203.68456397433</v>
      </c>
      <c r="K280" s="437">
        <v>316002.9047327431</v>
      </c>
      <c r="L280" s="437">
        <v>340102.17171422351</v>
      </c>
      <c r="M280" s="438">
        <v>365548.68673334282</v>
      </c>
      <c r="O280" s="350"/>
    </row>
    <row r="281" spans="1:15" ht="14.25" x14ac:dyDescent="0.45">
      <c r="A281" s="41"/>
      <c r="D281" s="1055"/>
      <c r="E281" s="433" t="s">
        <v>347</v>
      </c>
      <c r="F281" s="474"/>
      <c r="G281" s="434">
        <v>0</v>
      </c>
      <c r="H281" s="435">
        <v>0</v>
      </c>
      <c r="I281" s="436">
        <v>0</v>
      </c>
      <c r="J281" s="437">
        <v>0</v>
      </c>
      <c r="K281" s="437">
        <v>0</v>
      </c>
      <c r="L281" s="437">
        <v>0</v>
      </c>
      <c r="M281" s="438">
        <v>0</v>
      </c>
      <c r="O281" s="350"/>
    </row>
    <row r="282" spans="1:15" ht="25.5" x14ac:dyDescent="0.45">
      <c r="A282" s="41"/>
      <c r="D282" s="1055"/>
      <c r="E282" s="433" t="s">
        <v>348</v>
      </c>
      <c r="F282" s="474"/>
      <c r="G282" s="434">
        <v>205948.13459464701</v>
      </c>
      <c r="H282" s="435">
        <v>247745.42049699681</v>
      </c>
      <c r="I282" s="436">
        <v>283466.06967403617</v>
      </c>
      <c r="J282" s="437">
        <v>279263.38645657635</v>
      </c>
      <c r="K282" s="437">
        <v>275311.40145782259</v>
      </c>
      <c r="L282" s="437">
        <v>271405.16150096117</v>
      </c>
      <c r="M282" s="438">
        <v>267341.22340390168</v>
      </c>
      <c r="O282" s="350"/>
    </row>
    <row r="283" spans="1:15" ht="14.25" x14ac:dyDescent="0.45">
      <c r="A283" s="41"/>
      <c r="D283" s="1055"/>
      <c r="E283" s="433" t="s">
        <v>349</v>
      </c>
      <c r="F283" s="474"/>
      <c r="G283" s="434">
        <v>0</v>
      </c>
      <c r="H283" s="435">
        <v>0</v>
      </c>
      <c r="I283" s="436">
        <v>0</v>
      </c>
      <c r="J283" s="437">
        <v>0</v>
      </c>
      <c r="K283" s="437">
        <v>0</v>
      </c>
      <c r="L283" s="437">
        <v>0</v>
      </c>
      <c r="M283" s="438">
        <v>0</v>
      </c>
      <c r="O283" s="350"/>
    </row>
    <row r="284" spans="1:15" ht="14.25" x14ac:dyDescent="0.45">
      <c r="A284" s="41"/>
      <c r="D284" s="1055"/>
      <c r="E284" s="433" t="s">
        <v>350</v>
      </c>
      <c r="F284" s="474"/>
      <c r="G284" s="434">
        <v>0</v>
      </c>
      <c r="H284" s="435">
        <v>0</v>
      </c>
      <c r="I284" s="436">
        <v>0</v>
      </c>
      <c r="J284" s="437">
        <v>0</v>
      </c>
      <c r="K284" s="437">
        <v>0</v>
      </c>
      <c r="L284" s="437">
        <v>0</v>
      </c>
      <c r="M284" s="438">
        <v>0</v>
      </c>
      <c r="O284" s="350"/>
    </row>
    <row r="285" spans="1:15" ht="25.5" x14ac:dyDescent="0.45">
      <c r="A285" s="41"/>
      <c r="D285" s="1055"/>
      <c r="E285" s="433" t="s">
        <v>351</v>
      </c>
      <c r="F285" s="474"/>
      <c r="G285" s="434">
        <v>0</v>
      </c>
      <c r="H285" s="435">
        <v>0</v>
      </c>
      <c r="I285" s="436">
        <v>0</v>
      </c>
      <c r="J285" s="437">
        <v>0</v>
      </c>
      <c r="K285" s="437">
        <v>0</v>
      </c>
      <c r="L285" s="437">
        <v>0</v>
      </c>
      <c r="M285" s="438">
        <v>0</v>
      </c>
      <c r="O285" s="350"/>
    </row>
    <row r="286" spans="1:15" ht="14.25" x14ac:dyDescent="0.45">
      <c r="A286" s="41"/>
      <c r="D286" s="1055"/>
      <c r="E286" s="433" t="s">
        <v>352</v>
      </c>
      <c r="F286" s="474"/>
      <c r="G286" s="434">
        <v>268519.0177594893</v>
      </c>
      <c r="H286" s="435">
        <v>342275.52984108351</v>
      </c>
      <c r="I286" s="436">
        <v>413453.18669208977</v>
      </c>
      <c r="J286" s="437">
        <v>428435.12622944958</v>
      </c>
      <c r="K286" s="437">
        <v>442620.20632923744</v>
      </c>
      <c r="L286" s="437">
        <v>455928.80060500145</v>
      </c>
      <c r="M286" s="438">
        <v>468301.8207698855</v>
      </c>
      <c r="O286" s="350"/>
    </row>
    <row r="287" spans="1:15" ht="14.25" x14ac:dyDescent="0.45">
      <c r="A287" s="41"/>
      <c r="D287" s="1055"/>
      <c r="E287" s="433" t="s">
        <v>353</v>
      </c>
      <c r="F287" s="474"/>
      <c r="G287" s="434">
        <v>38291.069332641157</v>
      </c>
      <c r="H287" s="435">
        <v>48301.67062129789</v>
      </c>
      <c r="I287" s="436">
        <v>57837.751680965514</v>
      </c>
      <c r="J287" s="437">
        <v>59514.941636756368</v>
      </c>
      <c r="K287" s="437">
        <v>61164.076850287463</v>
      </c>
      <c r="L287" s="437">
        <v>62775.47878487179</v>
      </c>
      <c r="M287" s="438">
        <v>64339.268583220408</v>
      </c>
      <c r="O287" s="350"/>
    </row>
    <row r="288" spans="1:15" ht="25.5" x14ac:dyDescent="0.45">
      <c r="A288" s="41"/>
      <c r="D288" s="1055"/>
      <c r="E288" s="433" t="s">
        <v>354</v>
      </c>
      <c r="F288" s="474"/>
      <c r="G288" s="434">
        <v>0</v>
      </c>
      <c r="H288" s="435">
        <v>0</v>
      </c>
      <c r="I288" s="436">
        <v>0</v>
      </c>
      <c r="J288" s="437">
        <v>0</v>
      </c>
      <c r="K288" s="437">
        <v>0</v>
      </c>
      <c r="L288" s="437">
        <v>0</v>
      </c>
      <c r="M288" s="438">
        <v>0</v>
      </c>
      <c r="O288" s="350"/>
    </row>
    <row r="289" spans="1:15" ht="14.25" x14ac:dyDescent="0.45">
      <c r="A289" s="41"/>
      <c r="D289" s="1055"/>
      <c r="E289" s="433" t="s">
        <v>355</v>
      </c>
      <c r="F289" s="474"/>
      <c r="G289" s="434">
        <v>0</v>
      </c>
      <c r="H289" s="435">
        <v>0</v>
      </c>
      <c r="I289" s="436">
        <v>0</v>
      </c>
      <c r="J289" s="437">
        <v>0</v>
      </c>
      <c r="K289" s="437">
        <v>0</v>
      </c>
      <c r="L289" s="437">
        <v>0</v>
      </c>
      <c r="M289" s="438">
        <v>0</v>
      </c>
      <c r="O289" s="350"/>
    </row>
    <row r="290" spans="1:15" ht="14.25" x14ac:dyDescent="0.45">
      <c r="A290" s="41"/>
      <c r="D290" s="1055"/>
      <c r="E290" s="433" t="s">
        <v>356</v>
      </c>
      <c r="F290" s="474"/>
      <c r="G290" s="434">
        <v>615066</v>
      </c>
      <c r="H290" s="435">
        <v>820088</v>
      </c>
      <c r="I290" s="436">
        <v>0</v>
      </c>
      <c r="J290" s="437">
        <v>0</v>
      </c>
      <c r="K290" s="437">
        <v>0</v>
      </c>
      <c r="L290" s="437">
        <v>0</v>
      </c>
      <c r="M290" s="438">
        <v>0</v>
      </c>
      <c r="O290" s="350"/>
    </row>
    <row r="291" spans="1:15" ht="25.5" x14ac:dyDescent="0.45">
      <c r="A291" s="41"/>
      <c r="D291" s="1055"/>
      <c r="E291" s="433" t="s">
        <v>357</v>
      </c>
      <c r="F291" s="474"/>
      <c r="G291" s="434">
        <v>93215.701610085845</v>
      </c>
      <c r="H291" s="435">
        <v>534803.68313572672</v>
      </c>
      <c r="I291" s="436">
        <v>740660.98095689563</v>
      </c>
      <c r="J291" s="437">
        <v>573965.20665502525</v>
      </c>
      <c r="K291" s="437">
        <v>0</v>
      </c>
      <c r="L291" s="437">
        <v>0</v>
      </c>
      <c r="M291" s="438">
        <v>0</v>
      </c>
      <c r="O291" s="350"/>
    </row>
    <row r="292" spans="1:15" ht="14.25" x14ac:dyDescent="0.45">
      <c r="A292" s="41"/>
      <c r="D292" s="1055"/>
      <c r="E292" s="433" t="s">
        <v>358</v>
      </c>
      <c r="F292" s="474"/>
      <c r="G292" s="434">
        <v>0</v>
      </c>
      <c r="H292" s="435">
        <v>0</v>
      </c>
      <c r="I292" s="436">
        <v>0</v>
      </c>
      <c r="J292" s="437">
        <v>0</v>
      </c>
      <c r="K292" s="437">
        <v>0</v>
      </c>
      <c r="L292" s="437">
        <v>0</v>
      </c>
      <c r="M292" s="438">
        <v>0</v>
      </c>
      <c r="O292" s="350"/>
    </row>
    <row r="293" spans="1:15" ht="14.25" x14ac:dyDescent="0.45">
      <c r="A293" s="41"/>
      <c r="D293" s="1055"/>
      <c r="E293" s="433" t="s">
        <v>359</v>
      </c>
      <c r="F293" s="474"/>
      <c r="G293" s="434">
        <v>0</v>
      </c>
      <c r="H293" s="435">
        <v>0</v>
      </c>
      <c r="I293" s="436">
        <v>0</v>
      </c>
      <c r="J293" s="437">
        <v>0</v>
      </c>
      <c r="K293" s="437">
        <v>0</v>
      </c>
      <c r="L293" s="437">
        <v>0</v>
      </c>
      <c r="M293" s="438">
        <v>0</v>
      </c>
      <c r="O293" s="350"/>
    </row>
    <row r="294" spans="1:15" ht="14.25" x14ac:dyDescent="0.45">
      <c r="A294" s="41"/>
      <c r="D294" s="1055"/>
      <c r="E294" s="433" t="s">
        <v>360</v>
      </c>
      <c r="F294" s="474"/>
      <c r="G294" s="434">
        <v>0</v>
      </c>
      <c r="H294" s="435">
        <v>0</v>
      </c>
      <c r="I294" s="436">
        <v>0</v>
      </c>
      <c r="J294" s="437">
        <v>0</v>
      </c>
      <c r="K294" s="437">
        <v>0</v>
      </c>
      <c r="L294" s="437">
        <v>0</v>
      </c>
      <c r="M294" s="438">
        <v>0</v>
      </c>
      <c r="O294" s="350"/>
    </row>
    <row r="295" spans="1:15" ht="14.25" x14ac:dyDescent="0.45">
      <c r="A295" s="41"/>
      <c r="D295" s="1055"/>
      <c r="E295" s="433" t="s">
        <v>361</v>
      </c>
      <c r="F295" s="474"/>
      <c r="G295" s="434">
        <v>0</v>
      </c>
      <c r="H295" s="435">
        <v>0</v>
      </c>
      <c r="I295" s="436">
        <v>0</v>
      </c>
      <c r="J295" s="437">
        <v>0</v>
      </c>
      <c r="K295" s="437">
        <v>0</v>
      </c>
      <c r="L295" s="437">
        <v>0</v>
      </c>
      <c r="M295" s="438">
        <v>0</v>
      </c>
      <c r="O295" s="350"/>
    </row>
    <row r="296" spans="1:15" ht="14.25" x14ac:dyDescent="0.45">
      <c r="A296" s="41"/>
      <c r="D296" s="1055"/>
      <c r="E296" s="433" t="s">
        <v>362</v>
      </c>
      <c r="F296" s="474"/>
      <c r="G296" s="434">
        <v>0</v>
      </c>
      <c r="H296" s="435">
        <v>0</v>
      </c>
      <c r="I296" s="436">
        <v>0</v>
      </c>
      <c r="J296" s="437">
        <v>0</v>
      </c>
      <c r="K296" s="437">
        <v>0</v>
      </c>
      <c r="L296" s="437">
        <v>0</v>
      </c>
      <c r="M296" s="438">
        <v>0</v>
      </c>
      <c r="O296" s="350"/>
    </row>
    <row r="297" spans="1:15" ht="14.65" thickBot="1" x14ac:dyDescent="0.5">
      <c r="A297" s="41"/>
      <c r="D297" s="1056"/>
      <c r="E297" s="440" t="s">
        <v>232</v>
      </c>
      <c r="F297" s="475"/>
      <c r="G297" s="441">
        <v>0</v>
      </c>
      <c r="H297" s="442">
        <v>0</v>
      </c>
      <c r="I297" s="443">
        <v>0</v>
      </c>
      <c r="J297" s="444">
        <v>0</v>
      </c>
      <c r="K297" s="444">
        <v>0</v>
      </c>
      <c r="L297" s="444">
        <v>0</v>
      </c>
      <c r="M297" s="445">
        <v>0</v>
      </c>
      <c r="O297" s="350"/>
    </row>
    <row r="298" spans="1:15" ht="14.25" x14ac:dyDescent="0.45">
      <c r="A298" s="41"/>
      <c r="D298" s="1054" t="s">
        <v>363</v>
      </c>
      <c r="E298" s="446" t="s">
        <v>364</v>
      </c>
      <c r="F298" s="476"/>
      <c r="G298" s="434">
        <v>0</v>
      </c>
      <c r="H298" s="435">
        <v>0</v>
      </c>
      <c r="I298" s="436">
        <v>0</v>
      </c>
      <c r="J298" s="437">
        <v>0</v>
      </c>
      <c r="K298" s="437">
        <v>0</v>
      </c>
      <c r="L298" s="437">
        <v>0</v>
      </c>
      <c r="M298" s="438">
        <v>0</v>
      </c>
      <c r="O298" s="350"/>
    </row>
    <row r="299" spans="1:15" ht="14.25" x14ac:dyDescent="0.45">
      <c r="A299" s="41"/>
      <c r="D299" s="1055"/>
      <c r="E299" s="433" t="s">
        <v>365</v>
      </c>
      <c r="F299" s="474"/>
      <c r="G299" s="434">
        <v>1651114.8731969106</v>
      </c>
      <c r="H299" s="435">
        <v>1513069.3314778688</v>
      </c>
      <c r="I299" s="436">
        <v>1812667.8581018031</v>
      </c>
      <c r="J299" s="437">
        <v>1831392.7923486268</v>
      </c>
      <c r="K299" s="437">
        <v>1853866.3498344312</v>
      </c>
      <c r="L299" s="437">
        <v>1886967.8897939979</v>
      </c>
      <c r="M299" s="438">
        <v>1919262.0568847044</v>
      </c>
      <c r="O299" s="350"/>
    </row>
    <row r="300" spans="1:15" ht="14.25" x14ac:dyDescent="0.45">
      <c r="A300" s="41"/>
      <c r="D300" s="1055"/>
      <c r="E300" s="433" t="s">
        <v>366</v>
      </c>
      <c r="F300" s="474"/>
      <c r="G300" s="434">
        <v>403979.6948623322</v>
      </c>
      <c r="H300" s="435">
        <v>684371.95779360726</v>
      </c>
      <c r="I300" s="436">
        <v>1881091.658559809</v>
      </c>
      <c r="J300" s="437">
        <v>767919.06687012152</v>
      </c>
      <c r="K300" s="437">
        <v>291702.65853167145</v>
      </c>
      <c r="L300" s="437">
        <v>299727.56348836259</v>
      </c>
      <c r="M300" s="438">
        <v>307462.96393241343</v>
      </c>
      <c r="O300" s="350"/>
    </row>
    <row r="301" spans="1:15" ht="14.25" x14ac:dyDescent="0.45">
      <c r="A301" s="41"/>
      <c r="D301" s="1055"/>
      <c r="E301" s="433" t="s">
        <v>367</v>
      </c>
      <c r="F301" s="474"/>
      <c r="G301" s="434">
        <v>160219.5853733485</v>
      </c>
      <c r="H301" s="435">
        <v>202523.6927083458</v>
      </c>
      <c r="I301" s="436">
        <v>243058.75531097778</v>
      </c>
      <c r="J301" s="437">
        <v>250725.2241496027</v>
      </c>
      <c r="K301" s="437">
        <v>258358.29429490532</v>
      </c>
      <c r="L301" s="437">
        <v>265947.92461155175</v>
      </c>
      <c r="M301" s="438">
        <v>273483.81939456431</v>
      </c>
      <c r="O301" s="350"/>
    </row>
    <row r="302" spans="1:15" ht="14.25" x14ac:dyDescent="0.45">
      <c r="A302" s="41"/>
      <c r="D302" s="1055"/>
      <c r="E302" s="433" t="s">
        <v>368</v>
      </c>
      <c r="F302" s="474"/>
      <c r="G302" s="434">
        <v>234490.18125189442</v>
      </c>
      <c r="H302" s="435">
        <v>292440.37354906823</v>
      </c>
      <c r="I302" s="436">
        <v>354897.74168682506</v>
      </c>
      <c r="J302" s="437">
        <v>370759.08394074126</v>
      </c>
      <c r="K302" s="437">
        <v>386544.67324943084</v>
      </c>
      <c r="L302" s="437">
        <v>402790.77805905911</v>
      </c>
      <c r="M302" s="438">
        <v>417756.11725099827</v>
      </c>
      <c r="O302" s="350"/>
    </row>
    <row r="303" spans="1:15" ht="14.25" x14ac:dyDescent="0.45">
      <c r="A303" s="41"/>
      <c r="D303" s="1055"/>
      <c r="E303" s="433" t="s">
        <v>369</v>
      </c>
      <c r="F303" s="474"/>
      <c r="G303" s="434">
        <v>0</v>
      </c>
      <c r="H303" s="435">
        <v>0</v>
      </c>
      <c r="I303" s="436">
        <v>0</v>
      </c>
      <c r="J303" s="437">
        <v>0</v>
      </c>
      <c r="K303" s="437">
        <v>0</v>
      </c>
      <c r="L303" s="437">
        <v>0</v>
      </c>
      <c r="M303" s="438">
        <v>0</v>
      </c>
      <c r="O303" s="350"/>
    </row>
    <row r="304" spans="1:15" ht="14.25" x14ac:dyDescent="0.45">
      <c r="A304" s="41"/>
      <c r="D304" s="1055"/>
      <c r="E304" s="433" t="s">
        <v>370</v>
      </c>
      <c r="F304" s="474"/>
      <c r="G304" s="434">
        <v>0</v>
      </c>
      <c r="H304" s="435">
        <v>0</v>
      </c>
      <c r="I304" s="436">
        <v>0</v>
      </c>
      <c r="J304" s="437">
        <v>0</v>
      </c>
      <c r="K304" s="437">
        <v>0</v>
      </c>
      <c r="L304" s="437">
        <v>0</v>
      </c>
      <c r="M304" s="438">
        <v>0</v>
      </c>
      <c r="O304" s="350"/>
    </row>
    <row r="305" spans="1:15" ht="14.25" x14ac:dyDescent="0.45">
      <c r="A305" s="41"/>
      <c r="D305" s="1055"/>
      <c r="E305" s="433" t="s">
        <v>371</v>
      </c>
      <c r="F305" s="474"/>
      <c r="G305" s="434">
        <v>1049.1860731849788</v>
      </c>
      <c r="H305" s="435">
        <v>1345.7434741415282</v>
      </c>
      <c r="I305" s="436">
        <v>1637.2127003505377</v>
      </c>
      <c r="J305" s="437">
        <v>1710.4445738301013</v>
      </c>
      <c r="K305" s="437">
        <v>1783.6291054983246</v>
      </c>
      <c r="L305" s="437">
        <v>1856.7531035355933</v>
      </c>
      <c r="M305" s="438">
        <v>1929.8029147456662</v>
      </c>
      <c r="O305" s="350"/>
    </row>
    <row r="306" spans="1:15" ht="14.25" x14ac:dyDescent="0.45">
      <c r="A306" s="41"/>
      <c r="D306" s="1055"/>
      <c r="E306" s="433" t="s">
        <v>372</v>
      </c>
      <c r="F306" s="474"/>
      <c r="G306" s="434">
        <v>1590237.5829312275</v>
      </c>
      <c r="H306" s="435">
        <v>755620.17765334749</v>
      </c>
      <c r="I306" s="436">
        <v>454050.11433558405</v>
      </c>
      <c r="J306" s="437">
        <v>322250.92309629743</v>
      </c>
      <c r="K306" s="437">
        <v>72402.363174172395</v>
      </c>
      <c r="L306" s="437">
        <v>72710.213614805398</v>
      </c>
      <c r="M306" s="438">
        <v>73163.472004693816</v>
      </c>
      <c r="O306" s="350"/>
    </row>
    <row r="307" spans="1:15" ht="14.25" x14ac:dyDescent="0.45">
      <c r="A307" s="41"/>
      <c r="D307" s="1055"/>
      <c r="E307" s="433" t="s">
        <v>373</v>
      </c>
      <c r="F307" s="474"/>
      <c r="G307" s="434">
        <v>0</v>
      </c>
      <c r="H307" s="435">
        <v>0</v>
      </c>
      <c r="I307" s="436">
        <v>0</v>
      </c>
      <c r="J307" s="437">
        <v>0</v>
      </c>
      <c r="K307" s="437">
        <v>0</v>
      </c>
      <c r="L307" s="437">
        <v>0</v>
      </c>
      <c r="M307" s="438">
        <v>0</v>
      </c>
      <c r="O307" s="350"/>
    </row>
    <row r="308" spans="1:15" ht="14.25" x14ac:dyDescent="0.45">
      <c r="A308" s="41"/>
      <c r="D308" s="1055"/>
      <c r="E308" s="433" t="s">
        <v>374</v>
      </c>
      <c r="F308" s="474"/>
      <c r="G308" s="434">
        <v>176360.65255165217</v>
      </c>
      <c r="H308" s="435">
        <v>144229.52478396095</v>
      </c>
      <c r="I308" s="436">
        <v>144547.82703338334</v>
      </c>
      <c r="J308" s="437">
        <v>130943.32566553546</v>
      </c>
      <c r="K308" s="437">
        <v>121023.37398659</v>
      </c>
      <c r="L308" s="437">
        <v>120739.94963964963</v>
      </c>
      <c r="M308" s="438">
        <v>120739.94963964963</v>
      </c>
      <c r="O308" s="350"/>
    </row>
    <row r="309" spans="1:15" ht="14.25" x14ac:dyDescent="0.45">
      <c r="A309" s="41"/>
      <c r="D309" s="1055"/>
      <c r="E309" s="433" t="s">
        <v>375</v>
      </c>
      <c r="F309" s="474"/>
      <c r="G309" s="434">
        <v>0</v>
      </c>
      <c r="H309" s="435">
        <v>0</v>
      </c>
      <c r="I309" s="436">
        <v>0</v>
      </c>
      <c r="J309" s="437">
        <v>0</v>
      </c>
      <c r="K309" s="437">
        <v>0</v>
      </c>
      <c r="L309" s="437">
        <v>0</v>
      </c>
      <c r="M309" s="438">
        <v>0</v>
      </c>
      <c r="O309" s="350"/>
    </row>
    <row r="310" spans="1:15" ht="14.25" x14ac:dyDescent="0.45">
      <c r="A310" s="41"/>
      <c r="D310" s="1055"/>
      <c r="E310" s="433" t="s">
        <v>376</v>
      </c>
      <c r="F310" s="474"/>
      <c r="G310" s="434">
        <v>0</v>
      </c>
      <c r="H310" s="435">
        <v>0</v>
      </c>
      <c r="I310" s="436">
        <v>0</v>
      </c>
      <c r="J310" s="437">
        <v>0</v>
      </c>
      <c r="K310" s="437">
        <v>0</v>
      </c>
      <c r="L310" s="437">
        <v>0</v>
      </c>
      <c r="M310" s="438">
        <v>0</v>
      </c>
      <c r="O310" s="350"/>
    </row>
    <row r="311" spans="1:15" ht="14.65" thickBot="1" x14ac:dyDescent="0.5">
      <c r="A311" s="41"/>
      <c r="D311" s="1056"/>
      <c r="E311" s="440" t="s">
        <v>232</v>
      </c>
      <c r="F311" s="475"/>
      <c r="G311" s="441">
        <v>0</v>
      </c>
      <c r="H311" s="442">
        <v>0</v>
      </c>
      <c r="I311" s="443">
        <v>0</v>
      </c>
      <c r="J311" s="444">
        <v>0</v>
      </c>
      <c r="K311" s="444">
        <v>0</v>
      </c>
      <c r="L311" s="444">
        <v>0</v>
      </c>
      <c r="M311" s="445">
        <v>0</v>
      </c>
      <c r="O311" s="350"/>
    </row>
    <row r="312" spans="1:15" ht="14.25" x14ac:dyDescent="0.45">
      <c r="A312" s="41"/>
      <c r="D312" s="1054" t="s">
        <v>377</v>
      </c>
      <c r="E312" s="446" t="s">
        <v>378</v>
      </c>
      <c r="F312" s="476"/>
      <c r="G312" s="452">
        <v>0</v>
      </c>
      <c r="H312" s="453">
        <v>0</v>
      </c>
      <c r="I312" s="454">
        <v>0</v>
      </c>
      <c r="J312" s="455">
        <v>0</v>
      </c>
      <c r="K312" s="455">
        <v>0</v>
      </c>
      <c r="L312" s="455">
        <v>0</v>
      </c>
      <c r="M312" s="456">
        <v>0</v>
      </c>
      <c r="O312" s="350"/>
    </row>
    <row r="313" spans="1:15" ht="14.25" x14ac:dyDescent="0.45">
      <c r="A313" s="41"/>
      <c r="D313" s="1055"/>
      <c r="E313" s="433" t="s">
        <v>379</v>
      </c>
      <c r="F313" s="474"/>
      <c r="G313" s="452">
        <v>0</v>
      </c>
      <c r="H313" s="453">
        <v>0</v>
      </c>
      <c r="I313" s="454">
        <v>0</v>
      </c>
      <c r="J313" s="455">
        <v>0</v>
      </c>
      <c r="K313" s="455">
        <v>0</v>
      </c>
      <c r="L313" s="455">
        <v>0</v>
      </c>
      <c r="M313" s="456">
        <v>0</v>
      </c>
      <c r="O313" s="350"/>
    </row>
    <row r="314" spans="1:15" ht="14.25" x14ac:dyDescent="0.45">
      <c r="A314" s="41"/>
      <c r="D314" s="1055"/>
      <c r="E314" s="433" t="s">
        <v>380</v>
      </c>
      <c r="F314" s="474"/>
      <c r="G314" s="452">
        <v>0</v>
      </c>
      <c r="H314" s="453">
        <v>0</v>
      </c>
      <c r="I314" s="454">
        <v>0</v>
      </c>
      <c r="J314" s="455">
        <v>0</v>
      </c>
      <c r="K314" s="455">
        <v>0</v>
      </c>
      <c r="L314" s="455">
        <v>0</v>
      </c>
      <c r="M314" s="456">
        <v>0</v>
      </c>
      <c r="O314" s="350"/>
    </row>
    <row r="315" spans="1:15" ht="14.25" x14ac:dyDescent="0.45">
      <c r="A315" s="41"/>
      <c r="D315" s="1055"/>
      <c r="E315" s="433" t="s">
        <v>381</v>
      </c>
      <c r="F315" s="474"/>
      <c r="G315" s="452">
        <v>0</v>
      </c>
      <c r="H315" s="453">
        <v>0</v>
      </c>
      <c r="I315" s="454">
        <v>0</v>
      </c>
      <c r="J315" s="455">
        <v>0</v>
      </c>
      <c r="K315" s="455">
        <v>0</v>
      </c>
      <c r="L315" s="455">
        <v>0</v>
      </c>
      <c r="M315" s="456">
        <v>0</v>
      </c>
      <c r="O315" s="350"/>
    </row>
    <row r="316" spans="1:15" ht="14.25" x14ac:dyDescent="0.45">
      <c r="A316" s="41"/>
      <c r="D316" s="1055"/>
      <c r="E316" s="433" t="s">
        <v>382</v>
      </c>
      <c r="F316" s="474"/>
      <c r="G316" s="452">
        <v>0</v>
      </c>
      <c r="H316" s="453">
        <v>0</v>
      </c>
      <c r="I316" s="454">
        <v>0</v>
      </c>
      <c r="J316" s="455">
        <v>0</v>
      </c>
      <c r="K316" s="455">
        <v>0</v>
      </c>
      <c r="L316" s="455">
        <v>0</v>
      </c>
      <c r="M316" s="456">
        <v>0</v>
      </c>
      <c r="O316" s="350"/>
    </row>
    <row r="317" spans="1:15" ht="14.25" x14ac:dyDescent="0.45">
      <c r="A317" s="41"/>
      <c r="D317" s="1055"/>
      <c r="E317" s="433" t="s">
        <v>383</v>
      </c>
      <c r="F317" s="474"/>
      <c r="G317" s="452">
        <v>0</v>
      </c>
      <c r="H317" s="453">
        <v>0</v>
      </c>
      <c r="I317" s="454">
        <v>0</v>
      </c>
      <c r="J317" s="455">
        <v>0</v>
      </c>
      <c r="K317" s="455">
        <v>0</v>
      </c>
      <c r="L317" s="455">
        <v>0</v>
      </c>
      <c r="M317" s="456">
        <v>0</v>
      </c>
      <c r="O317" s="350"/>
    </row>
    <row r="318" spans="1:15" ht="14.25" x14ac:dyDescent="0.45">
      <c r="A318" s="41"/>
      <c r="D318" s="1055"/>
      <c r="E318" s="433" t="s">
        <v>384</v>
      </c>
      <c r="F318" s="474"/>
      <c r="G318" s="452">
        <v>0</v>
      </c>
      <c r="H318" s="453">
        <v>0</v>
      </c>
      <c r="I318" s="454">
        <v>0</v>
      </c>
      <c r="J318" s="455">
        <v>0</v>
      </c>
      <c r="K318" s="455">
        <v>0</v>
      </c>
      <c r="L318" s="455">
        <v>0</v>
      </c>
      <c r="M318" s="456">
        <v>0</v>
      </c>
      <c r="O318" s="350"/>
    </row>
    <row r="319" spans="1:15" ht="14.25" x14ac:dyDescent="0.45">
      <c r="A319" s="41"/>
      <c r="D319" s="1055"/>
      <c r="E319" s="433" t="s">
        <v>385</v>
      </c>
      <c r="F319" s="474"/>
      <c r="G319" s="452">
        <v>0</v>
      </c>
      <c r="H319" s="453">
        <v>0</v>
      </c>
      <c r="I319" s="454">
        <v>0</v>
      </c>
      <c r="J319" s="455">
        <v>0</v>
      </c>
      <c r="K319" s="455">
        <v>0</v>
      </c>
      <c r="L319" s="455">
        <v>0</v>
      </c>
      <c r="M319" s="456">
        <v>0</v>
      </c>
      <c r="O319" s="350"/>
    </row>
    <row r="320" spans="1:15" ht="14.65" thickBot="1" x14ac:dyDescent="0.5">
      <c r="A320" s="41"/>
      <c r="D320" s="1056"/>
      <c r="E320" s="440" t="s">
        <v>232</v>
      </c>
      <c r="F320" s="475"/>
      <c r="G320" s="457">
        <v>0</v>
      </c>
      <c r="H320" s="458">
        <v>0</v>
      </c>
      <c r="I320" s="459">
        <v>0</v>
      </c>
      <c r="J320" s="460">
        <v>0</v>
      </c>
      <c r="K320" s="460">
        <v>0</v>
      </c>
      <c r="L320" s="460">
        <v>0</v>
      </c>
      <c r="M320" s="461">
        <v>0</v>
      </c>
      <c r="O320" s="350"/>
    </row>
    <row r="321" spans="1:15" ht="14.25" x14ac:dyDescent="0.45">
      <c r="A321" s="41"/>
      <c r="D321" s="1054" t="s">
        <v>386</v>
      </c>
      <c r="E321" s="446" t="s">
        <v>387</v>
      </c>
      <c r="F321" s="476"/>
      <c r="G321" s="434">
        <v>677358.07132900949</v>
      </c>
      <c r="H321" s="435">
        <v>2827395.3488606228</v>
      </c>
      <c r="I321" s="436">
        <v>3924791.734031796</v>
      </c>
      <c r="J321" s="437">
        <v>2319840.3397902148</v>
      </c>
      <c r="K321" s="437">
        <v>147735.05113406922</v>
      </c>
      <c r="L321" s="437">
        <v>147389.07077499811</v>
      </c>
      <c r="M321" s="438">
        <v>147389.07077499811</v>
      </c>
      <c r="O321" s="350"/>
    </row>
    <row r="322" spans="1:15" ht="14.25" x14ac:dyDescent="0.45">
      <c r="A322" s="41"/>
      <c r="D322" s="1055"/>
      <c r="E322" s="433" t="s">
        <v>388</v>
      </c>
      <c r="F322" s="474"/>
      <c r="G322" s="434">
        <v>200452.96492377314</v>
      </c>
      <c r="H322" s="435">
        <v>163932.46143169224</v>
      </c>
      <c r="I322" s="436">
        <v>164294.24638040658</v>
      </c>
      <c r="J322" s="437">
        <v>148831.25848578004</v>
      </c>
      <c r="K322" s="437">
        <v>137556.1600033518</v>
      </c>
      <c r="L322" s="437">
        <v>137234.01756481014</v>
      </c>
      <c r="M322" s="438">
        <v>137234.01756481014</v>
      </c>
      <c r="O322" s="350"/>
    </row>
    <row r="323" spans="1:15" ht="14.25" x14ac:dyDescent="0.45">
      <c r="A323" s="41"/>
      <c r="D323" s="1055"/>
      <c r="E323" s="433" t="s">
        <v>389</v>
      </c>
      <c r="F323" s="474"/>
      <c r="G323" s="434">
        <v>853189.64813700062</v>
      </c>
      <c r="H323" s="435">
        <v>1085818.6505142793</v>
      </c>
      <c r="I323" s="436">
        <v>1645407.5903667763</v>
      </c>
      <c r="J323" s="437">
        <v>1472797.6255620178</v>
      </c>
      <c r="K323" s="437">
        <v>6374.6097476181076</v>
      </c>
      <c r="L323" s="437">
        <v>6359.6810644620873</v>
      </c>
      <c r="M323" s="438">
        <v>6359.6810644620873</v>
      </c>
      <c r="O323" s="350"/>
    </row>
    <row r="324" spans="1:15" ht="14.25" x14ac:dyDescent="0.45">
      <c r="A324" s="41"/>
      <c r="D324" s="1055"/>
      <c r="E324" s="433" t="s">
        <v>390</v>
      </c>
      <c r="F324" s="474"/>
      <c r="G324" s="434">
        <v>5086759.9001226928</v>
      </c>
      <c r="H324" s="435">
        <v>5137666.8779686959</v>
      </c>
      <c r="I324" s="436">
        <v>4544528.0759978024</v>
      </c>
      <c r="J324" s="437">
        <v>1625982.4854209817</v>
      </c>
      <c r="K324" s="437">
        <v>2691897.817679299</v>
      </c>
      <c r="L324" s="437">
        <v>2393391.7736396305</v>
      </c>
      <c r="M324" s="438">
        <v>2072087.3304864317</v>
      </c>
      <c r="O324" s="350"/>
    </row>
    <row r="325" spans="1:15" ht="14.25" x14ac:dyDescent="0.45">
      <c r="A325" s="41"/>
      <c r="D325" s="1055"/>
      <c r="E325" s="433" t="s">
        <v>391</v>
      </c>
      <c r="F325" s="474"/>
      <c r="G325" s="434">
        <v>957315.53471784026</v>
      </c>
      <c r="H325" s="435">
        <v>906392.9889223011</v>
      </c>
      <c r="I325" s="436">
        <v>1536546.5299036764</v>
      </c>
      <c r="J325" s="437">
        <v>1426917.0965349684</v>
      </c>
      <c r="K325" s="437">
        <v>1123288.8947410861</v>
      </c>
      <c r="L325" s="437">
        <v>1225997.140017604</v>
      </c>
      <c r="M325" s="438">
        <v>1016433.1468330299</v>
      </c>
      <c r="O325" s="350"/>
    </row>
    <row r="326" spans="1:15" ht="14.25" x14ac:dyDescent="0.45">
      <c r="A326" s="41"/>
      <c r="D326" s="1055"/>
      <c r="E326" s="433" t="s">
        <v>392</v>
      </c>
      <c r="F326" s="474"/>
      <c r="G326" s="434">
        <v>0</v>
      </c>
      <c r="H326" s="435">
        <v>0</v>
      </c>
      <c r="I326" s="436">
        <v>0</v>
      </c>
      <c r="J326" s="437">
        <v>201005.32981897696</v>
      </c>
      <c r="K326" s="437">
        <v>0</v>
      </c>
      <c r="L326" s="437">
        <v>201005.32981897696</v>
      </c>
      <c r="M326" s="438">
        <v>0</v>
      </c>
      <c r="O326" s="350"/>
    </row>
    <row r="327" spans="1:15" ht="14.25" x14ac:dyDescent="0.45">
      <c r="A327" s="41"/>
      <c r="D327" s="1055"/>
      <c r="E327" s="433" t="s">
        <v>393</v>
      </c>
      <c r="F327" s="474"/>
      <c r="G327" s="434">
        <v>0</v>
      </c>
      <c r="H327" s="435">
        <v>0</v>
      </c>
      <c r="I327" s="436">
        <v>0</v>
      </c>
      <c r="J327" s="437">
        <v>0</v>
      </c>
      <c r="K327" s="437">
        <v>0</v>
      </c>
      <c r="L327" s="437">
        <v>0</v>
      </c>
      <c r="M327" s="438">
        <v>0</v>
      </c>
      <c r="O327" s="350"/>
    </row>
    <row r="328" spans="1:15" ht="14.65" thickBot="1" x14ac:dyDescent="0.5">
      <c r="A328" s="41"/>
      <c r="D328" s="1056"/>
      <c r="E328" s="440" t="s">
        <v>232</v>
      </c>
      <c r="F328" s="475"/>
      <c r="G328" s="441">
        <v>0</v>
      </c>
      <c r="H328" s="442">
        <v>0</v>
      </c>
      <c r="I328" s="443">
        <v>0</v>
      </c>
      <c r="J328" s="444">
        <v>0</v>
      </c>
      <c r="K328" s="444">
        <v>0</v>
      </c>
      <c r="L328" s="444">
        <v>0</v>
      </c>
      <c r="M328" s="445">
        <v>0</v>
      </c>
      <c r="O328" s="350"/>
    </row>
    <row r="329" spans="1:15" ht="25.5" x14ac:dyDescent="0.45">
      <c r="A329" s="41"/>
      <c r="D329" s="413" t="s">
        <v>394</v>
      </c>
      <c r="E329" s="1012" t="s">
        <v>1140</v>
      </c>
      <c r="F329" s="480"/>
      <c r="G329" s="434">
        <v>259712.6475822326</v>
      </c>
      <c r="H329" s="435">
        <v>1844484.9754864669</v>
      </c>
      <c r="I329" s="436">
        <v>1374010.3034746381</v>
      </c>
      <c r="J329" s="437">
        <v>155699.0029669606</v>
      </c>
      <c r="K329" s="437">
        <v>214137.97453014136</v>
      </c>
      <c r="L329" s="437">
        <v>13474.829711490942</v>
      </c>
      <c r="M329" s="438">
        <v>13474.829711490942</v>
      </c>
      <c r="O329" s="350"/>
    </row>
    <row r="330" spans="1:15" ht="14.25" x14ac:dyDescent="0.45">
      <c r="A330" s="41"/>
      <c r="D330" s="462"/>
      <c r="E330" s="463" t="s">
        <v>1141</v>
      </c>
      <c r="F330" s="481"/>
      <c r="G330" s="434">
        <v>30077.252662561234</v>
      </c>
      <c r="H330" s="435">
        <v>24597.481329106664</v>
      </c>
      <c r="I330" s="436">
        <v>24651.765870700401</v>
      </c>
      <c r="J330" s="437">
        <v>22331.599671105068</v>
      </c>
      <c r="K330" s="437">
        <v>20639.81134569809</v>
      </c>
      <c r="L330" s="437">
        <v>20591.475021408573</v>
      </c>
      <c r="M330" s="438">
        <v>20591.475021408573</v>
      </c>
      <c r="O330" s="350"/>
    </row>
    <row r="331" spans="1:15" ht="14.25" x14ac:dyDescent="0.45">
      <c r="A331" s="41"/>
      <c r="D331" s="462"/>
      <c r="E331" s="463" t="s">
        <v>1142</v>
      </c>
      <c r="F331" s="481"/>
      <c r="G331" s="434">
        <v>22527.074150516295</v>
      </c>
      <c r="H331" s="435">
        <v>18422.869004470456</v>
      </c>
      <c r="I331" s="436">
        <v>18463.52670374334</v>
      </c>
      <c r="J331" s="437">
        <v>16725.783013979257</v>
      </c>
      <c r="K331" s="437">
        <v>15458.6778870253</v>
      </c>
      <c r="L331" s="437">
        <v>15422.4752466562</v>
      </c>
      <c r="M331" s="438">
        <v>15422.4752466562</v>
      </c>
      <c r="O331" s="350"/>
    </row>
    <row r="332" spans="1:15" ht="14.25" x14ac:dyDescent="0.45">
      <c r="A332" s="41"/>
      <c r="D332" s="462"/>
      <c r="E332" s="463" t="s">
        <v>1143</v>
      </c>
      <c r="F332" s="481"/>
      <c r="G332" s="434">
        <v>0</v>
      </c>
      <c r="H332" s="435">
        <v>0</v>
      </c>
      <c r="I332" s="436">
        <v>600284.08479999995</v>
      </c>
      <c r="J332" s="437">
        <v>600284.08479999995</v>
      </c>
      <c r="K332" s="437">
        <v>600284.08479999995</v>
      </c>
      <c r="L332" s="437">
        <v>600284.08479999995</v>
      </c>
      <c r="M332" s="438">
        <v>600284.08479999995</v>
      </c>
      <c r="O332" s="350"/>
    </row>
    <row r="333" spans="1:15" ht="14.25" x14ac:dyDescent="0.45">
      <c r="A333" s="41"/>
      <c r="D333" s="462"/>
      <c r="E333" s="463" t="s">
        <v>1144</v>
      </c>
      <c r="F333" s="481"/>
      <c r="G333" s="434">
        <v>434086.43371069449</v>
      </c>
      <c r="H333" s="435">
        <v>563493.7125306247</v>
      </c>
      <c r="I333" s="436">
        <v>1270859.4245400093</v>
      </c>
      <c r="J333" s="437">
        <v>627050.03628305823</v>
      </c>
      <c r="K333" s="437">
        <v>74847.316602782317</v>
      </c>
      <c r="L333" s="437">
        <v>151215.68880445929</v>
      </c>
      <c r="M333" s="438">
        <v>102142.13186184231</v>
      </c>
      <c r="O333" s="350"/>
    </row>
    <row r="334" spans="1:15" ht="14.25" x14ac:dyDescent="0.45">
      <c r="A334" s="41"/>
      <c r="D334" s="462"/>
      <c r="E334" s="463" t="s">
        <v>1145</v>
      </c>
      <c r="F334" s="481"/>
      <c r="G334" s="434">
        <v>0</v>
      </c>
      <c r="H334" s="435">
        <v>0</v>
      </c>
      <c r="I334" s="436">
        <v>0</v>
      </c>
      <c r="J334" s="437">
        <v>0</v>
      </c>
      <c r="K334" s="437">
        <v>0</v>
      </c>
      <c r="L334" s="437">
        <v>0</v>
      </c>
      <c r="M334" s="438">
        <v>0</v>
      </c>
      <c r="O334" s="350"/>
    </row>
    <row r="335" spans="1:15" ht="14.25" x14ac:dyDescent="0.45">
      <c r="A335" s="41"/>
      <c r="D335" s="462"/>
      <c r="E335" s="463" t="s">
        <v>1146</v>
      </c>
      <c r="F335" s="481"/>
      <c r="G335" s="434">
        <v>982446.87363932666</v>
      </c>
      <c r="H335" s="435">
        <v>2718890.6068947674</v>
      </c>
      <c r="I335" s="436">
        <v>3271186.8602089016</v>
      </c>
      <c r="J335" s="437">
        <v>1522715.8100708006</v>
      </c>
      <c r="K335" s="437">
        <v>240129.00266616631</v>
      </c>
      <c r="L335" s="437">
        <v>368197.80408812175</v>
      </c>
      <c r="M335" s="438">
        <v>438235.42986575357</v>
      </c>
      <c r="O335" s="350"/>
    </row>
    <row r="336" spans="1:15" ht="14.25" x14ac:dyDescent="0.45">
      <c r="A336" s="41"/>
      <c r="D336" s="462"/>
      <c r="E336" s="463" t="s">
        <v>1147</v>
      </c>
      <c r="F336" s="481"/>
      <c r="G336" s="434">
        <v>6531.1519760170258</v>
      </c>
      <c r="H336" s="435">
        <v>0</v>
      </c>
      <c r="I336" s="436">
        <v>242858.37424666388</v>
      </c>
      <c r="J336" s="437">
        <v>327883.9250482886</v>
      </c>
      <c r="K336" s="437">
        <v>311043.60087628162</v>
      </c>
      <c r="L336" s="437">
        <v>0</v>
      </c>
      <c r="M336" s="438">
        <v>92842.837320611259</v>
      </c>
      <c r="O336" s="350"/>
    </row>
    <row r="337" spans="1:15" ht="14.25" x14ac:dyDescent="0.45">
      <c r="A337" s="41"/>
      <c r="D337" s="462"/>
      <c r="E337" s="463" t="s">
        <v>1148</v>
      </c>
      <c r="F337" s="481"/>
      <c r="G337" s="434">
        <v>0</v>
      </c>
      <c r="H337" s="435">
        <v>0</v>
      </c>
      <c r="I337" s="436">
        <v>0</v>
      </c>
      <c r="J337" s="437">
        <v>0</v>
      </c>
      <c r="K337" s="437">
        <v>0</v>
      </c>
      <c r="L337" s="437">
        <v>0</v>
      </c>
      <c r="M337" s="438">
        <v>0</v>
      </c>
      <c r="O337" s="350"/>
    </row>
    <row r="338" spans="1:15" ht="14.25" x14ac:dyDescent="0.45">
      <c r="A338" s="41"/>
      <c r="D338" s="462"/>
      <c r="E338" s="463" t="s">
        <v>1149</v>
      </c>
      <c r="F338" s="481"/>
      <c r="G338" s="434">
        <v>0</v>
      </c>
      <c r="H338" s="435">
        <v>0</v>
      </c>
      <c r="I338" s="436">
        <v>133264.29999999999</v>
      </c>
      <c r="J338" s="437">
        <v>389541.8</v>
      </c>
      <c r="K338" s="437">
        <v>133264.29999999999</v>
      </c>
      <c r="L338" s="437">
        <v>133264.29999999999</v>
      </c>
      <c r="M338" s="438">
        <v>133264.29999999999</v>
      </c>
      <c r="O338" s="350"/>
    </row>
    <row r="339" spans="1:15" ht="14.25" x14ac:dyDescent="0.45">
      <c r="A339" s="41"/>
      <c r="D339" s="462"/>
      <c r="E339" s="463" t="s">
        <v>1150</v>
      </c>
      <c r="F339" s="481"/>
      <c r="G339" s="434">
        <v>0</v>
      </c>
      <c r="H339" s="435">
        <v>0</v>
      </c>
      <c r="I339" s="436">
        <v>0</v>
      </c>
      <c r="J339" s="437">
        <v>0</v>
      </c>
      <c r="K339" s="437">
        <v>0</v>
      </c>
      <c r="L339" s="437">
        <v>0</v>
      </c>
      <c r="M339" s="438">
        <v>0</v>
      </c>
      <c r="O339" s="350"/>
    </row>
    <row r="340" spans="1:15" ht="14.25" x14ac:dyDescent="0.45">
      <c r="A340" s="41"/>
      <c r="D340" s="462"/>
      <c r="E340" s="463" t="s">
        <v>1151</v>
      </c>
      <c r="F340" s="481"/>
      <c r="G340" s="434">
        <v>0</v>
      </c>
      <c r="H340" s="435">
        <v>0</v>
      </c>
      <c r="I340" s="436">
        <v>0</v>
      </c>
      <c r="J340" s="437">
        <v>0</v>
      </c>
      <c r="K340" s="437">
        <v>0</v>
      </c>
      <c r="L340" s="437">
        <v>0</v>
      </c>
      <c r="M340" s="438">
        <v>0</v>
      </c>
      <c r="O340" s="350"/>
    </row>
    <row r="341" spans="1:15" ht="14.25" x14ac:dyDescent="0.45">
      <c r="A341" s="41"/>
      <c r="D341" s="462"/>
      <c r="E341" s="463" t="s">
        <v>1152</v>
      </c>
      <c r="F341" s="481"/>
      <c r="G341" s="434">
        <v>4064734.0491808127</v>
      </c>
      <c r="H341" s="435">
        <v>2795503.4209585269</v>
      </c>
      <c r="I341" s="436">
        <v>1815614.5808348288</v>
      </c>
      <c r="J341" s="437">
        <v>1815614.5808348288</v>
      </c>
      <c r="K341" s="437">
        <v>1815614.5808348288</v>
      </c>
      <c r="L341" s="437">
        <v>1815614.5808348288</v>
      </c>
      <c r="M341" s="438">
        <v>1815614.5808348288</v>
      </c>
      <c r="O341" s="350"/>
    </row>
    <row r="342" spans="1:15" ht="14.25" x14ac:dyDescent="0.45">
      <c r="A342" s="41"/>
      <c r="D342" s="462"/>
      <c r="E342" s="463" t="s">
        <v>1153</v>
      </c>
      <c r="F342" s="481"/>
      <c r="G342" s="434">
        <v>0</v>
      </c>
      <c r="H342" s="435">
        <v>0</v>
      </c>
      <c r="I342" s="436">
        <v>0</v>
      </c>
      <c r="J342" s="437">
        <v>0</v>
      </c>
      <c r="K342" s="437">
        <v>0</v>
      </c>
      <c r="L342" s="437">
        <v>0</v>
      </c>
      <c r="M342" s="438">
        <v>0</v>
      </c>
      <c r="O342" s="350"/>
    </row>
    <row r="343" spans="1:15" ht="14.25" x14ac:dyDescent="0.45">
      <c r="A343" s="41"/>
      <c r="D343" s="462"/>
      <c r="E343" s="463" t="s">
        <v>1154</v>
      </c>
      <c r="F343" s="481"/>
      <c r="G343" s="434">
        <v>0</v>
      </c>
      <c r="H343" s="435">
        <v>0</v>
      </c>
      <c r="I343" s="436">
        <v>0</v>
      </c>
      <c r="J343" s="437">
        <v>0</v>
      </c>
      <c r="K343" s="437">
        <v>0</v>
      </c>
      <c r="L343" s="437">
        <v>0</v>
      </c>
      <c r="M343" s="438">
        <v>0</v>
      </c>
      <c r="O343" s="350"/>
    </row>
    <row r="344" spans="1:15" ht="14.25" x14ac:dyDescent="0.45">
      <c r="A344" s="41"/>
      <c r="D344" s="462"/>
      <c r="E344" s="463" t="s">
        <v>1155</v>
      </c>
      <c r="F344" s="481"/>
      <c r="G344" s="434">
        <v>0</v>
      </c>
      <c r="H344" s="435">
        <v>0</v>
      </c>
      <c r="I344" s="436">
        <v>0</v>
      </c>
      <c r="J344" s="437">
        <v>0</v>
      </c>
      <c r="K344" s="437">
        <v>0</v>
      </c>
      <c r="L344" s="437">
        <v>0</v>
      </c>
      <c r="M344" s="438">
        <v>0</v>
      </c>
      <c r="O344" s="350"/>
    </row>
    <row r="345" spans="1:15" ht="11.25" customHeight="1" x14ac:dyDescent="0.45">
      <c r="A345" s="41"/>
      <c r="D345" s="462"/>
      <c r="E345" s="895"/>
      <c r="F345" s="481"/>
      <c r="G345" s="434"/>
      <c r="H345" s="435"/>
      <c r="I345" s="436"/>
      <c r="J345" s="437"/>
      <c r="K345" s="437"/>
      <c r="L345" s="437"/>
      <c r="M345" s="438"/>
      <c r="O345" s="350"/>
    </row>
    <row r="346" spans="1:15" ht="11.25" customHeight="1" x14ac:dyDescent="0.45">
      <c r="A346" s="41"/>
      <c r="D346" s="462"/>
      <c r="E346" s="895"/>
      <c r="F346" s="481"/>
      <c r="G346" s="434"/>
      <c r="H346" s="435"/>
      <c r="I346" s="436"/>
      <c r="J346" s="437"/>
      <c r="K346" s="437"/>
      <c r="L346" s="437"/>
      <c r="M346" s="438"/>
      <c r="O346" s="350"/>
    </row>
    <row r="347" spans="1:15" ht="11.25" customHeight="1" x14ac:dyDescent="0.45">
      <c r="A347" s="41"/>
      <c r="D347" s="462"/>
      <c r="E347" s="895"/>
      <c r="F347" s="481"/>
      <c r="G347" s="434"/>
      <c r="H347" s="435"/>
      <c r="I347" s="436"/>
      <c r="J347" s="437"/>
      <c r="K347" s="437"/>
      <c r="L347" s="437"/>
      <c r="M347" s="438"/>
      <c r="O347" s="350"/>
    </row>
    <row r="348" spans="1:15" ht="11.25" customHeight="1" x14ac:dyDescent="0.45">
      <c r="A348" s="41"/>
      <c r="D348" s="462"/>
      <c r="E348" s="895"/>
      <c r="F348" s="481"/>
      <c r="G348" s="434"/>
      <c r="H348" s="435"/>
      <c r="I348" s="436"/>
      <c r="J348" s="437"/>
      <c r="K348" s="437"/>
      <c r="L348" s="437"/>
      <c r="M348" s="438"/>
      <c r="O348" s="350"/>
    </row>
    <row r="349" spans="1:15" ht="11.25" customHeight="1" x14ac:dyDescent="0.45">
      <c r="A349" s="41"/>
      <c r="D349" s="462"/>
      <c r="E349" s="895"/>
      <c r="F349" s="481"/>
      <c r="G349" s="434"/>
      <c r="H349" s="435"/>
      <c r="I349" s="436"/>
      <c r="J349" s="437"/>
      <c r="K349" s="437"/>
      <c r="L349" s="437"/>
      <c r="M349" s="438"/>
      <c r="O349" s="350"/>
    </row>
    <row r="350" spans="1:15" ht="11.25" customHeight="1" x14ac:dyDescent="0.45">
      <c r="A350" s="41"/>
      <c r="D350" s="462"/>
      <c r="E350" s="895"/>
      <c r="F350" s="481"/>
      <c r="G350" s="434"/>
      <c r="H350" s="435"/>
      <c r="I350" s="436"/>
      <c r="J350" s="437"/>
      <c r="K350" s="437"/>
      <c r="L350" s="437"/>
      <c r="M350" s="438"/>
      <c r="O350" s="350"/>
    </row>
    <row r="351" spans="1:15" ht="11.25" customHeight="1" x14ac:dyDescent="0.45">
      <c r="A351" s="41"/>
      <c r="D351" s="462"/>
      <c r="E351" s="895"/>
      <c r="F351" s="481"/>
      <c r="G351" s="434"/>
      <c r="H351" s="435"/>
      <c r="I351" s="436"/>
      <c r="J351" s="437"/>
      <c r="K351" s="437"/>
      <c r="L351" s="437"/>
      <c r="M351" s="438"/>
      <c r="O351" s="350"/>
    </row>
    <row r="352" spans="1:15" ht="11.25" customHeight="1" x14ac:dyDescent="0.45">
      <c r="A352" s="41"/>
      <c r="D352" s="462"/>
      <c r="E352" s="463"/>
      <c r="F352" s="481"/>
      <c r="G352" s="434"/>
      <c r="H352" s="435"/>
      <c r="I352" s="436"/>
      <c r="J352" s="437"/>
      <c r="K352" s="437"/>
      <c r="L352" s="437"/>
      <c r="M352" s="438"/>
      <c r="O352" s="350"/>
    </row>
    <row r="353" spans="1:15" ht="11.25" customHeight="1" x14ac:dyDescent="0.45">
      <c r="A353" s="41"/>
      <c r="D353" s="462"/>
      <c r="E353" s="463"/>
      <c r="F353" s="481"/>
      <c r="G353" s="434"/>
      <c r="H353" s="435"/>
      <c r="I353" s="436"/>
      <c r="J353" s="437"/>
      <c r="K353" s="437"/>
      <c r="L353" s="437"/>
      <c r="M353" s="438"/>
      <c r="O353" s="350"/>
    </row>
    <row r="354" spans="1:15" ht="11.25" customHeight="1" x14ac:dyDescent="0.45">
      <c r="A354" s="41"/>
      <c r="D354" s="462"/>
      <c r="E354" s="463"/>
      <c r="F354" s="481"/>
      <c r="G354" s="434"/>
      <c r="H354" s="435"/>
      <c r="I354" s="436"/>
      <c r="J354" s="437"/>
      <c r="K354" s="437"/>
      <c r="L354" s="437"/>
      <c r="M354" s="438"/>
      <c r="O354" s="350"/>
    </row>
    <row r="355" spans="1:15" ht="11.25" customHeight="1" x14ac:dyDescent="0.45">
      <c r="A355" s="41"/>
      <c r="D355" s="462"/>
      <c r="E355" s="463"/>
      <c r="F355" s="481"/>
      <c r="G355" s="434"/>
      <c r="H355" s="435"/>
      <c r="I355" s="436"/>
      <c r="J355" s="437"/>
      <c r="K355" s="437"/>
      <c r="L355" s="437"/>
      <c r="M355" s="438"/>
      <c r="O355" s="350"/>
    </row>
    <row r="356" spans="1:15" ht="11.25" customHeight="1" x14ac:dyDescent="0.45">
      <c r="A356" s="41"/>
      <c r="D356" s="462"/>
      <c r="E356" s="463"/>
      <c r="F356" s="481"/>
      <c r="G356" s="434"/>
      <c r="H356" s="435"/>
      <c r="I356" s="436"/>
      <c r="J356" s="437"/>
      <c r="K356" s="437"/>
      <c r="L356" s="437"/>
      <c r="M356" s="438"/>
      <c r="O356" s="350"/>
    </row>
    <row r="357" spans="1:15" ht="11.25" customHeight="1" x14ac:dyDescent="0.45">
      <c r="A357" s="41"/>
      <c r="D357" s="462"/>
      <c r="E357" s="463"/>
      <c r="F357" s="481"/>
      <c r="G357" s="434"/>
      <c r="H357" s="435"/>
      <c r="I357" s="436"/>
      <c r="J357" s="437"/>
      <c r="K357" s="437"/>
      <c r="L357" s="437"/>
      <c r="M357" s="438"/>
      <c r="O357" s="350"/>
    </row>
    <row r="358" spans="1:15" ht="11.25" customHeight="1" x14ac:dyDescent="0.45">
      <c r="A358" s="41"/>
      <c r="D358" s="462"/>
      <c r="E358" s="463"/>
      <c r="F358" s="481"/>
      <c r="G358" s="434"/>
      <c r="H358" s="435"/>
      <c r="I358" s="436"/>
      <c r="J358" s="437"/>
      <c r="K358" s="437"/>
      <c r="L358" s="437"/>
      <c r="M358" s="438"/>
      <c r="O358" s="350"/>
    </row>
    <row r="359" spans="1:15" ht="11.25" customHeight="1" x14ac:dyDescent="0.45">
      <c r="A359" s="41"/>
      <c r="D359" s="462"/>
      <c r="E359" s="463"/>
      <c r="F359" s="481"/>
      <c r="G359" s="434"/>
      <c r="H359" s="435"/>
      <c r="I359" s="436"/>
      <c r="J359" s="437"/>
      <c r="K359" s="437"/>
      <c r="L359" s="437"/>
      <c r="M359" s="438"/>
      <c r="O359" s="350"/>
    </row>
    <row r="360" spans="1:15" ht="11.25" customHeight="1" x14ac:dyDescent="0.45">
      <c r="A360" s="41"/>
      <c r="D360" s="462"/>
      <c r="E360" s="463"/>
      <c r="F360" s="481"/>
      <c r="G360" s="434"/>
      <c r="H360" s="435"/>
      <c r="I360" s="436"/>
      <c r="J360" s="437"/>
      <c r="K360" s="437"/>
      <c r="L360" s="437"/>
      <c r="M360" s="438"/>
      <c r="O360" s="350"/>
    </row>
    <row r="361" spans="1:15" ht="11.25" customHeight="1" x14ac:dyDescent="0.45">
      <c r="A361" s="41"/>
      <c r="D361" s="462"/>
      <c r="E361" s="463"/>
      <c r="F361" s="481"/>
      <c r="G361" s="434"/>
      <c r="H361" s="435"/>
      <c r="I361" s="436"/>
      <c r="J361" s="437"/>
      <c r="K361" s="437"/>
      <c r="L361" s="437"/>
      <c r="M361" s="438"/>
      <c r="O361" s="350"/>
    </row>
    <row r="362" spans="1:15" ht="11.25" customHeight="1" x14ac:dyDescent="0.45">
      <c r="A362" s="41"/>
      <c r="D362" s="462"/>
      <c r="E362" s="463"/>
      <c r="F362" s="481"/>
      <c r="G362" s="434"/>
      <c r="H362" s="435"/>
      <c r="I362" s="436"/>
      <c r="J362" s="437"/>
      <c r="K362" s="437"/>
      <c r="L362" s="437"/>
      <c r="M362" s="438"/>
      <c r="O362" s="350"/>
    </row>
    <row r="363" spans="1:15" ht="11.25" customHeight="1" x14ac:dyDescent="0.45">
      <c r="A363" s="41"/>
      <c r="D363" s="462"/>
      <c r="E363" s="463"/>
      <c r="F363" s="481"/>
      <c r="G363" s="434"/>
      <c r="H363" s="435"/>
      <c r="I363" s="436"/>
      <c r="J363" s="437"/>
      <c r="K363" s="437"/>
      <c r="L363" s="437"/>
      <c r="M363" s="438"/>
      <c r="O363" s="350"/>
    </row>
    <row r="364" spans="1:15" ht="11.25" customHeight="1" x14ac:dyDescent="0.45">
      <c r="A364" s="41"/>
      <c r="D364" s="462"/>
      <c r="E364" s="463"/>
      <c r="F364" s="481"/>
      <c r="G364" s="434"/>
      <c r="H364" s="435"/>
      <c r="I364" s="436"/>
      <c r="J364" s="437"/>
      <c r="K364" s="437"/>
      <c r="L364" s="437"/>
      <c r="M364" s="438"/>
      <c r="O364" s="350"/>
    </row>
    <row r="365" spans="1:15" ht="11.25" customHeight="1" x14ac:dyDescent="0.45">
      <c r="A365" s="41"/>
      <c r="D365" s="462"/>
      <c r="E365" s="463"/>
      <c r="F365" s="481"/>
      <c r="G365" s="434"/>
      <c r="H365" s="435"/>
      <c r="I365" s="436"/>
      <c r="J365" s="437"/>
      <c r="K365" s="437"/>
      <c r="L365" s="437"/>
      <c r="M365" s="438"/>
      <c r="O365" s="350"/>
    </row>
    <row r="366" spans="1:15" ht="11.25" customHeight="1" x14ac:dyDescent="0.45">
      <c r="A366" s="41"/>
      <c r="D366" s="462"/>
      <c r="E366" s="463"/>
      <c r="F366" s="481"/>
      <c r="G366" s="434"/>
      <c r="H366" s="435"/>
      <c r="I366" s="436"/>
      <c r="J366" s="437"/>
      <c r="K366" s="437"/>
      <c r="L366" s="437"/>
      <c r="M366" s="438"/>
      <c r="O366" s="350"/>
    </row>
    <row r="367" spans="1:15" ht="11.25" customHeight="1" x14ac:dyDescent="0.45">
      <c r="A367" s="41"/>
      <c r="D367" s="462"/>
      <c r="E367" s="463"/>
      <c r="F367" s="481"/>
      <c r="G367" s="434"/>
      <c r="H367" s="435"/>
      <c r="I367" s="436"/>
      <c r="J367" s="437"/>
      <c r="K367" s="437"/>
      <c r="L367" s="437"/>
      <c r="M367" s="438"/>
      <c r="O367" s="350"/>
    </row>
    <row r="368" spans="1:15" ht="11.25" customHeight="1" x14ac:dyDescent="0.45">
      <c r="A368" s="41"/>
      <c r="D368" s="462"/>
      <c r="E368" s="463"/>
      <c r="F368" s="481"/>
      <c r="G368" s="434"/>
      <c r="H368" s="435"/>
      <c r="I368" s="436"/>
      <c r="J368" s="437"/>
      <c r="K368" s="437"/>
      <c r="L368" s="437"/>
      <c r="M368" s="438"/>
      <c r="O368" s="350"/>
    </row>
    <row r="369" spans="1:15" ht="11.25" customHeight="1" thickBot="1" x14ac:dyDescent="0.5">
      <c r="A369" s="41"/>
      <c r="D369" s="464"/>
      <c r="E369" s="465"/>
      <c r="F369" s="482"/>
      <c r="G369" s="466"/>
      <c r="H369" s="467"/>
      <c r="I369" s="468"/>
      <c r="J369" s="318"/>
      <c r="K369" s="318"/>
      <c r="L369" s="318"/>
      <c r="M369" s="319"/>
      <c r="O369" s="350"/>
    </row>
    <row r="370" spans="1:15" ht="11.25" customHeight="1" x14ac:dyDescent="0.3">
      <c r="A370" s="41"/>
      <c r="D370" s="6"/>
      <c r="E370" s="6"/>
      <c r="F370" s="62"/>
      <c r="G370" s="62"/>
      <c r="H370" s="62"/>
      <c r="I370" s="62"/>
      <c r="J370" s="62"/>
      <c r="K370" s="62"/>
      <c r="L370" s="62"/>
    </row>
    <row r="371" spans="1:15" ht="12.75" x14ac:dyDescent="0.3">
      <c r="A371" s="41"/>
      <c r="D371" s="6" t="s">
        <v>544</v>
      </c>
      <c r="E371" s="6"/>
      <c r="F371" s="62"/>
      <c r="G371" s="115">
        <v>39477026.179042019</v>
      </c>
      <c r="H371" s="116">
        <v>48710147.89494352</v>
      </c>
      <c r="I371" s="117">
        <v>48026811.775231838</v>
      </c>
      <c r="J371" s="115">
        <v>44019839.394338429</v>
      </c>
      <c r="K371" s="115">
        <v>30267580.810863692</v>
      </c>
      <c r="L371" s="115">
        <v>27213272.447238632</v>
      </c>
      <c r="M371" s="115">
        <v>26827361.550065197</v>
      </c>
    </row>
    <row r="372" spans="1:15" ht="12.75" x14ac:dyDescent="0.3">
      <c r="A372" s="41"/>
      <c r="D372" s="6" t="s">
        <v>545</v>
      </c>
      <c r="E372" s="6"/>
      <c r="F372" s="62"/>
      <c r="G372" s="115">
        <v>38592859.769823328</v>
      </c>
      <c r="H372" s="116">
        <v>47541407.359175004</v>
      </c>
      <c r="I372" s="117">
        <v>47509401.939582162</v>
      </c>
      <c r="J372" s="115">
        <v>44023794.146622419</v>
      </c>
      <c r="K372" s="115">
        <v>30431118.927909762</v>
      </c>
      <c r="L372" s="115">
        <v>27450230.710457563</v>
      </c>
      <c r="M372" s="115">
        <v>27213012.894361541</v>
      </c>
    </row>
    <row r="373" spans="1:15" ht="12.75" x14ac:dyDescent="0.3">
      <c r="A373" s="41"/>
      <c r="D373" s="6" t="s">
        <v>398</v>
      </c>
      <c r="E373" s="6"/>
      <c r="F373" s="62"/>
      <c r="G373" s="483">
        <f>IF(G371=0,0,G372/G371)</f>
        <v>0.97760301383369941</v>
      </c>
      <c r="H373" s="484">
        <f t="shared" ref="H373:M373" si="120">IF(H371=0,0,H372/H371)</f>
        <v>0.97600622075118271</v>
      </c>
      <c r="I373" s="485">
        <f t="shared" si="120"/>
        <v>0.98922664618939971</v>
      </c>
      <c r="J373" s="483">
        <f t="shared" si="120"/>
        <v>1.0000898402251894</v>
      </c>
      <c r="K373" s="483">
        <f t="shared" si="120"/>
        <v>1.0054030785634303</v>
      </c>
      <c r="L373" s="483">
        <f t="shared" si="120"/>
        <v>1.0087074519860979</v>
      </c>
      <c r="M373" s="483">
        <f t="shared" si="120"/>
        <v>1.0143752990235972</v>
      </c>
    </row>
    <row r="374" spans="1:15" ht="11.25" customHeight="1" x14ac:dyDescent="0.3">
      <c r="A374" s="41"/>
      <c r="D374" s="6"/>
      <c r="E374" s="6"/>
      <c r="F374" s="62"/>
      <c r="G374" s="62"/>
      <c r="H374" s="62"/>
      <c r="I374" s="62"/>
      <c r="J374" s="62"/>
      <c r="K374" s="62"/>
      <c r="L374" s="62"/>
    </row>
    <row r="375" spans="1:15" ht="11.25" customHeight="1" x14ac:dyDescent="0.3">
      <c r="D375" s="6" t="s">
        <v>715</v>
      </c>
      <c r="G375" s="149">
        <v>1.13076</v>
      </c>
      <c r="H375" s="484">
        <f t="shared" ref="H375:M375" si="121">G375</f>
        <v>1.13076</v>
      </c>
      <c r="I375" s="485">
        <f t="shared" si="121"/>
        <v>1.13076</v>
      </c>
      <c r="J375" s="483">
        <f t="shared" si="121"/>
        <v>1.13076</v>
      </c>
      <c r="K375" s="483">
        <f t="shared" si="121"/>
        <v>1.13076</v>
      </c>
      <c r="L375" s="483">
        <f t="shared" si="121"/>
        <v>1.13076</v>
      </c>
      <c r="M375" s="483">
        <f t="shared" si="121"/>
        <v>1.13076</v>
      </c>
    </row>
    <row r="376" spans="1:15" ht="11.25" customHeight="1" x14ac:dyDescent="0.3">
      <c r="A376" s="41"/>
      <c r="D376" s="6"/>
      <c r="E376" s="6"/>
      <c r="F376" s="62"/>
      <c r="G376" s="62"/>
      <c r="H376" s="62"/>
      <c r="I376" s="62"/>
      <c r="J376" s="62"/>
      <c r="K376" s="62"/>
      <c r="L376" s="62"/>
    </row>
    <row r="377" spans="1:15" s="46" customFormat="1" ht="15" x14ac:dyDescent="0.3">
      <c r="B377" s="46" t="s">
        <v>16</v>
      </c>
    </row>
  </sheetData>
  <mergeCells count="18">
    <mergeCell ref="D269:D297"/>
    <mergeCell ref="D298:D311"/>
    <mergeCell ref="D312:D320"/>
    <mergeCell ref="D321:D328"/>
    <mergeCell ref="D230:D235"/>
    <mergeCell ref="D236:D244"/>
    <mergeCell ref="D245:D252"/>
    <mergeCell ref="D253:D268"/>
    <mergeCell ref="D32:D38"/>
    <mergeCell ref="D39:D44"/>
    <mergeCell ref="D45:D53"/>
    <mergeCell ref="D54:D61"/>
    <mergeCell ref="D223:D229"/>
    <mergeCell ref="D62:D77"/>
    <mergeCell ref="D78:D106"/>
    <mergeCell ref="D107:D120"/>
    <mergeCell ref="D121:D129"/>
    <mergeCell ref="D130:D137"/>
  </mergeCells>
  <conditionalFormatting sqref="B3">
    <cfRule type="cellIs" dxfId="1002" priority="123" operator="notEqual">
      <formula>"No Errors Found"</formula>
    </cfRule>
  </conditionalFormatting>
  <conditionalFormatting sqref="K40:K43 K46:K52 K55:K60 K63:K76 K79:K105 K108:K119 K126:K128 K131:K136 K139:K178 K12:K36">
    <cfRule type="expression" dxfId="1001" priority="120">
      <formula>(dms_FRCPlength_Num)&lt;3</formula>
    </cfRule>
  </conditionalFormatting>
  <conditionalFormatting sqref="L40:L43 L46:L52 L55:L60 L63:L76 L79:L105 L108:L119 L126:L128 L131:L136 L139:L178 L12:L36">
    <cfRule type="expression" dxfId="1000" priority="119">
      <formula>(dms_FRCPlength_Num)&lt;4</formula>
    </cfRule>
  </conditionalFormatting>
  <conditionalFormatting sqref="M40:M43 M46:M52 M55:M60 M63:M76 M79:M105 M108:M119 M126:M128 M131:M136 M139:M178 M12:M36">
    <cfRule type="expression" dxfId="999" priority="118">
      <formula>(dms_FRCPlength_Num)&lt;5</formula>
    </cfRule>
  </conditionalFormatting>
  <conditionalFormatting sqref="K61">
    <cfRule type="expression" dxfId="998" priority="111">
      <formula>(dms_FRCPlength_Num)&lt;3</formula>
    </cfRule>
  </conditionalFormatting>
  <conditionalFormatting sqref="L61">
    <cfRule type="expression" dxfId="997" priority="110">
      <formula>(dms_FRCPlength_Num)&lt;4</formula>
    </cfRule>
  </conditionalFormatting>
  <conditionalFormatting sqref="M61">
    <cfRule type="expression" dxfId="996" priority="109">
      <formula>(dms_FRCPlength_Num)&lt;5</formula>
    </cfRule>
  </conditionalFormatting>
  <conditionalFormatting sqref="K44">
    <cfRule type="expression" dxfId="995" priority="117">
      <formula>(dms_FRCPlength_Num)&lt;3</formula>
    </cfRule>
  </conditionalFormatting>
  <conditionalFormatting sqref="L44">
    <cfRule type="expression" dxfId="994" priority="116">
      <formula>(dms_FRCPlength_Num)&lt;4</formula>
    </cfRule>
  </conditionalFormatting>
  <conditionalFormatting sqref="M44">
    <cfRule type="expression" dxfId="993" priority="115">
      <formula>(dms_FRCPlength_Num)&lt;5</formula>
    </cfRule>
  </conditionalFormatting>
  <conditionalFormatting sqref="K53">
    <cfRule type="expression" dxfId="992" priority="114">
      <formula>(dms_FRCPlength_Num)&lt;3</formula>
    </cfRule>
  </conditionalFormatting>
  <conditionalFormatting sqref="L53">
    <cfRule type="expression" dxfId="991" priority="113">
      <formula>(dms_FRCPlength_Num)&lt;4</formula>
    </cfRule>
  </conditionalFormatting>
  <conditionalFormatting sqref="M53">
    <cfRule type="expression" dxfId="990" priority="112">
      <formula>(dms_FRCPlength_Num)&lt;5</formula>
    </cfRule>
  </conditionalFormatting>
  <conditionalFormatting sqref="K77">
    <cfRule type="expression" dxfId="989" priority="108">
      <formula>(dms_FRCPlength_Num)&lt;3</formula>
    </cfRule>
  </conditionalFormatting>
  <conditionalFormatting sqref="L77">
    <cfRule type="expression" dxfId="988" priority="107">
      <formula>(dms_FRCPlength_Num)&lt;4</formula>
    </cfRule>
  </conditionalFormatting>
  <conditionalFormatting sqref="M77">
    <cfRule type="expression" dxfId="987" priority="106">
      <formula>(dms_FRCPlength_Num)&lt;5</formula>
    </cfRule>
  </conditionalFormatting>
  <conditionalFormatting sqref="K106">
    <cfRule type="expression" dxfId="986" priority="105">
      <formula>(dms_FRCPlength_Num)&lt;3</formula>
    </cfRule>
  </conditionalFormatting>
  <conditionalFormatting sqref="L106">
    <cfRule type="expression" dxfId="985" priority="104">
      <formula>(dms_FRCPlength_Num)&lt;4</formula>
    </cfRule>
  </conditionalFormatting>
  <conditionalFormatting sqref="M106">
    <cfRule type="expression" dxfId="984" priority="103">
      <formula>(dms_FRCPlength_Num)&lt;5</formula>
    </cfRule>
  </conditionalFormatting>
  <conditionalFormatting sqref="K120">
    <cfRule type="expression" dxfId="983" priority="102">
      <formula>(dms_FRCPlength_Num)&lt;3</formula>
    </cfRule>
  </conditionalFormatting>
  <conditionalFormatting sqref="L120">
    <cfRule type="expression" dxfId="982" priority="101">
      <formula>(dms_FRCPlength_Num)&lt;4</formula>
    </cfRule>
  </conditionalFormatting>
  <conditionalFormatting sqref="M120">
    <cfRule type="expression" dxfId="981" priority="100">
      <formula>(dms_FRCPlength_Num)&lt;5</formula>
    </cfRule>
  </conditionalFormatting>
  <conditionalFormatting sqref="K129">
    <cfRule type="expression" dxfId="980" priority="99">
      <formula>(dms_FRCPlength_Num)&lt;3</formula>
    </cfRule>
  </conditionalFormatting>
  <conditionalFormatting sqref="L129">
    <cfRule type="expression" dxfId="979" priority="98">
      <formula>(dms_FRCPlength_Num)&lt;4</formula>
    </cfRule>
  </conditionalFormatting>
  <conditionalFormatting sqref="M129">
    <cfRule type="expression" dxfId="978" priority="97">
      <formula>(dms_FRCPlength_Num)&lt;5</formula>
    </cfRule>
  </conditionalFormatting>
  <conditionalFormatting sqref="K137">
    <cfRule type="expression" dxfId="977" priority="96">
      <formula>(dms_FRCPlength_Num)&lt;3</formula>
    </cfRule>
  </conditionalFormatting>
  <conditionalFormatting sqref="L137">
    <cfRule type="expression" dxfId="976" priority="95">
      <formula>(dms_FRCPlength_Num)&lt;4</formula>
    </cfRule>
  </conditionalFormatting>
  <conditionalFormatting sqref="M137">
    <cfRule type="expression" dxfId="975" priority="94">
      <formula>(dms_FRCPlength_Num)&lt;5</formula>
    </cfRule>
  </conditionalFormatting>
  <conditionalFormatting sqref="K39">
    <cfRule type="expression" dxfId="974" priority="93">
      <formula>(dms_FRCPlength_Num)&lt;3</formula>
    </cfRule>
  </conditionalFormatting>
  <conditionalFormatting sqref="L39">
    <cfRule type="expression" dxfId="973" priority="92">
      <formula>(dms_FRCPlength_Num)&lt;4</formula>
    </cfRule>
  </conditionalFormatting>
  <conditionalFormatting sqref="M39">
    <cfRule type="expression" dxfId="972" priority="91">
      <formula>(dms_FRCPlength_Num)&lt;5</formula>
    </cfRule>
  </conditionalFormatting>
  <conditionalFormatting sqref="K45">
    <cfRule type="expression" dxfId="971" priority="90">
      <formula>(dms_FRCPlength_Num)&lt;3</formula>
    </cfRule>
  </conditionalFormatting>
  <conditionalFormatting sqref="L45">
    <cfRule type="expression" dxfId="970" priority="89">
      <formula>(dms_FRCPlength_Num)&lt;4</formula>
    </cfRule>
  </conditionalFormatting>
  <conditionalFormatting sqref="M45">
    <cfRule type="expression" dxfId="969" priority="88">
      <formula>(dms_FRCPlength_Num)&lt;5</formula>
    </cfRule>
  </conditionalFormatting>
  <conditionalFormatting sqref="K54">
    <cfRule type="expression" dxfId="968" priority="87">
      <formula>(dms_FRCPlength_Num)&lt;3</formula>
    </cfRule>
  </conditionalFormatting>
  <conditionalFormatting sqref="L54">
    <cfRule type="expression" dxfId="967" priority="86">
      <formula>(dms_FRCPlength_Num)&lt;4</formula>
    </cfRule>
  </conditionalFormatting>
  <conditionalFormatting sqref="M54">
    <cfRule type="expression" dxfId="966" priority="85">
      <formula>(dms_FRCPlength_Num)&lt;5</formula>
    </cfRule>
  </conditionalFormatting>
  <conditionalFormatting sqref="K62">
    <cfRule type="expression" dxfId="965" priority="84">
      <formula>(dms_FRCPlength_Num)&lt;3</formula>
    </cfRule>
  </conditionalFormatting>
  <conditionalFormatting sqref="L62">
    <cfRule type="expression" dxfId="964" priority="83">
      <formula>(dms_FRCPlength_Num)&lt;4</formula>
    </cfRule>
  </conditionalFormatting>
  <conditionalFormatting sqref="M62">
    <cfRule type="expression" dxfId="963" priority="82">
      <formula>(dms_FRCPlength_Num)&lt;5</formula>
    </cfRule>
  </conditionalFormatting>
  <conditionalFormatting sqref="K78">
    <cfRule type="expression" dxfId="962" priority="81">
      <formula>(dms_FRCPlength_Num)&lt;3</formula>
    </cfRule>
  </conditionalFormatting>
  <conditionalFormatting sqref="L78">
    <cfRule type="expression" dxfId="961" priority="80">
      <formula>(dms_FRCPlength_Num)&lt;4</formula>
    </cfRule>
  </conditionalFormatting>
  <conditionalFormatting sqref="M78">
    <cfRule type="expression" dxfId="960" priority="79">
      <formula>(dms_FRCPlength_Num)&lt;5</formula>
    </cfRule>
  </conditionalFormatting>
  <conditionalFormatting sqref="K107">
    <cfRule type="expression" dxfId="959" priority="78">
      <formula>(dms_FRCPlength_Num)&lt;3</formula>
    </cfRule>
  </conditionalFormatting>
  <conditionalFormatting sqref="L107">
    <cfRule type="expression" dxfId="958" priority="77">
      <formula>(dms_FRCPlength_Num)&lt;4</formula>
    </cfRule>
  </conditionalFormatting>
  <conditionalFormatting sqref="M107">
    <cfRule type="expression" dxfId="957" priority="76">
      <formula>(dms_FRCPlength_Num)&lt;5</formula>
    </cfRule>
  </conditionalFormatting>
  <conditionalFormatting sqref="K121:K125">
    <cfRule type="expression" dxfId="956" priority="75">
      <formula>(dms_FRCPlength_Num)&lt;3</formula>
    </cfRule>
  </conditionalFormatting>
  <conditionalFormatting sqref="L121:L125">
    <cfRule type="expression" dxfId="955" priority="74">
      <formula>(dms_FRCPlength_Num)&lt;4</formula>
    </cfRule>
  </conditionalFormatting>
  <conditionalFormatting sqref="M121:M125">
    <cfRule type="expression" dxfId="954" priority="73">
      <formula>(dms_FRCPlength_Num)&lt;5</formula>
    </cfRule>
  </conditionalFormatting>
  <conditionalFormatting sqref="K130">
    <cfRule type="expression" dxfId="953" priority="72">
      <formula>(dms_FRCPlength_Num)&lt;3</formula>
    </cfRule>
  </conditionalFormatting>
  <conditionalFormatting sqref="L130">
    <cfRule type="expression" dxfId="952" priority="71">
      <formula>(dms_FRCPlength_Num)&lt;4</formula>
    </cfRule>
  </conditionalFormatting>
  <conditionalFormatting sqref="M130">
    <cfRule type="expression" dxfId="951" priority="70">
      <formula>(dms_FRCPlength_Num)&lt;5</formula>
    </cfRule>
  </conditionalFormatting>
  <conditionalFormatting sqref="K138">
    <cfRule type="expression" dxfId="950" priority="69">
      <formula>(dms_FRCPlength_Num)&lt;3</formula>
    </cfRule>
  </conditionalFormatting>
  <conditionalFormatting sqref="L138">
    <cfRule type="expression" dxfId="949" priority="68">
      <formula>(dms_FRCPlength_Num)&lt;4</formula>
    </cfRule>
  </conditionalFormatting>
  <conditionalFormatting sqref="M138">
    <cfRule type="expression" dxfId="948" priority="67">
      <formula>(dms_FRCPlength_Num)&lt;5</formula>
    </cfRule>
  </conditionalFormatting>
  <conditionalFormatting sqref="K38">
    <cfRule type="expression" dxfId="947" priority="66">
      <formula>(dms_FRCPlength_Num)&lt;3</formula>
    </cfRule>
  </conditionalFormatting>
  <conditionalFormatting sqref="L38">
    <cfRule type="expression" dxfId="946" priority="65">
      <formula>(dms_FRCPlength_Num)&lt;4</formula>
    </cfRule>
  </conditionalFormatting>
  <conditionalFormatting sqref="M38">
    <cfRule type="expression" dxfId="945" priority="64">
      <formula>(dms_FRCPlength_Num)&lt;5</formula>
    </cfRule>
  </conditionalFormatting>
  <conditionalFormatting sqref="K37">
    <cfRule type="expression" dxfId="944" priority="63">
      <formula>(dms_FRCPlength_Num)&lt;3</formula>
    </cfRule>
  </conditionalFormatting>
  <conditionalFormatting sqref="L37">
    <cfRule type="expression" dxfId="943" priority="62">
      <formula>(dms_FRCPlength_Num)&lt;4</formula>
    </cfRule>
  </conditionalFormatting>
  <conditionalFormatting sqref="M37">
    <cfRule type="expression" dxfId="942" priority="61">
      <formula>(dms_FRCPlength_Num)&lt;5</formula>
    </cfRule>
  </conditionalFormatting>
  <conditionalFormatting sqref="K231:K234 K237:K243 K246:K251 K254:K267 K270:K296 K299:K310 K317:K319 K322:K327 K330:K369 K203:K227">
    <cfRule type="expression" dxfId="941" priority="60">
      <formula>(dms_FRCPlength_Num)&lt;3</formula>
    </cfRule>
  </conditionalFormatting>
  <conditionalFormatting sqref="L231:L234 L237:L243 L246:L251 L254:L267 L270:L296 L299:L310 L317:L319 L322:L327 L330:L369 L203:L227">
    <cfRule type="expression" dxfId="940" priority="59">
      <formula>(dms_FRCPlength_Num)&lt;4</formula>
    </cfRule>
  </conditionalFormatting>
  <conditionalFormatting sqref="M231:M234 M237:M243 M246:M251 M254:M267 M270:M296 M299:M310 M317:M319 M322:M327 M330:M369 M203:M227">
    <cfRule type="expression" dxfId="939" priority="58">
      <formula>(dms_FRCPlength_Num)&lt;5</formula>
    </cfRule>
  </conditionalFormatting>
  <conditionalFormatting sqref="K252">
    <cfRule type="expression" dxfId="938" priority="51">
      <formula>(dms_FRCPlength_Num)&lt;3</formula>
    </cfRule>
  </conditionalFormatting>
  <conditionalFormatting sqref="L252">
    <cfRule type="expression" dxfId="937" priority="50">
      <formula>(dms_FRCPlength_Num)&lt;4</formula>
    </cfRule>
  </conditionalFormatting>
  <conditionalFormatting sqref="M252">
    <cfRule type="expression" dxfId="936" priority="49">
      <formula>(dms_FRCPlength_Num)&lt;5</formula>
    </cfRule>
  </conditionalFormatting>
  <conditionalFormatting sqref="K235">
    <cfRule type="expression" dxfId="935" priority="57">
      <formula>(dms_FRCPlength_Num)&lt;3</formula>
    </cfRule>
  </conditionalFormatting>
  <conditionalFormatting sqref="L235">
    <cfRule type="expression" dxfId="934" priority="56">
      <formula>(dms_FRCPlength_Num)&lt;4</formula>
    </cfRule>
  </conditionalFormatting>
  <conditionalFormatting sqref="M235">
    <cfRule type="expression" dxfId="933" priority="55">
      <formula>(dms_FRCPlength_Num)&lt;5</formula>
    </cfRule>
  </conditionalFormatting>
  <conditionalFormatting sqref="K244">
    <cfRule type="expression" dxfId="932" priority="54">
      <formula>(dms_FRCPlength_Num)&lt;3</formula>
    </cfRule>
  </conditionalFormatting>
  <conditionalFormatting sqref="L244">
    <cfRule type="expression" dxfId="931" priority="53">
      <formula>(dms_FRCPlength_Num)&lt;4</formula>
    </cfRule>
  </conditionalFormatting>
  <conditionalFormatting sqref="M244">
    <cfRule type="expression" dxfId="930" priority="52">
      <formula>(dms_FRCPlength_Num)&lt;5</formula>
    </cfRule>
  </conditionalFormatting>
  <conditionalFormatting sqref="K268">
    <cfRule type="expression" dxfId="929" priority="48">
      <formula>(dms_FRCPlength_Num)&lt;3</formula>
    </cfRule>
  </conditionalFormatting>
  <conditionalFormatting sqref="L268">
    <cfRule type="expression" dxfId="928" priority="47">
      <formula>(dms_FRCPlength_Num)&lt;4</formula>
    </cfRule>
  </conditionalFormatting>
  <conditionalFormatting sqref="M268">
    <cfRule type="expression" dxfId="927" priority="46">
      <formula>(dms_FRCPlength_Num)&lt;5</formula>
    </cfRule>
  </conditionalFormatting>
  <conditionalFormatting sqref="K297">
    <cfRule type="expression" dxfId="926" priority="45">
      <formula>(dms_FRCPlength_Num)&lt;3</formula>
    </cfRule>
  </conditionalFormatting>
  <conditionalFormatting sqref="L297">
    <cfRule type="expression" dxfId="925" priority="44">
      <formula>(dms_FRCPlength_Num)&lt;4</formula>
    </cfRule>
  </conditionalFormatting>
  <conditionalFormatting sqref="M297">
    <cfRule type="expression" dxfId="924" priority="43">
      <formula>(dms_FRCPlength_Num)&lt;5</formula>
    </cfRule>
  </conditionalFormatting>
  <conditionalFormatting sqref="K311">
    <cfRule type="expression" dxfId="923" priority="42">
      <formula>(dms_FRCPlength_Num)&lt;3</formula>
    </cfRule>
  </conditionalFormatting>
  <conditionalFormatting sqref="L311">
    <cfRule type="expression" dxfId="922" priority="41">
      <formula>(dms_FRCPlength_Num)&lt;4</formula>
    </cfRule>
  </conditionalFormatting>
  <conditionalFormatting sqref="M311">
    <cfRule type="expression" dxfId="921" priority="40">
      <formula>(dms_FRCPlength_Num)&lt;5</formula>
    </cfRule>
  </conditionalFormatting>
  <conditionalFormatting sqref="K320">
    <cfRule type="expression" dxfId="920" priority="39">
      <formula>(dms_FRCPlength_Num)&lt;3</formula>
    </cfRule>
  </conditionalFormatting>
  <conditionalFormatting sqref="L320">
    <cfRule type="expression" dxfId="919" priority="38">
      <formula>(dms_FRCPlength_Num)&lt;4</formula>
    </cfRule>
  </conditionalFormatting>
  <conditionalFormatting sqref="M320">
    <cfRule type="expression" dxfId="918" priority="37">
      <formula>(dms_FRCPlength_Num)&lt;5</formula>
    </cfRule>
  </conditionalFormatting>
  <conditionalFormatting sqref="K328">
    <cfRule type="expression" dxfId="917" priority="36">
      <formula>(dms_FRCPlength_Num)&lt;3</formula>
    </cfRule>
  </conditionalFormatting>
  <conditionalFormatting sqref="L328">
    <cfRule type="expression" dxfId="916" priority="35">
      <formula>(dms_FRCPlength_Num)&lt;4</formula>
    </cfRule>
  </conditionalFormatting>
  <conditionalFormatting sqref="M328">
    <cfRule type="expression" dxfId="915" priority="34">
      <formula>(dms_FRCPlength_Num)&lt;5</formula>
    </cfRule>
  </conditionalFormatting>
  <conditionalFormatting sqref="K230">
    <cfRule type="expression" dxfId="914" priority="33">
      <formula>(dms_FRCPlength_Num)&lt;3</formula>
    </cfRule>
  </conditionalFormatting>
  <conditionalFormatting sqref="L230">
    <cfRule type="expression" dxfId="913" priority="32">
      <formula>(dms_FRCPlength_Num)&lt;4</formula>
    </cfRule>
  </conditionalFormatting>
  <conditionalFormatting sqref="M230">
    <cfRule type="expression" dxfId="912" priority="31">
      <formula>(dms_FRCPlength_Num)&lt;5</formula>
    </cfRule>
  </conditionalFormatting>
  <conditionalFormatting sqref="K236">
    <cfRule type="expression" dxfId="911" priority="30">
      <formula>(dms_FRCPlength_Num)&lt;3</formula>
    </cfRule>
  </conditionalFormatting>
  <conditionalFormatting sqref="L236">
    <cfRule type="expression" dxfId="910" priority="29">
      <formula>(dms_FRCPlength_Num)&lt;4</formula>
    </cfRule>
  </conditionalFormatting>
  <conditionalFormatting sqref="M236">
    <cfRule type="expression" dxfId="909" priority="28">
      <formula>(dms_FRCPlength_Num)&lt;5</formula>
    </cfRule>
  </conditionalFormatting>
  <conditionalFormatting sqref="K245">
    <cfRule type="expression" dxfId="908" priority="27">
      <formula>(dms_FRCPlength_Num)&lt;3</formula>
    </cfRule>
  </conditionalFormatting>
  <conditionalFormatting sqref="L245">
    <cfRule type="expression" dxfId="907" priority="26">
      <formula>(dms_FRCPlength_Num)&lt;4</formula>
    </cfRule>
  </conditionalFormatting>
  <conditionalFormatting sqref="M245">
    <cfRule type="expression" dxfId="906" priority="25">
      <formula>(dms_FRCPlength_Num)&lt;5</formula>
    </cfRule>
  </conditionalFormatting>
  <conditionalFormatting sqref="K253">
    <cfRule type="expression" dxfId="905" priority="24">
      <formula>(dms_FRCPlength_Num)&lt;3</formula>
    </cfRule>
  </conditionalFormatting>
  <conditionalFormatting sqref="L253">
    <cfRule type="expression" dxfId="904" priority="23">
      <formula>(dms_FRCPlength_Num)&lt;4</formula>
    </cfRule>
  </conditionalFormatting>
  <conditionalFormatting sqref="M253">
    <cfRule type="expression" dxfId="903" priority="22">
      <formula>(dms_FRCPlength_Num)&lt;5</formula>
    </cfRule>
  </conditionalFormatting>
  <conditionalFormatting sqref="K269">
    <cfRule type="expression" dxfId="902" priority="21">
      <formula>(dms_FRCPlength_Num)&lt;3</formula>
    </cfRule>
  </conditionalFormatting>
  <conditionalFormatting sqref="L269">
    <cfRule type="expression" dxfId="901" priority="20">
      <formula>(dms_FRCPlength_Num)&lt;4</formula>
    </cfRule>
  </conditionalFormatting>
  <conditionalFormatting sqref="M269">
    <cfRule type="expression" dxfId="900" priority="19">
      <formula>(dms_FRCPlength_Num)&lt;5</formula>
    </cfRule>
  </conditionalFormatting>
  <conditionalFormatting sqref="K298">
    <cfRule type="expression" dxfId="899" priority="18">
      <formula>(dms_FRCPlength_Num)&lt;3</formula>
    </cfRule>
  </conditionalFormatting>
  <conditionalFormatting sqref="L298">
    <cfRule type="expression" dxfId="898" priority="17">
      <formula>(dms_FRCPlength_Num)&lt;4</formula>
    </cfRule>
  </conditionalFormatting>
  <conditionalFormatting sqref="M298">
    <cfRule type="expression" dxfId="897" priority="16">
      <formula>(dms_FRCPlength_Num)&lt;5</formula>
    </cfRule>
  </conditionalFormatting>
  <conditionalFormatting sqref="K312:K316">
    <cfRule type="expression" dxfId="896" priority="15">
      <formula>(dms_FRCPlength_Num)&lt;3</formula>
    </cfRule>
  </conditionalFormatting>
  <conditionalFormatting sqref="L312:L316">
    <cfRule type="expression" dxfId="895" priority="14">
      <formula>(dms_FRCPlength_Num)&lt;4</formula>
    </cfRule>
  </conditionalFormatting>
  <conditionalFormatting sqref="M312:M316">
    <cfRule type="expression" dxfId="894" priority="13">
      <formula>(dms_FRCPlength_Num)&lt;5</formula>
    </cfRule>
  </conditionalFormatting>
  <conditionalFormatting sqref="K321">
    <cfRule type="expression" dxfId="893" priority="12">
      <formula>(dms_FRCPlength_Num)&lt;3</formula>
    </cfRule>
  </conditionalFormatting>
  <conditionalFormatting sqref="L321">
    <cfRule type="expression" dxfId="892" priority="11">
      <formula>(dms_FRCPlength_Num)&lt;4</formula>
    </cfRule>
  </conditionalFormatting>
  <conditionalFormatting sqref="M321">
    <cfRule type="expression" dxfId="891" priority="10">
      <formula>(dms_FRCPlength_Num)&lt;5</formula>
    </cfRule>
  </conditionalFormatting>
  <conditionalFormatting sqref="K329">
    <cfRule type="expression" dxfId="890" priority="9">
      <formula>(dms_FRCPlength_Num)&lt;3</formula>
    </cfRule>
  </conditionalFormatting>
  <conditionalFormatting sqref="L329">
    <cfRule type="expression" dxfId="889" priority="8">
      <formula>(dms_FRCPlength_Num)&lt;4</formula>
    </cfRule>
  </conditionalFormatting>
  <conditionalFormatting sqref="M329">
    <cfRule type="expression" dxfId="888" priority="7">
      <formula>(dms_FRCPlength_Num)&lt;5</formula>
    </cfRule>
  </conditionalFormatting>
  <conditionalFormatting sqref="K229">
    <cfRule type="expression" dxfId="887" priority="6">
      <formula>(dms_FRCPlength_Num)&lt;3</formula>
    </cfRule>
  </conditionalFormatting>
  <conditionalFormatting sqref="L229">
    <cfRule type="expression" dxfId="886" priority="5">
      <formula>(dms_FRCPlength_Num)&lt;4</formula>
    </cfRule>
  </conditionalFormatting>
  <conditionalFormatting sqref="M229">
    <cfRule type="expression" dxfId="885" priority="4">
      <formula>(dms_FRCPlength_Num)&lt;5</formula>
    </cfRule>
  </conditionalFormatting>
  <conditionalFormatting sqref="K228">
    <cfRule type="expression" dxfId="884" priority="3">
      <formula>(dms_FRCPlength_Num)&lt;3</formula>
    </cfRule>
  </conditionalFormatting>
  <conditionalFormatting sqref="L228">
    <cfRule type="expression" dxfId="883" priority="2">
      <formula>(dms_FRCPlength_Num)&lt;4</formula>
    </cfRule>
  </conditionalFormatting>
  <conditionalFormatting sqref="M228">
    <cfRule type="expression" dxfId="882" priority="1">
      <formula>(dms_FRCPlength_Num)&lt;5</formula>
    </cfRule>
  </conditionalFormatting>
  <hyperlinks>
    <hyperlink ref="B2:E2" location="TOC!A1" display="TOC!A1" xr:uid="{E3E2AE2D-7A22-4B09-87D1-DCEFEA8B0AF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D95D-C1C9-4F1B-82E8-0C8F23C448A4}">
  <sheetPr codeName="Sheet13">
    <tabColor theme="4" tint="0.79998168889431442"/>
  </sheetPr>
  <dimension ref="A1:K48"/>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0.83203125" style="45" customWidth="1"/>
    <col min="5" max="11" width="15.6640625" style="45" customWidth="1"/>
    <col min="12" max="12" width="12.33203125" style="45" customWidth="1"/>
    <col min="13" max="13" width="16" style="45" customWidth="1"/>
    <col min="14" max="31" width="10.6640625" style="45" customWidth="1"/>
    <col min="32" max="16384" width="9.33203125" style="45"/>
  </cols>
  <sheetData>
    <row r="1" spans="1:11" ht="18.75" x14ac:dyDescent="0.3">
      <c r="A1" s="41">
        <f>IF(SUM($A3:$A48)&gt;0,1,0)</f>
        <v>0</v>
      </c>
      <c r="B1" s="3" t="s">
        <v>1086</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555</v>
      </c>
      <c r="E8" s="49"/>
      <c r="F8" s="49"/>
      <c r="G8" s="49"/>
      <c r="H8" s="49"/>
      <c r="I8" s="49"/>
      <c r="J8" s="49"/>
      <c r="K8" s="49"/>
    </row>
    <row r="9" spans="1:11" ht="28.15" customHeight="1" thickBot="1" x14ac:dyDescent="0.35">
      <c r="D9"/>
      <c r="E9" s="1045" t="str">
        <f>'WkB_1_2.1.1'!$E$9</f>
        <v>Forecast 
($0's. real June 2024)</v>
      </c>
      <c r="F9" s="1046"/>
      <c r="G9" s="1046"/>
      <c r="H9" s="1046"/>
      <c r="I9" s="1046"/>
      <c r="J9" s="1046"/>
      <c r="K9" s="1047"/>
    </row>
    <row r="10" spans="1:11" ht="18.600000000000001" customHeight="1"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50" t="s">
        <v>400</v>
      </c>
      <c r="E11" s="51">
        <f>E31*E$44*E$46</f>
        <v>628753.14165580284</v>
      </c>
      <c r="F11" s="52">
        <f t="shared" ref="F11:K11" si="0">F31*F$44*F$46</f>
        <v>4293825.2350042313</v>
      </c>
      <c r="G11" s="51">
        <f t="shared" si="0"/>
        <v>432702.36087975843</v>
      </c>
      <c r="H11" s="53">
        <f t="shared" si="0"/>
        <v>437729.07011672866</v>
      </c>
      <c r="I11" s="53">
        <f t="shared" si="0"/>
        <v>440207.20769783808</v>
      </c>
      <c r="J11" s="53">
        <f t="shared" si="0"/>
        <v>441564.82383476483</v>
      </c>
      <c r="K11" s="52">
        <f t="shared" si="0"/>
        <v>444009.31300018524</v>
      </c>
    </row>
    <row r="12" spans="1:11" ht="14.25" x14ac:dyDescent="0.45">
      <c r="D12" s="54" t="s">
        <v>401</v>
      </c>
      <c r="E12" s="55">
        <f t="shared" ref="E12:K12" si="1">E32*E$44*E$46</f>
        <v>491766.95664381044</v>
      </c>
      <c r="F12" s="56">
        <f t="shared" si="1"/>
        <v>491103.30680457206</v>
      </c>
      <c r="G12" s="55">
        <f t="shared" si="1"/>
        <v>884560.19329492655</v>
      </c>
      <c r="H12" s="57">
        <f t="shared" si="1"/>
        <v>894836.14114335389</v>
      </c>
      <c r="I12" s="57">
        <f t="shared" si="1"/>
        <v>899902.12195589382</v>
      </c>
      <c r="J12" s="57">
        <f t="shared" si="1"/>
        <v>902677.45507415698</v>
      </c>
      <c r="K12" s="56">
        <f t="shared" si="1"/>
        <v>907674.64946032874</v>
      </c>
    </row>
    <row r="13" spans="1:11" ht="14.25" x14ac:dyDescent="0.45">
      <c r="D13" s="54" t="s">
        <v>402</v>
      </c>
      <c r="E13" s="55">
        <f t="shared" ref="E13:K13" si="2">E33*E$44*E$46</f>
        <v>45656.482751680574</v>
      </c>
      <c r="F13" s="56">
        <f t="shared" si="2"/>
        <v>91189.736738073087</v>
      </c>
      <c r="G13" s="55">
        <f t="shared" si="2"/>
        <v>92121.655954245231</v>
      </c>
      <c r="H13" s="57">
        <f t="shared" si="2"/>
        <v>93191.834489829605</v>
      </c>
      <c r="I13" s="57">
        <f t="shared" si="2"/>
        <v>93719.42610543831</v>
      </c>
      <c r="J13" s="57">
        <f t="shared" si="2"/>
        <v>94008.460457896217</v>
      </c>
      <c r="K13" s="56">
        <f t="shared" si="2"/>
        <v>94528.888378425443</v>
      </c>
    </row>
    <row r="14" spans="1:11" ht="14.25" x14ac:dyDescent="0.45">
      <c r="D14" s="54" t="s">
        <v>403</v>
      </c>
      <c r="E14" s="55">
        <f t="shared" ref="E14:K14" si="3">E34*E$44*E$46</f>
        <v>1064002.5306035462</v>
      </c>
      <c r="F14" s="56">
        <f t="shared" si="3"/>
        <v>1064346.5879869356</v>
      </c>
      <c r="G14" s="55">
        <f t="shared" si="3"/>
        <v>1088930.0576931681</v>
      </c>
      <c r="H14" s="57">
        <f t="shared" si="3"/>
        <v>1101580.1730479624</v>
      </c>
      <c r="I14" s="57">
        <f t="shared" si="3"/>
        <v>1107816.6042374815</v>
      </c>
      <c r="J14" s="57">
        <f t="shared" si="3"/>
        <v>1111233.1536995715</v>
      </c>
      <c r="K14" s="56">
        <f t="shared" si="3"/>
        <v>1117384.9059629969</v>
      </c>
    </row>
    <row r="15" spans="1:11" ht="14.25" x14ac:dyDescent="0.45">
      <c r="D15" s="54" t="s">
        <v>404</v>
      </c>
      <c r="E15" s="55">
        <f t="shared" ref="E15:K15" si="4">E35*E$44*E$46</f>
        <v>0</v>
      </c>
      <c r="F15" s="56">
        <f t="shared" si="4"/>
        <v>0</v>
      </c>
      <c r="G15" s="55">
        <f t="shared" si="4"/>
        <v>0</v>
      </c>
      <c r="H15" s="57">
        <f t="shared" si="4"/>
        <v>0</v>
      </c>
      <c r="I15" s="57">
        <f t="shared" si="4"/>
        <v>0</v>
      </c>
      <c r="J15" s="57">
        <f t="shared" si="4"/>
        <v>0</v>
      </c>
      <c r="K15" s="56">
        <f t="shared" si="4"/>
        <v>0</v>
      </c>
    </row>
    <row r="16" spans="1:11" ht="14.25" x14ac:dyDescent="0.45">
      <c r="D16" s="54" t="s">
        <v>405</v>
      </c>
      <c r="E16" s="55">
        <f t="shared" ref="E16:K16" si="5">E36*E$44*E$46</f>
        <v>0</v>
      </c>
      <c r="F16" s="56">
        <f t="shared" si="5"/>
        <v>0</v>
      </c>
      <c r="G16" s="55">
        <f t="shared" si="5"/>
        <v>0</v>
      </c>
      <c r="H16" s="57">
        <f t="shared" si="5"/>
        <v>0</v>
      </c>
      <c r="I16" s="57">
        <f t="shared" si="5"/>
        <v>0</v>
      </c>
      <c r="J16" s="57">
        <f t="shared" si="5"/>
        <v>0</v>
      </c>
      <c r="K16" s="56">
        <f t="shared" si="5"/>
        <v>0</v>
      </c>
    </row>
    <row r="17" spans="1:11" ht="14.25" x14ac:dyDescent="0.45">
      <c r="D17" s="54" t="s">
        <v>406</v>
      </c>
      <c r="E17" s="55">
        <f t="shared" ref="E17:K17" si="6">E37*E$44*E$46</f>
        <v>62007.051721452372</v>
      </c>
      <c r="F17" s="56">
        <f t="shared" si="6"/>
        <v>61923.371902483988</v>
      </c>
      <c r="G17" s="55">
        <f t="shared" si="6"/>
        <v>114643.88099155571</v>
      </c>
      <c r="H17" s="57">
        <f t="shared" si="6"/>
        <v>115975.70052304771</v>
      </c>
      <c r="I17" s="57">
        <f t="shared" si="6"/>
        <v>116632.27958434929</v>
      </c>
      <c r="J17" s="57">
        <f t="shared" si="6"/>
        <v>116991.97806743038</v>
      </c>
      <c r="K17" s="56">
        <f t="shared" si="6"/>
        <v>117639.64202839376</v>
      </c>
    </row>
    <row r="18" spans="1:11" ht="14.25" x14ac:dyDescent="0.45">
      <c r="D18" s="54" t="s">
        <v>407</v>
      </c>
      <c r="E18" s="55">
        <f t="shared" ref="E18:K18" si="7">E38*E$44*E$46</f>
        <v>0</v>
      </c>
      <c r="F18" s="56">
        <f t="shared" si="7"/>
        <v>0</v>
      </c>
      <c r="G18" s="55">
        <f t="shared" si="7"/>
        <v>55894.028194113016</v>
      </c>
      <c r="H18" s="57">
        <f t="shared" si="7"/>
        <v>56543.349883145573</v>
      </c>
      <c r="I18" s="57">
        <f t="shared" si="7"/>
        <v>56863.461591216219</v>
      </c>
      <c r="J18" s="57">
        <f t="shared" si="7"/>
        <v>57038.830716727542</v>
      </c>
      <c r="K18" s="56">
        <f t="shared" si="7"/>
        <v>57354.595913974008</v>
      </c>
    </row>
    <row r="19" spans="1:11" ht="14.65" thickBot="1" x14ac:dyDescent="0.5">
      <c r="D19" s="54" t="s">
        <v>408</v>
      </c>
      <c r="E19" s="55">
        <f t="shared" ref="E19:K19" si="8">E39*E$44*E$46</f>
        <v>0</v>
      </c>
      <c r="F19" s="56">
        <f t="shared" si="8"/>
        <v>0</v>
      </c>
      <c r="G19" s="55">
        <f t="shared" si="8"/>
        <v>55894.028194113016</v>
      </c>
      <c r="H19" s="57">
        <f t="shared" si="8"/>
        <v>56543.349883145573</v>
      </c>
      <c r="I19" s="57">
        <f t="shared" si="8"/>
        <v>56863.461591216219</v>
      </c>
      <c r="J19" s="57">
        <f t="shared" si="8"/>
        <v>57038.830716727542</v>
      </c>
      <c r="K19" s="56">
        <f t="shared" si="8"/>
        <v>57354.595913974008</v>
      </c>
    </row>
    <row r="20" spans="1:11" ht="13.5" thickBot="1" x14ac:dyDescent="0.35">
      <c r="D20" s="58" t="s">
        <v>81</v>
      </c>
      <c r="E20" s="59">
        <f t="shared" ref="E20:K20" si="9">SUM(E11:E19)</f>
        <v>2292186.1633762922</v>
      </c>
      <c r="F20" s="59">
        <f t="shared" si="9"/>
        <v>6002388.2384362966</v>
      </c>
      <c r="G20" s="59">
        <f t="shared" si="9"/>
        <v>2724746.2052018801</v>
      </c>
      <c r="H20" s="59">
        <f t="shared" si="9"/>
        <v>2756399.6190872137</v>
      </c>
      <c r="I20" s="59">
        <f t="shared" si="9"/>
        <v>2772004.5627634334</v>
      </c>
      <c r="J20" s="59">
        <f t="shared" si="9"/>
        <v>2780553.5325672752</v>
      </c>
      <c r="K20" s="60">
        <f t="shared" si="9"/>
        <v>2795946.5906582782</v>
      </c>
    </row>
    <row r="21" spans="1:11" ht="11.25" customHeight="1" x14ac:dyDescent="0.3"/>
    <row r="22" spans="1:11" ht="12.75" x14ac:dyDescent="0.3">
      <c r="D22" s="6" t="s">
        <v>83</v>
      </c>
      <c r="E22" s="118">
        <f>SUM('WkB_1_2.3.4'!E13:E17)</f>
        <v>2292186.1633762922</v>
      </c>
      <c r="F22" s="119">
        <f>SUM('WkB_1_2.3.4'!F13:F17)</f>
        <v>6002388.2384362957</v>
      </c>
      <c r="G22" s="120">
        <f>SUM('WkB_1_2.3.4'!G13:G17)</f>
        <v>2724746.2052018801</v>
      </c>
      <c r="H22" s="118">
        <f>SUM('WkB_1_2.3.4'!H13:H17)</f>
        <v>2756399.6190872137</v>
      </c>
      <c r="I22" s="118">
        <f>SUM('WkB_1_2.3.4'!I13:I17)</f>
        <v>2772004.562763433</v>
      </c>
      <c r="J22" s="118">
        <f>SUM('WkB_1_2.3.4'!J13:J17)</f>
        <v>2780553.5325672748</v>
      </c>
      <c r="K22" s="118">
        <f>SUM('WkB_1_2.3.4'!K13:K17)</f>
        <v>2795946.5906582782</v>
      </c>
    </row>
    <row r="23" spans="1:11" ht="12.75" x14ac:dyDescent="0.3">
      <c r="D23" s="6" t="s">
        <v>695</v>
      </c>
      <c r="E23" s="115">
        <v>2292186.1633762922</v>
      </c>
      <c r="F23" s="116">
        <v>6002388.2384362966</v>
      </c>
      <c r="G23" s="117">
        <v>2724746.2052018801</v>
      </c>
      <c r="H23" s="115">
        <v>2756399.6190872137</v>
      </c>
      <c r="I23" s="115">
        <v>2772004.5627634334</v>
      </c>
      <c r="J23" s="115">
        <v>2780553.5325672752</v>
      </c>
      <c r="K23" s="115">
        <v>2795946.5906582782</v>
      </c>
    </row>
    <row r="24" spans="1:11" ht="12.75" x14ac:dyDescent="0.3">
      <c r="A24" s="41">
        <f>IF(SUM($E24:$K24)&gt;0,1,0)</f>
        <v>0</v>
      </c>
      <c r="D24" s="6" t="s">
        <v>84</v>
      </c>
      <c r="E24" s="62">
        <f>IF(OR(ROUND(E20-E22,3)&lt;&gt;0,ROUND(E20-E23,3)&lt;&gt;0),1,0)</f>
        <v>0</v>
      </c>
      <c r="F24" s="62">
        <f t="shared" ref="F24:K24" si="10">IF(OR(ROUND(F20-F22,3)&lt;&gt;0,ROUND(F20-F23,3)&lt;&gt;0),1,0)</f>
        <v>0</v>
      </c>
      <c r="G24" s="62">
        <f t="shared" si="10"/>
        <v>0</v>
      </c>
      <c r="H24" s="62">
        <f t="shared" si="10"/>
        <v>0</v>
      </c>
      <c r="I24" s="62">
        <f t="shared" si="10"/>
        <v>0</v>
      </c>
      <c r="J24" s="62">
        <f t="shared" si="10"/>
        <v>0</v>
      </c>
      <c r="K24" s="62">
        <f t="shared" si="10"/>
        <v>0</v>
      </c>
    </row>
    <row r="25" spans="1:11" ht="11.25" customHeight="1" x14ac:dyDescent="0.3"/>
    <row r="26" spans="1:11" s="7" customFormat="1" ht="13.9" x14ac:dyDescent="0.3">
      <c r="C26" s="7" t="s">
        <v>652</v>
      </c>
    </row>
    <row r="27" spans="1:11" ht="11.25" customHeight="1" x14ac:dyDescent="0.3"/>
    <row r="28" spans="1:11" ht="18.399999999999999" thickBot="1" x14ac:dyDescent="0.55000000000000004">
      <c r="D28" s="48" t="s">
        <v>399</v>
      </c>
      <c r="E28" s="49"/>
      <c r="F28" s="49"/>
      <c r="G28" s="49"/>
      <c r="H28" s="49"/>
      <c r="I28" s="49"/>
      <c r="J28" s="49"/>
      <c r="K28" s="49"/>
    </row>
    <row r="29" spans="1:11" ht="32.65" customHeight="1" thickBot="1" x14ac:dyDescent="0.35">
      <c r="D29"/>
      <c r="E29" s="1045" t="s">
        <v>409</v>
      </c>
      <c r="F29" s="1046"/>
      <c r="G29" s="1046"/>
      <c r="H29" s="1046"/>
      <c r="I29" s="1046"/>
      <c r="J29" s="1046"/>
      <c r="K29" s="1047"/>
    </row>
    <row r="30" spans="1:11" ht="13.5" thickBot="1" x14ac:dyDescent="0.35">
      <c r="D30"/>
      <c r="E30" s="417" t="str">
        <f>'WkB_1_2.1.1'!$E$10</f>
        <v>2022-23</v>
      </c>
      <c r="F30" s="418" t="str">
        <f>'WkB_1_2.1.1'!$F$10</f>
        <v>2023-24</v>
      </c>
      <c r="G30" s="419" t="str">
        <f>'WkB_1_2.1.1'!$G$10</f>
        <v>2024-25</v>
      </c>
      <c r="H30" s="420" t="str">
        <f>'WkB_1_2.1.1'!$H$10</f>
        <v>2025-26</v>
      </c>
      <c r="I30" s="420" t="str">
        <f>'WkB_1_2.1.1'!$I$10</f>
        <v>2026-27</v>
      </c>
      <c r="J30" s="420" t="str">
        <f>'WkB_1_2.1.1'!$J$10</f>
        <v>2027-28</v>
      </c>
      <c r="K30" s="421" t="str">
        <f>'WkB_1_2.1.1'!$K$10</f>
        <v>2028-29</v>
      </c>
    </row>
    <row r="31" spans="1:11" ht="14.25" x14ac:dyDescent="0.45">
      <c r="D31" s="50" t="s">
        <v>400</v>
      </c>
      <c r="E31" s="51">
        <v>567432.29747610097</v>
      </c>
      <c r="F31" s="52">
        <v>3880294.8996604779</v>
      </c>
      <c r="G31" s="51">
        <v>387073.87431179313</v>
      </c>
      <c r="H31" s="53">
        <v>387073.87431179313</v>
      </c>
      <c r="I31" s="53">
        <v>387073.87431179313</v>
      </c>
      <c r="J31" s="53">
        <v>387073.87431179313</v>
      </c>
      <c r="K31" s="52">
        <v>387073.87431179313</v>
      </c>
    </row>
    <row r="32" spans="1:11" ht="14.25" x14ac:dyDescent="0.45">
      <c r="D32" s="54" t="s">
        <v>401</v>
      </c>
      <c r="E32" s="55">
        <v>443806.05923713103</v>
      </c>
      <c r="F32" s="56">
        <v>443806.05923713103</v>
      </c>
      <c r="G32" s="55">
        <v>791283.27468451462</v>
      </c>
      <c r="H32" s="57">
        <v>791283.27468451462</v>
      </c>
      <c r="I32" s="57">
        <v>791283.27468451462</v>
      </c>
      <c r="J32" s="57">
        <v>791283.27468451462</v>
      </c>
      <c r="K32" s="56">
        <v>791283.27468451462</v>
      </c>
    </row>
    <row r="33" spans="1:11" ht="14.25" x14ac:dyDescent="0.45">
      <c r="D33" s="54" t="s">
        <v>402</v>
      </c>
      <c r="E33" s="55">
        <v>41203.711259778138</v>
      </c>
      <c r="F33" s="56">
        <v>82407.422519556276</v>
      </c>
      <c r="G33" s="55">
        <v>82407.422519556276</v>
      </c>
      <c r="H33" s="57">
        <v>82407.422519556276</v>
      </c>
      <c r="I33" s="57">
        <v>82407.422519556276</v>
      </c>
      <c r="J33" s="57">
        <v>82407.422519556276</v>
      </c>
      <c r="K33" s="56">
        <v>82407.422519556276</v>
      </c>
    </row>
    <row r="34" spans="1:11" ht="14.25" x14ac:dyDescent="0.45">
      <c r="D34" s="54" t="s">
        <v>403</v>
      </c>
      <c r="E34" s="55">
        <v>960232.81708111917</v>
      </c>
      <c r="F34" s="56">
        <v>961841.34444229864</v>
      </c>
      <c r="G34" s="55">
        <v>974102.32620151236</v>
      </c>
      <c r="H34" s="57">
        <v>974102.32620151236</v>
      </c>
      <c r="I34" s="57">
        <v>974102.32620151236</v>
      </c>
      <c r="J34" s="57">
        <v>974102.32620151236</v>
      </c>
      <c r="K34" s="56">
        <v>974102.32620151236</v>
      </c>
    </row>
    <row r="35" spans="1:11" ht="14.25" x14ac:dyDescent="0.45">
      <c r="D35" s="54" t="s">
        <v>404</v>
      </c>
      <c r="E35" s="55">
        <v>0</v>
      </c>
      <c r="F35" s="56">
        <v>0</v>
      </c>
      <c r="G35" s="55">
        <v>0</v>
      </c>
      <c r="H35" s="57">
        <v>0</v>
      </c>
      <c r="I35" s="57">
        <v>0</v>
      </c>
      <c r="J35" s="57">
        <v>0</v>
      </c>
      <c r="K35" s="56">
        <v>0</v>
      </c>
    </row>
    <row r="36" spans="1:11" ht="14.25" x14ac:dyDescent="0.45">
      <c r="D36" s="54" t="s">
        <v>405</v>
      </c>
      <c r="E36" s="55">
        <v>0</v>
      </c>
      <c r="F36" s="56">
        <v>0</v>
      </c>
      <c r="G36" s="55">
        <v>0</v>
      </c>
      <c r="H36" s="57">
        <v>0</v>
      </c>
      <c r="I36" s="57">
        <v>0</v>
      </c>
      <c r="J36" s="57">
        <v>0</v>
      </c>
      <c r="K36" s="56">
        <v>0</v>
      </c>
    </row>
    <row r="37" spans="1:11" ht="14.25" x14ac:dyDescent="0.45">
      <c r="D37" s="54" t="s">
        <v>406</v>
      </c>
      <c r="E37" s="55">
        <v>55959.646937691628</v>
      </c>
      <c r="F37" s="56">
        <v>55959.646937691628</v>
      </c>
      <c r="G37" s="55">
        <v>102554.67774966205</v>
      </c>
      <c r="H37" s="57">
        <v>102554.67774966205</v>
      </c>
      <c r="I37" s="57">
        <v>102554.67774966205</v>
      </c>
      <c r="J37" s="57">
        <v>102554.67774966205</v>
      </c>
      <c r="K37" s="56">
        <v>102554.67774966205</v>
      </c>
    </row>
    <row r="38" spans="1:11" ht="14.25" x14ac:dyDescent="0.45">
      <c r="D38" s="54" t="s">
        <v>407</v>
      </c>
      <c r="E38" s="55">
        <v>0</v>
      </c>
      <c r="F38" s="56">
        <v>0</v>
      </c>
      <c r="G38" s="55">
        <v>50000</v>
      </c>
      <c r="H38" s="57">
        <v>50000</v>
      </c>
      <c r="I38" s="57">
        <v>50000</v>
      </c>
      <c r="J38" s="57">
        <v>50000</v>
      </c>
      <c r="K38" s="56">
        <v>50000</v>
      </c>
    </row>
    <row r="39" spans="1:11" ht="14.65" thickBot="1" x14ac:dyDescent="0.5">
      <c r="D39" s="54" t="s">
        <v>408</v>
      </c>
      <c r="E39" s="55">
        <v>0</v>
      </c>
      <c r="F39" s="56">
        <v>0</v>
      </c>
      <c r="G39" s="55">
        <v>50000</v>
      </c>
      <c r="H39" s="57">
        <v>50000</v>
      </c>
      <c r="I39" s="57">
        <v>50000</v>
      </c>
      <c r="J39" s="57">
        <v>50000</v>
      </c>
      <c r="K39" s="56">
        <v>50000</v>
      </c>
    </row>
    <row r="40" spans="1:11" ht="11.25" customHeight="1" thickBot="1" x14ac:dyDescent="0.35">
      <c r="D40" s="58" t="s">
        <v>81</v>
      </c>
      <c r="E40" s="59">
        <f t="shared" ref="E40:K40" si="11">SUM(E31:E39)</f>
        <v>2068634.531991821</v>
      </c>
      <c r="F40" s="59">
        <f t="shared" si="11"/>
        <v>5424309.3727971558</v>
      </c>
      <c r="G40" s="59">
        <f t="shared" si="11"/>
        <v>2437421.5754670384</v>
      </c>
      <c r="H40" s="59">
        <f t="shared" si="11"/>
        <v>2437421.5754670384</v>
      </c>
      <c r="I40" s="59">
        <f t="shared" si="11"/>
        <v>2437421.5754670384</v>
      </c>
      <c r="J40" s="59">
        <f t="shared" si="11"/>
        <v>2437421.5754670384</v>
      </c>
      <c r="K40" s="60">
        <f t="shared" si="11"/>
        <v>2437421.5754670384</v>
      </c>
    </row>
    <row r="41" spans="1:11" ht="11.25" customHeight="1" x14ac:dyDescent="0.3"/>
    <row r="42" spans="1:11" ht="12.75" x14ac:dyDescent="0.3">
      <c r="A42" s="41"/>
      <c r="D42" s="6" t="s">
        <v>546</v>
      </c>
      <c r="E42" s="115">
        <v>6510944.424815014</v>
      </c>
      <c r="F42" s="116">
        <v>13748018.948539032</v>
      </c>
      <c r="G42" s="117">
        <v>9594457.8071359936</v>
      </c>
      <c r="H42" s="115">
        <v>6066486.6071359944</v>
      </c>
      <c r="I42" s="115">
        <v>7246957.0782559952</v>
      </c>
      <c r="J42" s="115">
        <v>5354107.8071359955</v>
      </c>
      <c r="K42" s="115">
        <v>4901803.8071359955</v>
      </c>
    </row>
    <row r="43" spans="1:11" ht="12.75" x14ac:dyDescent="0.3">
      <c r="A43" s="41"/>
      <c r="D43" s="6" t="s">
        <v>547</v>
      </c>
      <c r="E43" s="115">
        <v>6380278.963221469</v>
      </c>
      <c r="F43" s="116">
        <v>13453934.716456933</v>
      </c>
      <c r="G43" s="117">
        <v>9485176.2563105691</v>
      </c>
      <c r="H43" s="115">
        <v>6067060.6457375083</v>
      </c>
      <c r="I43" s="115">
        <v>7288674.2628427306</v>
      </c>
      <c r="J43" s="115">
        <v>5401536.1146545578</v>
      </c>
      <c r="K43" s="115">
        <v>4972602.083693523</v>
      </c>
    </row>
    <row r="44" spans="1:11" ht="12.75" x14ac:dyDescent="0.3">
      <c r="A44" s="41"/>
      <c r="D44" s="6" t="s">
        <v>412</v>
      </c>
      <c r="E44" s="483">
        <f>IF(E42=0,0,E43/E42)</f>
        <v>0.97993141193226241</v>
      </c>
      <c r="F44" s="484">
        <f t="shared" ref="F44:K44" si="12">IF(F42=0,0,F43/F42)</f>
        <v>0.97860897390504753</v>
      </c>
      <c r="G44" s="485">
        <f t="shared" si="12"/>
        <v>0.98860992950074311</v>
      </c>
      <c r="H44" s="483">
        <f t="shared" si="12"/>
        <v>1.0000946245559725</v>
      </c>
      <c r="I44" s="483">
        <f t="shared" si="12"/>
        <v>1.0057565105100326</v>
      </c>
      <c r="J44" s="483">
        <f t="shared" si="12"/>
        <v>1.0088583026765634</v>
      </c>
      <c r="K44" s="483">
        <f t="shared" si="12"/>
        <v>1.0144433109408542</v>
      </c>
    </row>
    <row r="45" spans="1:11" ht="11.25" customHeight="1" x14ac:dyDescent="0.3"/>
    <row r="46" spans="1:11" ht="11.25" customHeight="1" x14ac:dyDescent="0.3">
      <c r="D46" s="6" t="str">
        <f>'WkB_1_2.2.1'!D$375</f>
        <v>Capex Model Real 2022 to Real 2024</v>
      </c>
      <c r="E46" s="483">
        <f>'WkB_1_2.2.1'!G$375</f>
        <v>1.13076</v>
      </c>
      <c r="F46" s="484">
        <f>'WkB_1_2.2.1'!H$375</f>
        <v>1.13076</v>
      </c>
      <c r="G46" s="485">
        <f>'WkB_1_2.2.1'!I$375</f>
        <v>1.13076</v>
      </c>
      <c r="H46" s="483">
        <f>'WkB_1_2.2.1'!J$375</f>
        <v>1.13076</v>
      </c>
      <c r="I46" s="483">
        <f>'WkB_1_2.2.1'!K$375</f>
        <v>1.13076</v>
      </c>
      <c r="J46" s="483">
        <f>'WkB_1_2.2.1'!L$375</f>
        <v>1.13076</v>
      </c>
      <c r="K46" s="483">
        <f>'WkB_1_2.2.1'!M$375</f>
        <v>1.13076</v>
      </c>
    </row>
    <row r="47" spans="1:11" ht="11.25" customHeight="1" x14ac:dyDescent="0.3"/>
    <row r="48" spans="1:11" s="46" customFormat="1" ht="15" x14ac:dyDescent="0.3">
      <c r="B48" s="46" t="s">
        <v>16</v>
      </c>
    </row>
  </sheetData>
  <mergeCells count="2">
    <mergeCell ref="E9:K9"/>
    <mergeCell ref="E29:K29"/>
  </mergeCells>
  <conditionalFormatting sqref="B3">
    <cfRule type="cellIs" dxfId="881" priority="6" operator="notEqual">
      <formula>"No Errors Found"</formula>
    </cfRule>
  </conditionalFormatting>
  <conditionalFormatting sqref="K11:K19">
    <cfRule type="expression" dxfId="880" priority="5">
      <formula>(dms_FRCPlength_Num)&lt;5</formula>
    </cfRule>
  </conditionalFormatting>
  <conditionalFormatting sqref="K31:K39">
    <cfRule type="expression" dxfId="879" priority="1">
      <formula>(dms_FRCPlength_Num)&lt;5</formula>
    </cfRule>
  </conditionalFormatting>
  <hyperlinks>
    <hyperlink ref="B2:E2" location="TOC!A1" display="TOC!A1" xr:uid="{E5BBB8DF-A688-4A98-8FF5-79639D42943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F78C-86F0-44BA-98C8-E7314F9BC1F9}">
  <sheetPr codeName="Sheet14">
    <tabColor theme="4" tint="0.79998168889431442"/>
  </sheetPr>
  <dimension ref="A1:K50"/>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72.6640625" style="45" customWidth="1"/>
    <col min="5" max="11" width="15.6640625" style="45" customWidth="1"/>
    <col min="12" max="12" width="12.33203125" style="45" customWidth="1"/>
    <col min="13" max="13" width="16" style="45" customWidth="1"/>
    <col min="14" max="31" width="10.6640625" style="45" customWidth="1"/>
    <col min="32" max="16384" width="9.33203125" style="45"/>
  </cols>
  <sheetData>
    <row r="1" spans="1:11" ht="18.75" x14ac:dyDescent="0.3">
      <c r="A1" s="41">
        <f>IF(SUM($A3:$A50)&gt;0,1,0)</f>
        <v>0</v>
      </c>
      <c r="B1" s="3" t="s">
        <v>1087</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413</v>
      </c>
      <c r="E8" s="49"/>
      <c r="F8" s="49"/>
      <c r="G8" s="49"/>
      <c r="H8" s="49"/>
      <c r="I8" s="49"/>
      <c r="J8" s="49"/>
      <c r="K8" s="49"/>
    </row>
    <row r="9" spans="1:11" ht="28.15" customHeight="1" thickBot="1" x14ac:dyDescent="0.35">
      <c r="D9"/>
      <c r="E9" s="1045" t="str">
        <f>'WkB_1_2.1.1'!$E$9</f>
        <v>Forecast 
($0's. real June 2024)</v>
      </c>
      <c r="F9" s="1046"/>
      <c r="G9" s="1046"/>
      <c r="H9" s="1046"/>
      <c r="I9" s="1046"/>
      <c r="J9" s="1046"/>
      <c r="K9" s="1047"/>
    </row>
    <row r="10" spans="1:11" ht="18.600000000000001" customHeight="1"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50" t="s">
        <v>414</v>
      </c>
      <c r="E11" s="51">
        <f t="shared" ref="E11:K19" si="0">E31*E$44*E$46</f>
        <v>3105690.869679668</v>
      </c>
      <c r="F11" s="52">
        <f t="shared" si="0"/>
        <v>5599253.7296643313</v>
      </c>
      <c r="G11" s="51">
        <f t="shared" si="0"/>
        <v>5052820.1487478167</v>
      </c>
      <c r="H11" s="53">
        <f t="shared" si="0"/>
        <v>1718917.8364476254</v>
      </c>
      <c r="I11" s="53">
        <f t="shared" si="0"/>
        <v>705106.92373108119</v>
      </c>
      <c r="J11" s="53">
        <f t="shared" si="0"/>
        <v>707281.50088742143</v>
      </c>
      <c r="K11" s="52">
        <f t="shared" si="0"/>
        <v>711196.98933327768</v>
      </c>
    </row>
    <row r="12" spans="1:11" ht="14.25" x14ac:dyDescent="0.45">
      <c r="D12" s="54" t="s">
        <v>415</v>
      </c>
      <c r="E12" s="55">
        <f t="shared" si="0"/>
        <v>761298.62343941326</v>
      </c>
      <c r="F12" s="56">
        <f t="shared" si="0"/>
        <v>1549200.6366660201</v>
      </c>
      <c r="G12" s="55">
        <f t="shared" si="0"/>
        <v>1073165.3413269699</v>
      </c>
      <c r="H12" s="57">
        <f t="shared" si="0"/>
        <v>1085632.3177563951</v>
      </c>
      <c r="I12" s="57">
        <f t="shared" si="0"/>
        <v>1091778.4625513516</v>
      </c>
      <c r="J12" s="57">
        <f t="shared" si="0"/>
        <v>1095145.5497611689</v>
      </c>
      <c r="K12" s="56">
        <f t="shared" si="0"/>
        <v>1101208.2415483012</v>
      </c>
    </row>
    <row r="13" spans="1:11" ht="14.25" x14ac:dyDescent="0.45">
      <c r="D13" s="54" t="s">
        <v>416</v>
      </c>
      <c r="E13" s="55">
        <f t="shared" si="0"/>
        <v>1120520.0982996132</v>
      </c>
      <c r="F13" s="56">
        <f t="shared" si="0"/>
        <v>4784928.5418088026</v>
      </c>
      <c r="G13" s="55">
        <f t="shared" si="0"/>
        <v>1317262.5541746849</v>
      </c>
      <c r="H13" s="57">
        <f t="shared" si="0"/>
        <v>1332565.2112600827</v>
      </c>
      <c r="I13" s="57">
        <f t="shared" si="0"/>
        <v>1340109.3296537318</v>
      </c>
      <c r="J13" s="57">
        <f t="shared" si="0"/>
        <v>1344242.2789089216</v>
      </c>
      <c r="K13" s="56">
        <f t="shared" si="0"/>
        <v>1351683.9624605139</v>
      </c>
    </row>
    <row r="14" spans="1:11" ht="14.25" x14ac:dyDescent="0.45">
      <c r="D14" s="54" t="s">
        <v>417</v>
      </c>
      <c r="E14" s="55">
        <f t="shared" si="0"/>
        <v>45656.482751680574</v>
      </c>
      <c r="F14" s="56">
        <f t="shared" si="0"/>
        <v>91189.736738073087</v>
      </c>
      <c r="G14" s="55">
        <f t="shared" si="0"/>
        <v>92121.655954245231</v>
      </c>
      <c r="H14" s="57">
        <f t="shared" si="0"/>
        <v>93191.834489829605</v>
      </c>
      <c r="I14" s="57">
        <f t="shared" si="0"/>
        <v>93719.42610543831</v>
      </c>
      <c r="J14" s="57">
        <f t="shared" si="0"/>
        <v>94008.460457896217</v>
      </c>
      <c r="K14" s="56">
        <f t="shared" si="0"/>
        <v>94528.888378425443</v>
      </c>
    </row>
    <row r="15" spans="1:11" ht="14.25" x14ac:dyDescent="0.45">
      <c r="D15" s="54" t="s">
        <v>418</v>
      </c>
      <c r="E15" s="55">
        <f t="shared" si="0"/>
        <v>62007.051721452372</v>
      </c>
      <c r="F15" s="56">
        <f t="shared" si="0"/>
        <v>61923.371902483988</v>
      </c>
      <c r="G15" s="55">
        <f t="shared" si="0"/>
        <v>226431.93737978177</v>
      </c>
      <c r="H15" s="57">
        <f t="shared" si="0"/>
        <v>229062.4002893389</v>
      </c>
      <c r="I15" s="57">
        <f t="shared" si="0"/>
        <v>230359.20276678176</v>
      </c>
      <c r="J15" s="57">
        <f t="shared" si="0"/>
        <v>231069.63950088547</v>
      </c>
      <c r="K15" s="56">
        <f t="shared" si="0"/>
        <v>232348.83385634181</v>
      </c>
    </row>
    <row r="16" spans="1:11" ht="14.25" x14ac:dyDescent="0.45">
      <c r="D16" s="54" t="s">
        <v>419</v>
      </c>
      <c r="E16" s="55">
        <f t="shared" si="0"/>
        <v>0</v>
      </c>
      <c r="F16" s="56">
        <f t="shared" si="0"/>
        <v>0</v>
      </c>
      <c r="G16" s="55">
        <f t="shared" si="0"/>
        <v>0</v>
      </c>
      <c r="H16" s="57">
        <f t="shared" si="0"/>
        <v>0</v>
      </c>
      <c r="I16" s="57">
        <f t="shared" si="0"/>
        <v>0</v>
      </c>
      <c r="J16" s="57">
        <f t="shared" si="0"/>
        <v>0</v>
      </c>
      <c r="K16" s="56">
        <f t="shared" si="0"/>
        <v>0</v>
      </c>
    </row>
    <row r="17" spans="1:11" ht="14.25" x14ac:dyDescent="0.45">
      <c r="D17" s="54" t="s">
        <v>420</v>
      </c>
      <c r="E17" s="55">
        <f t="shared" si="0"/>
        <v>1064002.5306035462</v>
      </c>
      <c r="F17" s="56">
        <f t="shared" si="0"/>
        <v>1064346.5879869356</v>
      </c>
      <c r="G17" s="55">
        <f t="shared" si="0"/>
        <v>1088930.0576931681</v>
      </c>
      <c r="H17" s="57">
        <f t="shared" si="0"/>
        <v>1101580.1730479624</v>
      </c>
      <c r="I17" s="57">
        <f t="shared" si="0"/>
        <v>1107816.6042374815</v>
      </c>
      <c r="J17" s="57">
        <f t="shared" si="0"/>
        <v>1111233.1536995715</v>
      </c>
      <c r="K17" s="56">
        <f t="shared" si="0"/>
        <v>1117384.9059629969</v>
      </c>
    </row>
    <row r="18" spans="1:11" ht="14.25" x14ac:dyDescent="0.45">
      <c r="D18" s="54" t="s">
        <v>421</v>
      </c>
      <c r="E18" s="55">
        <f t="shared" si="0"/>
        <v>0</v>
      </c>
      <c r="F18" s="56">
        <f t="shared" si="0"/>
        <v>0</v>
      </c>
      <c r="G18" s="55">
        <f t="shared" si="0"/>
        <v>0</v>
      </c>
      <c r="H18" s="57">
        <f t="shared" si="0"/>
        <v>0</v>
      </c>
      <c r="I18" s="57">
        <f t="shared" si="0"/>
        <v>0</v>
      </c>
      <c r="J18" s="57">
        <f t="shared" si="0"/>
        <v>0</v>
      </c>
      <c r="K18" s="56">
        <f t="shared" si="0"/>
        <v>0</v>
      </c>
    </row>
    <row r="19" spans="1:11" ht="14.65" thickBot="1" x14ac:dyDescent="0.5">
      <c r="D19" s="54" t="s">
        <v>422</v>
      </c>
      <c r="E19" s="55">
        <f t="shared" si="0"/>
        <v>221103.30672609282</v>
      </c>
      <c r="F19" s="56">
        <f t="shared" si="0"/>
        <v>303092.11169028725</v>
      </c>
      <c r="G19" s="55">
        <f t="shared" si="0"/>
        <v>634444.56103390444</v>
      </c>
      <c r="H19" s="57">
        <f t="shared" si="0"/>
        <v>506110.87244627508</v>
      </c>
      <c r="I19" s="57">
        <f t="shared" si="0"/>
        <v>2719784.3137968644</v>
      </c>
      <c r="J19" s="57">
        <f t="shared" si="0"/>
        <v>818555.53143869201</v>
      </c>
      <c r="K19" s="56">
        <f t="shared" si="0"/>
        <v>364250.26215366647</v>
      </c>
    </row>
    <row r="20" spans="1:11" ht="13.5" thickBot="1" x14ac:dyDescent="0.35">
      <c r="D20" s="58" t="s">
        <v>81</v>
      </c>
      <c r="E20" s="59">
        <f t="shared" ref="E20:K20" si="1">SUM(E11:E19)</f>
        <v>6380278.9632214662</v>
      </c>
      <c r="F20" s="59">
        <f t="shared" si="1"/>
        <v>13453934.716456933</v>
      </c>
      <c r="G20" s="59">
        <f t="shared" si="1"/>
        <v>9485176.256310571</v>
      </c>
      <c r="H20" s="59">
        <f t="shared" si="1"/>
        <v>6067060.6457375092</v>
      </c>
      <c r="I20" s="59">
        <f t="shared" si="1"/>
        <v>7288674.2628427297</v>
      </c>
      <c r="J20" s="59">
        <f t="shared" si="1"/>
        <v>5401536.1146545578</v>
      </c>
      <c r="K20" s="60">
        <f t="shared" si="1"/>
        <v>4972602.083693523</v>
      </c>
    </row>
    <row r="21" spans="1:11" ht="11.25" customHeight="1" x14ac:dyDescent="0.3"/>
    <row r="22" spans="1:11" ht="12.75" x14ac:dyDescent="0.3">
      <c r="D22" s="6" t="s">
        <v>83</v>
      </c>
      <c r="E22" s="118">
        <f>'WkB_1_2.1.1'!E13</f>
        <v>6380278.963221469</v>
      </c>
      <c r="F22" s="119">
        <f>'WkB_1_2.1.1'!F13</f>
        <v>13453934.716456933</v>
      </c>
      <c r="G22" s="120">
        <f>'WkB_1_2.1.1'!G13</f>
        <v>9485176.2563105691</v>
      </c>
      <c r="H22" s="118">
        <f>'WkB_1_2.1.1'!H13</f>
        <v>6067060.6457375083</v>
      </c>
      <c r="I22" s="118">
        <f>'WkB_1_2.1.1'!I13</f>
        <v>7288674.2628427306</v>
      </c>
      <c r="J22" s="118">
        <f>'WkB_1_2.1.1'!J13</f>
        <v>5401536.1146545578</v>
      </c>
      <c r="K22" s="118">
        <f>'WkB_1_2.1.1'!K13</f>
        <v>4972602.083693523</v>
      </c>
    </row>
    <row r="23" spans="1:11" ht="12.75" x14ac:dyDescent="0.3">
      <c r="D23" s="6" t="s">
        <v>695</v>
      </c>
      <c r="E23" s="115">
        <v>6380278.9632214662</v>
      </c>
      <c r="F23" s="116">
        <v>13453934.716456933</v>
      </c>
      <c r="G23" s="117">
        <v>9485176.256310571</v>
      </c>
      <c r="H23" s="115">
        <v>6067060.6457375092</v>
      </c>
      <c r="I23" s="115">
        <v>7288674.2628427297</v>
      </c>
      <c r="J23" s="115">
        <v>5401536.1146545578</v>
      </c>
      <c r="K23" s="115">
        <v>4972602.083693523</v>
      </c>
    </row>
    <row r="24" spans="1:11" ht="12.75" x14ac:dyDescent="0.3">
      <c r="A24" s="41">
        <f>IF(SUM($E24:$K24)&gt;0,1,0)</f>
        <v>0</v>
      </c>
      <c r="D24" s="6" t="s">
        <v>84</v>
      </c>
      <c r="E24" s="62">
        <f>IF(OR(ROUND(E20-E22,3)&lt;&gt;0,ROUND(E20-E23,3)&lt;&gt;0),1,0)</f>
        <v>0</v>
      </c>
      <c r="F24" s="62">
        <f t="shared" ref="F24:K24" si="2">IF(OR(ROUND(F20-F22,3)&lt;&gt;0,ROUND(F20-F23,3)&lt;&gt;0),1,0)</f>
        <v>0</v>
      </c>
      <c r="G24" s="62">
        <f t="shared" si="2"/>
        <v>0</v>
      </c>
      <c r="H24" s="62">
        <f t="shared" si="2"/>
        <v>0</v>
      </c>
      <c r="I24" s="62">
        <f t="shared" si="2"/>
        <v>0</v>
      </c>
      <c r="J24" s="62">
        <f t="shared" si="2"/>
        <v>0</v>
      </c>
      <c r="K24" s="62">
        <f t="shared" si="2"/>
        <v>0</v>
      </c>
    </row>
    <row r="25" spans="1:11" ht="11.25" customHeight="1" x14ac:dyDescent="0.3"/>
    <row r="26" spans="1:11" s="7" customFormat="1" ht="13.9" x14ac:dyDescent="0.3">
      <c r="C26" s="7" t="s">
        <v>652</v>
      </c>
    </row>
    <row r="27" spans="1:11" ht="11.25" customHeight="1" x14ac:dyDescent="0.3"/>
    <row r="28" spans="1:11" ht="18.399999999999999" thickBot="1" x14ac:dyDescent="0.55000000000000004">
      <c r="D28" s="48" t="str">
        <f>D8</f>
        <v>2.3.4 - AUGEX  - TOTAL EXPENDITURE</v>
      </c>
      <c r="E28" s="49"/>
      <c r="F28" s="49"/>
      <c r="G28" s="49"/>
      <c r="H28" s="49"/>
      <c r="I28" s="49"/>
      <c r="J28" s="49"/>
      <c r="K28" s="49"/>
    </row>
    <row r="29" spans="1:11" ht="32.65" customHeight="1" thickBot="1" x14ac:dyDescent="0.35">
      <c r="D29"/>
      <c r="E29" s="1045" t="s">
        <v>409</v>
      </c>
      <c r="F29" s="1046"/>
      <c r="G29" s="1046"/>
      <c r="H29" s="1046"/>
      <c r="I29" s="1046"/>
      <c r="J29" s="1046"/>
      <c r="K29" s="1047"/>
    </row>
    <row r="30" spans="1:11" ht="13.5" thickBot="1" x14ac:dyDescent="0.35">
      <c r="D30"/>
      <c r="E30" s="417" t="str">
        <f>'WkB_1_2.1.1'!$E$10</f>
        <v>2022-23</v>
      </c>
      <c r="F30" s="418" t="str">
        <f>'WkB_1_2.1.1'!$F$10</f>
        <v>2023-24</v>
      </c>
      <c r="G30" s="419" t="str">
        <f>'WkB_1_2.1.1'!$G$10</f>
        <v>2024-25</v>
      </c>
      <c r="H30" s="420" t="str">
        <f>'WkB_1_2.1.1'!$H$10</f>
        <v>2025-26</v>
      </c>
      <c r="I30" s="420" t="str">
        <f>'WkB_1_2.1.1'!$I$10</f>
        <v>2026-27</v>
      </c>
      <c r="J30" s="420" t="str">
        <f>'WkB_1_2.1.1'!$J$10</f>
        <v>2027-28</v>
      </c>
      <c r="K30" s="421" t="str">
        <f>'WkB_1_2.1.1'!$K$10</f>
        <v>2028-29</v>
      </c>
    </row>
    <row r="31" spans="1:11" ht="14.25" x14ac:dyDescent="0.45">
      <c r="D31" s="50" t="str">
        <f t="shared" ref="D31:D39" si="3">D11</f>
        <v>Subtransmission Substations, Switching Stations, Zone Substations</v>
      </c>
      <c r="E31" s="51">
        <v>2802799.9999999995</v>
      </c>
      <c r="F31" s="52">
        <v>5060000.0000000009</v>
      </c>
      <c r="G31" s="51">
        <v>4520000</v>
      </c>
      <c r="H31" s="53">
        <v>1520000</v>
      </c>
      <c r="I31" s="53">
        <v>620000</v>
      </c>
      <c r="J31" s="53">
        <v>620000</v>
      </c>
      <c r="K31" s="52">
        <v>620000</v>
      </c>
    </row>
    <row r="32" spans="1:11" ht="14.25" x14ac:dyDescent="0.45">
      <c r="D32" s="54" t="str">
        <f t="shared" si="3"/>
        <v>Subtransmission Lines</v>
      </c>
      <c r="E32" s="55">
        <v>687050.92403355381</v>
      </c>
      <c r="F32" s="56">
        <v>1400000</v>
      </c>
      <c r="G32" s="55">
        <v>960000.00000000012</v>
      </c>
      <c r="H32" s="57">
        <v>960000.00000000012</v>
      </c>
      <c r="I32" s="57">
        <v>960000.00000000012</v>
      </c>
      <c r="J32" s="57">
        <v>960000.00000000012</v>
      </c>
      <c r="K32" s="56">
        <v>960000.00000000012</v>
      </c>
    </row>
    <row r="33" spans="1:11" ht="14.25" x14ac:dyDescent="0.45">
      <c r="D33" s="54" t="str">
        <f t="shared" si="3"/>
        <v>HV Feeders</v>
      </c>
      <c r="E33" s="55">
        <v>1011238.3567132319</v>
      </c>
      <c r="F33" s="56">
        <v>4324100.9588976093</v>
      </c>
      <c r="G33" s="55">
        <v>1178357.1489963077</v>
      </c>
      <c r="H33" s="57">
        <v>1178357.1489963077</v>
      </c>
      <c r="I33" s="57">
        <v>1178357.1489963077</v>
      </c>
      <c r="J33" s="57">
        <v>1178357.1489963077</v>
      </c>
      <c r="K33" s="56">
        <v>1178357.1489963077</v>
      </c>
    </row>
    <row r="34" spans="1:11" ht="14.25" x14ac:dyDescent="0.45">
      <c r="D34" s="54" t="str">
        <f t="shared" si="3"/>
        <v>HV Feeders - Land Purchases and Easements</v>
      </c>
      <c r="E34" s="55">
        <v>41203.711259778138</v>
      </c>
      <c r="F34" s="56">
        <v>82407.422519556276</v>
      </c>
      <c r="G34" s="55">
        <v>82407.422519556276</v>
      </c>
      <c r="H34" s="57">
        <v>82407.422519556276</v>
      </c>
      <c r="I34" s="57">
        <v>82407.422519556276</v>
      </c>
      <c r="J34" s="57">
        <v>82407.422519556276</v>
      </c>
      <c r="K34" s="56">
        <v>82407.422519556276</v>
      </c>
    </row>
    <row r="35" spans="1:11" ht="14.25" x14ac:dyDescent="0.45">
      <c r="D35" s="54" t="str">
        <f t="shared" si="3"/>
        <v>Distribution Substations</v>
      </c>
      <c r="E35" s="55">
        <v>55959.646937691628</v>
      </c>
      <c r="F35" s="56">
        <v>55959.646937691628</v>
      </c>
      <c r="G35" s="55">
        <v>202554.67774966208</v>
      </c>
      <c r="H35" s="57">
        <v>202554.67774966208</v>
      </c>
      <c r="I35" s="57">
        <v>202554.67774966208</v>
      </c>
      <c r="J35" s="57">
        <v>202554.67774966208</v>
      </c>
      <c r="K35" s="56">
        <v>202554.67774966208</v>
      </c>
    </row>
    <row r="36" spans="1:11" ht="14.25" x14ac:dyDescent="0.45">
      <c r="D36" s="54" t="str">
        <f t="shared" si="3"/>
        <v>Distribution Substations - Land Purchases and Easements</v>
      </c>
      <c r="E36" s="55">
        <v>0</v>
      </c>
      <c r="F36" s="56">
        <v>0</v>
      </c>
      <c r="G36" s="55">
        <v>0</v>
      </c>
      <c r="H36" s="57">
        <v>0</v>
      </c>
      <c r="I36" s="57">
        <v>0</v>
      </c>
      <c r="J36" s="57">
        <v>0</v>
      </c>
      <c r="K36" s="56">
        <v>0</v>
      </c>
    </row>
    <row r="37" spans="1:11" ht="14.25" x14ac:dyDescent="0.45">
      <c r="D37" s="54" t="str">
        <f t="shared" si="3"/>
        <v>LV Feeders</v>
      </c>
      <c r="E37" s="55">
        <v>960232.81708111917</v>
      </c>
      <c r="F37" s="56">
        <v>961841.34444229864</v>
      </c>
      <c r="G37" s="55">
        <v>974102.32620151236</v>
      </c>
      <c r="H37" s="57">
        <v>974102.32620151236</v>
      </c>
      <c r="I37" s="57">
        <v>974102.32620151236</v>
      </c>
      <c r="J37" s="57">
        <v>974102.32620151236</v>
      </c>
      <c r="K37" s="56">
        <v>974102.32620151236</v>
      </c>
    </row>
    <row r="38" spans="1:11" ht="14.25" x14ac:dyDescent="0.45">
      <c r="D38" s="54" t="str">
        <f t="shared" si="3"/>
        <v>LV Feeders - Land Purchases and Easements</v>
      </c>
      <c r="E38" s="55">
        <v>0</v>
      </c>
      <c r="F38" s="56">
        <v>0</v>
      </c>
      <c r="G38" s="55">
        <v>0</v>
      </c>
      <c r="H38" s="57">
        <v>0</v>
      </c>
      <c r="I38" s="57">
        <v>0</v>
      </c>
      <c r="J38" s="57">
        <v>0</v>
      </c>
      <c r="K38" s="56">
        <v>0</v>
      </c>
    </row>
    <row r="39" spans="1:11" ht="14.65" thickBot="1" x14ac:dyDescent="0.5">
      <c r="D39" s="54" t="str">
        <f t="shared" si="3"/>
        <v>Other Assets</v>
      </c>
      <c r="E39" s="55">
        <v>199539.61102246208</v>
      </c>
      <c r="F39" s="56">
        <v>273901.87321352091</v>
      </c>
      <c r="G39" s="55">
        <v>567542.34891655797</v>
      </c>
      <c r="H39" s="57">
        <v>447542.34891655797</v>
      </c>
      <c r="I39" s="57">
        <v>2391504.3489165576</v>
      </c>
      <c r="J39" s="57">
        <v>717542.34891655797</v>
      </c>
      <c r="K39" s="56">
        <v>317542.34891655797</v>
      </c>
    </row>
    <row r="40" spans="1:11" ht="11.25" customHeight="1" thickBot="1" x14ac:dyDescent="0.35">
      <c r="D40" s="58" t="s">
        <v>81</v>
      </c>
      <c r="E40" s="59">
        <f t="shared" ref="E40:K40" si="4">SUM(E31:E39)</f>
        <v>5758025.0670478363</v>
      </c>
      <c r="F40" s="59">
        <f t="shared" si="4"/>
        <v>12158211.246010678</v>
      </c>
      <c r="G40" s="59">
        <f t="shared" si="4"/>
        <v>8484963.9243835956</v>
      </c>
      <c r="H40" s="59">
        <f t="shared" si="4"/>
        <v>5364963.9243835956</v>
      </c>
      <c r="I40" s="59">
        <f t="shared" si="4"/>
        <v>6408925.9243835956</v>
      </c>
      <c r="J40" s="59">
        <f t="shared" si="4"/>
        <v>4734963.9243835965</v>
      </c>
      <c r="K40" s="60">
        <f t="shared" si="4"/>
        <v>4334963.9243835965</v>
      </c>
    </row>
    <row r="41" spans="1:11" ht="11.25" customHeight="1" x14ac:dyDescent="0.3"/>
    <row r="42" spans="1:11" ht="12.75" x14ac:dyDescent="0.3">
      <c r="A42" s="41"/>
      <c r="D42" s="6" t="str">
        <f>'WkB_1_2.3.3'!D$42</f>
        <v>Capex Model - Augex - Direct Unescalated (Real 2024)</v>
      </c>
      <c r="E42" s="118">
        <f>'WkB_1_2.3.3'!E$42</f>
        <v>6510944.424815014</v>
      </c>
      <c r="F42" s="119">
        <f>'WkB_1_2.3.3'!F$42</f>
        <v>13748018.948539032</v>
      </c>
      <c r="G42" s="120">
        <f>'WkB_1_2.3.3'!G$42</f>
        <v>9594457.8071359936</v>
      </c>
      <c r="H42" s="118">
        <f>'WkB_1_2.3.3'!H$42</f>
        <v>6066486.6071359944</v>
      </c>
      <c r="I42" s="118">
        <f>'WkB_1_2.3.3'!I$42</f>
        <v>7246957.0782559952</v>
      </c>
      <c r="J42" s="118">
        <f>'WkB_1_2.3.3'!J$42</f>
        <v>5354107.8071359955</v>
      </c>
      <c r="K42" s="118">
        <f>'WkB_1_2.3.3'!K$42</f>
        <v>4901803.8071359955</v>
      </c>
    </row>
    <row r="43" spans="1:11" ht="12.75" x14ac:dyDescent="0.3">
      <c r="A43" s="41"/>
      <c r="D43" s="6" t="str">
        <f>'WkB_1_2.3.3'!D$43</f>
        <v>Capex Model - Augex - Direct escalated (Real 2024)</v>
      </c>
      <c r="E43" s="118">
        <f>'WkB_1_2.3.3'!E$43</f>
        <v>6380278.963221469</v>
      </c>
      <c r="F43" s="119">
        <f>'WkB_1_2.3.3'!F$43</f>
        <v>13453934.716456933</v>
      </c>
      <c r="G43" s="120">
        <f>'WkB_1_2.3.3'!G$43</f>
        <v>9485176.2563105691</v>
      </c>
      <c r="H43" s="118">
        <f>'WkB_1_2.3.3'!H$43</f>
        <v>6067060.6457375083</v>
      </c>
      <c r="I43" s="118">
        <f>'WkB_1_2.3.3'!I$43</f>
        <v>7288674.2628427306</v>
      </c>
      <c r="J43" s="118">
        <f>'WkB_1_2.3.3'!J$43</f>
        <v>5401536.1146545578</v>
      </c>
      <c r="K43" s="118">
        <f>'WkB_1_2.3.3'!K$43</f>
        <v>4972602.083693523</v>
      </c>
    </row>
    <row r="44" spans="1:11" ht="12.75" x14ac:dyDescent="0.3">
      <c r="A44" s="41"/>
      <c r="D44" s="6" t="str">
        <f>'WkB_1_2.3.3'!D$44</f>
        <v>Augex - Escalated factor</v>
      </c>
      <c r="E44" s="483">
        <f>'WkB_1_2.3.3'!E$44</f>
        <v>0.97993141193226241</v>
      </c>
      <c r="F44" s="484">
        <f>'WkB_1_2.3.3'!F$44</f>
        <v>0.97860897390504753</v>
      </c>
      <c r="G44" s="485">
        <f>'WkB_1_2.3.3'!G$44</f>
        <v>0.98860992950074311</v>
      </c>
      <c r="H44" s="483">
        <f>'WkB_1_2.3.3'!H$44</f>
        <v>1.0000946245559725</v>
      </c>
      <c r="I44" s="483">
        <f>'WkB_1_2.3.3'!I$44</f>
        <v>1.0057565105100326</v>
      </c>
      <c r="J44" s="483">
        <f>'WkB_1_2.3.3'!J$44</f>
        <v>1.0088583026765634</v>
      </c>
      <c r="K44" s="483">
        <f>'WkB_1_2.3.3'!K$44</f>
        <v>1.0144433109408542</v>
      </c>
    </row>
    <row r="45" spans="1:11" ht="11.25" customHeight="1" x14ac:dyDescent="0.3"/>
    <row r="46" spans="1:11" ht="11.25" customHeight="1" x14ac:dyDescent="0.3">
      <c r="D46" s="6" t="str">
        <f>'WkB_1_2.2.1'!D$375</f>
        <v>Capex Model Real 2022 to Real 2024</v>
      </c>
      <c r="E46" s="483">
        <f>'WkB_1_2.2.1'!G$375</f>
        <v>1.13076</v>
      </c>
      <c r="F46" s="484">
        <f>'WkB_1_2.2.1'!H$375</f>
        <v>1.13076</v>
      </c>
      <c r="G46" s="485">
        <f>'WkB_1_2.2.1'!I$375</f>
        <v>1.13076</v>
      </c>
      <c r="H46" s="483">
        <f>'WkB_1_2.2.1'!J$375</f>
        <v>1.13076</v>
      </c>
      <c r="I46" s="483">
        <f>'WkB_1_2.2.1'!K$375</f>
        <v>1.13076</v>
      </c>
      <c r="J46" s="483">
        <f>'WkB_1_2.2.1'!L$375</f>
        <v>1.13076</v>
      </c>
      <c r="K46" s="483">
        <f>'WkB_1_2.2.1'!M$375</f>
        <v>1.13076</v>
      </c>
    </row>
    <row r="47" spans="1:11" ht="11.25" customHeight="1" x14ac:dyDescent="0.3"/>
    <row r="48" spans="1:11" ht="11.25" customHeight="1" x14ac:dyDescent="0.3">
      <c r="D48" s="6" t="s">
        <v>83</v>
      </c>
      <c r="E48" s="115">
        <v>5758025.0670478363</v>
      </c>
      <c r="F48" s="116">
        <v>12158211.24601068</v>
      </c>
      <c r="G48" s="117">
        <v>8484963.9243835956</v>
      </c>
      <c r="H48" s="115">
        <v>5364963.9243835965</v>
      </c>
      <c r="I48" s="115">
        <v>6408925.9243835956</v>
      </c>
      <c r="J48" s="115">
        <v>4734963.9243835956</v>
      </c>
      <c r="K48" s="115">
        <v>4334963.9243835965</v>
      </c>
    </row>
    <row r="49" spans="2:2" ht="11.25" customHeight="1" x14ac:dyDescent="0.3"/>
    <row r="50" spans="2:2" s="46" customFormat="1" ht="15" x14ac:dyDescent="0.3">
      <c r="B50" s="46" t="s">
        <v>16</v>
      </c>
    </row>
  </sheetData>
  <mergeCells count="2">
    <mergeCell ref="E9:K9"/>
    <mergeCell ref="E29:K29"/>
  </mergeCells>
  <conditionalFormatting sqref="B3">
    <cfRule type="cellIs" dxfId="878" priority="3" operator="notEqual">
      <formula>"No Errors Found"</formula>
    </cfRule>
  </conditionalFormatting>
  <conditionalFormatting sqref="K11:K19">
    <cfRule type="expression" dxfId="877" priority="2">
      <formula>(dms_FRCPlength_Num)&lt;5</formula>
    </cfRule>
  </conditionalFormatting>
  <conditionalFormatting sqref="K31:K39">
    <cfRule type="expression" dxfId="876" priority="1">
      <formula>(dms_FRCPlength_Num)&lt;5</formula>
    </cfRule>
  </conditionalFormatting>
  <hyperlinks>
    <hyperlink ref="B2:E2" location="TOC!A1" display="TOC!A1" xr:uid="{6E52C0BB-F247-4067-9EFF-0375F7DFCDD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09BD-FB67-4B8A-885E-F3F52094C21C}">
  <sheetPr codeName="Sheet15">
    <tabColor theme="4" tint="0.79998168889431442"/>
  </sheetPr>
  <dimension ref="A1:K34"/>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72.6640625" style="45" customWidth="1"/>
    <col min="5" max="11" width="15.6640625" style="45" customWidth="1"/>
    <col min="12" max="12" width="12.33203125" style="45" customWidth="1"/>
    <col min="13" max="13" width="16" style="45" customWidth="1"/>
    <col min="14" max="31" width="10.6640625" style="45" customWidth="1"/>
    <col min="32" max="16384" width="9.33203125" style="45"/>
  </cols>
  <sheetData>
    <row r="1" spans="1:11" ht="18.75" x14ac:dyDescent="0.3">
      <c r="A1" s="41">
        <f>IF(SUM($A3:$A34)&gt;0,1,0)</f>
        <v>0</v>
      </c>
      <c r="B1" s="3" t="s">
        <v>1088</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423</v>
      </c>
      <c r="E8" s="49"/>
      <c r="F8" s="49"/>
      <c r="G8" s="49"/>
      <c r="H8" s="49"/>
      <c r="I8" s="49"/>
      <c r="J8" s="49"/>
      <c r="K8" s="49"/>
    </row>
    <row r="9" spans="1:11" ht="30" customHeight="1" thickBot="1" x14ac:dyDescent="0.35">
      <c r="D9"/>
      <c r="E9" s="1045" t="str">
        <f>'WkB_1_2.1.1'!$E$9</f>
        <v>Forecast 
($0's. real June 2024)</v>
      </c>
      <c r="F9" s="1046"/>
      <c r="G9" s="1046"/>
      <c r="H9" s="1046"/>
      <c r="I9" s="1046"/>
      <c r="J9" s="1046"/>
      <c r="K9" s="1047"/>
    </row>
    <row r="10" spans="1:11" ht="13.5"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50" t="s">
        <v>424</v>
      </c>
      <c r="E11" s="51">
        <f>E24*E$30*E$32</f>
        <v>365662.19030765328</v>
      </c>
      <c r="F11" s="52">
        <f t="shared" ref="F11:K11" si="0">F24*F$30*F$32</f>
        <v>3983658.7799983378</v>
      </c>
      <c r="G11" s="51">
        <f t="shared" si="0"/>
        <v>0</v>
      </c>
      <c r="H11" s="53">
        <f t="shared" si="0"/>
        <v>0</v>
      </c>
      <c r="I11" s="53">
        <f t="shared" si="0"/>
        <v>0</v>
      </c>
      <c r="J11" s="53">
        <f t="shared" si="0"/>
        <v>0</v>
      </c>
      <c r="K11" s="52">
        <f t="shared" si="0"/>
        <v>0</v>
      </c>
    </row>
    <row r="12" spans="1:11" ht="14.65" thickBot="1" x14ac:dyDescent="0.5">
      <c r="D12" s="54" t="s">
        <v>425</v>
      </c>
      <c r="E12" s="55">
        <f t="shared" ref="E12:K12" si="1">E25*E$30*E$32</f>
        <v>6014616.7729138127</v>
      </c>
      <c r="F12" s="56">
        <f t="shared" si="1"/>
        <v>9470275.9364585951</v>
      </c>
      <c r="G12" s="55">
        <f t="shared" si="1"/>
        <v>9485176.256310571</v>
      </c>
      <c r="H12" s="57">
        <f t="shared" si="1"/>
        <v>6067060.6457375092</v>
      </c>
      <c r="I12" s="57">
        <f t="shared" si="1"/>
        <v>7288674.2628427306</v>
      </c>
      <c r="J12" s="57">
        <f t="shared" si="1"/>
        <v>5401536.1146545568</v>
      </c>
      <c r="K12" s="56">
        <f t="shared" si="1"/>
        <v>4972602.0836935239</v>
      </c>
    </row>
    <row r="13" spans="1:11" ht="13.5" thickBot="1" x14ac:dyDescent="0.35">
      <c r="D13" s="58" t="s">
        <v>81</v>
      </c>
      <c r="E13" s="59">
        <f t="shared" ref="E13:K13" si="2">SUM(E11:E12)</f>
        <v>6380278.9632214662</v>
      </c>
      <c r="F13" s="59">
        <f t="shared" si="2"/>
        <v>13453934.716456933</v>
      </c>
      <c r="G13" s="59">
        <f t="shared" si="2"/>
        <v>9485176.256310571</v>
      </c>
      <c r="H13" s="59">
        <f t="shared" si="2"/>
        <v>6067060.6457375092</v>
      </c>
      <c r="I13" s="59">
        <f t="shared" si="2"/>
        <v>7288674.2628427306</v>
      </c>
      <c r="J13" s="59">
        <f t="shared" si="2"/>
        <v>5401536.1146545568</v>
      </c>
      <c r="K13" s="60">
        <f t="shared" si="2"/>
        <v>4972602.0836935239</v>
      </c>
    </row>
    <row r="15" spans="1:11" ht="12.75" x14ac:dyDescent="0.3">
      <c r="D15" s="6" t="s">
        <v>83</v>
      </c>
      <c r="E15" s="118">
        <f>'WkB_1_2.1.1'!E13</f>
        <v>6380278.963221469</v>
      </c>
      <c r="F15" s="119">
        <f>'WkB_1_2.1.1'!F13</f>
        <v>13453934.716456933</v>
      </c>
      <c r="G15" s="120">
        <f>'WkB_1_2.1.1'!G13</f>
        <v>9485176.2563105691</v>
      </c>
      <c r="H15" s="118">
        <f>'WkB_1_2.1.1'!H13</f>
        <v>6067060.6457375083</v>
      </c>
      <c r="I15" s="118">
        <f>'WkB_1_2.1.1'!I13</f>
        <v>7288674.2628427306</v>
      </c>
      <c r="J15" s="118">
        <f>'WkB_1_2.1.1'!J13</f>
        <v>5401536.1146545578</v>
      </c>
      <c r="K15" s="118">
        <f>'WkB_1_2.1.1'!K13</f>
        <v>4972602.083693523</v>
      </c>
    </row>
    <row r="16" spans="1:11" ht="12.75" x14ac:dyDescent="0.3">
      <c r="D16" s="6" t="s">
        <v>695</v>
      </c>
      <c r="E16" s="115">
        <v>6380278.9632214662</v>
      </c>
      <c r="F16" s="116">
        <v>13453934.716456933</v>
      </c>
      <c r="G16" s="117">
        <v>9485176.256310571</v>
      </c>
      <c r="H16" s="115">
        <v>6067060.6457375092</v>
      </c>
      <c r="I16" s="115">
        <v>7288674.2628427306</v>
      </c>
      <c r="J16" s="115">
        <v>5401536.1146545568</v>
      </c>
      <c r="K16" s="115">
        <v>4972602.0836935239</v>
      </c>
    </row>
    <row r="17" spans="1:11" ht="12.75" x14ac:dyDescent="0.3">
      <c r="A17" s="41">
        <f>IF(SUM($E17:$K17)&gt;0,1,0)</f>
        <v>0</v>
      </c>
      <c r="D17" s="6" t="s">
        <v>84</v>
      </c>
      <c r="E17" s="62">
        <f>IF(OR(ROUND(E13-E15,3)&lt;&gt;0,ROUND(E13-E16,3)&lt;&gt;0),1,0)</f>
        <v>0</v>
      </c>
      <c r="F17" s="62">
        <f t="shared" ref="F17:K17" si="3">IF(OR(ROUND(F13-F15,3)&lt;&gt;0,ROUND(F13-F16,3)&lt;&gt;0),1,0)</f>
        <v>0</v>
      </c>
      <c r="G17" s="62">
        <f t="shared" si="3"/>
        <v>0</v>
      </c>
      <c r="H17" s="62">
        <f t="shared" si="3"/>
        <v>0</v>
      </c>
      <c r="I17" s="62">
        <f t="shared" si="3"/>
        <v>0</v>
      </c>
      <c r="J17" s="62">
        <f t="shared" si="3"/>
        <v>0</v>
      </c>
      <c r="K17" s="62">
        <f t="shared" si="3"/>
        <v>0</v>
      </c>
    </row>
    <row r="18" spans="1:11" ht="11.25" customHeight="1" x14ac:dyDescent="0.3"/>
    <row r="19" spans="1:11" s="7" customFormat="1" ht="13.9" x14ac:dyDescent="0.3">
      <c r="C19" s="7" t="s">
        <v>652</v>
      </c>
    </row>
    <row r="20" spans="1:11" ht="11.25" customHeight="1" x14ac:dyDescent="0.3"/>
    <row r="21" spans="1:11" ht="18.399999999999999" thickBot="1" x14ac:dyDescent="0.55000000000000004">
      <c r="D21" s="48" t="str">
        <f>D8</f>
        <v>2.3.5 - AUGEX - BY DRIVER</v>
      </c>
      <c r="E21" s="49"/>
      <c r="F21" s="49"/>
      <c r="G21" s="49"/>
      <c r="H21" s="49"/>
      <c r="I21" s="49"/>
      <c r="J21" s="49"/>
      <c r="K21" s="49"/>
    </row>
    <row r="22" spans="1:11" ht="25.5" customHeight="1" thickBot="1" x14ac:dyDescent="0.35">
      <c r="D22"/>
      <c r="E22" s="1045" t="s">
        <v>409</v>
      </c>
      <c r="F22" s="1046"/>
      <c r="G22" s="1046"/>
      <c r="H22" s="1046"/>
      <c r="I22" s="1046"/>
      <c r="J22" s="1046"/>
      <c r="K22" s="1047"/>
    </row>
    <row r="23" spans="1:11" ht="13.5" thickBot="1" x14ac:dyDescent="0.35">
      <c r="D23"/>
      <c r="E23" s="417" t="str">
        <f>'WkB_1_2.1.1'!$E$10</f>
        <v>2022-23</v>
      </c>
      <c r="F23" s="418" t="str">
        <f>'WkB_1_2.1.1'!$F$10</f>
        <v>2023-24</v>
      </c>
      <c r="G23" s="419" t="str">
        <f>'WkB_1_2.1.1'!$G$10</f>
        <v>2024-25</v>
      </c>
      <c r="H23" s="420" t="str">
        <f>'WkB_1_2.1.1'!$H$10</f>
        <v>2025-26</v>
      </c>
      <c r="I23" s="420" t="str">
        <f>'WkB_1_2.1.1'!$I$10</f>
        <v>2026-27</v>
      </c>
      <c r="J23" s="420" t="str">
        <f>'WkB_1_2.1.1'!$J$10</f>
        <v>2027-28</v>
      </c>
      <c r="K23" s="421" t="str">
        <f>'WkB_1_2.1.1'!$K$10</f>
        <v>2028-29</v>
      </c>
    </row>
    <row r="24" spans="1:11" ht="14.25" x14ac:dyDescent="0.45">
      <c r="D24" s="50" t="str">
        <f>D11</f>
        <v>"Greenfield" driven augex (network expansion capex)</v>
      </c>
      <c r="E24" s="51">
        <v>330000</v>
      </c>
      <c r="F24" s="52">
        <v>3600000</v>
      </c>
      <c r="G24" s="51">
        <v>0</v>
      </c>
      <c r="H24" s="53">
        <v>0</v>
      </c>
      <c r="I24" s="53">
        <v>0</v>
      </c>
      <c r="J24" s="53">
        <v>0</v>
      </c>
      <c r="K24" s="52">
        <v>0</v>
      </c>
    </row>
    <row r="25" spans="1:11" ht="14.65" thickBot="1" x14ac:dyDescent="0.5">
      <c r="D25" s="54" t="str">
        <f>D12</f>
        <v>Reinforcement driven augex (augmentation of the existing network)</v>
      </c>
      <c r="E25" s="55">
        <v>5428025.0670478363</v>
      </c>
      <c r="F25" s="56">
        <v>8558211.246010676</v>
      </c>
      <c r="G25" s="55">
        <v>8484963.9243835956</v>
      </c>
      <c r="H25" s="57">
        <v>5364963.9243835965</v>
      </c>
      <c r="I25" s="57">
        <v>6408925.9243835965</v>
      </c>
      <c r="J25" s="57">
        <v>4734963.9243835956</v>
      </c>
      <c r="K25" s="56">
        <v>4334963.9243835965</v>
      </c>
    </row>
    <row r="26" spans="1:11" ht="13.5" thickBot="1" x14ac:dyDescent="0.35">
      <c r="D26" s="58" t="s">
        <v>81</v>
      </c>
      <c r="E26" s="59">
        <f t="shared" ref="E26:K26" si="4">SUM(E24:E25)</f>
        <v>5758025.0670478363</v>
      </c>
      <c r="F26" s="59">
        <f t="shared" si="4"/>
        <v>12158211.246010676</v>
      </c>
      <c r="G26" s="59">
        <f t="shared" si="4"/>
        <v>8484963.9243835956</v>
      </c>
      <c r="H26" s="59">
        <f t="shared" si="4"/>
        <v>5364963.9243835965</v>
      </c>
      <c r="I26" s="59">
        <f t="shared" si="4"/>
        <v>6408925.9243835965</v>
      </c>
      <c r="J26" s="59">
        <f t="shared" si="4"/>
        <v>4734963.9243835956</v>
      </c>
      <c r="K26" s="60">
        <f t="shared" si="4"/>
        <v>4334963.9243835965</v>
      </c>
    </row>
    <row r="28" spans="1:11" ht="12.75" x14ac:dyDescent="0.3">
      <c r="A28" s="41"/>
      <c r="D28" s="6" t="s">
        <v>410</v>
      </c>
      <c r="E28" s="118">
        <f>'WkB_1_2.3.3'!E42</f>
        <v>6510944.424815014</v>
      </c>
      <c r="F28" s="119">
        <f>'WkB_1_2.3.3'!F42</f>
        <v>13748018.948539032</v>
      </c>
      <c r="G28" s="120">
        <f>'WkB_1_2.3.3'!G42</f>
        <v>9594457.8071359936</v>
      </c>
      <c r="H28" s="118">
        <f>'WkB_1_2.3.3'!H42</f>
        <v>6066486.6071359944</v>
      </c>
      <c r="I28" s="118">
        <f>'WkB_1_2.3.3'!I42</f>
        <v>7246957.0782559952</v>
      </c>
      <c r="J28" s="118">
        <f>'WkB_1_2.3.3'!J42</f>
        <v>5354107.8071359955</v>
      </c>
      <c r="K28" s="118">
        <f>'WkB_1_2.3.3'!K42</f>
        <v>4901803.8071359955</v>
      </c>
    </row>
    <row r="29" spans="1:11" ht="12.75" x14ac:dyDescent="0.3">
      <c r="A29" s="41"/>
      <c r="D29" s="6" t="s">
        <v>411</v>
      </c>
      <c r="E29" s="118">
        <f>'WkB_1_2.3.3'!E43</f>
        <v>6380278.963221469</v>
      </c>
      <c r="F29" s="119">
        <f>'WkB_1_2.3.3'!F43</f>
        <v>13453934.716456933</v>
      </c>
      <c r="G29" s="120">
        <f>'WkB_1_2.3.3'!G43</f>
        <v>9485176.2563105691</v>
      </c>
      <c r="H29" s="118">
        <f>'WkB_1_2.3.3'!H43</f>
        <v>6067060.6457375083</v>
      </c>
      <c r="I29" s="118">
        <f>'WkB_1_2.3.3'!I43</f>
        <v>7288674.2628427306</v>
      </c>
      <c r="J29" s="118">
        <f>'WkB_1_2.3.3'!J43</f>
        <v>5401536.1146545578</v>
      </c>
      <c r="K29" s="118">
        <f>'WkB_1_2.3.3'!K43</f>
        <v>4972602.083693523</v>
      </c>
    </row>
    <row r="30" spans="1:11" ht="12.75" x14ac:dyDescent="0.3">
      <c r="A30" s="41"/>
      <c r="D30" s="6" t="s">
        <v>412</v>
      </c>
      <c r="E30" s="483">
        <f>'WkB_1_2.3.3'!E44</f>
        <v>0.97993141193226241</v>
      </c>
      <c r="F30" s="484">
        <f>'WkB_1_2.3.3'!F44</f>
        <v>0.97860897390504753</v>
      </c>
      <c r="G30" s="485">
        <f>'WkB_1_2.3.3'!G44</f>
        <v>0.98860992950074311</v>
      </c>
      <c r="H30" s="483">
        <f>'WkB_1_2.3.3'!H44</f>
        <v>1.0000946245559725</v>
      </c>
      <c r="I30" s="483">
        <f>'WkB_1_2.3.3'!I44</f>
        <v>1.0057565105100326</v>
      </c>
      <c r="J30" s="483">
        <f>'WkB_1_2.3.3'!J44</f>
        <v>1.0088583026765634</v>
      </c>
      <c r="K30" s="483">
        <f>'WkB_1_2.3.3'!K44</f>
        <v>1.0144433109408542</v>
      </c>
    </row>
    <row r="31" spans="1:11" ht="11.25" customHeight="1" x14ac:dyDescent="0.3"/>
    <row r="32" spans="1:11" ht="12.75" x14ac:dyDescent="0.3">
      <c r="A32" s="41"/>
      <c r="D32" s="6" t="str">
        <f>'WkB_1_2.3.3'!D46</f>
        <v>Capex Model Real 2022 to Real 2024</v>
      </c>
      <c r="E32" s="483">
        <f>'WkB_1_2.3.3'!E46</f>
        <v>1.13076</v>
      </c>
      <c r="F32" s="484">
        <f>'WkB_1_2.3.3'!F46</f>
        <v>1.13076</v>
      </c>
      <c r="G32" s="485">
        <f>'WkB_1_2.3.3'!G46</f>
        <v>1.13076</v>
      </c>
      <c r="H32" s="483">
        <f>'WkB_1_2.3.3'!H46</f>
        <v>1.13076</v>
      </c>
      <c r="I32" s="483">
        <f>'WkB_1_2.3.3'!I46</f>
        <v>1.13076</v>
      </c>
      <c r="J32" s="483">
        <f>'WkB_1_2.3.3'!J46</f>
        <v>1.13076</v>
      </c>
      <c r="K32" s="483">
        <f>'WkB_1_2.3.3'!K46</f>
        <v>1.13076</v>
      </c>
    </row>
    <row r="33" spans="2:2" ht="11.25" customHeight="1" x14ac:dyDescent="0.3"/>
    <row r="34" spans="2:2" s="46" customFormat="1" ht="15" x14ac:dyDescent="0.3">
      <c r="B34" s="46" t="s">
        <v>16</v>
      </c>
    </row>
  </sheetData>
  <mergeCells count="2">
    <mergeCell ref="E9:K9"/>
    <mergeCell ref="E22:K22"/>
  </mergeCells>
  <conditionalFormatting sqref="B3">
    <cfRule type="cellIs" dxfId="875" priority="3" operator="notEqual">
      <formula>"No Errors Found"</formula>
    </cfRule>
  </conditionalFormatting>
  <conditionalFormatting sqref="K11:K12 K24:K25">
    <cfRule type="expression" dxfId="874" priority="2">
      <formula>(dms_FRCPlength_Num)&lt;5</formula>
    </cfRule>
  </conditionalFormatting>
  <hyperlinks>
    <hyperlink ref="B2:E2" location="TOC!A1" display="TOC!A1" xr:uid="{D6D03260-BA6E-4890-92DE-8FD238DA6995}"/>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E17E-6F42-43D2-8511-071D05CFB7C4}">
  <sheetPr codeName="Sheet16">
    <tabColor theme="4" tint="0.79998168889431442"/>
  </sheetPr>
  <dimension ref="A1:K48"/>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72.6640625" style="45" customWidth="1"/>
    <col min="5" max="11" width="15.6640625" style="45" customWidth="1"/>
    <col min="12" max="12" width="12.33203125" style="45" customWidth="1"/>
    <col min="13" max="13" width="16" style="45" customWidth="1"/>
    <col min="14" max="31" width="10.6640625" style="45" customWidth="1"/>
    <col min="32" max="16384" width="9.33203125" style="45"/>
  </cols>
  <sheetData>
    <row r="1" spans="1:11" ht="18.75" x14ac:dyDescent="0.3">
      <c r="A1" s="41">
        <f>IF(SUM($A3:$A48)&gt;0,1,0)</f>
        <v>0</v>
      </c>
      <c r="B1" s="3" t="s">
        <v>1089</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426</v>
      </c>
      <c r="E8" s="49"/>
      <c r="F8" s="49"/>
      <c r="G8" s="49"/>
      <c r="H8" s="49"/>
      <c r="I8" s="49"/>
      <c r="J8" s="49"/>
      <c r="K8" s="49"/>
    </row>
    <row r="9" spans="1:11" ht="27" customHeight="1" thickBot="1" x14ac:dyDescent="0.35">
      <c r="D9"/>
      <c r="E9" s="1045" t="str">
        <f>'WkB_1_2.1.1'!$E$9</f>
        <v>Forecast 
($0's. real June 2024)</v>
      </c>
      <c r="F9" s="1046"/>
      <c r="G9" s="1046"/>
      <c r="H9" s="1046"/>
      <c r="I9" s="1046"/>
      <c r="J9" s="1046"/>
      <c r="K9" s="1047"/>
    </row>
    <row r="10" spans="1:11" ht="13.5"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50" t="s">
        <v>414</v>
      </c>
      <c r="E11" s="51">
        <f>E31*E$44*E$46</f>
        <v>0</v>
      </c>
      <c r="F11" s="52">
        <f t="shared" ref="F11:K11" si="0">F31*F$44*F$46</f>
        <v>0</v>
      </c>
      <c r="G11" s="51">
        <f t="shared" si="0"/>
        <v>0</v>
      </c>
      <c r="H11" s="53">
        <f t="shared" si="0"/>
        <v>0</v>
      </c>
      <c r="I11" s="53">
        <f t="shared" si="0"/>
        <v>0</v>
      </c>
      <c r="J11" s="53">
        <f t="shared" si="0"/>
        <v>0</v>
      </c>
      <c r="K11" s="52">
        <f t="shared" si="0"/>
        <v>0</v>
      </c>
    </row>
    <row r="12" spans="1:11" ht="14.25" x14ac:dyDescent="0.45">
      <c r="D12" s="54" t="s">
        <v>415</v>
      </c>
      <c r="E12" s="55">
        <f t="shared" ref="E12:K12" si="1">E32*E$44*E$46</f>
        <v>0</v>
      </c>
      <c r="F12" s="56">
        <f t="shared" si="1"/>
        <v>0</v>
      </c>
      <c r="G12" s="55">
        <f t="shared" si="1"/>
        <v>0</v>
      </c>
      <c r="H12" s="57">
        <f t="shared" si="1"/>
        <v>0</v>
      </c>
      <c r="I12" s="57">
        <f t="shared" si="1"/>
        <v>0</v>
      </c>
      <c r="J12" s="57">
        <f t="shared" si="1"/>
        <v>0</v>
      </c>
      <c r="K12" s="56">
        <f t="shared" si="1"/>
        <v>0</v>
      </c>
    </row>
    <row r="13" spans="1:11" ht="14.25" x14ac:dyDescent="0.45">
      <c r="D13" s="54" t="s">
        <v>416</v>
      </c>
      <c r="E13" s="55">
        <f t="shared" ref="E13:K13" si="2">E33*E$44*E$46</f>
        <v>365662.19030765328</v>
      </c>
      <c r="F13" s="56">
        <f t="shared" si="2"/>
        <v>3983658.7799983378</v>
      </c>
      <c r="G13" s="55">
        <f t="shared" si="2"/>
        <v>0</v>
      </c>
      <c r="H13" s="57">
        <f t="shared" si="2"/>
        <v>0</v>
      </c>
      <c r="I13" s="57">
        <f t="shared" si="2"/>
        <v>0</v>
      </c>
      <c r="J13" s="57">
        <f t="shared" si="2"/>
        <v>0</v>
      </c>
      <c r="K13" s="56">
        <f t="shared" si="2"/>
        <v>0</v>
      </c>
    </row>
    <row r="14" spans="1:11" ht="14.25" x14ac:dyDescent="0.45">
      <c r="D14" s="54" t="s">
        <v>417</v>
      </c>
      <c r="E14" s="55">
        <f t="shared" ref="E14:K14" si="3">E34*E$44*E$46</f>
        <v>0</v>
      </c>
      <c r="F14" s="56">
        <f t="shared" si="3"/>
        <v>0</v>
      </c>
      <c r="G14" s="55">
        <f t="shared" si="3"/>
        <v>0</v>
      </c>
      <c r="H14" s="57">
        <f t="shared" si="3"/>
        <v>0</v>
      </c>
      <c r="I14" s="57">
        <f t="shared" si="3"/>
        <v>0</v>
      </c>
      <c r="J14" s="57">
        <f t="shared" si="3"/>
        <v>0</v>
      </c>
      <c r="K14" s="56">
        <f t="shared" si="3"/>
        <v>0</v>
      </c>
    </row>
    <row r="15" spans="1:11" ht="14.25" x14ac:dyDescent="0.45">
      <c r="D15" s="54" t="s">
        <v>418</v>
      </c>
      <c r="E15" s="55">
        <f t="shared" ref="E15:K15" si="4">E35*E$44*E$46</f>
        <v>0</v>
      </c>
      <c r="F15" s="56">
        <f t="shared" si="4"/>
        <v>0</v>
      </c>
      <c r="G15" s="55">
        <f t="shared" si="4"/>
        <v>0</v>
      </c>
      <c r="H15" s="57">
        <f t="shared" si="4"/>
        <v>0</v>
      </c>
      <c r="I15" s="57">
        <f t="shared" si="4"/>
        <v>0</v>
      </c>
      <c r="J15" s="57">
        <f t="shared" si="4"/>
        <v>0</v>
      </c>
      <c r="K15" s="56">
        <f t="shared" si="4"/>
        <v>0</v>
      </c>
    </row>
    <row r="16" spans="1:11" ht="14.25" x14ac:dyDescent="0.45">
      <c r="D16" s="54" t="s">
        <v>419</v>
      </c>
      <c r="E16" s="55">
        <f t="shared" ref="E16:K16" si="5">E36*E$44*E$46</f>
        <v>0</v>
      </c>
      <c r="F16" s="56">
        <f t="shared" si="5"/>
        <v>0</v>
      </c>
      <c r="G16" s="55">
        <f t="shared" si="5"/>
        <v>0</v>
      </c>
      <c r="H16" s="57">
        <f t="shared" si="5"/>
        <v>0</v>
      </c>
      <c r="I16" s="57">
        <f t="shared" si="5"/>
        <v>0</v>
      </c>
      <c r="J16" s="57">
        <f t="shared" si="5"/>
        <v>0</v>
      </c>
      <c r="K16" s="56">
        <f t="shared" si="5"/>
        <v>0</v>
      </c>
    </row>
    <row r="17" spans="1:11" ht="14.25" x14ac:dyDescent="0.45">
      <c r="D17" s="54" t="s">
        <v>420</v>
      </c>
      <c r="E17" s="55">
        <f t="shared" ref="E17:K17" si="6">E37*E$44*E$46</f>
        <v>0</v>
      </c>
      <c r="F17" s="56">
        <f t="shared" si="6"/>
        <v>0</v>
      </c>
      <c r="G17" s="55">
        <f t="shared" si="6"/>
        <v>0</v>
      </c>
      <c r="H17" s="57">
        <f t="shared" si="6"/>
        <v>0</v>
      </c>
      <c r="I17" s="57">
        <f t="shared" si="6"/>
        <v>0</v>
      </c>
      <c r="J17" s="57">
        <f t="shared" si="6"/>
        <v>0</v>
      </c>
      <c r="K17" s="56">
        <f t="shared" si="6"/>
        <v>0</v>
      </c>
    </row>
    <row r="18" spans="1:11" ht="14.25" x14ac:dyDescent="0.45">
      <c r="D18" s="54" t="s">
        <v>421</v>
      </c>
      <c r="E18" s="55">
        <f t="shared" ref="E18:K18" si="7">E38*E$44*E$46</f>
        <v>0</v>
      </c>
      <c r="F18" s="56">
        <f t="shared" si="7"/>
        <v>0</v>
      </c>
      <c r="G18" s="55">
        <f t="shared" si="7"/>
        <v>0</v>
      </c>
      <c r="H18" s="57">
        <f t="shared" si="7"/>
        <v>0</v>
      </c>
      <c r="I18" s="57">
        <f t="shared" si="7"/>
        <v>0</v>
      </c>
      <c r="J18" s="57">
        <f t="shared" si="7"/>
        <v>0</v>
      </c>
      <c r="K18" s="56">
        <f t="shared" si="7"/>
        <v>0</v>
      </c>
    </row>
    <row r="19" spans="1:11" ht="14.65" thickBot="1" x14ac:dyDescent="0.5">
      <c r="D19" s="54" t="s">
        <v>422</v>
      </c>
      <c r="E19" s="55">
        <f t="shared" ref="E19:K19" si="8">E39*E$44*E$46</f>
        <v>0</v>
      </c>
      <c r="F19" s="56">
        <f t="shared" si="8"/>
        <v>0</v>
      </c>
      <c r="G19" s="55">
        <f t="shared" si="8"/>
        <v>0</v>
      </c>
      <c r="H19" s="57">
        <f t="shared" si="8"/>
        <v>0</v>
      </c>
      <c r="I19" s="57">
        <f t="shared" si="8"/>
        <v>0</v>
      </c>
      <c r="J19" s="57">
        <f t="shared" si="8"/>
        <v>0</v>
      </c>
      <c r="K19" s="56">
        <f t="shared" si="8"/>
        <v>0</v>
      </c>
    </row>
    <row r="20" spans="1:11" ht="13.5" thickBot="1" x14ac:dyDescent="0.35">
      <c r="D20" s="58" t="s">
        <v>81</v>
      </c>
      <c r="E20" s="59">
        <f t="shared" ref="E20:K20" si="9">SUM(E11:E19)</f>
        <v>365662.19030765328</v>
      </c>
      <c r="F20" s="59">
        <f t="shared" si="9"/>
        <v>3983658.7799983378</v>
      </c>
      <c r="G20" s="59">
        <f t="shared" si="9"/>
        <v>0</v>
      </c>
      <c r="H20" s="59">
        <f t="shared" si="9"/>
        <v>0</v>
      </c>
      <c r="I20" s="59">
        <f t="shared" si="9"/>
        <v>0</v>
      </c>
      <c r="J20" s="59">
        <f t="shared" si="9"/>
        <v>0</v>
      </c>
      <c r="K20" s="60">
        <f t="shared" si="9"/>
        <v>0</v>
      </c>
    </row>
    <row r="21" spans="1:11" ht="11.25" customHeight="1" x14ac:dyDescent="0.3"/>
    <row r="22" spans="1:11" ht="12.75" x14ac:dyDescent="0.3">
      <c r="D22" s="6" t="s">
        <v>83</v>
      </c>
      <c r="E22" s="118">
        <f>'WkB_1_2.3.5'!E11</f>
        <v>365662.19030765328</v>
      </c>
      <c r="F22" s="119">
        <f>'WkB_1_2.3.5'!F11</f>
        <v>3983658.7799983378</v>
      </c>
      <c r="G22" s="120">
        <f>'WkB_1_2.3.5'!G11</f>
        <v>0</v>
      </c>
      <c r="H22" s="118">
        <f>'WkB_1_2.3.5'!H11</f>
        <v>0</v>
      </c>
      <c r="I22" s="118">
        <f>'WkB_1_2.3.5'!I11</f>
        <v>0</v>
      </c>
      <c r="J22" s="118">
        <f>'WkB_1_2.3.5'!J11</f>
        <v>0</v>
      </c>
      <c r="K22" s="118">
        <f>'WkB_1_2.3.5'!K11</f>
        <v>0</v>
      </c>
    </row>
    <row r="23" spans="1:11" ht="12.75" x14ac:dyDescent="0.3">
      <c r="D23" s="6" t="s">
        <v>695</v>
      </c>
      <c r="E23" s="115">
        <v>365662.19030765328</v>
      </c>
      <c r="F23" s="116">
        <v>3983658.7799983378</v>
      </c>
      <c r="G23" s="117">
        <v>0</v>
      </c>
      <c r="H23" s="115">
        <v>0</v>
      </c>
      <c r="I23" s="115">
        <v>0</v>
      </c>
      <c r="J23" s="115">
        <v>0</v>
      </c>
      <c r="K23" s="115">
        <v>0</v>
      </c>
    </row>
    <row r="24" spans="1:11" ht="12.75" x14ac:dyDescent="0.3">
      <c r="A24" s="41">
        <f>IF(SUM($E24:$K24)&gt;0,1,0)</f>
        <v>0</v>
      </c>
      <c r="D24" s="6" t="s">
        <v>84</v>
      </c>
      <c r="E24" s="62">
        <f>IF(OR(ROUND(E20-E22,3)&lt;&gt;0,ROUND(E20-E23,3)&lt;&gt;0),1,0)</f>
        <v>0</v>
      </c>
      <c r="F24" s="62">
        <f t="shared" ref="F24:K24" si="10">IF(OR(ROUND(F20-F22,3)&lt;&gt;0,ROUND(F20-F23,3)&lt;&gt;0),1,0)</f>
        <v>0</v>
      </c>
      <c r="G24" s="62">
        <f t="shared" si="10"/>
        <v>0</v>
      </c>
      <c r="H24" s="62">
        <f t="shared" si="10"/>
        <v>0</v>
      </c>
      <c r="I24" s="62">
        <f t="shared" si="10"/>
        <v>0</v>
      </c>
      <c r="J24" s="62">
        <f t="shared" si="10"/>
        <v>0</v>
      </c>
      <c r="K24" s="62">
        <f t="shared" si="10"/>
        <v>0</v>
      </c>
    </row>
    <row r="25" spans="1:11" ht="11.25" customHeight="1" x14ac:dyDescent="0.3"/>
    <row r="26" spans="1:11" s="7" customFormat="1" ht="13.9" x14ac:dyDescent="0.3">
      <c r="C26" s="7" t="s">
        <v>652</v>
      </c>
    </row>
    <row r="27" spans="1:11" ht="11.25" customHeight="1" x14ac:dyDescent="0.3"/>
    <row r="28" spans="1:11" ht="18.399999999999999" thickBot="1" x14ac:dyDescent="0.55000000000000004">
      <c r="D28" s="48" t="str">
        <f>D8</f>
        <v xml:space="preserve">2.3.6 - AUGEX - GREENFIELDS DRIVEN </v>
      </c>
      <c r="E28" s="49"/>
      <c r="F28" s="49"/>
      <c r="G28" s="49"/>
      <c r="H28" s="49"/>
      <c r="I28" s="49"/>
      <c r="J28" s="49"/>
      <c r="K28" s="49"/>
    </row>
    <row r="29" spans="1:11" ht="29.1" customHeight="1" thickBot="1" x14ac:dyDescent="0.35">
      <c r="D29"/>
      <c r="E29" s="1045" t="s">
        <v>409</v>
      </c>
      <c r="F29" s="1046"/>
      <c r="G29" s="1046"/>
      <c r="H29" s="1046"/>
      <c r="I29" s="1046"/>
      <c r="J29" s="1046"/>
      <c r="K29" s="1047"/>
    </row>
    <row r="30" spans="1:11" ht="13.5" thickBot="1" x14ac:dyDescent="0.35">
      <c r="D30"/>
      <c r="E30" s="417" t="str">
        <f>'WkB_1_2.1.1'!$E$10</f>
        <v>2022-23</v>
      </c>
      <c r="F30" s="418" t="str">
        <f>'WkB_1_2.1.1'!$F$10</f>
        <v>2023-24</v>
      </c>
      <c r="G30" s="419" t="str">
        <f>'WkB_1_2.1.1'!$G$10</f>
        <v>2024-25</v>
      </c>
      <c r="H30" s="420" t="str">
        <f>'WkB_1_2.1.1'!$H$10</f>
        <v>2025-26</v>
      </c>
      <c r="I30" s="420" t="str">
        <f>'WkB_1_2.1.1'!$I$10</f>
        <v>2026-27</v>
      </c>
      <c r="J30" s="420" t="str">
        <f>'WkB_1_2.1.1'!$J$10</f>
        <v>2027-28</v>
      </c>
      <c r="K30" s="421" t="str">
        <f>'WkB_1_2.1.1'!$K$10</f>
        <v>2028-29</v>
      </c>
    </row>
    <row r="31" spans="1:11" ht="14.25" x14ac:dyDescent="0.45">
      <c r="D31" s="50" t="str">
        <f t="shared" ref="D31:D39" si="11">D11</f>
        <v>Subtransmission Substations, Switching Stations, Zone Substations</v>
      </c>
      <c r="E31" s="51">
        <v>0</v>
      </c>
      <c r="F31" s="52">
        <v>0</v>
      </c>
      <c r="G31" s="51">
        <v>0</v>
      </c>
      <c r="H31" s="53">
        <v>0</v>
      </c>
      <c r="I31" s="53">
        <v>0</v>
      </c>
      <c r="J31" s="53">
        <v>0</v>
      </c>
      <c r="K31" s="52">
        <v>0</v>
      </c>
    </row>
    <row r="32" spans="1:11" ht="14.25" x14ac:dyDescent="0.45">
      <c r="D32" s="54" t="str">
        <f t="shared" si="11"/>
        <v>Subtransmission Lines</v>
      </c>
      <c r="E32" s="55">
        <v>0</v>
      </c>
      <c r="F32" s="56">
        <v>0</v>
      </c>
      <c r="G32" s="55">
        <v>0</v>
      </c>
      <c r="H32" s="57">
        <v>0</v>
      </c>
      <c r="I32" s="57">
        <v>0</v>
      </c>
      <c r="J32" s="57">
        <v>0</v>
      </c>
      <c r="K32" s="56">
        <v>0</v>
      </c>
    </row>
    <row r="33" spans="1:11" ht="14.25" x14ac:dyDescent="0.45">
      <c r="D33" s="54" t="str">
        <f t="shared" si="11"/>
        <v>HV Feeders</v>
      </c>
      <c r="E33" s="55">
        <v>330000</v>
      </c>
      <c r="F33" s="56">
        <v>3600000</v>
      </c>
      <c r="G33" s="55">
        <v>0</v>
      </c>
      <c r="H33" s="57">
        <v>0</v>
      </c>
      <c r="I33" s="57">
        <v>0</v>
      </c>
      <c r="J33" s="57">
        <v>0</v>
      </c>
      <c r="K33" s="56">
        <v>0</v>
      </c>
    </row>
    <row r="34" spans="1:11" ht="14.25" x14ac:dyDescent="0.45">
      <c r="D34" s="54" t="str">
        <f t="shared" si="11"/>
        <v>HV Feeders - Land Purchases and Easements</v>
      </c>
      <c r="E34" s="55">
        <v>0</v>
      </c>
      <c r="F34" s="56">
        <v>0</v>
      </c>
      <c r="G34" s="55">
        <v>0</v>
      </c>
      <c r="H34" s="57">
        <v>0</v>
      </c>
      <c r="I34" s="57">
        <v>0</v>
      </c>
      <c r="J34" s="57">
        <v>0</v>
      </c>
      <c r="K34" s="56">
        <v>0</v>
      </c>
    </row>
    <row r="35" spans="1:11" ht="14.25" x14ac:dyDescent="0.45">
      <c r="D35" s="54" t="str">
        <f t="shared" si="11"/>
        <v>Distribution Substations</v>
      </c>
      <c r="E35" s="55">
        <v>0</v>
      </c>
      <c r="F35" s="56">
        <v>0</v>
      </c>
      <c r="G35" s="55">
        <v>0</v>
      </c>
      <c r="H35" s="57">
        <v>0</v>
      </c>
      <c r="I35" s="57">
        <v>0</v>
      </c>
      <c r="J35" s="57">
        <v>0</v>
      </c>
      <c r="K35" s="56">
        <v>0</v>
      </c>
    </row>
    <row r="36" spans="1:11" ht="14.25" x14ac:dyDescent="0.45">
      <c r="D36" s="54" t="str">
        <f t="shared" si="11"/>
        <v>Distribution Substations - Land Purchases and Easements</v>
      </c>
      <c r="E36" s="55">
        <v>0</v>
      </c>
      <c r="F36" s="56">
        <v>0</v>
      </c>
      <c r="G36" s="55">
        <v>0</v>
      </c>
      <c r="H36" s="57">
        <v>0</v>
      </c>
      <c r="I36" s="57">
        <v>0</v>
      </c>
      <c r="J36" s="57">
        <v>0</v>
      </c>
      <c r="K36" s="56">
        <v>0</v>
      </c>
    </row>
    <row r="37" spans="1:11" ht="14.25" x14ac:dyDescent="0.45">
      <c r="D37" s="54" t="str">
        <f t="shared" si="11"/>
        <v>LV Feeders</v>
      </c>
      <c r="E37" s="55">
        <v>0</v>
      </c>
      <c r="F37" s="56">
        <v>0</v>
      </c>
      <c r="G37" s="55">
        <v>0</v>
      </c>
      <c r="H37" s="57">
        <v>0</v>
      </c>
      <c r="I37" s="57">
        <v>0</v>
      </c>
      <c r="J37" s="57">
        <v>0</v>
      </c>
      <c r="K37" s="56">
        <v>0</v>
      </c>
    </row>
    <row r="38" spans="1:11" ht="14.25" x14ac:dyDescent="0.45">
      <c r="D38" s="54" t="str">
        <f t="shared" si="11"/>
        <v>LV Feeders - Land Purchases and Easements</v>
      </c>
      <c r="E38" s="55">
        <v>0</v>
      </c>
      <c r="F38" s="56">
        <v>0</v>
      </c>
      <c r="G38" s="55">
        <v>0</v>
      </c>
      <c r="H38" s="57">
        <v>0</v>
      </c>
      <c r="I38" s="57">
        <v>0</v>
      </c>
      <c r="J38" s="57">
        <v>0</v>
      </c>
      <c r="K38" s="56">
        <v>0</v>
      </c>
    </row>
    <row r="39" spans="1:11" ht="14.65" thickBot="1" x14ac:dyDescent="0.5">
      <c r="D39" s="54" t="str">
        <f t="shared" si="11"/>
        <v>Other Assets</v>
      </c>
      <c r="E39" s="55">
        <v>0</v>
      </c>
      <c r="F39" s="56">
        <v>0</v>
      </c>
      <c r="G39" s="55">
        <v>0</v>
      </c>
      <c r="H39" s="57">
        <v>0</v>
      </c>
      <c r="I39" s="57">
        <v>0</v>
      </c>
      <c r="J39" s="57">
        <v>0</v>
      </c>
      <c r="K39" s="56">
        <v>0</v>
      </c>
    </row>
    <row r="40" spans="1:11" ht="13.5" thickBot="1" x14ac:dyDescent="0.35">
      <c r="D40" s="58" t="s">
        <v>81</v>
      </c>
      <c r="E40" s="59">
        <f t="shared" ref="E40:K40" si="12">SUM(E31:E39)</f>
        <v>330000</v>
      </c>
      <c r="F40" s="59">
        <f t="shared" si="12"/>
        <v>3600000</v>
      </c>
      <c r="G40" s="59">
        <f t="shared" si="12"/>
        <v>0</v>
      </c>
      <c r="H40" s="59">
        <f t="shared" si="12"/>
        <v>0</v>
      </c>
      <c r="I40" s="59">
        <f t="shared" si="12"/>
        <v>0</v>
      </c>
      <c r="J40" s="59">
        <f t="shared" si="12"/>
        <v>0</v>
      </c>
      <c r="K40" s="60">
        <f t="shared" si="12"/>
        <v>0</v>
      </c>
    </row>
    <row r="41" spans="1:11" ht="11.25" customHeight="1" x14ac:dyDescent="0.3"/>
    <row r="42" spans="1:11" ht="12.75" x14ac:dyDescent="0.3">
      <c r="A42" s="41"/>
      <c r="D42" s="6" t="s">
        <v>410</v>
      </c>
      <c r="E42" s="118">
        <f>'WkB_1_2.3.3'!E42</f>
        <v>6510944.424815014</v>
      </c>
      <c r="F42" s="119">
        <f>'WkB_1_2.3.3'!F42</f>
        <v>13748018.948539032</v>
      </c>
      <c r="G42" s="120">
        <f>'WkB_1_2.3.3'!G42</f>
        <v>9594457.8071359936</v>
      </c>
      <c r="H42" s="118">
        <f>'WkB_1_2.3.3'!H42</f>
        <v>6066486.6071359944</v>
      </c>
      <c r="I42" s="118">
        <f>'WkB_1_2.3.3'!I42</f>
        <v>7246957.0782559952</v>
      </c>
      <c r="J42" s="118">
        <f>'WkB_1_2.3.3'!J42</f>
        <v>5354107.8071359955</v>
      </c>
      <c r="K42" s="118">
        <f>'WkB_1_2.3.3'!K42</f>
        <v>4901803.8071359955</v>
      </c>
    </row>
    <row r="43" spans="1:11" ht="12.75" x14ac:dyDescent="0.3">
      <c r="A43" s="41"/>
      <c r="D43" s="6" t="s">
        <v>411</v>
      </c>
      <c r="E43" s="118">
        <f>'WkB_1_2.3.3'!E43</f>
        <v>6380278.963221469</v>
      </c>
      <c r="F43" s="119">
        <f>'WkB_1_2.3.3'!F43</f>
        <v>13453934.716456933</v>
      </c>
      <c r="G43" s="120">
        <f>'WkB_1_2.3.3'!G43</f>
        <v>9485176.2563105691</v>
      </c>
      <c r="H43" s="118">
        <f>'WkB_1_2.3.3'!H43</f>
        <v>6067060.6457375083</v>
      </c>
      <c r="I43" s="118">
        <f>'WkB_1_2.3.3'!I43</f>
        <v>7288674.2628427306</v>
      </c>
      <c r="J43" s="118">
        <f>'WkB_1_2.3.3'!J43</f>
        <v>5401536.1146545578</v>
      </c>
      <c r="K43" s="118">
        <f>'WkB_1_2.3.3'!K43</f>
        <v>4972602.083693523</v>
      </c>
    </row>
    <row r="44" spans="1:11" ht="12.75" x14ac:dyDescent="0.3">
      <c r="A44" s="41"/>
      <c r="D44" s="6" t="s">
        <v>412</v>
      </c>
      <c r="E44" s="483">
        <f>'WkB_1_2.3.3'!E44</f>
        <v>0.97993141193226241</v>
      </c>
      <c r="F44" s="484">
        <f>'WkB_1_2.3.3'!F44</f>
        <v>0.97860897390504753</v>
      </c>
      <c r="G44" s="485">
        <f>'WkB_1_2.3.3'!G44</f>
        <v>0.98860992950074311</v>
      </c>
      <c r="H44" s="483">
        <f>'WkB_1_2.3.3'!H44</f>
        <v>1.0000946245559725</v>
      </c>
      <c r="I44" s="483">
        <f>'WkB_1_2.3.3'!I44</f>
        <v>1.0057565105100326</v>
      </c>
      <c r="J44" s="483">
        <f>'WkB_1_2.3.3'!J44</f>
        <v>1.0088583026765634</v>
      </c>
      <c r="K44" s="483">
        <f>'WkB_1_2.3.3'!K44</f>
        <v>1.0144433109408542</v>
      </c>
    </row>
    <row r="45" spans="1:11" ht="11.25" customHeight="1" x14ac:dyDescent="0.3"/>
    <row r="46" spans="1:11" ht="12.75" x14ac:dyDescent="0.3">
      <c r="A46" s="41"/>
      <c r="D46" s="6" t="s">
        <v>412</v>
      </c>
      <c r="E46" s="483">
        <f>'WkB_1_2.3.3'!E46</f>
        <v>1.13076</v>
      </c>
      <c r="F46" s="484">
        <f>'WkB_1_2.3.3'!F46</f>
        <v>1.13076</v>
      </c>
      <c r="G46" s="485">
        <f>'WkB_1_2.3.3'!G46</f>
        <v>1.13076</v>
      </c>
      <c r="H46" s="483">
        <f>'WkB_1_2.3.3'!H46</f>
        <v>1.13076</v>
      </c>
      <c r="I46" s="483">
        <f>'WkB_1_2.3.3'!I46</f>
        <v>1.13076</v>
      </c>
      <c r="J46" s="483">
        <f>'WkB_1_2.3.3'!J46</f>
        <v>1.13076</v>
      </c>
      <c r="K46" s="483">
        <f>'WkB_1_2.3.3'!K46</f>
        <v>1.13076</v>
      </c>
    </row>
    <row r="47" spans="1:11" ht="11.25" customHeight="1" x14ac:dyDescent="0.3"/>
    <row r="48" spans="1:11" s="46" customFormat="1" ht="15" x14ac:dyDescent="0.3">
      <c r="B48" s="46" t="s">
        <v>16</v>
      </c>
    </row>
  </sheetData>
  <mergeCells count="2">
    <mergeCell ref="E9:K9"/>
    <mergeCell ref="E29:K29"/>
  </mergeCells>
  <conditionalFormatting sqref="B3">
    <cfRule type="cellIs" dxfId="873" priority="3" operator="notEqual">
      <formula>"No Errors Found"</formula>
    </cfRule>
  </conditionalFormatting>
  <conditionalFormatting sqref="K11:K19">
    <cfRule type="expression" dxfId="872" priority="2">
      <formula>(dms_FRCPlength_Num)&lt;5</formula>
    </cfRule>
  </conditionalFormatting>
  <conditionalFormatting sqref="K31:K39">
    <cfRule type="expression" dxfId="871" priority="1">
      <formula>(dms_FRCPlength_Num)&lt;5</formula>
    </cfRule>
  </conditionalFormatting>
  <hyperlinks>
    <hyperlink ref="B2:E2" location="TOC!A1" display="TOC!A1" xr:uid="{35104B36-8986-400F-859B-9DF7D72A5A8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4879-2A4C-4007-A73C-8659C4E821E2}">
  <sheetPr codeName="Sheet17">
    <tabColor theme="4" tint="0.79998168889431442"/>
  </sheetPr>
  <dimension ref="A1:O208"/>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2" x14ac:dyDescent="0.3"/>
  <cols>
    <col min="1" max="1" width="6.83203125" style="45" customWidth="1"/>
    <col min="2" max="2" width="33.1640625" style="45" customWidth="1"/>
    <col min="3" max="3" width="63.33203125" style="45" customWidth="1"/>
    <col min="4" max="4" width="38.6640625" style="45" customWidth="1"/>
    <col min="5" max="11" width="17.6640625" style="45" customWidth="1"/>
    <col min="12" max="13" width="15.83203125" style="45" customWidth="1"/>
    <col min="14" max="31" width="10.6640625" style="45" customWidth="1"/>
    <col min="32" max="16384" width="9.33203125" style="45"/>
  </cols>
  <sheetData>
    <row r="1" spans="1:12" ht="18.75" x14ac:dyDescent="0.3">
      <c r="A1" s="41">
        <f>IF(SUM($A3:$A208)&gt;0,1,0)</f>
        <v>0</v>
      </c>
      <c r="B1" s="3" t="s">
        <v>1090</v>
      </c>
      <c r="F1"/>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tr">
        <f>'WkB_1_2.1.1'!$C$6</f>
        <v>Output - RIN template</v>
      </c>
    </row>
    <row r="7" spans="1:12" ht="11.25" customHeight="1" thickBot="1" x14ac:dyDescent="0.35"/>
    <row r="8" spans="1:12" s="724" customFormat="1" ht="25.5" customHeight="1" thickBot="1" x14ac:dyDescent="0.4">
      <c r="A8" s="723"/>
      <c r="B8" s="325" t="s">
        <v>557</v>
      </c>
      <c r="C8" s="325"/>
      <c r="D8" s="325"/>
      <c r="E8" s="325"/>
      <c r="F8" s="325"/>
      <c r="G8" s="325"/>
      <c r="H8" s="325"/>
      <c r="I8" s="325"/>
      <c r="J8" s="325"/>
      <c r="K8" s="325"/>
    </row>
    <row r="9" spans="1:12" customFormat="1" ht="25.5" customHeight="1" outlineLevel="1" thickBot="1" x14ac:dyDescent="0.35">
      <c r="B9" s="426" t="s">
        <v>558</v>
      </c>
      <c r="C9" s="427"/>
      <c r="D9" s="427"/>
      <c r="E9" s="427"/>
      <c r="F9" s="427"/>
      <c r="G9" s="427"/>
      <c r="H9" s="427"/>
      <c r="I9" s="427"/>
      <c r="J9" s="427"/>
      <c r="K9" s="428"/>
    </row>
    <row r="10" spans="1:12" customFormat="1" ht="25.5" customHeight="1" outlineLevel="2" x14ac:dyDescent="0.3">
      <c r="B10" s="1057" t="s">
        <v>429</v>
      </c>
      <c r="C10" s="1059" t="s">
        <v>559</v>
      </c>
      <c r="D10" s="1061" t="s">
        <v>560</v>
      </c>
      <c r="E10" s="1063" t="s">
        <v>561</v>
      </c>
      <c r="F10" s="1063"/>
      <c r="G10" s="1063"/>
      <c r="H10" s="1063"/>
      <c r="I10" s="1063"/>
      <c r="J10" s="1063"/>
      <c r="K10" s="1064"/>
    </row>
    <row r="11" spans="1:12" customFormat="1" ht="25.5" customHeight="1" outlineLevel="2" thickBot="1" x14ac:dyDescent="0.35">
      <c r="B11" s="1058"/>
      <c r="C11" s="1060"/>
      <c r="D11" s="1062"/>
      <c r="E11" s="748" t="s">
        <v>70</v>
      </c>
      <c r="F11" s="749" t="s">
        <v>71</v>
      </c>
      <c r="G11" s="750" t="s">
        <v>72</v>
      </c>
      <c r="H11" s="750" t="s">
        <v>73</v>
      </c>
      <c r="I11" s="750" t="s">
        <v>74</v>
      </c>
      <c r="J11" s="750" t="s">
        <v>82</v>
      </c>
      <c r="K11" s="751" t="s">
        <v>243</v>
      </c>
    </row>
    <row r="12" spans="1:12" customFormat="1" ht="14.25" outlineLevel="2" x14ac:dyDescent="0.45">
      <c r="B12" s="725" t="s">
        <v>432</v>
      </c>
      <c r="C12" s="752" t="s">
        <v>562</v>
      </c>
      <c r="D12" s="753" t="s">
        <v>563</v>
      </c>
      <c r="E12" s="311">
        <f>ROUND(SUM('WkB_1_2.5.3'!F$12:F$14)*$L121,0)</f>
        <v>130</v>
      </c>
      <c r="F12" s="315">
        <f>ROUND(SUM('WkB_1_2.5.3'!G$12:G$14)*$L121,0)</f>
        <v>131</v>
      </c>
      <c r="G12" s="315">
        <f>ROUND(SUM('WkB_1_2.5.3'!H$12:H$14)*$L121,0)</f>
        <v>132</v>
      </c>
      <c r="H12" s="315">
        <f>ROUND(SUM('WkB_1_2.5.3'!I$12:I$14)*$L121,0)</f>
        <v>133</v>
      </c>
      <c r="I12" s="315">
        <f>ROUND(SUM('WkB_1_2.5.3'!J$12:J$14)*$L121,0)</f>
        <v>134</v>
      </c>
      <c r="J12" s="315">
        <f>ROUND(SUM('WkB_1_2.5.3'!K$12:K$14)*$L121,0)</f>
        <v>136</v>
      </c>
      <c r="K12" s="316">
        <f>ROUND(SUM('WkB_1_2.5.3'!L$12:L$14)*$L121,0)</f>
        <v>137</v>
      </c>
    </row>
    <row r="13" spans="1:12" customFormat="1" ht="14.25" outlineLevel="2" x14ac:dyDescent="0.45">
      <c r="B13" s="726"/>
      <c r="C13" s="754" t="s">
        <v>564</v>
      </c>
      <c r="D13" s="755" t="s">
        <v>563</v>
      </c>
      <c r="E13" s="314">
        <f>SUM('WkB_1_2.5.3'!F$12:F$14)-E12</f>
        <v>83.068358188594658</v>
      </c>
      <c r="F13" s="315">
        <f>SUM('WkB_1_2.5.3'!G$12:G$14)-F12</f>
        <v>83.995553869858782</v>
      </c>
      <c r="G13" s="315">
        <f>SUM('WkB_1_2.5.3'!H$12:H$14)-G12</f>
        <v>84.922749551122877</v>
      </c>
      <c r="H13" s="315">
        <f>SUM('WkB_1_2.5.3'!I$12:I$14)-H12</f>
        <v>85.849945232387455</v>
      </c>
      <c r="I13" s="315">
        <f>SUM('WkB_1_2.5.3'!J$12:J$14)-I12</f>
        <v>86.777140913651579</v>
      </c>
      <c r="J13" s="315">
        <f>SUM('WkB_1_2.5.3'!K$12:K$14)-J12</f>
        <v>86.704336594915674</v>
      </c>
      <c r="K13" s="316">
        <f>SUM('WkB_1_2.5.3'!L$12:L$14)-K12</f>
        <v>87.631532276179769</v>
      </c>
    </row>
    <row r="14" spans="1:12" customFormat="1" ht="14.25" outlineLevel="2" x14ac:dyDescent="0.45">
      <c r="B14" s="726"/>
      <c r="C14" s="754" t="s">
        <v>565</v>
      </c>
      <c r="D14" s="755" t="s">
        <v>566</v>
      </c>
      <c r="E14" s="503">
        <f>SUM(E12:E13)*$L123</f>
        <v>0.87159804445462863</v>
      </c>
      <c r="F14" s="504">
        <f t="shared" ref="F14:K14" si="0">SUM(F12:F13)*$L123</f>
        <v>0.87948161760153576</v>
      </c>
      <c r="G14" s="504">
        <f t="shared" si="0"/>
        <v>0.88736519074844289</v>
      </c>
      <c r="H14" s="504">
        <f t="shared" si="0"/>
        <v>0.89524876389535202</v>
      </c>
      <c r="I14" s="504">
        <f t="shared" si="0"/>
        <v>0.90313233704225926</v>
      </c>
      <c r="J14" s="504">
        <f t="shared" si="0"/>
        <v>0.91101591018916639</v>
      </c>
      <c r="K14" s="505">
        <f t="shared" si="0"/>
        <v>0.91889948333607341</v>
      </c>
    </row>
    <row r="15" spans="1:12" customFormat="1" ht="14.25" outlineLevel="2" x14ac:dyDescent="0.45">
      <c r="B15" s="726"/>
      <c r="C15" s="754" t="s">
        <v>565</v>
      </c>
      <c r="D15" s="755" t="s">
        <v>563</v>
      </c>
      <c r="E15" s="503">
        <f>SUM(E12:E13)*$L124</f>
        <v>2.6540239244978703</v>
      </c>
      <c r="F15" s="504">
        <f t="shared" ref="F15:K15" si="1">SUM(F12:F13)*$L124</f>
        <v>2.6780294759966838</v>
      </c>
      <c r="G15" s="504">
        <f t="shared" si="1"/>
        <v>2.702035027495497</v>
      </c>
      <c r="H15" s="504">
        <f t="shared" si="1"/>
        <v>2.7260405789943163</v>
      </c>
      <c r="I15" s="504">
        <f t="shared" si="1"/>
        <v>2.7500461304931298</v>
      </c>
      <c r="J15" s="504">
        <f t="shared" si="1"/>
        <v>2.774051681991943</v>
      </c>
      <c r="K15" s="505">
        <f t="shared" si="1"/>
        <v>2.7980572334907561</v>
      </c>
    </row>
    <row r="16" spans="1:12" customFormat="1" ht="14.25" outlineLevel="2" x14ac:dyDescent="0.45">
      <c r="B16" s="726"/>
      <c r="C16" s="754" t="s">
        <v>567</v>
      </c>
      <c r="D16" s="755" t="s">
        <v>568</v>
      </c>
      <c r="E16" s="503">
        <f>'WkB_1_2.5.2a'!G12</f>
        <v>646911.81824752677</v>
      </c>
      <c r="F16" s="504">
        <f>'WkB_1_2.5.2a'!H12</f>
        <v>647279.21387235867</v>
      </c>
      <c r="G16" s="504">
        <f>'WkB_1_2.5.2a'!I12</f>
        <v>246118.34257615238</v>
      </c>
      <c r="H16" s="504">
        <f>'WkB_1_2.5.2a'!J12</f>
        <v>250910.82997267912</v>
      </c>
      <c r="I16" s="504">
        <f>'WkB_1_2.5.2a'!K12</f>
        <v>254487.51122353366</v>
      </c>
      <c r="J16" s="504">
        <f>'WkB_1_2.5.2a'!L12</f>
        <v>257604.3111681584</v>
      </c>
      <c r="K16" s="505">
        <f>'WkB_1_2.5.2a'!M12</f>
        <v>261287.52787992108</v>
      </c>
      <c r="L16" s="6" t="str">
        <f>'WkB_1_2.5.2a'!$E$12</f>
        <v>Simple connection LV</v>
      </c>
    </row>
    <row r="17" spans="2:12" customFormat="1" ht="14.25" outlineLevel="2" x14ac:dyDescent="0.45">
      <c r="B17" s="726"/>
      <c r="C17" s="754" t="s">
        <v>569</v>
      </c>
      <c r="D17" s="755" t="s">
        <v>570</v>
      </c>
      <c r="E17" s="314">
        <f>SUM(E12:E13)*$L126</f>
        <v>0.11702586742082796</v>
      </c>
      <c r="F17" s="315">
        <f t="shared" ref="F17:K17" si="2">SUM(F12:F13)*$L126</f>
        <v>0.11808436220722877</v>
      </c>
      <c r="G17" s="315">
        <f t="shared" si="2"/>
        <v>0.11914285699362957</v>
      </c>
      <c r="H17" s="315">
        <f t="shared" si="2"/>
        <v>0.12020135178003062</v>
      </c>
      <c r="I17" s="315">
        <f t="shared" si="2"/>
        <v>0.12125984656643143</v>
      </c>
      <c r="J17" s="315">
        <f t="shared" si="2"/>
        <v>0.12231834135283223</v>
      </c>
      <c r="K17" s="316">
        <f t="shared" si="2"/>
        <v>0.12337683613923302</v>
      </c>
      <c r="L17" s="6"/>
    </row>
    <row r="18" spans="2:12" customFormat="1" ht="14.25" outlineLevel="2" x14ac:dyDescent="0.45">
      <c r="B18" s="726"/>
      <c r="C18" s="754" t="s">
        <v>571</v>
      </c>
      <c r="D18" s="755" t="s">
        <v>568</v>
      </c>
      <c r="E18" s="314">
        <f>'WkB_1_2.5.2a'!G14</f>
        <v>813759.49415093532</v>
      </c>
      <c r="F18" s="315">
        <f>'WkB_1_2.5.2a'!H14</f>
        <v>806367.46890944813</v>
      </c>
      <c r="G18" s="315">
        <f>'WkB_1_2.5.2a'!I14</f>
        <v>364415.91347656265</v>
      </c>
      <c r="H18" s="315">
        <f>'WkB_1_2.5.2a'!J14</f>
        <v>367996.06186186225</v>
      </c>
      <c r="I18" s="315">
        <f>'WkB_1_2.5.2a'!K14</f>
        <v>369742.64891585521</v>
      </c>
      <c r="J18" s="315">
        <f>'WkB_1_2.5.2a'!L14</f>
        <v>370794.84011562669</v>
      </c>
      <c r="K18" s="316">
        <f>'WkB_1_2.5.2a'!M14</f>
        <v>372635.46177533525</v>
      </c>
      <c r="L18" s="6" t="str">
        <f>'WkB_1_2.5.2a'!$E$14</f>
        <v>Complex connection HV</v>
      </c>
    </row>
    <row r="19" spans="2:12" customFormat="1" ht="14.25" outlineLevel="2" x14ac:dyDescent="0.45">
      <c r="B19" s="726"/>
      <c r="C19" s="754" t="s">
        <v>572</v>
      </c>
      <c r="D19" s="755" t="s">
        <v>570</v>
      </c>
      <c r="E19" s="314">
        <f>SUM(E12:E13)*$L128</f>
        <v>3.4664040601371413</v>
      </c>
      <c r="F19" s="315">
        <f t="shared" ref="F19:K19" si="3">SUM(F12:F13)*$L128</f>
        <v>3.4977575609150451</v>
      </c>
      <c r="G19" s="315">
        <f t="shared" si="3"/>
        <v>3.529111061692948</v>
      </c>
      <c r="H19" s="315">
        <f t="shared" si="3"/>
        <v>3.5604645624708589</v>
      </c>
      <c r="I19" s="315">
        <f t="shared" si="3"/>
        <v>3.5918180632487622</v>
      </c>
      <c r="J19" s="315">
        <f t="shared" si="3"/>
        <v>3.6231715640266655</v>
      </c>
      <c r="K19" s="316">
        <f t="shared" si="3"/>
        <v>3.6545250648045684</v>
      </c>
      <c r="L19" s="6"/>
    </row>
    <row r="20" spans="2:12" customFormat="1" ht="14.25" outlineLevel="2" x14ac:dyDescent="0.45">
      <c r="B20" s="726"/>
      <c r="C20" s="754" t="s">
        <v>572</v>
      </c>
      <c r="D20" s="755" t="s">
        <v>568</v>
      </c>
      <c r="E20" s="314">
        <f>'WkB_1_2.5.2a'!G13</f>
        <v>250574.9513369858</v>
      </c>
      <c r="F20" s="315">
        <f>'WkB_1_2.5.2a'!H13</f>
        <v>248962.83905563381</v>
      </c>
      <c r="G20" s="315">
        <f>'WkB_1_2.5.2a'!I13</f>
        <v>112812.10832335358</v>
      </c>
      <c r="H20" s="315">
        <f>'WkB_1_2.5.2a'!J13</f>
        <v>114223.46561118843</v>
      </c>
      <c r="I20" s="315">
        <f>'WkB_1_2.5.2a'!K13</f>
        <v>115070.08464925773</v>
      </c>
      <c r="J20" s="315">
        <f>'WkB_1_2.5.2a'!L13</f>
        <v>115702.90095448565</v>
      </c>
      <c r="K20" s="316">
        <f>'WkB_1_2.5.2a'!M13</f>
        <v>116584.12155675748</v>
      </c>
      <c r="L20" s="6" t="str">
        <f>'WkB_1_2.5.2a'!$E$13</f>
        <v>Complex connection LV</v>
      </c>
    </row>
    <row r="21" spans="2:12" customFormat="1" ht="14.25" outlineLevel="2" x14ac:dyDescent="0.45">
      <c r="B21" s="726"/>
      <c r="C21" s="754" t="s">
        <v>573</v>
      </c>
      <c r="D21" s="755" t="s">
        <v>563</v>
      </c>
      <c r="E21" s="503">
        <f>$L130</f>
        <v>3.2737995213295981</v>
      </c>
      <c r="F21" s="504">
        <f t="shared" ref="F21:K21" si="4">$L130</f>
        <v>3.2737995213295981</v>
      </c>
      <c r="G21" s="504">
        <f t="shared" si="4"/>
        <v>3.2737995213295981</v>
      </c>
      <c r="H21" s="504">
        <f t="shared" si="4"/>
        <v>3.2737995213295981</v>
      </c>
      <c r="I21" s="504">
        <f t="shared" si="4"/>
        <v>3.2737995213295981</v>
      </c>
      <c r="J21" s="504">
        <f t="shared" si="4"/>
        <v>3.2737995213295981</v>
      </c>
      <c r="K21" s="505">
        <f t="shared" si="4"/>
        <v>3.2737995213295981</v>
      </c>
    </row>
    <row r="22" spans="2:12" customFormat="1" ht="14.25" outlineLevel="2" x14ac:dyDescent="0.45">
      <c r="B22" s="726"/>
      <c r="C22" s="754" t="s">
        <v>574</v>
      </c>
      <c r="D22" s="755" t="s">
        <v>563</v>
      </c>
      <c r="E22" s="503">
        <f t="shared" ref="E22:K24" si="5">$L131</f>
        <v>2043.7142857142858</v>
      </c>
      <c r="F22" s="504">
        <f t="shared" si="5"/>
        <v>2043.7142857142858</v>
      </c>
      <c r="G22" s="504">
        <f t="shared" si="5"/>
        <v>2043.7142857142858</v>
      </c>
      <c r="H22" s="504">
        <f t="shared" si="5"/>
        <v>2043.7142857142858</v>
      </c>
      <c r="I22" s="504">
        <f t="shared" si="5"/>
        <v>2043.7142857142858</v>
      </c>
      <c r="J22" s="504">
        <f t="shared" si="5"/>
        <v>2043.7142857142858</v>
      </c>
      <c r="K22" s="505">
        <f t="shared" si="5"/>
        <v>2043.7142857142858</v>
      </c>
    </row>
    <row r="23" spans="2:12" customFormat="1" ht="14.25" outlineLevel="2" x14ac:dyDescent="0.45">
      <c r="B23" s="726"/>
      <c r="C23" s="754" t="s">
        <v>575</v>
      </c>
      <c r="D23" s="755" t="s">
        <v>563</v>
      </c>
      <c r="E23" s="503">
        <f t="shared" si="5"/>
        <v>11.714285714285714</v>
      </c>
      <c r="F23" s="504">
        <f t="shared" si="5"/>
        <v>11.714285714285714</v>
      </c>
      <c r="G23" s="504">
        <f t="shared" si="5"/>
        <v>11.714285714285714</v>
      </c>
      <c r="H23" s="504">
        <f t="shared" si="5"/>
        <v>11.714285714285714</v>
      </c>
      <c r="I23" s="504">
        <f t="shared" si="5"/>
        <v>11.714285714285714</v>
      </c>
      <c r="J23" s="504">
        <f t="shared" si="5"/>
        <v>11.714285714285714</v>
      </c>
      <c r="K23" s="505">
        <f t="shared" si="5"/>
        <v>11.714285714285714</v>
      </c>
    </row>
    <row r="24" spans="2:12" customFormat="1" ht="14.25" outlineLevel="2" x14ac:dyDescent="0.45">
      <c r="B24" s="727"/>
      <c r="C24" s="756" t="s">
        <v>576</v>
      </c>
      <c r="D24" s="757" t="s">
        <v>577</v>
      </c>
      <c r="E24" s="626">
        <f t="shared" si="5"/>
        <v>198191.85714285713</v>
      </c>
      <c r="F24" s="534">
        <f t="shared" si="5"/>
        <v>198191.85714285713</v>
      </c>
      <c r="G24" s="534">
        <f t="shared" si="5"/>
        <v>198191.85714285713</v>
      </c>
      <c r="H24" s="534">
        <f t="shared" si="5"/>
        <v>198191.85714285713</v>
      </c>
      <c r="I24" s="534">
        <f t="shared" si="5"/>
        <v>198191.85714285713</v>
      </c>
      <c r="J24" s="534">
        <f t="shared" si="5"/>
        <v>198191.85714285713</v>
      </c>
      <c r="K24" s="882">
        <f t="shared" si="5"/>
        <v>198191.85714285713</v>
      </c>
    </row>
    <row r="25" spans="2:12" customFormat="1" ht="14.25" outlineLevel="2" x14ac:dyDescent="0.45">
      <c r="B25" s="728" t="s">
        <v>436</v>
      </c>
      <c r="C25" s="754" t="s">
        <v>562</v>
      </c>
      <c r="D25" s="755" t="s">
        <v>563</v>
      </c>
      <c r="E25" s="540">
        <f>ROUND(SUM('WkB_1_2.5.3'!F$15:F$19)*$L134,0)</f>
        <v>40</v>
      </c>
      <c r="F25" s="437">
        <f>ROUND(SUM('WkB_1_2.5.3'!G$15:G$19)*$L134,0)</f>
        <v>40</v>
      </c>
      <c r="G25" s="437">
        <f>ROUND(SUM('WkB_1_2.5.3'!H$15:H$19)*$L134,0)</f>
        <v>41</v>
      </c>
      <c r="H25" s="437">
        <f>ROUND(SUM('WkB_1_2.5.3'!I$15:I$19)*$L134,0)</f>
        <v>41</v>
      </c>
      <c r="I25" s="437">
        <f>ROUND(SUM('WkB_1_2.5.3'!J$15:J$19)*$L134,0)</f>
        <v>41</v>
      </c>
      <c r="J25" s="437">
        <f>ROUND(SUM('WkB_1_2.5.3'!K$15:K$19)*$L134,0)</f>
        <v>41</v>
      </c>
      <c r="K25" s="438">
        <f>ROUND(SUM('WkB_1_2.5.3'!L$15:L$19)*$L134,0)</f>
        <v>41</v>
      </c>
    </row>
    <row r="26" spans="2:12" customFormat="1" ht="14.25" outlineLevel="2" x14ac:dyDescent="0.45">
      <c r="B26" s="729"/>
      <c r="C26" s="754" t="s">
        <v>564</v>
      </c>
      <c r="D26" s="755" t="s">
        <v>563</v>
      </c>
      <c r="E26" s="314">
        <f>SUM('WkB_1_2.5.3'!F$15:F$19)-E25</f>
        <v>22.049973945889185</v>
      </c>
      <c r="F26" s="315">
        <f>SUM('WkB_1_2.5.3'!G$15:G$19)-F25</f>
        <v>22.305430616803278</v>
      </c>
      <c r="G26" s="315">
        <f>SUM('WkB_1_2.5.3'!H$15:H$19)-G25</f>
        <v>21.580956715034546</v>
      </c>
      <c r="H26" s="315">
        <f>SUM('WkB_1_2.5.3'!I$15:I$19)-H25</f>
        <v>21.877087276201109</v>
      </c>
      <c r="I26" s="315">
        <f>SUM('WkB_1_2.5.3'!J$15:J$19)-I25</f>
        <v>22.194371819990195</v>
      </c>
      <c r="J26" s="315">
        <f>SUM('WkB_1_2.5.3'!K$15:K$19)-J25</f>
        <v>22.533374747224393</v>
      </c>
      <c r="K26" s="316">
        <f>SUM('WkB_1_2.5.3'!L$15:L$19)-K25</f>
        <v>22.894675747925334</v>
      </c>
    </row>
    <row r="27" spans="2:12" customFormat="1" ht="14.25" outlineLevel="2" x14ac:dyDescent="0.45">
      <c r="B27" s="729"/>
      <c r="C27" s="754" t="s">
        <v>565</v>
      </c>
      <c r="D27" s="755" t="s">
        <v>566</v>
      </c>
      <c r="E27" s="503">
        <f>SUM(E25:E26)*$L136</f>
        <v>4.485952119111082</v>
      </c>
      <c r="F27" s="504">
        <f t="shared" ref="F27" si="6">SUM(F25:F26)*$L136</f>
        <v>4.5044205619057145</v>
      </c>
      <c r="G27" s="504">
        <f t="shared" ref="G27" si="7">SUM(G25:G26)*$L136</f>
        <v>4.5243399398785211</v>
      </c>
      <c r="H27" s="504">
        <f t="shared" ref="H27" si="8">SUM(H25:H26)*$L136</f>
        <v>4.5457489338542025</v>
      </c>
      <c r="I27" s="504">
        <f t="shared" ref="I27" si="9">SUM(I25:I26)*$L136</f>
        <v>4.5686872717947313</v>
      </c>
      <c r="J27" s="504">
        <f t="shared" ref="J27" si="10">SUM(J25:J26)*$L136</f>
        <v>4.5931957575055762</v>
      </c>
      <c r="K27" s="505">
        <f t="shared" ref="K27" si="11">SUM(K25:K26)*$L136</f>
        <v>4.6193163001369841</v>
      </c>
    </row>
    <row r="28" spans="2:12" customFormat="1" ht="14.25" outlineLevel="2" x14ac:dyDescent="0.45">
      <c r="B28" s="729"/>
      <c r="C28" s="754" t="s">
        <v>565</v>
      </c>
      <c r="D28" s="755" t="s">
        <v>563</v>
      </c>
      <c r="E28" s="503">
        <f>SUM(E25:E26)*$L137</f>
        <v>6.398640461177175</v>
      </c>
      <c r="F28" s="504">
        <f t="shared" ref="F28:K28" si="12">SUM(F25:F26)*$L137</f>
        <v>6.4249833471873128</v>
      </c>
      <c r="G28" s="504">
        <f t="shared" si="12"/>
        <v>6.4533958077918934</v>
      </c>
      <c r="H28" s="504">
        <f t="shared" si="12"/>
        <v>6.4839330162703996</v>
      </c>
      <c r="I28" s="504">
        <f t="shared" si="12"/>
        <v>6.5166516395105223</v>
      </c>
      <c r="J28" s="504">
        <f t="shared" si="12"/>
        <v>6.5516098789539399</v>
      </c>
      <c r="K28" s="505">
        <f t="shared" si="12"/>
        <v>6.5888675126761536</v>
      </c>
    </row>
    <row r="29" spans="2:12" customFormat="1" ht="14.25" outlineLevel="2" x14ac:dyDescent="0.45">
      <c r="B29" s="729"/>
      <c r="C29" s="754" t="s">
        <v>567</v>
      </c>
      <c r="D29" s="755" t="s">
        <v>568</v>
      </c>
      <c r="E29" s="503">
        <f>'WkB_1_2.5.2a'!G19</f>
        <v>0</v>
      </c>
      <c r="F29" s="504">
        <f>'WkB_1_2.5.2a'!H19</f>
        <v>0</v>
      </c>
      <c r="G29" s="504">
        <f>'WkB_1_2.5.2a'!I19</f>
        <v>0</v>
      </c>
      <c r="H29" s="504">
        <f>'WkB_1_2.5.2a'!J19</f>
        <v>0</v>
      </c>
      <c r="I29" s="504">
        <f>'WkB_1_2.5.2a'!K19</f>
        <v>0</v>
      </c>
      <c r="J29" s="504">
        <f>'WkB_1_2.5.2a'!L19</f>
        <v>0</v>
      </c>
      <c r="K29" s="505">
        <f>'WkB_1_2.5.2a'!M19</f>
        <v>0</v>
      </c>
      <c r="L29" s="6" t="str">
        <f>'WkB_1_2.5.2a'!E19</f>
        <v>Complex connection sub-transmission</v>
      </c>
    </row>
    <row r="30" spans="2:12" customFormat="1" ht="14.25" outlineLevel="2" x14ac:dyDescent="0.45">
      <c r="B30" s="729"/>
      <c r="C30" s="754" t="s">
        <v>569</v>
      </c>
      <c r="D30" s="755" t="s">
        <v>570</v>
      </c>
      <c r="E30" s="314">
        <f>SUM(E25:E26)*$L139</f>
        <v>1.7286011398507786</v>
      </c>
      <c r="F30" s="315">
        <f t="shared" ref="F30:K30" si="13">SUM(F25:F26)*$L139</f>
        <v>1.7357177051681092</v>
      </c>
      <c r="G30" s="315">
        <f t="shared" si="13"/>
        <v>1.7433933687852534</v>
      </c>
      <c r="H30" s="315">
        <f t="shared" si="13"/>
        <v>1.7516430358362594</v>
      </c>
      <c r="I30" s="315">
        <f t="shared" si="13"/>
        <v>1.7604820149553986</v>
      </c>
      <c r="J30" s="315">
        <f t="shared" si="13"/>
        <v>1.7699260293387213</v>
      </c>
      <c r="K30" s="316">
        <f t="shared" si="13"/>
        <v>1.7799912281119796</v>
      </c>
    </row>
    <row r="31" spans="2:12" customFormat="1" ht="14.25" outlineLevel="2" x14ac:dyDescent="0.45">
      <c r="B31" s="729"/>
      <c r="C31" s="754" t="s">
        <v>571</v>
      </c>
      <c r="D31" s="755" t="s">
        <v>568</v>
      </c>
      <c r="E31" s="314">
        <f>'WkB_1_2.5.2a'!G18+'WkB_1_2.5.2a'!G17+'WkB_1_2.5.2a'!G16</f>
        <v>6463491.1606027642</v>
      </c>
      <c r="F31" s="315">
        <f>'WkB_1_2.5.2a'!H18+'WkB_1_2.5.2a'!H17+'WkB_1_2.5.2a'!H16</f>
        <v>6538461.4717267621</v>
      </c>
      <c r="G31" s="315">
        <f>'WkB_1_2.5.2a'!I18+'WkB_1_2.5.2a'!I17+'WkB_1_2.5.2a'!I16</f>
        <v>2461361.2534448812</v>
      </c>
      <c r="H31" s="315">
        <f>'WkB_1_2.5.2a'!J18+'WkB_1_2.5.2a'!J17+'WkB_1_2.5.2a'!J16</f>
        <v>2535299.9991582166</v>
      </c>
      <c r="I31" s="315">
        <f>'WkB_1_2.5.2a'!K18+'WkB_1_2.5.2a'!K17+'WkB_1_2.5.2a'!K16</f>
        <v>2597304.0412936481</v>
      </c>
      <c r="J31" s="315">
        <f>'WkB_1_2.5.2a'!L18+'WkB_1_2.5.2a'!L17+'WkB_1_2.5.2a'!L16</f>
        <v>2654785.1322450954</v>
      </c>
      <c r="K31" s="316">
        <f>'WkB_1_2.5.2a'!M18+'WkB_1_2.5.2a'!M17+'WkB_1_2.5.2a'!M16</f>
        <v>2718277.8654255047</v>
      </c>
      <c r="L31" s="6" t="str">
        <f>'WkB_1_2.5.2a'!E18&amp;", "&amp;'WkB_1_2.5.2a'!E17&amp;", "&amp;'WkB_1_2.5.2a'!E16</f>
        <v>Complex connection HV (customer connected at HV), Complex connection HV (customer connected at LV, upstream asset works), Complex connection HV (customer connected at LV, minor HV works)</v>
      </c>
    </row>
    <row r="32" spans="2:12" customFormat="1" ht="14.25" outlineLevel="2" x14ac:dyDescent="0.45">
      <c r="B32" s="729"/>
      <c r="C32" s="754" t="s">
        <v>572</v>
      </c>
      <c r="D32" s="755" t="s">
        <v>570</v>
      </c>
      <c r="E32" s="314">
        <f>SUM(E25:E26)*$L141</f>
        <v>1.0312756185389371</v>
      </c>
      <c r="F32" s="315">
        <f t="shared" ref="F32:K32" si="14">SUM(F25:F26)*$L141</f>
        <v>1.0355213292065446</v>
      </c>
      <c r="G32" s="315">
        <f t="shared" si="14"/>
        <v>1.0401005953900382</v>
      </c>
      <c r="H32" s="315">
        <f t="shared" si="14"/>
        <v>1.0450223094249489</v>
      </c>
      <c r="I32" s="315">
        <f t="shared" si="14"/>
        <v>1.0502956043732157</v>
      </c>
      <c r="J32" s="315">
        <f t="shared" si="14"/>
        <v>1.0559298606224581</v>
      </c>
      <c r="K32" s="316">
        <f t="shared" si="14"/>
        <v>1.061934712668029</v>
      </c>
    </row>
    <row r="33" spans="2:12" customFormat="1" ht="14.25" outlineLevel="2" x14ac:dyDescent="0.45">
      <c r="B33" s="730"/>
      <c r="C33" s="756" t="s">
        <v>572</v>
      </c>
      <c r="D33" s="757" t="s">
        <v>568</v>
      </c>
      <c r="E33" s="628">
        <f>'WkB_1_2.5.2a'!G15</f>
        <v>314709.64313360647</v>
      </c>
      <c r="F33" s="444">
        <f>'WkB_1_2.5.2a'!H15</f>
        <v>321017.14121983654</v>
      </c>
      <c r="G33" s="444">
        <f>'WkB_1_2.5.2a'!I15</f>
        <v>149325.88486703273</v>
      </c>
      <c r="H33" s="444">
        <f>'WkB_1_2.5.2a'!J15</f>
        <v>155198.00461221856</v>
      </c>
      <c r="I33" s="444">
        <f>'WkB_1_2.5.2a'!K15</f>
        <v>160476.58774627361</v>
      </c>
      <c r="J33" s="444">
        <f>'WkB_1_2.5.2a'!L15</f>
        <v>165607.58423323548</v>
      </c>
      <c r="K33" s="445">
        <f>'WkB_1_2.5.2a'!M15</f>
        <v>171250.39576184683</v>
      </c>
      <c r="L33" s="6" t="str">
        <f>'WkB_1_2.5.2a'!E15</f>
        <v>Simple connection LV</v>
      </c>
    </row>
    <row r="34" spans="2:12" customFormat="1" ht="14.25" outlineLevel="2" x14ac:dyDescent="0.45">
      <c r="B34" s="728" t="s">
        <v>441</v>
      </c>
      <c r="C34" s="762" t="s">
        <v>562</v>
      </c>
      <c r="D34" s="763" t="s">
        <v>563</v>
      </c>
      <c r="E34" s="540">
        <f>ROUND(SUM('WkB_1_2.5.3'!F$20:F$22)*$L143,0)</f>
        <v>283</v>
      </c>
      <c r="F34" s="437">
        <f>ROUND(SUM('WkB_1_2.5.3'!G$20:G$22)*$L143,0)</f>
        <v>283</v>
      </c>
      <c r="G34" s="437">
        <f>ROUND(SUM('WkB_1_2.5.3'!H$20:H$22)*$L143,0)</f>
        <v>283</v>
      </c>
      <c r="H34" s="437">
        <f>ROUND(SUM('WkB_1_2.5.3'!I$20:I$22)*$L143,0)</f>
        <v>283</v>
      </c>
      <c r="I34" s="437">
        <f>ROUND(SUM('WkB_1_2.5.3'!J$20:J$22)*$L143,0)</f>
        <v>283</v>
      </c>
      <c r="J34" s="437">
        <f>ROUND(SUM('WkB_1_2.5.3'!K$20:K$22)*$L143,0)</f>
        <v>283</v>
      </c>
      <c r="K34" s="438">
        <f>ROUND(SUM('WkB_1_2.5.3'!L$20:L$22)*$L143,0)</f>
        <v>283</v>
      </c>
    </row>
    <row r="35" spans="2:12" customFormat="1" ht="14.25" outlineLevel="2" x14ac:dyDescent="0.45">
      <c r="B35" s="729"/>
      <c r="C35" s="754" t="s">
        <v>564</v>
      </c>
      <c r="D35" s="755" t="s">
        <v>563</v>
      </c>
      <c r="E35" s="314">
        <f>SUM('WkB_1_2.5.3'!F$20:F$22)-E34</f>
        <v>13</v>
      </c>
      <c r="F35" s="315">
        <f>SUM('WkB_1_2.5.3'!G$20:G$22)-F34</f>
        <v>13</v>
      </c>
      <c r="G35" s="315">
        <f>SUM('WkB_1_2.5.3'!H$20:H$22)-G34</f>
        <v>13</v>
      </c>
      <c r="H35" s="315">
        <f>SUM('WkB_1_2.5.3'!I$20:I$22)-H34</f>
        <v>13</v>
      </c>
      <c r="I35" s="315">
        <f>SUM('WkB_1_2.5.3'!J$20:J$22)-I34</f>
        <v>13</v>
      </c>
      <c r="J35" s="315">
        <f>SUM('WkB_1_2.5.3'!K$20:K$22)-J34</f>
        <v>13</v>
      </c>
      <c r="K35" s="316">
        <f>SUM('WkB_1_2.5.3'!L$20:L$22)-K34</f>
        <v>13</v>
      </c>
    </row>
    <row r="36" spans="2:12" customFormat="1" ht="14.25" outlineLevel="2" x14ac:dyDescent="0.45">
      <c r="B36" s="729"/>
      <c r="C36" s="754" t="s">
        <v>565</v>
      </c>
      <c r="D36" s="755" t="s">
        <v>566</v>
      </c>
      <c r="E36" s="503">
        <f>SUM(E34:E35)*$L145</f>
        <v>0.6508862190812722</v>
      </c>
      <c r="F36" s="504">
        <f t="shared" ref="F36" si="15">SUM(F34:F35)*$L145</f>
        <v>0.6508862190812722</v>
      </c>
      <c r="G36" s="504">
        <f t="shared" ref="G36" si="16">SUM(G34:G35)*$L145</f>
        <v>0.6508862190812722</v>
      </c>
      <c r="H36" s="504">
        <f t="shared" ref="H36" si="17">SUM(H34:H35)*$L145</f>
        <v>0.6508862190812722</v>
      </c>
      <c r="I36" s="504">
        <f t="shared" ref="I36" si="18">SUM(I34:I35)*$L145</f>
        <v>0.6508862190812722</v>
      </c>
      <c r="J36" s="504">
        <f t="shared" ref="J36" si="19">SUM(J34:J35)*$L145</f>
        <v>0.6508862190812722</v>
      </c>
      <c r="K36" s="505">
        <f t="shared" ref="K36" si="20">SUM(K34:K35)*$L145</f>
        <v>0.6508862190812722</v>
      </c>
    </row>
    <row r="37" spans="2:12" customFormat="1" ht="14.25" outlineLevel="2" x14ac:dyDescent="0.45">
      <c r="B37" s="729"/>
      <c r="C37" s="754" t="s">
        <v>565</v>
      </c>
      <c r="D37" s="755" t="s">
        <v>563</v>
      </c>
      <c r="E37" s="503">
        <f>SUM(E34:E35)*$L146</f>
        <v>1.6734982332155477</v>
      </c>
      <c r="F37" s="504">
        <f t="shared" ref="F37:K37" si="21">SUM(F34:F35)*$L146</f>
        <v>1.6734982332155477</v>
      </c>
      <c r="G37" s="504">
        <f t="shared" si="21"/>
        <v>1.6734982332155477</v>
      </c>
      <c r="H37" s="504">
        <f t="shared" si="21"/>
        <v>1.6734982332155477</v>
      </c>
      <c r="I37" s="504">
        <f t="shared" si="21"/>
        <v>1.6734982332155477</v>
      </c>
      <c r="J37" s="504">
        <f t="shared" si="21"/>
        <v>1.6734982332155477</v>
      </c>
      <c r="K37" s="505">
        <f t="shared" si="21"/>
        <v>1.6734982332155477</v>
      </c>
    </row>
    <row r="38" spans="2:12" customFormat="1" ht="14.25" outlineLevel="2" x14ac:dyDescent="0.45">
      <c r="B38" s="729"/>
      <c r="C38" s="754" t="s">
        <v>567</v>
      </c>
      <c r="D38" s="755" t="s">
        <v>568</v>
      </c>
      <c r="E38" s="503">
        <f>'WkB_1_2.5.2a'!G22</f>
        <v>383944.30031411821</v>
      </c>
      <c r="F38" s="504">
        <f>'WkB_1_2.5.2a'!H22</f>
        <v>380456.62861302367</v>
      </c>
      <c r="G38" s="504">
        <f>'WkB_1_2.5.2a'!I22</f>
        <v>140352.05965656566</v>
      </c>
      <c r="H38" s="504">
        <f>'WkB_1_2.5.2a'!J22</f>
        <v>141730.92699240509</v>
      </c>
      <c r="I38" s="504">
        <f>'WkB_1_2.5.2a'!K22</f>
        <v>142403.6119145831</v>
      </c>
      <c r="J38" s="504">
        <f>'WkB_1_2.5.2a'!L22</f>
        <v>142808.85547442542</v>
      </c>
      <c r="K38" s="505">
        <f>'WkB_1_2.5.2a'!M22</f>
        <v>143517.75712069013</v>
      </c>
      <c r="L38" s="6" t="str">
        <f>'WkB_1_2.5.2a'!E22</f>
        <v>Complex connection HV (with upstream asset works)</v>
      </c>
    </row>
    <row r="39" spans="2:12" customFormat="1" ht="14.25" outlineLevel="2" x14ac:dyDescent="0.45">
      <c r="B39" s="729"/>
      <c r="C39" s="754" t="s">
        <v>569</v>
      </c>
      <c r="D39" s="755" t="s">
        <v>570</v>
      </c>
      <c r="E39" s="314">
        <f>SUM(E34:E35)*$L148</f>
        <v>0.30082135633181634</v>
      </c>
      <c r="F39" s="315">
        <f t="shared" ref="F39:K39" si="22">SUM(F34:F35)*$L148</f>
        <v>0.30082135633181634</v>
      </c>
      <c r="G39" s="315">
        <f t="shared" si="22"/>
        <v>0.30082135633181634</v>
      </c>
      <c r="H39" s="315">
        <f t="shared" si="22"/>
        <v>0.30082135633181634</v>
      </c>
      <c r="I39" s="315">
        <f t="shared" si="22"/>
        <v>0.30082135633181634</v>
      </c>
      <c r="J39" s="315">
        <f t="shared" si="22"/>
        <v>0.30082135633181634</v>
      </c>
      <c r="K39" s="316">
        <f t="shared" si="22"/>
        <v>0.30082135633181634</v>
      </c>
    </row>
    <row r="40" spans="2:12" customFormat="1" ht="14.25" outlineLevel="2" x14ac:dyDescent="0.45">
      <c r="B40" s="729"/>
      <c r="C40" s="754" t="s">
        <v>571</v>
      </c>
      <c r="D40" s="755" t="s">
        <v>568</v>
      </c>
      <c r="E40" s="314">
        <f>'WkB_1_2.5.2a'!G21</f>
        <v>408250.11707518273</v>
      </c>
      <c r="F40" s="315">
        <f>'WkB_1_2.5.2a'!H21</f>
        <v>404541.65629291104</v>
      </c>
      <c r="G40" s="315">
        <f>'WkB_1_2.5.2a'!I21</f>
        <v>149237.12824922227</v>
      </c>
      <c r="H40" s="315">
        <f>'WkB_1_2.5.2a'!J21</f>
        <v>150703.28558200996</v>
      </c>
      <c r="I40" s="315">
        <f>'WkB_1_2.5.2a'!K21</f>
        <v>151418.55521359248</v>
      </c>
      <c r="J40" s="315">
        <f>'WkB_1_2.5.2a'!L21</f>
        <v>151849.45295218175</v>
      </c>
      <c r="K40" s="316">
        <f>'WkB_1_2.5.2a'!M21</f>
        <v>152603.23202858836</v>
      </c>
      <c r="L40" s="6" t="str">
        <f>'WkB_1_2.5.2a'!E21</f>
        <v>Complex connection HV (no upstream asset works)</v>
      </c>
    </row>
    <row r="41" spans="2:12" customFormat="1" ht="14.25" outlineLevel="2" x14ac:dyDescent="0.45">
      <c r="B41" s="729"/>
      <c r="C41" s="754" t="s">
        <v>572</v>
      </c>
      <c r="D41" s="755" t="s">
        <v>570</v>
      </c>
      <c r="E41" s="314">
        <f>SUM(E34:E35)*$L150</f>
        <v>3.9067816254416958</v>
      </c>
      <c r="F41" s="315">
        <f t="shared" ref="F41:K41" si="23">SUM(F34:F35)*$L150</f>
        <v>3.9067816254416958</v>
      </c>
      <c r="G41" s="315">
        <f t="shared" si="23"/>
        <v>3.9067816254416958</v>
      </c>
      <c r="H41" s="315">
        <f t="shared" si="23"/>
        <v>3.9067816254416958</v>
      </c>
      <c r="I41" s="315">
        <f t="shared" si="23"/>
        <v>3.9067816254416958</v>
      </c>
      <c r="J41" s="315">
        <f t="shared" si="23"/>
        <v>3.9067816254416958</v>
      </c>
      <c r="K41" s="316">
        <f t="shared" si="23"/>
        <v>3.9067816254416958</v>
      </c>
    </row>
    <row r="42" spans="2:12" customFormat="1" ht="14.25" outlineLevel="2" x14ac:dyDescent="0.45">
      <c r="B42" s="729"/>
      <c r="C42" s="754" t="s">
        <v>572</v>
      </c>
      <c r="D42" s="755" t="s">
        <v>568</v>
      </c>
      <c r="E42" s="314">
        <f>'WkB_1_2.5.2a'!G20</f>
        <v>1104858.3203787073</v>
      </c>
      <c r="F42" s="315">
        <f>'WkB_1_2.5.2a'!H20</f>
        <v>1094822.0127826547</v>
      </c>
      <c r="G42" s="315">
        <f>'WkB_1_2.5.2a'!I20</f>
        <v>494775.12333430076</v>
      </c>
      <c r="H42" s="315">
        <f>'WkB_1_2.5.2a'!J20</f>
        <v>499635.96583152504</v>
      </c>
      <c r="I42" s="315">
        <f>'WkB_1_2.5.2a'!K20</f>
        <v>502007.34368055809</v>
      </c>
      <c r="J42" s="315">
        <f>'WkB_1_2.5.2a'!L20</f>
        <v>503435.92572482629</v>
      </c>
      <c r="K42" s="316">
        <f>'WkB_1_2.5.2a'!M20</f>
        <v>505934.97632886277</v>
      </c>
      <c r="L42" s="6" t="str">
        <f>'WkB_1_2.5.2a'!E20</f>
        <v>Complex connection LV</v>
      </c>
    </row>
    <row r="43" spans="2:12" customFormat="1" ht="14.25" outlineLevel="2" x14ac:dyDescent="0.45">
      <c r="B43" s="730"/>
      <c r="C43" s="756" t="s">
        <v>578</v>
      </c>
      <c r="D43" s="757" t="s">
        <v>577</v>
      </c>
      <c r="E43" s="626">
        <f>(E38+E40+E42)/(SUM(E34:E35)*$L152)*0+$N152</f>
        <v>41903.157244932474</v>
      </c>
      <c r="F43" s="534">
        <f t="shared" ref="F43:K43" si="24">(F38+F40+F42)/(SUM(F34:F35)*$L152)*0+$N152</f>
        <v>41903.157244932474</v>
      </c>
      <c r="G43" s="534">
        <f t="shared" si="24"/>
        <v>41903.157244932474</v>
      </c>
      <c r="H43" s="534">
        <f t="shared" si="24"/>
        <v>41903.157244932474</v>
      </c>
      <c r="I43" s="534">
        <f t="shared" si="24"/>
        <v>41903.157244932474</v>
      </c>
      <c r="J43" s="534">
        <f t="shared" si="24"/>
        <v>41903.157244932474</v>
      </c>
      <c r="K43" s="882">
        <f t="shared" si="24"/>
        <v>41903.157244932474</v>
      </c>
    </row>
    <row r="44" spans="2:12" customFormat="1" ht="14.25" outlineLevel="2" x14ac:dyDescent="0.45">
      <c r="B44" s="728" t="s">
        <v>444</v>
      </c>
      <c r="C44" s="762" t="s">
        <v>562</v>
      </c>
      <c r="D44" s="763" t="s">
        <v>563</v>
      </c>
      <c r="E44" s="540">
        <f>ROUND(SUM('WkB_1_2.5.3'!F$23:F$25)*$L153,0)</f>
        <v>1506</v>
      </c>
      <c r="F44" s="437">
        <f>ROUND(SUM('WkB_1_2.5.3'!G$23:G$25)*$L153,0)</f>
        <v>1583</v>
      </c>
      <c r="G44" s="437">
        <f>ROUND(SUM('WkB_1_2.5.3'!H$23:H$25)*$L153,0)</f>
        <v>1663</v>
      </c>
      <c r="H44" s="437">
        <f>ROUND(SUM('WkB_1_2.5.3'!I$23:I$25)*$L153,0)</f>
        <v>1746</v>
      </c>
      <c r="I44" s="437">
        <f>ROUND(SUM('WkB_1_2.5.3'!J$23:J$25)*$L153,0)</f>
        <v>1831</v>
      </c>
      <c r="J44" s="437">
        <f>ROUND(SUM('WkB_1_2.5.3'!K$23:K$25)*$L153,0)</f>
        <v>1918</v>
      </c>
      <c r="K44" s="438">
        <f>ROUND(SUM('WkB_1_2.5.3'!L$23:L$25)*$L153,0)</f>
        <v>2006</v>
      </c>
    </row>
    <row r="45" spans="2:12" customFormat="1" ht="14.25" outlineLevel="2" x14ac:dyDescent="0.45">
      <c r="B45" s="729"/>
      <c r="C45" s="754" t="s">
        <v>564</v>
      </c>
      <c r="D45" s="755" t="s">
        <v>563</v>
      </c>
      <c r="E45" s="314">
        <f>SUM('WkB_1_2.5.3'!F$23:F$25)-E44</f>
        <v>1268.5576281753874</v>
      </c>
      <c r="F45" s="315">
        <f>SUM('WkB_1_2.5.3'!G$23:G$25)-F44</f>
        <v>1332.8927909858803</v>
      </c>
      <c r="G45" s="315">
        <f>SUM('WkB_1_2.5.3'!H$23:H$25)-G44</f>
        <v>1400.1994682198401</v>
      </c>
      <c r="H45" s="315">
        <f>SUM('WkB_1_2.5.3'!I$23:I$25)-H44</f>
        <v>1469.7992451267346</v>
      </c>
      <c r="I45" s="315">
        <f>SUM('WkB_1_2.5.3'!J$23:J$25)-I44</f>
        <v>1541.9335446245177</v>
      </c>
      <c r="J45" s="315">
        <f>SUM('WkB_1_2.5.3'!K$23:K$25)-J44</f>
        <v>1615.226134246876</v>
      </c>
      <c r="K45" s="316">
        <f>SUM('WkB_1_2.5.3'!L$23:L$25)-K44</f>
        <v>1689.5127317620963</v>
      </c>
    </row>
    <row r="46" spans="2:12" customFormat="1" ht="14.25" outlineLevel="2" x14ac:dyDescent="0.45">
      <c r="B46" s="729"/>
      <c r="C46" s="754" t="s">
        <v>565</v>
      </c>
      <c r="D46" s="755" t="s">
        <v>566</v>
      </c>
      <c r="E46" s="503">
        <f>SUM(E44:E45)*$L155</f>
        <v>0</v>
      </c>
      <c r="F46" s="504">
        <f t="shared" ref="F46" si="25">SUM(F44:F45)*$L155</f>
        <v>0</v>
      </c>
      <c r="G46" s="504">
        <f t="shared" ref="G46" si="26">SUM(G44:G45)*$L155</f>
        <v>0</v>
      </c>
      <c r="H46" s="504">
        <f t="shared" ref="H46" si="27">SUM(H44:H45)*$L155</f>
        <v>0</v>
      </c>
      <c r="I46" s="504">
        <f t="shared" ref="I46" si="28">SUM(I44:I45)*$L155</f>
        <v>0</v>
      </c>
      <c r="J46" s="504">
        <f t="shared" ref="J46" si="29">SUM(J44:J45)*$L155</f>
        <v>0</v>
      </c>
      <c r="K46" s="505">
        <f t="shared" ref="K46" si="30">SUM(K44:K45)*$L155</f>
        <v>0</v>
      </c>
    </row>
    <row r="47" spans="2:12" customFormat="1" ht="14.25" outlineLevel="2" x14ac:dyDescent="0.45">
      <c r="B47" s="729"/>
      <c r="C47" s="754" t="s">
        <v>565</v>
      </c>
      <c r="D47" s="755" t="s">
        <v>563</v>
      </c>
      <c r="E47" s="503">
        <f>SUM(E44:E45)*$L156</f>
        <v>0</v>
      </c>
      <c r="F47" s="504">
        <f t="shared" ref="F47:K47" si="31">SUM(F44:F45)*$L156</f>
        <v>0</v>
      </c>
      <c r="G47" s="504">
        <f t="shared" si="31"/>
        <v>0</v>
      </c>
      <c r="H47" s="504">
        <f t="shared" si="31"/>
        <v>0</v>
      </c>
      <c r="I47" s="504">
        <f t="shared" si="31"/>
        <v>0</v>
      </c>
      <c r="J47" s="504">
        <f t="shared" si="31"/>
        <v>0</v>
      </c>
      <c r="K47" s="505">
        <f t="shared" si="31"/>
        <v>0</v>
      </c>
    </row>
    <row r="48" spans="2:12" customFormat="1" ht="14.25" outlineLevel="2" x14ac:dyDescent="0.45">
      <c r="B48" s="729"/>
      <c r="C48" s="754" t="s">
        <v>567</v>
      </c>
      <c r="D48" s="755" t="s">
        <v>579</v>
      </c>
      <c r="E48" s="503">
        <v>0</v>
      </c>
      <c r="F48" s="504">
        <v>0</v>
      </c>
      <c r="G48" s="504">
        <v>0</v>
      </c>
      <c r="H48" s="504">
        <v>0</v>
      </c>
      <c r="I48" s="504">
        <v>0</v>
      </c>
      <c r="J48" s="504">
        <v>0</v>
      </c>
      <c r="K48" s="505">
        <v>0</v>
      </c>
    </row>
    <row r="49" spans="1:12" customFormat="1" ht="14.25" outlineLevel="2" x14ac:dyDescent="0.45">
      <c r="B49" s="729"/>
      <c r="C49" s="754" t="s">
        <v>569</v>
      </c>
      <c r="D49" s="755" t="s">
        <v>570</v>
      </c>
      <c r="E49" s="314">
        <f>SUM(E44:E45)*$L158</f>
        <v>0</v>
      </c>
      <c r="F49" s="315">
        <f t="shared" ref="F49:K49" si="32">SUM(F44:F45)*$L158</f>
        <v>0</v>
      </c>
      <c r="G49" s="315">
        <f t="shared" si="32"/>
        <v>0</v>
      </c>
      <c r="H49" s="315">
        <f t="shared" si="32"/>
        <v>0</v>
      </c>
      <c r="I49" s="315">
        <f t="shared" si="32"/>
        <v>0</v>
      </c>
      <c r="J49" s="315">
        <f t="shared" si="32"/>
        <v>0</v>
      </c>
      <c r="K49" s="316">
        <f t="shared" si="32"/>
        <v>0</v>
      </c>
    </row>
    <row r="50" spans="1:12" customFormat="1" ht="14.25" outlineLevel="2" x14ac:dyDescent="0.45">
      <c r="B50" s="729"/>
      <c r="C50" s="754" t="s">
        <v>571</v>
      </c>
      <c r="D50" s="755" t="s">
        <v>568</v>
      </c>
      <c r="E50" s="314">
        <f>'WkB_1_2.5.2a'!G24+'WkB_1_2.5.2a'!G25</f>
        <v>0</v>
      </c>
      <c r="F50" s="315">
        <f>'WkB_1_2.5.2a'!H24+'WkB_1_2.5.2a'!H25</f>
        <v>0</v>
      </c>
      <c r="G50" s="315">
        <f>'WkB_1_2.5.2a'!I24+'WkB_1_2.5.2a'!I25</f>
        <v>0</v>
      </c>
      <c r="H50" s="315">
        <f>'WkB_1_2.5.2a'!J24+'WkB_1_2.5.2a'!J25</f>
        <v>0</v>
      </c>
      <c r="I50" s="315">
        <f>'WkB_1_2.5.2a'!K24+'WkB_1_2.5.2a'!K25</f>
        <v>0</v>
      </c>
      <c r="J50" s="315">
        <f>'WkB_1_2.5.2a'!L24+'WkB_1_2.5.2a'!L25</f>
        <v>0</v>
      </c>
      <c r="K50" s="316">
        <f>'WkB_1_2.5.2a'!M24+'WkB_1_2.5.2a'!M25</f>
        <v>0</v>
      </c>
      <c r="L50" s="6" t="str">
        <f>'WkB_1_2.5.2a'!E24&amp;", "&amp;'WkB_1_2.5.2a'!E25</f>
        <v>Complex connection HV (small capacity), Complex connection HV (large capacity)</v>
      </c>
    </row>
    <row r="51" spans="1:12" customFormat="1" ht="14.25" outlineLevel="2" x14ac:dyDescent="0.45">
      <c r="B51" s="729"/>
      <c r="C51" s="754" t="s">
        <v>572</v>
      </c>
      <c r="D51" s="755" t="s">
        <v>570</v>
      </c>
      <c r="E51" s="314">
        <f>SUM(E44:E45)*$L160</f>
        <v>0</v>
      </c>
      <c r="F51" s="315">
        <f t="shared" ref="F51:K51" si="33">SUM(F44:F45)*$L160</f>
        <v>0</v>
      </c>
      <c r="G51" s="315">
        <f t="shared" si="33"/>
        <v>0</v>
      </c>
      <c r="H51" s="315">
        <f t="shared" si="33"/>
        <v>0</v>
      </c>
      <c r="I51" s="315">
        <f t="shared" si="33"/>
        <v>0</v>
      </c>
      <c r="J51" s="315">
        <f t="shared" si="33"/>
        <v>0</v>
      </c>
      <c r="K51" s="316">
        <f t="shared" si="33"/>
        <v>0</v>
      </c>
    </row>
    <row r="52" spans="1:12" customFormat="1" ht="14.65" outlineLevel="2" thickBot="1" x14ac:dyDescent="0.5">
      <c r="B52" s="731"/>
      <c r="C52" s="764" t="s">
        <v>572</v>
      </c>
      <c r="D52" s="765" t="s">
        <v>568</v>
      </c>
      <c r="E52" s="317">
        <f>'WkB_1_2.5.2a'!G23</f>
        <v>0</v>
      </c>
      <c r="F52" s="318">
        <f>'WkB_1_2.5.2a'!H23</f>
        <v>0</v>
      </c>
      <c r="G52" s="318">
        <f>'WkB_1_2.5.2a'!I23</f>
        <v>0</v>
      </c>
      <c r="H52" s="318">
        <f>'WkB_1_2.5.2a'!J23</f>
        <v>0</v>
      </c>
      <c r="I52" s="318">
        <f>'WkB_1_2.5.2a'!K23</f>
        <v>0</v>
      </c>
      <c r="J52" s="318">
        <f>'WkB_1_2.5.2a'!L23</f>
        <v>0</v>
      </c>
      <c r="K52" s="319">
        <f>'WkB_1_2.5.2a'!M23</f>
        <v>0</v>
      </c>
      <c r="L52" s="6" t="str">
        <f>'WkB_1_2.5.2a'!E23</f>
        <v>Simple connection LV</v>
      </c>
    </row>
    <row r="53" spans="1:12" customFormat="1" ht="10.5" outlineLevel="1" thickBot="1" x14ac:dyDescent="0.35"/>
    <row r="54" spans="1:12" s="724" customFormat="1" ht="15.4" outlineLevel="1" thickBot="1" x14ac:dyDescent="0.4">
      <c r="A54" s="723"/>
      <c r="B54" s="426" t="s">
        <v>580</v>
      </c>
      <c r="C54" s="427"/>
      <c r="D54" s="427"/>
      <c r="E54" s="427"/>
      <c r="F54" s="427"/>
      <c r="G54" s="427"/>
      <c r="H54" s="427"/>
      <c r="I54" s="427"/>
      <c r="J54" s="427"/>
      <c r="K54" s="428"/>
    </row>
    <row r="55" spans="1:12" customFormat="1" ht="32.1" customHeight="1" outlineLevel="2" x14ac:dyDescent="0.35">
      <c r="A55" s="723"/>
      <c r="B55" s="1059" t="s">
        <v>429</v>
      </c>
      <c r="C55" s="1059" t="s">
        <v>559</v>
      </c>
      <c r="D55" s="1061" t="s">
        <v>560</v>
      </c>
      <c r="E55" s="1063" t="s">
        <v>561</v>
      </c>
      <c r="F55" s="1063"/>
      <c r="G55" s="1063"/>
      <c r="H55" s="1063"/>
      <c r="I55" s="1063"/>
      <c r="J55" s="1063"/>
      <c r="K55" s="1064"/>
    </row>
    <row r="56" spans="1:12" s="732" customFormat="1" ht="14.65" outlineLevel="2" thickBot="1" x14ac:dyDescent="0.4">
      <c r="A56" s="723"/>
      <c r="B56" s="1060"/>
      <c r="C56" s="1060"/>
      <c r="D56" s="1062"/>
      <c r="E56" s="748" t="s">
        <v>70</v>
      </c>
      <c r="F56" s="749" t="s">
        <v>71</v>
      </c>
      <c r="G56" s="749" t="s">
        <v>72</v>
      </c>
      <c r="H56" s="749" t="s">
        <v>73</v>
      </c>
      <c r="I56" s="749" t="s">
        <v>74</v>
      </c>
      <c r="J56" s="749" t="s">
        <v>82</v>
      </c>
      <c r="K56" s="761" t="s">
        <v>243</v>
      </c>
    </row>
    <row r="57" spans="1:12" s="732" customFormat="1" ht="14.25" outlineLevel="2" x14ac:dyDescent="0.45">
      <c r="A57" s="723"/>
      <c r="B57" s="725" t="s">
        <v>432</v>
      </c>
      <c r="C57" s="733" t="s">
        <v>562</v>
      </c>
      <c r="D57" s="734" t="s">
        <v>563</v>
      </c>
      <c r="E57" s="311">
        <f>ROUND(SUM('WkB_1_2.5.3'!F$33:F$35)*$L166,0)</f>
        <v>130</v>
      </c>
      <c r="F57" s="315">
        <f>ROUND(SUM('WkB_1_2.5.3'!G$33:G$35)*$L166,0)</f>
        <v>131</v>
      </c>
      <c r="G57" s="315">
        <f>ROUND(SUM('WkB_1_2.5.3'!H$33:H$35)*$L166,0)</f>
        <v>132</v>
      </c>
      <c r="H57" s="315">
        <f>ROUND(SUM('WkB_1_2.5.3'!I$33:I$35)*$L166,0)</f>
        <v>133</v>
      </c>
      <c r="I57" s="315">
        <f>ROUND(SUM('WkB_1_2.5.3'!J$33:J$35)*$L166,0)</f>
        <v>134</v>
      </c>
      <c r="J57" s="315">
        <f>ROUND(SUM('WkB_1_2.5.3'!K$33:K$35)*$L166,0)</f>
        <v>136</v>
      </c>
      <c r="K57" s="316">
        <f>ROUND(SUM('WkB_1_2.5.3'!L$33:L$35)*$L166,0)</f>
        <v>137</v>
      </c>
    </row>
    <row r="58" spans="1:12" s="732" customFormat="1" ht="14.25" outlineLevel="2" x14ac:dyDescent="0.45">
      <c r="A58" s="723"/>
      <c r="B58" s="726"/>
      <c r="C58" s="735" t="s">
        <v>564</v>
      </c>
      <c r="D58" s="736" t="s">
        <v>563</v>
      </c>
      <c r="E58" s="314">
        <f>SUM('WkB_1_2.5.3'!F$33:F$35)-E57</f>
        <v>83.068358188594658</v>
      </c>
      <c r="F58" s="315">
        <f>SUM('WkB_1_2.5.3'!G$33:G$35)-F57</f>
        <v>83.995553869858782</v>
      </c>
      <c r="G58" s="315">
        <f>SUM('WkB_1_2.5.3'!H$33:H$35)-G57</f>
        <v>84.922749551122877</v>
      </c>
      <c r="H58" s="315">
        <f>SUM('WkB_1_2.5.3'!I$33:I$35)-H57</f>
        <v>85.849945232387455</v>
      </c>
      <c r="I58" s="315">
        <f>SUM('WkB_1_2.5.3'!J$33:J$35)-I57</f>
        <v>86.777140913651579</v>
      </c>
      <c r="J58" s="315">
        <f>SUM('WkB_1_2.5.3'!K$33:K$35)-J57</f>
        <v>86.704336594915674</v>
      </c>
      <c r="K58" s="316">
        <f>SUM('WkB_1_2.5.3'!L$33:L$35)-K57</f>
        <v>87.631532276179769</v>
      </c>
    </row>
    <row r="59" spans="1:12" s="732" customFormat="1" ht="14.25" outlineLevel="2" x14ac:dyDescent="0.45">
      <c r="A59" s="723"/>
      <c r="B59" s="726"/>
      <c r="C59" s="737" t="s">
        <v>565</v>
      </c>
      <c r="D59" s="738" t="s">
        <v>566</v>
      </c>
      <c r="E59" s="503">
        <f>SUM(E57:E58)*$L168</f>
        <v>0.83593459796918868</v>
      </c>
      <c r="F59" s="504">
        <f t="shared" ref="F59:K59" si="34">SUM(F57:F58)*$L168</f>
        <v>0.84349559651783057</v>
      </c>
      <c r="G59" s="504">
        <f t="shared" si="34"/>
        <v>0.85105659506647235</v>
      </c>
      <c r="H59" s="504">
        <f t="shared" si="34"/>
        <v>0.85861759361511603</v>
      </c>
      <c r="I59" s="504">
        <f t="shared" si="34"/>
        <v>0.86617859216375803</v>
      </c>
      <c r="J59" s="504">
        <f t="shared" si="34"/>
        <v>0.87373959071239982</v>
      </c>
      <c r="K59" s="505">
        <f t="shared" si="34"/>
        <v>0.8813005892610416</v>
      </c>
    </row>
    <row r="60" spans="1:12" s="732" customFormat="1" ht="14.25" outlineLevel="2" x14ac:dyDescent="0.45">
      <c r="A60" s="723"/>
      <c r="B60" s="726"/>
      <c r="C60" s="735" t="s">
        <v>565</v>
      </c>
      <c r="D60" s="736" t="s">
        <v>563</v>
      </c>
      <c r="E60" s="503">
        <f>SUM(E57:E58)*$L169</f>
        <v>2.6540239244978703</v>
      </c>
      <c r="F60" s="504">
        <f t="shared" ref="F60:K60" si="35">SUM(F57:F58)*$L169</f>
        <v>2.6780294759966838</v>
      </c>
      <c r="G60" s="504">
        <f t="shared" si="35"/>
        <v>2.702035027495497</v>
      </c>
      <c r="H60" s="504">
        <f t="shared" si="35"/>
        <v>2.7260405789943163</v>
      </c>
      <c r="I60" s="504">
        <f t="shared" si="35"/>
        <v>2.7500461304931298</v>
      </c>
      <c r="J60" s="504">
        <f t="shared" si="35"/>
        <v>2.774051681991943</v>
      </c>
      <c r="K60" s="505">
        <f t="shared" si="35"/>
        <v>2.7980572334907561</v>
      </c>
    </row>
    <row r="61" spans="1:12" s="732" customFormat="1" ht="14.25" outlineLevel="2" x14ac:dyDescent="0.45">
      <c r="A61" s="723"/>
      <c r="B61" s="726"/>
      <c r="C61" s="735" t="s">
        <v>567</v>
      </c>
      <c r="D61" s="736" t="s">
        <v>568</v>
      </c>
      <c r="E61" s="503">
        <f>'WkB_1_2.5.2b'!G12</f>
        <v>239133.71333417553</v>
      </c>
      <c r="F61" s="504">
        <f>'WkB_1_2.5.2b'!H12</f>
        <v>241092.07124301797</v>
      </c>
      <c r="G61" s="504">
        <f>'WkB_1_2.5.2b'!I12</f>
        <v>246118.34257615238</v>
      </c>
      <c r="H61" s="504">
        <f>'WkB_1_2.5.2b'!J12</f>
        <v>250910.82997267912</v>
      </c>
      <c r="I61" s="504">
        <f>'WkB_1_2.5.2b'!K12</f>
        <v>254487.51122353366</v>
      </c>
      <c r="J61" s="504">
        <f>'WkB_1_2.5.2b'!L12</f>
        <v>257604.3111681584</v>
      </c>
      <c r="K61" s="505">
        <f>'WkB_1_2.5.2b'!M12</f>
        <v>261287.52787992108</v>
      </c>
      <c r="L61" s="732" t="str">
        <f>L16</f>
        <v>Simple connection LV</v>
      </c>
    </row>
    <row r="62" spans="1:12" s="732" customFormat="1" ht="14.25" outlineLevel="2" x14ac:dyDescent="0.45">
      <c r="A62" s="723"/>
      <c r="B62" s="726"/>
      <c r="C62" s="735" t="s">
        <v>569</v>
      </c>
      <c r="D62" s="736" t="s">
        <v>570</v>
      </c>
      <c r="E62" s="314">
        <f>SUM(E57:E58)*$L171</f>
        <v>0.10043821789271629</v>
      </c>
      <c r="F62" s="315">
        <f t="shared" ref="F62:K62" si="36">SUM(F57:F58)*$L171</f>
        <v>0.10134667798224951</v>
      </c>
      <c r="G62" s="315">
        <f t="shared" si="36"/>
        <v>0.10225513807178273</v>
      </c>
      <c r="H62" s="315">
        <f t="shared" si="36"/>
        <v>0.10316359816131616</v>
      </c>
      <c r="I62" s="315">
        <f t="shared" si="36"/>
        <v>0.10407205825084939</v>
      </c>
      <c r="J62" s="315">
        <f t="shared" si="36"/>
        <v>0.10498051834038259</v>
      </c>
      <c r="K62" s="316">
        <f t="shared" si="36"/>
        <v>0.10588897842991581</v>
      </c>
    </row>
    <row r="63" spans="1:12" s="732" customFormat="1" ht="14.25" outlineLevel="2" x14ac:dyDescent="0.45">
      <c r="A63" s="723"/>
      <c r="B63" s="726"/>
      <c r="C63" s="735" t="s">
        <v>571</v>
      </c>
      <c r="D63" s="736" t="s">
        <v>568</v>
      </c>
      <c r="E63" s="314">
        <f>'WkB_1_2.5.2b'!G14</f>
        <v>300809.66850229178</v>
      </c>
      <c r="F63" s="315">
        <f>'WkB_1_2.5.2b'!H14</f>
        <v>300347.66928373132</v>
      </c>
      <c r="G63" s="315">
        <f>'WkB_1_2.5.2b'!I14</f>
        <v>303679.92789713555</v>
      </c>
      <c r="H63" s="315">
        <f>'WkB_1_2.5.2b'!J14</f>
        <v>306663.38488488522</v>
      </c>
      <c r="I63" s="315">
        <f>'WkB_1_2.5.2b'!K14</f>
        <v>308118.87409654597</v>
      </c>
      <c r="J63" s="315">
        <f>'WkB_1_2.5.2b'!L14</f>
        <v>308995.70009635558</v>
      </c>
      <c r="K63" s="316">
        <f>'WkB_1_2.5.2b'!M14</f>
        <v>310529.551479446</v>
      </c>
      <c r="L63" s="732" t="str">
        <f>L18</f>
        <v>Complex connection HV</v>
      </c>
    </row>
    <row r="64" spans="1:12" s="732" customFormat="1" ht="14.25" outlineLevel="2" x14ac:dyDescent="0.45">
      <c r="A64" s="723"/>
      <c r="B64" s="726"/>
      <c r="C64" s="735" t="s">
        <v>572</v>
      </c>
      <c r="D64" s="736" t="s">
        <v>570</v>
      </c>
      <c r="E64" s="314">
        <f>SUM(E57:E58)*$L173</f>
        <v>3.4249349363168622</v>
      </c>
      <c r="F64" s="315">
        <f t="shared" ref="F64:K64" si="37">SUM(F57:F58)*$L173</f>
        <v>3.4559133503525965</v>
      </c>
      <c r="G64" s="315">
        <f t="shared" si="37"/>
        <v>3.4868917643883308</v>
      </c>
      <c r="H64" s="315">
        <f t="shared" si="37"/>
        <v>3.5178701784240727</v>
      </c>
      <c r="I64" s="315">
        <f t="shared" si="37"/>
        <v>3.548848592459807</v>
      </c>
      <c r="J64" s="315">
        <f t="shared" si="37"/>
        <v>3.5798270064955413</v>
      </c>
      <c r="K64" s="316">
        <f t="shared" si="37"/>
        <v>3.6108054205312752</v>
      </c>
    </row>
    <row r="65" spans="1:12" s="732" customFormat="1" ht="14.25" outlineLevel="2" x14ac:dyDescent="0.45">
      <c r="A65" s="723"/>
      <c r="B65" s="726"/>
      <c r="C65" s="739" t="s">
        <v>572</v>
      </c>
      <c r="D65" s="736" t="s">
        <v>568</v>
      </c>
      <c r="E65" s="314">
        <f>'WkB_1_2.5.2b'!G13</f>
        <v>92626.09971181002</v>
      </c>
      <c r="F65" s="315">
        <f>'WkB_1_2.5.2b'!H13</f>
        <v>92731.181913561624</v>
      </c>
      <c r="G65" s="315">
        <f>'WkB_1_2.5.2b'!I13</f>
        <v>94010.090269461318</v>
      </c>
      <c r="H65" s="315">
        <f>'WkB_1_2.5.2b'!J13</f>
        <v>95186.221342657023</v>
      </c>
      <c r="I65" s="315">
        <f>'WkB_1_2.5.2b'!K13</f>
        <v>95891.737207714774</v>
      </c>
      <c r="J65" s="315">
        <f>'WkB_1_2.5.2b'!L13</f>
        <v>96419.084128738046</v>
      </c>
      <c r="K65" s="316">
        <f>'WkB_1_2.5.2b'!M13</f>
        <v>97153.434630631236</v>
      </c>
      <c r="L65" s="732" t="str">
        <f>L20</f>
        <v>Complex connection LV</v>
      </c>
    </row>
    <row r="66" spans="1:12" s="732" customFormat="1" ht="14.25" outlineLevel="2" x14ac:dyDescent="0.45">
      <c r="A66" s="723"/>
      <c r="B66" s="726"/>
      <c r="C66" s="886" t="s">
        <v>573</v>
      </c>
      <c r="D66" s="736" t="s">
        <v>563</v>
      </c>
      <c r="E66" s="503">
        <f>$L130</f>
        <v>3.2737995213295981</v>
      </c>
      <c r="F66" s="504">
        <f t="shared" ref="F66:K66" si="38">$L130</f>
        <v>3.2737995213295981</v>
      </c>
      <c r="G66" s="504">
        <f t="shared" si="38"/>
        <v>3.2737995213295981</v>
      </c>
      <c r="H66" s="504">
        <f t="shared" si="38"/>
        <v>3.2737995213295981</v>
      </c>
      <c r="I66" s="504">
        <f t="shared" si="38"/>
        <v>3.2737995213295981</v>
      </c>
      <c r="J66" s="504">
        <f t="shared" si="38"/>
        <v>3.2737995213295981</v>
      </c>
      <c r="K66" s="505">
        <f t="shared" si="38"/>
        <v>3.2737995213295981</v>
      </c>
    </row>
    <row r="67" spans="1:12" s="732" customFormat="1" ht="14.25" outlineLevel="2" x14ac:dyDescent="0.45">
      <c r="A67" s="723"/>
      <c r="B67" s="726"/>
      <c r="C67" s="737" t="s">
        <v>574</v>
      </c>
      <c r="D67" s="736" t="s">
        <v>563</v>
      </c>
      <c r="E67" s="503">
        <f t="shared" ref="E67:K69" si="39">$L131</f>
        <v>2043.7142857142858</v>
      </c>
      <c r="F67" s="504">
        <f t="shared" si="39"/>
        <v>2043.7142857142858</v>
      </c>
      <c r="G67" s="504">
        <f t="shared" si="39"/>
        <v>2043.7142857142858</v>
      </c>
      <c r="H67" s="504">
        <f t="shared" si="39"/>
        <v>2043.7142857142858</v>
      </c>
      <c r="I67" s="504">
        <f t="shared" si="39"/>
        <v>2043.7142857142858</v>
      </c>
      <c r="J67" s="504">
        <f t="shared" si="39"/>
        <v>2043.7142857142858</v>
      </c>
      <c r="K67" s="505">
        <f t="shared" si="39"/>
        <v>2043.7142857142858</v>
      </c>
    </row>
    <row r="68" spans="1:12" s="732" customFormat="1" ht="26.25" outlineLevel="2" x14ac:dyDescent="0.45">
      <c r="A68" s="723"/>
      <c r="B68" s="726"/>
      <c r="C68" s="740" t="s">
        <v>575</v>
      </c>
      <c r="D68" s="736" t="s">
        <v>563</v>
      </c>
      <c r="E68" s="503">
        <f t="shared" si="39"/>
        <v>11.714285714285714</v>
      </c>
      <c r="F68" s="504">
        <f t="shared" si="39"/>
        <v>11.714285714285714</v>
      </c>
      <c r="G68" s="504">
        <f t="shared" si="39"/>
        <v>11.714285714285714</v>
      </c>
      <c r="H68" s="504">
        <f t="shared" si="39"/>
        <v>11.714285714285714</v>
      </c>
      <c r="I68" s="504">
        <f t="shared" si="39"/>
        <v>11.714285714285714</v>
      </c>
      <c r="J68" s="504">
        <f t="shared" si="39"/>
        <v>11.714285714285714</v>
      </c>
      <c r="K68" s="505">
        <f t="shared" si="39"/>
        <v>11.714285714285714</v>
      </c>
    </row>
    <row r="69" spans="1:12" s="732" customFormat="1" ht="14.25" outlineLevel="2" x14ac:dyDescent="0.45">
      <c r="A69" s="723"/>
      <c r="B69" s="727"/>
      <c r="C69" s="741" t="s">
        <v>576</v>
      </c>
      <c r="D69" s="742" t="s">
        <v>577</v>
      </c>
      <c r="E69" s="626">
        <f t="shared" si="39"/>
        <v>198191.85714285713</v>
      </c>
      <c r="F69" s="534">
        <f t="shared" si="39"/>
        <v>198191.85714285713</v>
      </c>
      <c r="G69" s="534">
        <f t="shared" si="39"/>
        <v>198191.85714285713</v>
      </c>
      <c r="H69" s="534">
        <f t="shared" si="39"/>
        <v>198191.85714285713</v>
      </c>
      <c r="I69" s="534">
        <f t="shared" si="39"/>
        <v>198191.85714285713</v>
      </c>
      <c r="J69" s="534">
        <f t="shared" si="39"/>
        <v>198191.85714285713</v>
      </c>
      <c r="K69" s="882">
        <f t="shared" si="39"/>
        <v>198191.85714285713</v>
      </c>
    </row>
    <row r="70" spans="1:12" s="732" customFormat="1" ht="14.25" outlineLevel="2" x14ac:dyDescent="0.45">
      <c r="A70" s="723"/>
      <c r="B70" s="728" t="s">
        <v>436</v>
      </c>
      <c r="C70" s="743" t="s">
        <v>562</v>
      </c>
      <c r="D70" s="744" t="s">
        <v>563</v>
      </c>
      <c r="E70" s="540">
        <f>ROUND(SUM('WkB_1_2.5.3'!F$36:F$40)*$L179,0)</f>
        <v>40</v>
      </c>
      <c r="F70" s="437">
        <f>ROUND(SUM('WkB_1_2.5.3'!G$36:G$40)*$L179,0)</f>
        <v>40</v>
      </c>
      <c r="G70" s="437">
        <f>ROUND(SUM('WkB_1_2.5.3'!H$36:H$40)*$L179,0)</f>
        <v>18</v>
      </c>
      <c r="H70" s="437">
        <f>ROUND(SUM('WkB_1_2.5.3'!I$36:I$40)*$L179,0)</f>
        <v>19</v>
      </c>
      <c r="I70" s="437">
        <f>ROUND(SUM('WkB_1_2.5.3'!J$36:J$40)*$L179,0)</f>
        <v>19</v>
      </c>
      <c r="J70" s="437">
        <f>ROUND(SUM('WkB_1_2.5.3'!K$36:K$40)*$L179,0)</f>
        <v>20</v>
      </c>
      <c r="K70" s="438">
        <f>ROUND(SUM('WkB_1_2.5.3'!L$36:L$40)*$L179,0)</f>
        <v>20</v>
      </c>
    </row>
    <row r="71" spans="1:12" s="732" customFormat="1" ht="14.25" outlineLevel="2" x14ac:dyDescent="0.45">
      <c r="A71" s="723"/>
      <c r="B71" s="729"/>
      <c r="C71" s="735" t="s">
        <v>564</v>
      </c>
      <c r="D71" s="736" t="s">
        <v>563</v>
      </c>
      <c r="E71" s="314">
        <f>SUM('WkB_1_2.5.3'!F$36:F$40)-E70</f>
        <v>22.049973945889185</v>
      </c>
      <c r="F71" s="315">
        <f>SUM('WkB_1_2.5.3'!G$36:G$40)-F70</f>
        <v>22.305430616803278</v>
      </c>
      <c r="G71" s="315">
        <f>SUM('WkB_1_2.5.3'!H$36:H$40)-G70</f>
        <v>9.8937038217368922</v>
      </c>
      <c r="H71" s="315">
        <f>SUM('WkB_1_2.5.3'!I$36:I$40)-H70</f>
        <v>9.7085583433690772</v>
      </c>
      <c r="I71" s="315">
        <f>SUM('WkB_1_2.5.3'!J$36:J$40)-I70</f>
        <v>10.544766019906433</v>
      </c>
      <c r="J71" s="315">
        <f>SUM('WkB_1_2.5.3'!K$36:K$40)-J70</f>
        <v>10.40289656620655</v>
      </c>
      <c r="K71" s="316">
        <f>SUM('WkB_1_2.5.3'!L$36:L$40)-K70</f>
        <v>11.283535130279233</v>
      </c>
    </row>
    <row r="72" spans="1:12" s="732" customFormat="1" ht="14.25" outlineLevel="2" x14ac:dyDescent="0.45">
      <c r="A72" s="723"/>
      <c r="B72" s="729"/>
      <c r="C72" s="737" t="s">
        <v>565</v>
      </c>
      <c r="D72" s="738" t="s">
        <v>566</v>
      </c>
      <c r="E72" s="503">
        <f>SUM(E70:E71)*$L181</f>
        <v>4.485952119111082</v>
      </c>
      <c r="F72" s="504">
        <f t="shared" ref="F72" si="40">SUM(F70:F71)*$L181</f>
        <v>4.5044205619057145</v>
      </c>
      <c r="G72" s="504">
        <f t="shared" ref="G72" si="41">SUM(G70:G71)*$L181</f>
        <v>2.0165974586564244</v>
      </c>
      <c r="H72" s="504">
        <f t="shared" ref="H72" si="42">SUM(H70:H71)*$L181</f>
        <v>2.0755080130955101</v>
      </c>
      <c r="I72" s="504">
        <f t="shared" ref="I72" si="43">SUM(I70:I71)*$L181</f>
        <v>2.135962310817713</v>
      </c>
      <c r="J72" s="504">
        <f t="shared" ref="J72" si="44">SUM(J70:J71)*$L181</f>
        <v>2.1980015398108783</v>
      </c>
      <c r="K72" s="505">
        <f t="shared" ref="K72" si="45">SUM(K70:K71)*$L181</f>
        <v>2.2616680038148411</v>
      </c>
    </row>
    <row r="73" spans="1:12" s="732" customFormat="1" ht="14.25" outlineLevel="2" x14ac:dyDescent="0.45">
      <c r="A73" s="723"/>
      <c r="B73" s="729"/>
      <c r="C73" s="735" t="s">
        <v>565</v>
      </c>
      <c r="D73" s="736" t="s">
        <v>563</v>
      </c>
      <c r="E73" s="503">
        <f>SUM(E70:E71)*$L182</f>
        <v>6.4828330988242433</v>
      </c>
      <c r="F73" s="504">
        <f t="shared" ref="F73:K73" si="46">SUM(F70:F71)*$L182</f>
        <v>6.5095226017555659</v>
      </c>
      <c r="G73" s="504">
        <f t="shared" si="46"/>
        <v>2.9142675634650481</v>
      </c>
      <c r="H73" s="504">
        <f t="shared" si="46"/>
        <v>2.9994016179639331</v>
      </c>
      <c r="I73" s="504">
        <f t="shared" si="46"/>
        <v>3.0867665990947017</v>
      </c>
      <c r="J73" s="504">
        <f t="shared" si="46"/>
        <v>3.1764220293051619</v>
      </c>
      <c r="K73" s="505">
        <f t="shared" si="46"/>
        <v>3.2684290434620094</v>
      </c>
    </row>
    <row r="74" spans="1:12" s="732" customFormat="1" ht="14.25" outlineLevel="2" x14ac:dyDescent="0.45">
      <c r="A74" s="723"/>
      <c r="B74" s="729"/>
      <c r="C74" s="735" t="s">
        <v>567</v>
      </c>
      <c r="D74" s="736" t="s">
        <v>568</v>
      </c>
      <c r="E74" s="503">
        <f>'WkB_1_2.5.2b'!G19</f>
        <v>0</v>
      </c>
      <c r="F74" s="504">
        <f>'WkB_1_2.5.2b'!H19</f>
        <v>0</v>
      </c>
      <c r="G74" s="504">
        <f>'WkB_1_2.5.2b'!I19</f>
        <v>0</v>
      </c>
      <c r="H74" s="504">
        <f>'WkB_1_2.5.2b'!J19</f>
        <v>0</v>
      </c>
      <c r="I74" s="504">
        <f>'WkB_1_2.5.2b'!K19</f>
        <v>0</v>
      </c>
      <c r="J74" s="504">
        <f>'WkB_1_2.5.2b'!L19</f>
        <v>0</v>
      </c>
      <c r="K74" s="505">
        <f>'WkB_1_2.5.2b'!M19</f>
        <v>0</v>
      </c>
      <c r="L74" s="732" t="str">
        <f>L29</f>
        <v>Complex connection sub-transmission</v>
      </c>
    </row>
    <row r="75" spans="1:12" s="732" customFormat="1" ht="14.25" outlineLevel="2" x14ac:dyDescent="0.45">
      <c r="A75" s="723"/>
      <c r="B75" s="729"/>
      <c r="C75" s="932" t="s">
        <v>569</v>
      </c>
      <c r="D75" s="736" t="s">
        <v>570</v>
      </c>
      <c r="E75" s="760"/>
      <c r="F75" s="759"/>
      <c r="G75" s="759"/>
      <c r="H75" s="759"/>
      <c r="I75" s="759"/>
      <c r="J75" s="759"/>
      <c r="K75" s="900"/>
      <c r="L75" s="732" t="s">
        <v>828</v>
      </c>
    </row>
    <row r="76" spans="1:12" s="732" customFormat="1" ht="14.25" outlineLevel="2" x14ac:dyDescent="0.45">
      <c r="A76" s="723"/>
      <c r="B76" s="729"/>
      <c r="C76" s="932" t="s">
        <v>571</v>
      </c>
      <c r="D76" s="736" t="s">
        <v>568</v>
      </c>
      <c r="E76" s="760"/>
      <c r="F76" s="759"/>
      <c r="G76" s="759"/>
      <c r="H76" s="759"/>
      <c r="I76" s="759"/>
      <c r="J76" s="759"/>
      <c r="K76" s="900"/>
      <c r="L76" s="732" t="s">
        <v>828</v>
      </c>
    </row>
    <row r="77" spans="1:12" s="732" customFormat="1" ht="14.25" outlineLevel="2" x14ac:dyDescent="0.45">
      <c r="A77" s="723"/>
      <c r="B77" s="729"/>
      <c r="C77" s="735" t="s">
        <v>572</v>
      </c>
      <c r="D77" s="736" t="s">
        <v>570</v>
      </c>
      <c r="E77" s="314">
        <f>SUM(E70:E71)*$L186</f>
        <v>1.115468256186005</v>
      </c>
      <c r="F77" s="315">
        <f t="shared" ref="F77:K77" si="47">SUM(F70:F71)*$L186</f>
        <v>1.1200605837747986</v>
      </c>
      <c r="G77" s="315">
        <f t="shared" si="47"/>
        <v>0.50144325906945997</v>
      </c>
      <c r="H77" s="315">
        <f t="shared" si="47"/>
        <v>0.51609184462862534</v>
      </c>
      <c r="I77" s="315">
        <f t="shared" si="47"/>
        <v>0.53112429443384024</v>
      </c>
      <c r="J77" s="315">
        <f t="shared" si="47"/>
        <v>0.54655085021122185</v>
      </c>
      <c r="K77" s="316">
        <f t="shared" si="47"/>
        <v>0.5623820311276384</v>
      </c>
    </row>
    <row r="78" spans="1:12" s="732" customFormat="1" ht="14.25" outlineLevel="2" x14ac:dyDescent="0.45">
      <c r="A78" s="723"/>
      <c r="B78" s="730"/>
      <c r="C78" s="739" t="s">
        <v>572</v>
      </c>
      <c r="D78" s="736" t="s">
        <v>568</v>
      </c>
      <c r="E78" s="628">
        <f>'WkB_1_2.5.2b'!G15</f>
        <v>116333.762132348</v>
      </c>
      <c r="F78" s="444">
        <f>'WkB_1_2.5.2b'!H15</f>
        <v>119569.24588723894</v>
      </c>
      <c r="G78" s="444">
        <f>'WkB_1_2.5.2b'!I15</f>
        <v>124438.23738919394</v>
      </c>
      <c r="H78" s="444">
        <f>'WkB_1_2.5.2b'!J15</f>
        <v>129331.67051018213</v>
      </c>
      <c r="I78" s="444">
        <f>'WkB_1_2.5.2b'!K15</f>
        <v>133730.48978856133</v>
      </c>
      <c r="J78" s="444">
        <f>'WkB_1_2.5.2b'!L15</f>
        <v>138006.3201943629</v>
      </c>
      <c r="K78" s="445">
        <f>'WkB_1_2.5.2b'!M15</f>
        <v>142708.66313487236</v>
      </c>
      <c r="L78" s="732" t="str">
        <f>L33</f>
        <v>Simple connection LV</v>
      </c>
    </row>
    <row r="79" spans="1:12" s="732" customFormat="1" ht="14.25" outlineLevel="2" x14ac:dyDescent="0.45">
      <c r="A79" s="723"/>
      <c r="B79" s="728" t="s">
        <v>441</v>
      </c>
      <c r="C79" s="743" t="s">
        <v>562</v>
      </c>
      <c r="D79" s="744" t="s">
        <v>563</v>
      </c>
      <c r="E79" s="540">
        <f>ROUND(SUM('WkB_1_2.5.3'!F$41:F$43)*$L188,0)</f>
        <v>283</v>
      </c>
      <c r="F79" s="437">
        <f>ROUND(SUM('WkB_1_2.5.3'!G$41:G$43)*$L188,0)</f>
        <v>283</v>
      </c>
      <c r="G79" s="437">
        <f>ROUND(SUM('WkB_1_2.5.3'!H$41:H$43)*$L188,0)</f>
        <v>278</v>
      </c>
      <c r="H79" s="437">
        <f>ROUND(SUM('WkB_1_2.5.3'!I$41:I$43)*$L188,0)</f>
        <v>278</v>
      </c>
      <c r="I79" s="437">
        <f>ROUND(SUM('WkB_1_2.5.3'!J$41:J$43)*$L188,0)</f>
        <v>278</v>
      </c>
      <c r="J79" s="437">
        <f>ROUND(SUM('WkB_1_2.5.3'!K$41:K$43)*$L188,0)</f>
        <v>278</v>
      </c>
      <c r="K79" s="438">
        <f>ROUND(SUM('WkB_1_2.5.3'!L$41:L$43)*$L188,0)</f>
        <v>278</v>
      </c>
    </row>
    <row r="80" spans="1:12" s="732" customFormat="1" ht="14.25" outlineLevel="2" x14ac:dyDescent="0.45">
      <c r="A80" s="723"/>
      <c r="B80" s="729"/>
      <c r="C80" s="735" t="s">
        <v>564</v>
      </c>
      <c r="D80" s="736" t="s">
        <v>563</v>
      </c>
      <c r="E80" s="314">
        <f>SUM('WkB_1_2.5.3'!F$41:F$43)-E79</f>
        <v>13</v>
      </c>
      <c r="F80" s="315">
        <f>SUM('WkB_1_2.5.3'!G$41:G$43)-F79</f>
        <v>13</v>
      </c>
      <c r="G80" s="315">
        <f>SUM('WkB_1_2.5.3'!H$41:H$43)-G79</f>
        <v>12</v>
      </c>
      <c r="H80" s="315">
        <f>SUM('WkB_1_2.5.3'!I$41:I$43)-H79</f>
        <v>12</v>
      </c>
      <c r="I80" s="315">
        <f>SUM('WkB_1_2.5.3'!J$41:J$43)-I79</f>
        <v>12</v>
      </c>
      <c r="J80" s="315">
        <f>SUM('WkB_1_2.5.3'!K$41:K$43)-J79</f>
        <v>12</v>
      </c>
      <c r="K80" s="316">
        <f>SUM('WkB_1_2.5.3'!L$41:L$43)-K79</f>
        <v>12</v>
      </c>
    </row>
    <row r="81" spans="1:12" s="732" customFormat="1" ht="14.25" outlineLevel="2" x14ac:dyDescent="0.45">
      <c r="A81" s="723"/>
      <c r="B81" s="729"/>
      <c r="C81" s="737" t="s">
        <v>565</v>
      </c>
      <c r="D81" s="738" t="s">
        <v>566</v>
      </c>
      <c r="E81" s="503">
        <f>SUM(E79:E80)*$L190</f>
        <v>0.6508862190812722</v>
      </c>
      <c r="F81" s="504">
        <f t="shared" ref="F81" si="48">SUM(F79:F80)*$L190</f>
        <v>0.6508862190812722</v>
      </c>
      <c r="G81" s="504">
        <f t="shared" ref="G81" si="49">SUM(G79:G80)*$L190</f>
        <v>0.63769257950530045</v>
      </c>
      <c r="H81" s="504">
        <f t="shared" ref="H81" si="50">SUM(H79:H80)*$L190</f>
        <v>0.63769257950530045</v>
      </c>
      <c r="I81" s="504">
        <f t="shared" ref="I81" si="51">SUM(I79:I80)*$L190</f>
        <v>0.63769257950530045</v>
      </c>
      <c r="J81" s="504">
        <f t="shared" ref="J81" si="52">SUM(J79:J80)*$L190</f>
        <v>0.63769257950530045</v>
      </c>
      <c r="K81" s="505">
        <f t="shared" ref="K81" si="53">SUM(K79:K80)*$L190</f>
        <v>0.63769257950530045</v>
      </c>
    </row>
    <row r="82" spans="1:12" s="732" customFormat="1" ht="14.25" outlineLevel="2" x14ac:dyDescent="0.45">
      <c r="A82" s="723"/>
      <c r="B82" s="729"/>
      <c r="C82" s="735" t="s">
        <v>565</v>
      </c>
      <c r="D82" s="736" t="s">
        <v>563</v>
      </c>
      <c r="E82" s="503">
        <f>SUM(E79:E80)*$L191</f>
        <v>1.6734982332155477</v>
      </c>
      <c r="F82" s="504">
        <f t="shared" ref="F82:K82" si="54">SUM(F79:F80)*$L191</f>
        <v>1.6734982332155477</v>
      </c>
      <c r="G82" s="504">
        <f t="shared" si="54"/>
        <v>1.6395759717314486</v>
      </c>
      <c r="H82" s="504">
        <f t="shared" si="54"/>
        <v>1.6395759717314486</v>
      </c>
      <c r="I82" s="504">
        <f t="shared" si="54"/>
        <v>1.6395759717314486</v>
      </c>
      <c r="J82" s="504">
        <f t="shared" si="54"/>
        <v>1.6395759717314486</v>
      </c>
      <c r="K82" s="505">
        <f t="shared" si="54"/>
        <v>1.6395759717314486</v>
      </c>
    </row>
    <row r="83" spans="1:12" s="732" customFormat="1" ht="14.25" outlineLevel="2" x14ac:dyDescent="0.45">
      <c r="A83" s="723"/>
      <c r="B83" s="729"/>
      <c r="C83" s="735" t="s">
        <v>567</v>
      </c>
      <c r="D83" s="736" t="s">
        <v>568</v>
      </c>
      <c r="E83" s="503">
        <f>'WkB_1_2.5.2b'!G22</f>
        <v>141926.64851343972</v>
      </c>
      <c r="F83" s="504">
        <f>'WkB_1_2.5.2b'!H22</f>
        <v>141708.67014514911</v>
      </c>
      <c r="G83" s="504">
        <f>'WkB_1_2.5.2b'!I22</f>
        <v>0</v>
      </c>
      <c r="H83" s="504">
        <f>'WkB_1_2.5.2b'!J22</f>
        <v>0</v>
      </c>
      <c r="I83" s="504">
        <f>'WkB_1_2.5.2b'!K22</f>
        <v>0</v>
      </c>
      <c r="J83" s="504">
        <f>'WkB_1_2.5.2b'!L22</f>
        <v>0</v>
      </c>
      <c r="K83" s="505">
        <f>'WkB_1_2.5.2b'!M22</f>
        <v>0</v>
      </c>
      <c r="L83" s="732" t="str">
        <f>L38</f>
        <v>Complex connection HV (with upstream asset works)</v>
      </c>
    </row>
    <row r="84" spans="1:12" s="732" customFormat="1" ht="14.25" outlineLevel="2" x14ac:dyDescent="0.45">
      <c r="A84" s="723"/>
      <c r="B84" s="729"/>
      <c r="C84" s="932" t="s">
        <v>569</v>
      </c>
      <c r="D84" s="736" t="s">
        <v>570</v>
      </c>
      <c r="E84" s="760"/>
      <c r="F84" s="759"/>
      <c r="G84" s="759"/>
      <c r="H84" s="759"/>
      <c r="I84" s="759"/>
      <c r="J84" s="759"/>
      <c r="K84" s="900"/>
      <c r="L84" s="732" t="s">
        <v>828</v>
      </c>
    </row>
    <row r="85" spans="1:12" s="732" customFormat="1" ht="14.25" outlineLevel="2" x14ac:dyDescent="0.45">
      <c r="A85" s="723"/>
      <c r="B85" s="729"/>
      <c r="C85" s="932" t="s">
        <v>571</v>
      </c>
      <c r="D85" s="736" t="s">
        <v>568</v>
      </c>
      <c r="E85" s="760"/>
      <c r="F85" s="759"/>
      <c r="G85" s="759"/>
      <c r="H85" s="759"/>
      <c r="I85" s="759"/>
      <c r="J85" s="759"/>
      <c r="K85" s="900"/>
      <c r="L85" s="732" t="s">
        <v>828</v>
      </c>
    </row>
    <row r="86" spans="1:12" s="732" customFormat="1" ht="14.25" outlineLevel="2" x14ac:dyDescent="0.45">
      <c r="A86" s="723"/>
      <c r="B86" s="729"/>
      <c r="C86" s="735" t="s">
        <v>572</v>
      </c>
      <c r="D86" s="736" t="s">
        <v>570</v>
      </c>
      <c r="E86" s="314">
        <f>SUM(E79:E80)*$L195</f>
        <v>3.9088734982332154</v>
      </c>
      <c r="F86" s="315">
        <f t="shared" ref="F86:K86" si="55">SUM(F79:F80)*$L195</f>
        <v>3.9088734982332154</v>
      </c>
      <c r="G86" s="315">
        <f t="shared" si="55"/>
        <v>3.8296395759717314</v>
      </c>
      <c r="H86" s="315">
        <f t="shared" si="55"/>
        <v>3.8296395759717314</v>
      </c>
      <c r="I86" s="315">
        <f t="shared" si="55"/>
        <v>3.8296395759717314</v>
      </c>
      <c r="J86" s="315">
        <f t="shared" si="55"/>
        <v>3.8296395759717314</v>
      </c>
      <c r="K86" s="316">
        <f t="shared" si="55"/>
        <v>3.8296395759717314</v>
      </c>
    </row>
    <row r="87" spans="1:12" s="732" customFormat="1" ht="14.25" outlineLevel="2" x14ac:dyDescent="0.45">
      <c r="A87" s="723"/>
      <c r="B87" s="729"/>
      <c r="C87" s="739" t="s">
        <v>572</v>
      </c>
      <c r="D87" s="736" t="s">
        <v>568</v>
      </c>
      <c r="E87" s="314">
        <f>'WkB_1_2.5.2b'!G20</f>
        <v>408415.59144190286</v>
      </c>
      <c r="F87" s="315">
        <f>'WkB_1_2.5.2b'!H20</f>
        <v>407788.32542005705</v>
      </c>
      <c r="G87" s="315">
        <f>'WkB_1_2.5.2b'!I20</f>
        <v>412312.60277858394</v>
      </c>
      <c r="H87" s="315">
        <f>'WkB_1_2.5.2b'!J20</f>
        <v>416363.30485960416</v>
      </c>
      <c r="I87" s="315">
        <f>'WkB_1_2.5.2b'!K20</f>
        <v>418339.45306713169</v>
      </c>
      <c r="J87" s="315">
        <f>'WkB_1_2.5.2b'!L20</f>
        <v>419529.93810402189</v>
      </c>
      <c r="K87" s="316">
        <f>'WkB_1_2.5.2b'!M20</f>
        <v>421612.4802740523</v>
      </c>
      <c r="L87" s="732" t="str">
        <f>L42</f>
        <v>Complex connection LV</v>
      </c>
    </row>
    <row r="88" spans="1:12" s="732" customFormat="1" ht="14.25" outlineLevel="2" x14ac:dyDescent="0.45">
      <c r="A88" s="723"/>
      <c r="B88" s="730"/>
      <c r="C88" s="741" t="s">
        <v>578</v>
      </c>
      <c r="D88" s="742" t="s">
        <v>577</v>
      </c>
      <c r="E88" s="626">
        <f>(E83+E85+E87)/(SUM(E79:E80)*$L197)*0+$N197</f>
        <v>41903.157244932474</v>
      </c>
      <c r="F88" s="534">
        <f t="shared" ref="F88:K88" si="56">(F83+F85+F87)/(SUM(F79:F80)*$L197)*0+$N197</f>
        <v>41903.157244932474</v>
      </c>
      <c r="G88" s="534">
        <f t="shared" si="56"/>
        <v>41903.157244932474</v>
      </c>
      <c r="H88" s="534">
        <f t="shared" si="56"/>
        <v>41903.157244932474</v>
      </c>
      <c r="I88" s="534">
        <f t="shared" si="56"/>
        <v>41903.157244932474</v>
      </c>
      <c r="J88" s="534">
        <f t="shared" si="56"/>
        <v>41903.157244932474</v>
      </c>
      <c r="K88" s="882">
        <f t="shared" si="56"/>
        <v>41903.157244932474</v>
      </c>
    </row>
    <row r="89" spans="1:12" s="732" customFormat="1" ht="14.25" outlineLevel="2" x14ac:dyDescent="0.45">
      <c r="A89" s="723"/>
      <c r="B89" s="728" t="s">
        <v>444</v>
      </c>
      <c r="C89" s="743" t="s">
        <v>562</v>
      </c>
      <c r="D89" s="744" t="s">
        <v>563</v>
      </c>
      <c r="E89" s="540">
        <f>ROUND(SUM('WkB_1_2.5.3'!F$44:F$46)*$L198,0)</f>
        <v>1506</v>
      </c>
      <c r="F89" s="437">
        <f>ROUND(SUM('WkB_1_2.5.3'!G$44:G$46)*$L198,0)</f>
        <v>1583</v>
      </c>
      <c r="G89" s="437">
        <f>ROUND(SUM('WkB_1_2.5.3'!H$44:H$46)*$L198,0)</f>
        <v>1663</v>
      </c>
      <c r="H89" s="437">
        <f>ROUND(SUM('WkB_1_2.5.3'!I$44:I$46)*$L198,0)</f>
        <v>1746</v>
      </c>
      <c r="I89" s="437">
        <f>ROUND(SUM('WkB_1_2.5.3'!J$44:J$46)*$L198,0)</f>
        <v>1831</v>
      </c>
      <c r="J89" s="437">
        <f>ROUND(SUM('WkB_1_2.5.3'!K$44:K$46)*$L198,0)</f>
        <v>1918</v>
      </c>
      <c r="K89" s="438">
        <f>ROUND(SUM('WkB_1_2.5.3'!L$44:L$46)*$L198,0)</f>
        <v>2006</v>
      </c>
    </row>
    <row r="90" spans="1:12" s="732" customFormat="1" ht="14.25" outlineLevel="2" x14ac:dyDescent="0.45">
      <c r="A90" s="723"/>
      <c r="B90" s="729"/>
      <c r="C90" s="735" t="s">
        <v>564</v>
      </c>
      <c r="D90" s="736" t="s">
        <v>563</v>
      </c>
      <c r="E90" s="314">
        <f>SUM('WkB_1_2.5.3'!F$44:F$46)-E89</f>
        <v>1268.5576281753874</v>
      </c>
      <c r="F90" s="315">
        <f>SUM('WkB_1_2.5.3'!G$44:G$46)-F89</f>
        <v>1332.8927909858803</v>
      </c>
      <c r="G90" s="315">
        <f>SUM('WkB_1_2.5.3'!H$44:H$46)-G89</f>
        <v>1400.1994682198401</v>
      </c>
      <c r="H90" s="315">
        <f>SUM('WkB_1_2.5.3'!I$44:I$46)-H89</f>
        <v>1469.7992451267346</v>
      </c>
      <c r="I90" s="315">
        <f>SUM('WkB_1_2.5.3'!J$44:J$46)-I89</f>
        <v>1541.9335446245177</v>
      </c>
      <c r="J90" s="315">
        <f>SUM('WkB_1_2.5.3'!K$44:K$46)-J89</f>
        <v>1615.226134246876</v>
      </c>
      <c r="K90" s="316">
        <f>SUM('WkB_1_2.5.3'!L$44:L$46)-K89</f>
        <v>1689.5127317620963</v>
      </c>
    </row>
    <row r="91" spans="1:12" s="732" customFormat="1" ht="14.25" outlineLevel="2" x14ac:dyDescent="0.45">
      <c r="A91" s="723"/>
      <c r="B91" s="729"/>
      <c r="C91" s="737" t="s">
        <v>565</v>
      </c>
      <c r="D91" s="738" t="s">
        <v>566</v>
      </c>
      <c r="E91" s="503">
        <f>SUM(E89:E90)*$L200</f>
        <v>0</v>
      </c>
      <c r="F91" s="504">
        <f t="shared" ref="F91" si="57">SUM(F89:F90)*$L200</f>
        <v>0</v>
      </c>
      <c r="G91" s="504">
        <f t="shared" ref="G91" si="58">SUM(G89:G90)*$L200</f>
        <v>0</v>
      </c>
      <c r="H91" s="504">
        <f t="shared" ref="H91" si="59">SUM(H89:H90)*$L200</f>
        <v>0</v>
      </c>
      <c r="I91" s="504">
        <f t="shared" ref="I91" si="60">SUM(I89:I90)*$L200</f>
        <v>0</v>
      </c>
      <c r="J91" s="504">
        <f t="shared" ref="J91" si="61">SUM(J89:J90)*$L200</f>
        <v>0</v>
      </c>
      <c r="K91" s="505">
        <f t="shared" ref="K91" si="62">SUM(K89:K90)*$L200</f>
        <v>0</v>
      </c>
    </row>
    <row r="92" spans="1:12" s="732" customFormat="1" ht="14.25" outlineLevel="2" x14ac:dyDescent="0.45">
      <c r="A92" s="723"/>
      <c r="B92" s="729"/>
      <c r="C92" s="735" t="s">
        <v>565</v>
      </c>
      <c r="D92" s="736" t="s">
        <v>563</v>
      </c>
      <c r="E92" s="503">
        <f>SUM(E89:E90)*$L201</f>
        <v>0</v>
      </c>
      <c r="F92" s="504">
        <f t="shared" ref="F92:K92" si="63">SUM(F89:F90)*$L201</f>
        <v>0</v>
      </c>
      <c r="G92" s="504">
        <f t="shared" si="63"/>
        <v>0</v>
      </c>
      <c r="H92" s="504">
        <f t="shared" si="63"/>
        <v>0</v>
      </c>
      <c r="I92" s="504">
        <f t="shared" si="63"/>
        <v>0</v>
      </c>
      <c r="J92" s="504">
        <f t="shared" si="63"/>
        <v>0</v>
      </c>
      <c r="K92" s="505">
        <f t="shared" si="63"/>
        <v>0</v>
      </c>
    </row>
    <row r="93" spans="1:12" s="732" customFormat="1" ht="14.25" outlineLevel="2" x14ac:dyDescent="0.45">
      <c r="A93" s="723"/>
      <c r="B93" s="729"/>
      <c r="C93" s="735" t="s">
        <v>567</v>
      </c>
      <c r="D93" s="736" t="s">
        <v>568</v>
      </c>
      <c r="E93" s="503">
        <v>0</v>
      </c>
      <c r="F93" s="504">
        <v>0</v>
      </c>
      <c r="G93" s="504">
        <v>0</v>
      </c>
      <c r="H93" s="504">
        <v>0</v>
      </c>
      <c r="I93" s="504">
        <v>0</v>
      </c>
      <c r="J93" s="504">
        <v>0</v>
      </c>
      <c r="K93" s="505">
        <v>0</v>
      </c>
    </row>
    <row r="94" spans="1:12" s="732" customFormat="1" ht="14.25" outlineLevel="2" x14ac:dyDescent="0.45">
      <c r="A94" s="723"/>
      <c r="B94" s="729"/>
      <c r="C94" s="735" t="s">
        <v>569</v>
      </c>
      <c r="D94" s="736" t="s">
        <v>570</v>
      </c>
      <c r="E94" s="314">
        <f>SUM(E89:E90)*$L203</f>
        <v>0</v>
      </c>
      <c r="F94" s="315">
        <f t="shared" ref="F94:K94" si="64">SUM(F89:F90)*$L203</f>
        <v>0</v>
      </c>
      <c r="G94" s="315">
        <f t="shared" si="64"/>
        <v>0</v>
      </c>
      <c r="H94" s="315">
        <f t="shared" si="64"/>
        <v>0</v>
      </c>
      <c r="I94" s="315">
        <f t="shared" si="64"/>
        <v>0</v>
      </c>
      <c r="J94" s="315">
        <f t="shared" si="64"/>
        <v>0</v>
      </c>
      <c r="K94" s="316">
        <f t="shared" si="64"/>
        <v>0</v>
      </c>
    </row>
    <row r="95" spans="1:12" s="732" customFormat="1" ht="14.25" outlineLevel="2" x14ac:dyDescent="0.45">
      <c r="A95" s="723"/>
      <c r="B95" s="729"/>
      <c r="C95" s="735" t="s">
        <v>571</v>
      </c>
      <c r="D95" s="736" t="s">
        <v>568</v>
      </c>
      <c r="E95" s="314">
        <f>'WkB_1_2.5.2b'!G24+'WkB_1_2.5.2b'!G25</f>
        <v>0</v>
      </c>
      <c r="F95" s="315">
        <f>'WkB_1_2.5.2b'!H24+'WkB_1_2.5.2b'!H25</f>
        <v>0</v>
      </c>
      <c r="G95" s="315">
        <f>'WkB_1_2.5.2b'!I24+'WkB_1_2.5.2b'!I25</f>
        <v>0</v>
      </c>
      <c r="H95" s="315">
        <f>'WkB_1_2.5.2b'!J24+'WkB_1_2.5.2b'!J25</f>
        <v>0</v>
      </c>
      <c r="I95" s="315">
        <f>'WkB_1_2.5.2b'!K24+'WkB_1_2.5.2b'!K25</f>
        <v>0</v>
      </c>
      <c r="J95" s="315">
        <f>'WkB_1_2.5.2b'!L24+'WkB_1_2.5.2b'!L25</f>
        <v>0</v>
      </c>
      <c r="K95" s="316">
        <f>'WkB_1_2.5.2b'!M24+'WkB_1_2.5.2b'!M25</f>
        <v>0</v>
      </c>
      <c r="L95" s="732" t="str">
        <f>L50</f>
        <v>Complex connection HV (small capacity), Complex connection HV (large capacity)</v>
      </c>
    </row>
    <row r="96" spans="1:12" s="732" customFormat="1" ht="14.25" outlineLevel="2" x14ac:dyDescent="0.45">
      <c r="A96" s="723"/>
      <c r="B96" s="729"/>
      <c r="C96" s="735" t="s">
        <v>572</v>
      </c>
      <c r="D96" s="736" t="s">
        <v>570</v>
      </c>
      <c r="E96" s="314">
        <f>SUM(E89:E90)*$L205</f>
        <v>0</v>
      </c>
      <c r="F96" s="315">
        <f t="shared" ref="F96:K96" si="65">SUM(F89:F90)*$L205</f>
        <v>0</v>
      </c>
      <c r="G96" s="315">
        <f t="shared" si="65"/>
        <v>0</v>
      </c>
      <c r="H96" s="315">
        <f t="shared" si="65"/>
        <v>0</v>
      </c>
      <c r="I96" s="315">
        <f t="shared" si="65"/>
        <v>0</v>
      </c>
      <c r="J96" s="315">
        <f t="shared" si="65"/>
        <v>0</v>
      </c>
      <c r="K96" s="316">
        <f t="shared" si="65"/>
        <v>0</v>
      </c>
    </row>
    <row r="97" spans="1:12" s="732" customFormat="1" ht="14.65" outlineLevel="2" thickBot="1" x14ac:dyDescent="0.5">
      <c r="A97" s="745"/>
      <c r="B97" s="731"/>
      <c r="C97" s="746" t="s">
        <v>572</v>
      </c>
      <c r="D97" s="747" t="s">
        <v>568</v>
      </c>
      <c r="E97" s="317">
        <f>'WkB_1_2.5.2b'!G23</f>
        <v>0</v>
      </c>
      <c r="F97" s="318">
        <f>'WkB_1_2.5.2b'!H23</f>
        <v>0</v>
      </c>
      <c r="G97" s="318">
        <f>'WkB_1_2.5.2b'!I23</f>
        <v>0</v>
      </c>
      <c r="H97" s="318">
        <f>'WkB_1_2.5.2b'!J23</f>
        <v>0</v>
      </c>
      <c r="I97" s="318">
        <f>'WkB_1_2.5.2b'!K23</f>
        <v>0</v>
      </c>
      <c r="J97" s="318">
        <f>'WkB_1_2.5.2b'!L23</f>
        <v>0</v>
      </c>
      <c r="K97" s="319">
        <f>'WkB_1_2.5.2b'!M23</f>
        <v>0</v>
      </c>
      <c r="L97" s="732" t="str">
        <f>L52</f>
        <v>Simple connection LV</v>
      </c>
    </row>
    <row r="98" spans="1:12" ht="11.25" customHeight="1" x14ac:dyDescent="0.3"/>
    <row r="99" spans="1:12" ht="11.25" customHeight="1" x14ac:dyDescent="0.3">
      <c r="B99" s="6" t="s">
        <v>432</v>
      </c>
      <c r="C99" s="6"/>
      <c r="E99" s="118">
        <f>SUM('WkB_1_2.5.2a'!G12:G14)</f>
        <v>1711246.263735448</v>
      </c>
      <c r="F99" s="119">
        <f>SUM('WkB_1_2.5.2a'!H12:H14)</f>
        <v>1702609.5218374408</v>
      </c>
      <c r="G99" s="120">
        <f>SUM('WkB_1_2.5.2a'!I12:I14)</f>
        <v>723346.36437606858</v>
      </c>
      <c r="H99" s="118">
        <f>SUM('WkB_1_2.5.2a'!J12:J14)</f>
        <v>733130.35744572978</v>
      </c>
      <c r="I99" s="118">
        <f>SUM('WkB_1_2.5.2a'!K12:K14)</f>
        <v>739300.24478864658</v>
      </c>
      <c r="J99" s="118">
        <f>SUM('WkB_1_2.5.2a'!L12:L14)</f>
        <v>744102.05223827076</v>
      </c>
      <c r="K99" s="118">
        <f>SUM('WkB_1_2.5.2a'!M12:M14)</f>
        <v>750507.11121201375</v>
      </c>
    </row>
    <row r="100" spans="1:12" ht="11.25" customHeight="1" x14ac:dyDescent="0.3">
      <c r="B100" s="6" t="s">
        <v>436</v>
      </c>
      <c r="C100" s="6"/>
      <c r="E100" s="118">
        <f>SUM('WkB_1_2.5.2a'!G15:G19)</f>
        <v>6778200.803736371</v>
      </c>
      <c r="F100" s="119">
        <f>SUM('WkB_1_2.5.2a'!H15:H19)</f>
        <v>6859478.6129465988</v>
      </c>
      <c r="G100" s="120">
        <f>SUM('WkB_1_2.5.2a'!I15:I19)</f>
        <v>2610687.1383119142</v>
      </c>
      <c r="H100" s="118">
        <f>SUM('WkB_1_2.5.2a'!J15:J19)</f>
        <v>2690498.0037704352</v>
      </c>
      <c r="I100" s="118">
        <f>SUM('WkB_1_2.5.2a'!K15:K19)</f>
        <v>2757780.6290399213</v>
      </c>
      <c r="J100" s="118">
        <f>SUM('WkB_1_2.5.2a'!L15:L19)</f>
        <v>2820392.716478331</v>
      </c>
      <c r="K100" s="118">
        <f>SUM('WkB_1_2.5.2a'!M15:M19)</f>
        <v>2889528.2611873518</v>
      </c>
    </row>
    <row r="101" spans="1:12" ht="11.25" customHeight="1" x14ac:dyDescent="0.3">
      <c r="B101" s="6" t="s">
        <v>441</v>
      </c>
      <c r="C101" s="6"/>
      <c r="E101" s="118">
        <f>SUM('WkB_1_2.5.2a'!G20:G22)</f>
        <v>1897052.7377680081</v>
      </c>
      <c r="F101" s="119">
        <f>SUM('WkB_1_2.5.2a'!H20:H22)</f>
        <v>1879820.2976885894</v>
      </c>
      <c r="G101" s="120">
        <f>SUM('WkB_1_2.5.2a'!I20:I22)</f>
        <v>784364.31124008866</v>
      </c>
      <c r="H101" s="118">
        <f>SUM('WkB_1_2.5.2a'!J20:J22)</f>
        <v>792070.17840594007</v>
      </c>
      <c r="I101" s="118">
        <f>SUM('WkB_1_2.5.2a'!K20:K22)</f>
        <v>795829.51080873364</v>
      </c>
      <c r="J101" s="118">
        <f>SUM('WkB_1_2.5.2a'!L20:L22)</f>
        <v>798094.23415143345</v>
      </c>
      <c r="K101" s="118">
        <f>SUM('WkB_1_2.5.2a'!M20:M22)</f>
        <v>802055.96547814133</v>
      </c>
    </row>
    <row r="102" spans="1:12" ht="11.25" customHeight="1" x14ac:dyDescent="0.3">
      <c r="B102" s="6" t="s">
        <v>444</v>
      </c>
      <c r="C102" s="6"/>
      <c r="E102" s="118">
        <f>SUM('WkB_1_2.5.2a'!G23:G25)</f>
        <v>0</v>
      </c>
      <c r="F102" s="119">
        <f>SUM('WkB_1_2.5.2a'!H23:H25)</f>
        <v>0</v>
      </c>
      <c r="G102" s="120">
        <f>SUM('WkB_1_2.5.2a'!I23:I25)</f>
        <v>0</v>
      </c>
      <c r="H102" s="118">
        <f>SUM('WkB_1_2.5.2a'!J23:J25)</f>
        <v>0</v>
      </c>
      <c r="I102" s="118">
        <f>SUM('WkB_1_2.5.2a'!K23:K25)</f>
        <v>0</v>
      </c>
      <c r="J102" s="118">
        <f>SUM('WkB_1_2.5.2a'!L23:L25)</f>
        <v>0</v>
      </c>
      <c r="K102" s="118">
        <f>SUM('WkB_1_2.5.2a'!M23:M25)</f>
        <v>0</v>
      </c>
    </row>
    <row r="103" spans="1:12" ht="11.25" customHeight="1" x14ac:dyDescent="0.3">
      <c r="B103" s="6" t="s">
        <v>81</v>
      </c>
      <c r="C103" s="6"/>
      <c r="E103" s="118">
        <f t="shared" ref="E103:K103" si="66">SUM(E99:E102)</f>
        <v>10386499.805239826</v>
      </c>
      <c r="F103" s="119">
        <f t="shared" si="66"/>
        <v>10441908.432472628</v>
      </c>
      <c r="G103" s="120">
        <f t="shared" si="66"/>
        <v>4118397.8139280714</v>
      </c>
      <c r="H103" s="118">
        <f t="shared" si="66"/>
        <v>4215698.5396221057</v>
      </c>
      <c r="I103" s="118">
        <f t="shared" si="66"/>
        <v>4292910.3846373018</v>
      </c>
      <c r="J103" s="118">
        <f t="shared" si="66"/>
        <v>4362589.0028680349</v>
      </c>
      <c r="K103" s="118">
        <f t="shared" si="66"/>
        <v>4442091.3378775064</v>
      </c>
    </row>
    <row r="104" spans="1:12" ht="11.25" customHeight="1" x14ac:dyDescent="0.3">
      <c r="B104" s="6"/>
      <c r="C104" s="6"/>
    </row>
    <row r="105" spans="1:12" ht="11.25" customHeight="1" x14ac:dyDescent="0.3">
      <c r="B105" s="6" t="str">
        <f>B99&amp;" Above"</f>
        <v>RESIDENTIAL Above</v>
      </c>
      <c r="E105" s="118">
        <f>SUM(E16,E18,E20)</f>
        <v>1711246.263735448</v>
      </c>
      <c r="F105" s="119">
        <f t="shared" ref="F105:K105" si="67">SUM(F16,F18,F20)</f>
        <v>1702609.5218374406</v>
      </c>
      <c r="G105" s="120">
        <f t="shared" si="67"/>
        <v>723346.36437606858</v>
      </c>
      <c r="H105" s="118">
        <f t="shared" si="67"/>
        <v>733130.35744572978</v>
      </c>
      <c r="I105" s="118">
        <f t="shared" si="67"/>
        <v>739300.24478864658</v>
      </c>
      <c r="J105" s="118">
        <f t="shared" si="67"/>
        <v>744102.05223827076</v>
      </c>
      <c r="K105" s="118">
        <f t="shared" si="67"/>
        <v>750507.11121201375</v>
      </c>
    </row>
    <row r="106" spans="1:12" ht="11.25" customHeight="1" x14ac:dyDescent="0.3">
      <c r="B106" s="6" t="str">
        <f t="shared" ref="B106:B108" si="68">B100&amp;" Above"</f>
        <v>COMMERCIAL/INDUSTRIAL Above</v>
      </c>
      <c r="E106" s="118">
        <f>SUM(E29,E31,E33)</f>
        <v>6778200.803736371</v>
      </c>
      <c r="F106" s="119">
        <f t="shared" ref="F106:K106" si="69">SUM(F29,F31,F33)</f>
        <v>6859478.6129465988</v>
      </c>
      <c r="G106" s="120">
        <f t="shared" si="69"/>
        <v>2610687.1383119137</v>
      </c>
      <c r="H106" s="118">
        <f t="shared" si="69"/>
        <v>2690498.0037704352</v>
      </c>
      <c r="I106" s="118">
        <f t="shared" si="69"/>
        <v>2757780.6290399218</v>
      </c>
      <c r="J106" s="118">
        <f t="shared" si="69"/>
        <v>2820392.716478331</v>
      </c>
      <c r="K106" s="118">
        <f t="shared" si="69"/>
        <v>2889528.2611873518</v>
      </c>
    </row>
    <row r="107" spans="1:12" ht="11.25" customHeight="1" x14ac:dyDescent="0.3">
      <c r="B107" s="6" t="str">
        <f t="shared" si="68"/>
        <v>SUBDIVISION Above</v>
      </c>
      <c r="E107" s="118">
        <f>SUM(E38,E40,E42)</f>
        <v>1897052.7377680081</v>
      </c>
      <c r="F107" s="119">
        <f t="shared" ref="F107:K107" si="70">SUM(F38,F40,F42)</f>
        <v>1879820.2976885894</v>
      </c>
      <c r="G107" s="120">
        <f t="shared" si="70"/>
        <v>784364.31124008866</v>
      </c>
      <c r="H107" s="118">
        <f t="shared" si="70"/>
        <v>792070.17840594007</v>
      </c>
      <c r="I107" s="118">
        <f t="shared" si="70"/>
        <v>795829.51080873376</v>
      </c>
      <c r="J107" s="118">
        <f t="shared" si="70"/>
        <v>798094.23415143345</v>
      </c>
      <c r="K107" s="118">
        <f t="shared" si="70"/>
        <v>802055.96547814133</v>
      </c>
    </row>
    <row r="108" spans="1:12" ht="11.25" customHeight="1" x14ac:dyDescent="0.3">
      <c r="B108" s="6" t="str">
        <f t="shared" si="68"/>
        <v>EMBEDDED GENERATION Above</v>
      </c>
      <c r="E108" s="118">
        <f>SUM(E48,E50,E52)</f>
        <v>0</v>
      </c>
      <c r="F108" s="119">
        <f t="shared" ref="F108:K108" si="71">SUM(F48,F50,F52)</f>
        <v>0</v>
      </c>
      <c r="G108" s="120">
        <f t="shared" si="71"/>
        <v>0</v>
      </c>
      <c r="H108" s="118">
        <f t="shared" si="71"/>
        <v>0</v>
      </c>
      <c r="I108" s="118">
        <f t="shared" si="71"/>
        <v>0</v>
      </c>
      <c r="J108" s="118">
        <f t="shared" si="71"/>
        <v>0</v>
      </c>
      <c r="K108" s="118">
        <f t="shared" si="71"/>
        <v>0</v>
      </c>
    </row>
    <row r="110" spans="1:12" ht="12.75" x14ac:dyDescent="0.3">
      <c r="A110" s="41">
        <f>IF(SUM(E110:K110)&gt;0,1,0)</f>
        <v>0</v>
      </c>
      <c r="B110" s="6" t="str">
        <f>B99&amp;" Check"</f>
        <v>RESIDENTIAL Check</v>
      </c>
      <c r="E110" s="62">
        <f>IF(ROUND(E99-E105,0)&lt;&gt;0,1,0)</f>
        <v>0</v>
      </c>
      <c r="F110" s="62">
        <f t="shared" ref="F110:K110" si="72">IF(ROUND(F99-F105,0)&lt;&gt;0,1,0)</f>
        <v>0</v>
      </c>
      <c r="G110" s="62">
        <f t="shared" si="72"/>
        <v>0</v>
      </c>
      <c r="H110" s="62">
        <f t="shared" si="72"/>
        <v>0</v>
      </c>
      <c r="I110" s="62">
        <f t="shared" si="72"/>
        <v>0</v>
      </c>
      <c r="J110" s="62">
        <f t="shared" si="72"/>
        <v>0</v>
      </c>
      <c r="K110" s="62">
        <f t="shared" si="72"/>
        <v>0</v>
      </c>
    </row>
    <row r="111" spans="1:12" ht="12.75" x14ac:dyDescent="0.3">
      <c r="A111" s="41">
        <f t="shared" ref="A111:A113" si="73">IF(SUM(E111:K111)&gt;0,1,0)</f>
        <v>0</v>
      </c>
      <c r="B111" s="6" t="str">
        <f t="shared" ref="B111:B113" si="74">B100&amp;" Check"</f>
        <v>COMMERCIAL/INDUSTRIAL Check</v>
      </c>
      <c r="E111" s="62">
        <f t="shared" ref="E111:K111" si="75">IF(ROUND(E100-E106,0)&lt;&gt;0,1,0)</f>
        <v>0</v>
      </c>
      <c r="F111" s="62">
        <f t="shared" si="75"/>
        <v>0</v>
      </c>
      <c r="G111" s="62">
        <f t="shared" si="75"/>
        <v>0</v>
      </c>
      <c r="H111" s="62">
        <f t="shared" si="75"/>
        <v>0</v>
      </c>
      <c r="I111" s="62">
        <f t="shared" si="75"/>
        <v>0</v>
      </c>
      <c r="J111" s="62">
        <f t="shared" si="75"/>
        <v>0</v>
      </c>
      <c r="K111" s="62">
        <f t="shared" si="75"/>
        <v>0</v>
      </c>
    </row>
    <row r="112" spans="1:12" ht="12.75" x14ac:dyDescent="0.3">
      <c r="A112" s="41">
        <f t="shared" si="73"/>
        <v>0</v>
      </c>
      <c r="B112" s="6" t="str">
        <f t="shared" si="74"/>
        <v>SUBDIVISION Check</v>
      </c>
      <c r="E112" s="62">
        <f t="shared" ref="E112:K112" si="76">IF(ROUND(E101-E107,0)&lt;&gt;0,1,0)</f>
        <v>0</v>
      </c>
      <c r="F112" s="62">
        <f t="shared" si="76"/>
        <v>0</v>
      </c>
      <c r="G112" s="62">
        <f t="shared" si="76"/>
        <v>0</v>
      </c>
      <c r="H112" s="62">
        <f t="shared" si="76"/>
        <v>0</v>
      </c>
      <c r="I112" s="62">
        <f t="shared" si="76"/>
        <v>0</v>
      </c>
      <c r="J112" s="62">
        <f t="shared" si="76"/>
        <v>0</v>
      </c>
      <c r="K112" s="62">
        <f t="shared" si="76"/>
        <v>0</v>
      </c>
    </row>
    <row r="113" spans="1:13" ht="12.75" x14ac:dyDescent="0.3">
      <c r="A113" s="41">
        <f t="shared" si="73"/>
        <v>0</v>
      </c>
      <c r="B113" s="6" t="str">
        <f t="shared" si="74"/>
        <v>EMBEDDED GENERATION Check</v>
      </c>
      <c r="E113" s="62">
        <f t="shared" ref="E113:K113" si="77">IF(ROUND(E102-E108,0)&lt;&gt;0,1,0)</f>
        <v>0</v>
      </c>
      <c r="F113" s="62">
        <f t="shared" si="77"/>
        <v>0</v>
      </c>
      <c r="G113" s="62">
        <f t="shared" si="77"/>
        <v>0</v>
      </c>
      <c r="H113" s="62">
        <f t="shared" si="77"/>
        <v>0</v>
      </c>
      <c r="I113" s="62">
        <f t="shared" si="77"/>
        <v>0</v>
      </c>
      <c r="J113" s="62">
        <f t="shared" si="77"/>
        <v>0</v>
      </c>
      <c r="K113" s="62">
        <f t="shared" si="77"/>
        <v>0</v>
      </c>
    </row>
    <row r="114" spans="1:13" ht="12.75" x14ac:dyDescent="0.3">
      <c r="A114" s="41"/>
      <c r="B114" s="6"/>
      <c r="E114" s="62"/>
      <c r="F114" s="62"/>
      <c r="G114" s="62"/>
      <c r="H114" s="62"/>
      <c r="I114" s="62"/>
      <c r="J114" s="62"/>
      <c r="K114" s="62"/>
    </row>
    <row r="115" spans="1:13" s="7" customFormat="1" ht="13.9" x14ac:dyDescent="0.3">
      <c r="C115" s="7" t="s">
        <v>703</v>
      </c>
    </row>
    <row r="116" spans="1:13" ht="11.25" customHeight="1" thickBot="1" x14ac:dyDescent="0.35"/>
    <row r="117" spans="1:13" s="724" customFormat="1" ht="25.5" customHeight="1" thickBot="1" x14ac:dyDescent="0.4">
      <c r="A117" s="723"/>
      <c r="B117" s="325" t="s">
        <v>557</v>
      </c>
      <c r="C117" s="325"/>
      <c r="D117" s="325"/>
      <c r="E117" s="325"/>
      <c r="F117" s="325"/>
      <c r="G117" s="325"/>
      <c r="H117" s="325"/>
      <c r="I117" s="325"/>
      <c r="J117" s="325"/>
      <c r="K117" s="325"/>
    </row>
    <row r="118" spans="1:13" customFormat="1" ht="25.5" customHeight="1" outlineLevel="1" thickBot="1" x14ac:dyDescent="0.35">
      <c r="B118" s="426" t="s">
        <v>558</v>
      </c>
      <c r="C118" s="427"/>
      <c r="D118" s="427"/>
      <c r="E118" s="427"/>
      <c r="F118" s="427"/>
      <c r="G118" s="427"/>
      <c r="H118" s="427"/>
      <c r="I118" s="427"/>
      <c r="J118" s="427"/>
      <c r="K118" s="428"/>
    </row>
    <row r="119" spans="1:13" customFormat="1" ht="25.5" customHeight="1" outlineLevel="2" x14ac:dyDescent="0.3">
      <c r="B119" s="1057" t="s">
        <v>429</v>
      </c>
      <c r="C119" s="1059" t="s">
        <v>559</v>
      </c>
      <c r="D119" s="1061" t="s">
        <v>560</v>
      </c>
      <c r="E119" s="1063" t="s">
        <v>705</v>
      </c>
      <c r="F119" s="1063"/>
      <c r="G119" s="1063"/>
      <c r="H119" s="1063"/>
      <c r="I119" s="1063"/>
      <c r="J119" s="1063"/>
      <c r="K119" s="1064"/>
    </row>
    <row r="120" spans="1:13" customFormat="1" ht="25.5" customHeight="1" outlineLevel="2" thickBot="1" x14ac:dyDescent="0.35">
      <c r="B120" s="1058"/>
      <c r="C120" s="1060"/>
      <c r="D120" s="1062"/>
      <c r="E120" s="748" t="s">
        <v>182</v>
      </c>
      <c r="F120" s="749" t="s">
        <v>183</v>
      </c>
      <c r="G120" s="750" t="s">
        <v>184</v>
      </c>
      <c r="H120" s="750" t="s">
        <v>171</v>
      </c>
      <c r="I120" s="750" t="s">
        <v>170</v>
      </c>
      <c r="J120" s="750" t="s">
        <v>172</v>
      </c>
      <c r="K120" s="751" t="s">
        <v>69</v>
      </c>
    </row>
    <row r="121" spans="1:13" customFormat="1" ht="14.25" outlineLevel="2" x14ac:dyDescent="0.45">
      <c r="B121" s="725" t="s">
        <v>432</v>
      </c>
      <c r="C121" s="752" t="s">
        <v>562</v>
      </c>
      <c r="D121" s="753" t="s">
        <v>563</v>
      </c>
      <c r="E121" s="311">
        <v>655</v>
      </c>
      <c r="F121" s="315">
        <v>356</v>
      </c>
      <c r="G121" s="315">
        <v>117</v>
      </c>
      <c r="H121" s="315">
        <v>175</v>
      </c>
      <c r="I121" s="315">
        <v>43</v>
      </c>
      <c r="J121" s="315">
        <v>89</v>
      </c>
      <c r="K121" s="316">
        <v>130</v>
      </c>
      <c r="L121" s="883">
        <f>SUM(E121:K121)/SUM(E121:K122)</f>
        <v>0.60918645387310233</v>
      </c>
      <c r="M121" s="6" t="s">
        <v>704</v>
      </c>
    </row>
    <row r="122" spans="1:13" customFormat="1" ht="14.25" outlineLevel="2" x14ac:dyDescent="0.45">
      <c r="B122" s="726"/>
      <c r="C122" s="754" t="s">
        <v>564</v>
      </c>
      <c r="D122" s="755" t="s">
        <v>563</v>
      </c>
      <c r="E122" s="314">
        <v>268</v>
      </c>
      <c r="F122" s="315">
        <v>223</v>
      </c>
      <c r="G122" s="315">
        <v>94</v>
      </c>
      <c r="H122" s="315">
        <v>101</v>
      </c>
      <c r="I122" s="315">
        <v>71</v>
      </c>
      <c r="J122" s="315">
        <v>109</v>
      </c>
      <c r="K122" s="316">
        <v>138</v>
      </c>
      <c r="L122" s="883">
        <f>SUM(E122:K122)/SUM(E121:K122)</f>
        <v>0.39081354612689762</v>
      </c>
      <c r="M122" s="6" t="str">
        <f>M121</f>
        <v>Proportion of residential connections</v>
      </c>
    </row>
    <row r="123" spans="1:13" customFormat="1" ht="14.25" outlineLevel="2" x14ac:dyDescent="0.45">
      <c r="B123" s="726"/>
      <c r="C123" s="754" t="s">
        <v>565</v>
      </c>
      <c r="D123" s="755" t="s">
        <v>566</v>
      </c>
      <c r="E123" s="503">
        <v>6.2660000000000009</v>
      </c>
      <c r="F123" s="504">
        <v>1.4129999999999998</v>
      </c>
      <c r="G123" s="504">
        <v>0.43</v>
      </c>
      <c r="H123" s="504">
        <v>0.2</v>
      </c>
      <c r="I123" s="504">
        <v>0.6</v>
      </c>
      <c r="J123" s="504">
        <v>0.6</v>
      </c>
      <c r="K123" s="505">
        <v>1</v>
      </c>
      <c r="L123" s="885">
        <f>SUM(E123:K123)/SUM(E121:K122)</f>
        <v>4.0906967691708828E-3</v>
      </c>
      <c r="M123" s="6" t="s">
        <v>706</v>
      </c>
    </row>
    <row r="124" spans="1:13" customFormat="1" ht="14.25" outlineLevel="2" x14ac:dyDescent="0.45">
      <c r="B124" s="726"/>
      <c r="C124" s="754" t="s">
        <v>565</v>
      </c>
      <c r="D124" s="755" t="s">
        <v>563</v>
      </c>
      <c r="E124" s="503">
        <v>1</v>
      </c>
      <c r="F124" s="504">
        <v>0</v>
      </c>
      <c r="G124" s="504">
        <v>6</v>
      </c>
      <c r="H124" s="504">
        <v>4</v>
      </c>
      <c r="I124" s="504">
        <v>6</v>
      </c>
      <c r="J124" s="504">
        <v>7</v>
      </c>
      <c r="K124" s="505">
        <v>8</v>
      </c>
      <c r="L124" s="885">
        <f>SUM(E124:K124)/SUM(E121:K122)</f>
        <v>1.2456208641494744E-2</v>
      </c>
      <c r="M124" s="6" t="s">
        <v>707</v>
      </c>
    </row>
    <row r="125" spans="1:13" customFormat="1" ht="14.25" outlineLevel="2" x14ac:dyDescent="0.45">
      <c r="B125" s="726"/>
      <c r="C125" s="754" t="s">
        <v>567</v>
      </c>
      <c r="D125" s="755" t="s">
        <v>568</v>
      </c>
      <c r="E125" s="503">
        <v>857048.51161070052</v>
      </c>
      <c r="F125" s="504">
        <v>203741.13</v>
      </c>
      <c r="G125" s="504">
        <v>149415</v>
      </c>
      <c r="H125" s="504">
        <v>153673</v>
      </c>
      <c r="I125" s="504">
        <v>140835</v>
      </c>
      <c r="J125" s="504">
        <v>143250</v>
      </c>
      <c r="K125" s="505">
        <v>288935</v>
      </c>
    </row>
    <row r="126" spans="1:13" customFormat="1" ht="14.25" outlineLevel="2" x14ac:dyDescent="0.45">
      <c r="B126" s="726"/>
      <c r="C126" s="754" t="s">
        <v>569</v>
      </c>
      <c r="D126" s="755" t="s">
        <v>570</v>
      </c>
      <c r="E126" s="314">
        <v>1.0110000000000001</v>
      </c>
      <c r="F126" s="315">
        <v>0</v>
      </c>
      <c r="G126" s="315">
        <v>0.2</v>
      </c>
      <c r="H126" s="315">
        <v>0</v>
      </c>
      <c r="I126" s="315">
        <v>0.2</v>
      </c>
      <c r="J126" s="315">
        <v>0</v>
      </c>
      <c r="K126" s="316">
        <v>0</v>
      </c>
      <c r="L126" s="885">
        <f>SUM(E126:K126)/SUM(E121:K122)</f>
        <v>5.4924094978590888E-4</v>
      </c>
      <c r="M126" s="6" t="s">
        <v>708</v>
      </c>
    </row>
    <row r="127" spans="1:13" customFormat="1" ht="14.25" outlineLevel="2" x14ac:dyDescent="0.45">
      <c r="B127" s="726"/>
      <c r="C127" s="754" t="s">
        <v>571</v>
      </c>
      <c r="D127" s="755" t="s">
        <v>568</v>
      </c>
      <c r="E127" s="314">
        <v>204950.2837304773</v>
      </c>
      <c r="F127" s="315">
        <v>0</v>
      </c>
      <c r="G127" s="315">
        <v>62238</v>
      </c>
      <c r="H127" s="315">
        <v>0</v>
      </c>
      <c r="I127" s="315">
        <v>78618</v>
      </c>
      <c r="J127" s="315">
        <v>24061</v>
      </c>
      <c r="K127" s="316">
        <v>0</v>
      </c>
    </row>
    <row r="128" spans="1:13" customFormat="1" ht="14.25" outlineLevel="2" x14ac:dyDescent="0.45">
      <c r="B128" s="726"/>
      <c r="C128" s="754" t="s">
        <v>572</v>
      </c>
      <c r="D128" s="755" t="s">
        <v>570</v>
      </c>
      <c r="E128" s="314">
        <v>25.103000000000002</v>
      </c>
      <c r="F128" s="315">
        <v>15.391999999999999</v>
      </c>
      <c r="G128" s="315">
        <v>0.5</v>
      </c>
      <c r="H128" s="315">
        <v>0</v>
      </c>
      <c r="I128" s="315">
        <v>0.4</v>
      </c>
      <c r="J128" s="315">
        <v>0.2</v>
      </c>
      <c r="K128" s="316">
        <v>0.2</v>
      </c>
      <c r="L128" s="885">
        <f>SUM(E128:K128)/SUM(E121:K122)</f>
        <v>1.6268976255352282E-2</v>
      </c>
      <c r="M128" s="6" t="s">
        <v>708</v>
      </c>
    </row>
    <row r="129" spans="2:13" customFormat="1" ht="14.25" outlineLevel="2" x14ac:dyDescent="0.45">
      <c r="B129" s="726"/>
      <c r="C129" s="754" t="s">
        <v>572</v>
      </c>
      <c r="D129" s="755" t="s">
        <v>568</v>
      </c>
      <c r="E129" s="314">
        <v>853236.22141883743</v>
      </c>
      <c r="F129" s="315">
        <v>496509.88063220721</v>
      </c>
      <c r="G129" s="315">
        <v>142237</v>
      </c>
      <c r="H129" s="315">
        <v>191091</v>
      </c>
      <c r="I129" s="315">
        <v>242142</v>
      </c>
      <c r="J129" s="315">
        <v>277073</v>
      </c>
      <c r="K129" s="316">
        <v>431069</v>
      </c>
    </row>
    <row r="130" spans="2:13" customFormat="1" ht="14.25" outlineLevel="2" x14ac:dyDescent="0.45">
      <c r="B130" s="726"/>
      <c r="C130" s="754" t="s">
        <v>573</v>
      </c>
      <c r="D130" s="755" t="s">
        <v>563</v>
      </c>
      <c r="E130" s="503">
        <v>2.6788665879574971</v>
      </c>
      <c r="F130" s="504">
        <v>3.2377300613496933</v>
      </c>
      <c r="G130" s="504">
        <v>3</v>
      </c>
      <c r="H130" s="504">
        <v>3.7</v>
      </c>
      <c r="I130" s="504">
        <v>2.6</v>
      </c>
      <c r="J130" s="504">
        <v>3.1</v>
      </c>
      <c r="K130" s="505">
        <v>4.5999999999999996</v>
      </c>
      <c r="L130" s="884">
        <f>AVERAGE(E130:K130)</f>
        <v>3.2737995213295981</v>
      </c>
      <c r="M130" s="6" t="s">
        <v>709</v>
      </c>
    </row>
    <row r="131" spans="2:13" customFormat="1" ht="14.25" outlineLevel="2" x14ac:dyDescent="0.45">
      <c r="B131" s="726"/>
      <c r="C131" s="754" t="s">
        <v>574</v>
      </c>
      <c r="D131" s="755" t="s">
        <v>563</v>
      </c>
      <c r="E131" s="503">
        <v>2041</v>
      </c>
      <c r="F131" s="504">
        <v>1212</v>
      </c>
      <c r="G131" s="504">
        <v>656</v>
      </c>
      <c r="H131" s="504">
        <v>3450</v>
      </c>
      <c r="I131" s="504">
        <v>4458</v>
      </c>
      <c r="J131" s="504">
        <v>2403</v>
      </c>
      <c r="K131" s="505">
        <v>86</v>
      </c>
      <c r="L131" s="884">
        <f>AVERAGE(E131:K131)</f>
        <v>2043.7142857142858</v>
      </c>
      <c r="M131" s="6" t="s">
        <v>709</v>
      </c>
    </row>
    <row r="132" spans="2:13" customFormat="1" ht="14.25" outlineLevel="2" x14ac:dyDescent="0.45">
      <c r="B132" s="726"/>
      <c r="C132" s="754" t="s">
        <v>575</v>
      </c>
      <c r="D132" s="755" t="s">
        <v>563</v>
      </c>
      <c r="E132" s="503">
        <v>7</v>
      </c>
      <c r="F132" s="504">
        <v>7</v>
      </c>
      <c r="G132" s="504">
        <v>27</v>
      </c>
      <c r="H132" s="504">
        <v>5</v>
      </c>
      <c r="I132" s="504">
        <v>4</v>
      </c>
      <c r="J132" s="504">
        <v>25</v>
      </c>
      <c r="K132" s="505">
        <v>7</v>
      </c>
      <c r="L132" s="884">
        <f>AVERAGE(E132:K132)</f>
        <v>11.714285714285714</v>
      </c>
      <c r="M132" s="6" t="s">
        <v>709</v>
      </c>
    </row>
    <row r="133" spans="2:13" customFormat="1" ht="14.25" outlineLevel="2" x14ac:dyDescent="0.45">
      <c r="B133" s="727"/>
      <c r="C133" s="756" t="s">
        <v>576</v>
      </c>
      <c r="D133" s="757" t="s">
        <v>577</v>
      </c>
      <c r="E133" s="626">
        <v>194090</v>
      </c>
      <c r="F133" s="534">
        <v>117670</v>
      </c>
      <c r="G133" s="534">
        <v>42120</v>
      </c>
      <c r="H133" s="534">
        <v>299630</v>
      </c>
      <c r="I133" s="534">
        <v>448395</v>
      </c>
      <c r="J133" s="534">
        <v>264286</v>
      </c>
      <c r="K133" s="882">
        <v>21152</v>
      </c>
      <c r="L133" s="884">
        <f>AVERAGE(E133:K133)</f>
        <v>198191.85714285713</v>
      </c>
      <c r="M133" s="6" t="s">
        <v>709</v>
      </c>
    </row>
    <row r="134" spans="2:13" customFormat="1" ht="14.25" outlineLevel="2" x14ac:dyDescent="0.45">
      <c r="B134" s="728" t="s">
        <v>436</v>
      </c>
      <c r="C134" s="754" t="s">
        <v>562</v>
      </c>
      <c r="D134" s="755" t="s">
        <v>563</v>
      </c>
      <c r="E134" s="540">
        <v>173</v>
      </c>
      <c r="F134" s="437">
        <v>116</v>
      </c>
      <c r="G134" s="437">
        <v>58</v>
      </c>
      <c r="H134" s="437">
        <v>69</v>
      </c>
      <c r="I134" s="437">
        <v>17</v>
      </c>
      <c r="J134" s="437">
        <v>19</v>
      </c>
      <c r="K134" s="438">
        <v>26</v>
      </c>
      <c r="L134" s="883">
        <f>SUM(E134:K134)/SUM(E134:K135)</f>
        <v>0.64857530529172325</v>
      </c>
      <c r="M134" s="6" t="s">
        <v>710</v>
      </c>
    </row>
    <row r="135" spans="2:13" customFormat="1" ht="14.25" outlineLevel="2" x14ac:dyDescent="0.45">
      <c r="B135" s="729"/>
      <c r="C135" s="754" t="s">
        <v>564</v>
      </c>
      <c r="D135" s="755" t="s">
        <v>563</v>
      </c>
      <c r="E135" s="314">
        <v>97</v>
      </c>
      <c r="F135" s="315">
        <v>52</v>
      </c>
      <c r="G135" s="315">
        <v>12</v>
      </c>
      <c r="H135" s="315">
        <v>31</v>
      </c>
      <c r="I135" s="315">
        <v>23</v>
      </c>
      <c r="J135" s="315">
        <v>23</v>
      </c>
      <c r="K135" s="316">
        <v>21</v>
      </c>
      <c r="L135" s="883">
        <f>SUM(E135:K135)/SUM(E134:K135)</f>
        <v>0.35142469470827681</v>
      </c>
      <c r="M135" s="6" t="s">
        <v>710</v>
      </c>
    </row>
    <row r="136" spans="2:13" customFormat="1" ht="14.25" outlineLevel="2" x14ac:dyDescent="0.45">
      <c r="B136" s="729"/>
      <c r="C136" s="754" t="s">
        <v>565</v>
      </c>
      <c r="D136" s="755" t="s">
        <v>566</v>
      </c>
      <c r="E136" s="503">
        <v>13.166999999999996</v>
      </c>
      <c r="F136" s="504">
        <v>7.0149999999999997</v>
      </c>
      <c r="G136" s="504">
        <v>5</v>
      </c>
      <c r="H136" s="504">
        <v>8.1999999999999993</v>
      </c>
      <c r="I136" s="504">
        <v>6.5</v>
      </c>
      <c r="J136" s="504">
        <v>7.5</v>
      </c>
      <c r="K136" s="505">
        <v>5.9</v>
      </c>
      <c r="L136" s="885">
        <f>SUM(E136:K136)/SUM(E134:K135)</f>
        <v>7.2295793758480317E-2</v>
      </c>
      <c r="M136" s="6" t="s">
        <v>706</v>
      </c>
    </row>
    <row r="137" spans="2:13" customFormat="1" ht="14.25" outlineLevel="2" x14ac:dyDescent="0.45">
      <c r="B137" s="729"/>
      <c r="C137" s="754" t="s">
        <v>565</v>
      </c>
      <c r="D137" s="755" t="s">
        <v>563</v>
      </c>
      <c r="E137" s="503">
        <v>1</v>
      </c>
      <c r="F137" s="504">
        <v>0</v>
      </c>
      <c r="G137" s="504">
        <v>20</v>
      </c>
      <c r="H137" s="504">
        <v>22</v>
      </c>
      <c r="I137" s="504">
        <v>8</v>
      </c>
      <c r="J137" s="504">
        <v>8</v>
      </c>
      <c r="K137" s="505">
        <v>17</v>
      </c>
      <c r="L137" s="885">
        <f>SUM(E137:K137)/SUM(E134:K135)</f>
        <v>0.10312075983717775</v>
      </c>
      <c r="M137" s="6" t="s">
        <v>707</v>
      </c>
    </row>
    <row r="138" spans="2:13" customFormat="1" ht="14.25" outlineLevel="2" x14ac:dyDescent="0.45">
      <c r="B138" s="729"/>
      <c r="C138" s="754" t="s">
        <v>567</v>
      </c>
      <c r="D138" s="755" t="s">
        <v>568</v>
      </c>
      <c r="E138" s="503">
        <v>1805396.9284905633</v>
      </c>
      <c r="F138" s="504">
        <v>855584.65825577942</v>
      </c>
      <c r="G138" s="504">
        <v>1188795</v>
      </c>
      <c r="H138" s="504">
        <v>1422121</v>
      </c>
      <c r="I138" s="504">
        <v>744873</v>
      </c>
      <c r="J138" s="504">
        <v>732540</v>
      </c>
      <c r="K138" s="505">
        <v>848006</v>
      </c>
    </row>
    <row r="139" spans="2:13" customFormat="1" ht="14.25" outlineLevel="2" x14ac:dyDescent="0.45">
      <c r="B139" s="729"/>
      <c r="C139" s="754" t="s">
        <v>569</v>
      </c>
      <c r="D139" s="755" t="s">
        <v>570</v>
      </c>
      <c r="E139" s="314">
        <v>3.4250000000000003</v>
      </c>
      <c r="F139" s="315">
        <v>3.9064999999999999</v>
      </c>
      <c r="G139" s="315">
        <v>0.2</v>
      </c>
      <c r="H139" s="315">
        <v>0.1</v>
      </c>
      <c r="I139" s="315">
        <v>0.38</v>
      </c>
      <c r="J139" s="315">
        <v>0.05</v>
      </c>
      <c r="K139" s="316">
        <v>12.47</v>
      </c>
      <c r="L139" s="885">
        <f>SUM(E139:K139)/SUM(E134:K135)</f>
        <v>2.7858208955223882E-2</v>
      </c>
      <c r="M139" s="6" t="s">
        <v>708</v>
      </c>
    </row>
    <row r="140" spans="2:13" customFormat="1" ht="14.25" outlineLevel="2" x14ac:dyDescent="0.45">
      <c r="B140" s="729"/>
      <c r="C140" s="754" t="s">
        <v>571</v>
      </c>
      <c r="D140" s="755" t="s">
        <v>568</v>
      </c>
      <c r="E140" s="314">
        <v>675893.63505333907</v>
      </c>
      <c r="F140" s="315">
        <v>261586.40820031852</v>
      </c>
      <c r="G140" s="315">
        <v>274168</v>
      </c>
      <c r="H140" s="315">
        <v>468484</v>
      </c>
      <c r="I140" s="315">
        <v>236754</v>
      </c>
      <c r="J140" s="315">
        <v>1622568</v>
      </c>
      <c r="K140" s="316">
        <v>1029711</v>
      </c>
    </row>
    <row r="141" spans="2:13" customFormat="1" ht="14.25" outlineLevel="2" x14ac:dyDescent="0.45">
      <c r="B141" s="729"/>
      <c r="C141" s="754" t="s">
        <v>572</v>
      </c>
      <c r="D141" s="755" t="s">
        <v>570</v>
      </c>
      <c r="E141" s="314">
        <v>5.5640000000000001</v>
      </c>
      <c r="F141" s="315">
        <v>5.0250000000000004</v>
      </c>
      <c r="G141" s="315">
        <v>0.5</v>
      </c>
      <c r="H141" s="315">
        <v>0.5</v>
      </c>
      <c r="I141" s="315">
        <v>0.12</v>
      </c>
      <c r="J141" s="315">
        <v>0.34</v>
      </c>
      <c r="K141" s="316">
        <v>0.2</v>
      </c>
      <c r="L141" s="885">
        <f>SUM(E141:K141)/SUM(E134:K135)</f>
        <v>1.6620081411126187E-2</v>
      </c>
      <c r="M141" s="6" t="s">
        <v>708</v>
      </c>
    </row>
    <row r="142" spans="2:13" customFormat="1" ht="14.25" outlineLevel="2" x14ac:dyDescent="0.45">
      <c r="B142" s="730"/>
      <c r="C142" s="756" t="s">
        <v>572</v>
      </c>
      <c r="D142" s="757" t="s">
        <v>568</v>
      </c>
      <c r="E142" s="628">
        <v>391410.20159323158</v>
      </c>
      <c r="F142" s="444">
        <v>359043.28418453806</v>
      </c>
      <c r="G142" s="444">
        <v>196997</v>
      </c>
      <c r="H142" s="444">
        <v>149416</v>
      </c>
      <c r="I142" s="444">
        <v>103897</v>
      </c>
      <c r="J142" s="444">
        <v>195228</v>
      </c>
      <c r="K142" s="445">
        <v>195972</v>
      </c>
    </row>
    <row r="143" spans="2:13" customFormat="1" ht="14.25" outlineLevel="2" x14ac:dyDescent="0.45">
      <c r="B143" s="728" t="s">
        <v>441</v>
      </c>
      <c r="C143" s="762" t="s">
        <v>562</v>
      </c>
      <c r="D143" s="763" t="s">
        <v>563</v>
      </c>
      <c r="E143" s="540">
        <v>801</v>
      </c>
      <c r="F143" s="437">
        <v>524</v>
      </c>
      <c r="G143" s="437">
        <v>404</v>
      </c>
      <c r="H143" s="437">
        <v>258</v>
      </c>
      <c r="I143" s="437">
        <v>239</v>
      </c>
      <c r="J143" s="437">
        <v>269</v>
      </c>
      <c r="K143" s="438">
        <v>215</v>
      </c>
      <c r="L143" s="883">
        <f>SUM(E143:K143)/SUM(E143:K144)</f>
        <v>0.95759717314487636</v>
      </c>
      <c r="M143" s="6" t="s">
        <v>710</v>
      </c>
    </row>
    <row r="144" spans="2:13" customFormat="1" ht="14.25" outlineLevel="2" x14ac:dyDescent="0.45">
      <c r="B144" s="729"/>
      <c r="C144" s="754" t="s">
        <v>564</v>
      </c>
      <c r="D144" s="755" t="s">
        <v>563</v>
      </c>
      <c r="E144" s="314">
        <v>19</v>
      </c>
      <c r="F144" s="315">
        <v>9</v>
      </c>
      <c r="G144" s="315">
        <v>2</v>
      </c>
      <c r="H144" s="315">
        <v>59</v>
      </c>
      <c r="I144" s="315">
        <v>16</v>
      </c>
      <c r="J144" s="315">
        <v>10</v>
      </c>
      <c r="K144" s="316">
        <v>5</v>
      </c>
      <c r="L144" s="883">
        <f>SUM(E144:K144)/SUM(E143:K144)</f>
        <v>4.2402826855123678E-2</v>
      </c>
      <c r="M144" s="6" t="s">
        <v>710</v>
      </c>
    </row>
    <row r="145" spans="2:15" customFormat="1" ht="14.25" outlineLevel="2" x14ac:dyDescent="0.45">
      <c r="B145" s="729"/>
      <c r="C145" s="754" t="s">
        <v>565</v>
      </c>
      <c r="D145" s="755" t="s">
        <v>566</v>
      </c>
      <c r="E145" s="503">
        <v>1.363</v>
      </c>
      <c r="F145" s="504">
        <v>2.6999999999999997</v>
      </c>
      <c r="G145" s="504">
        <v>0</v>
      </c>
      <c r="H145" s="504">
        <v>0.4</v>
      </c>
      <c r="I145" s="504">
        <v>0.78</v>
      </c>
      <c r="J145" s="504">
        <v>0.46</v>
      </c>
      <c r="K145" s="505">
        <v>0.52</v>
      </c>
      <c r="L145" s="885">
        <f>SUM(E145:K145)/SUM(E143:K144)</f>
        <v>2.1989399293286223E-3</v>
      </c>
      <c r="M145" s="6" t="s">
        <v>706</v>
      </c>
    </row>
    <row r="146" spans="2:15" customFormat="1" ht="14.25" outlineLevel="2" x14ac:dyDescent="0.45">
      <c r="B146" s="729"/>
      <c r="C146" s="754" t="s">
        <v>565</v>
      </c>
      <c r="D146" s="755" t="s">
        <v>563</v>
      </c>
      <c r="E146" s="503">
        <v>0</v>
      </c>
      <c r="F146" s="504">
        <v>2</v>
      </c>
      <c r="G146" s="504">
        <v>5</v>
      </c>
      <c r="H146" s="504">
        <v>4</v>
      </c>
      <c r="I146" s="504">
        <v>3</v>
      </c>
      <c r="J146" s="504">
        <v>0</v>
      </c>
      <c r="K146" s="505">
        <v>2</v>
      </c>
      <c r="L146" s="885">
        <f>SUM(E146:K146)/SUM(E143:K144)</f>
        <v>5.6537102473498231E-3</v>
      </c>
      <c r="M146" s="6" t="s">
        <v>707</v>
      </c>
    </row>
    <row r="147" spans="2:15" customFormat="1" ht="14.25" outlineLevel="2" x14ac:dyDescent="0.45">
      <c r="B147" s="729"/>
      <c r="C147" s="754" t="s">
        <v>567</v>
      </c>
      <c r="D147" s="755" t="s">
        <v>568</v>
      </c>
      <c r="E147" s="503">
        <v>397888.93381346244</v>
      </c>
      <c r="F147" s="504">
        <v>360151.17652458942</v>
      </c>
      <c r="G147" s="504">
        <v>192543</v>
      </c>
      <c r="H147" s="504">
        <v>127752</v>
      </c>
      <c r="I147" s="504">
        <v>42212</v>
      </c>
      <c r="J147" s="504">
        <v>69206</v>
      </c>
      <c r="K147" s="505">
        <v>43749</v>
      </c>
    </row>
    <row r="148" spans="2:15" customFormat="1" ht="14.25" outlineLevel="2" x14ac:dyDescent="0.45">
      <c r="B148" s="729"/>
      <c r="C148" s="754" t="s">
        <v>569</v>
      </c>
      <c r="D148" s="755" t="s">
        <v>570</v>
      </c>
      <c r="E148" s="314">
        <v>0.47709607574000001</v>
      </c>
      <c r="F148" s="315">
        <v>2.0990000000000002</v>
      </c>
      <c r="G148" s="315">
        <v>0</v>
      </c>
      <c r="H148" s="315">
        <v>0</v>
      </c>
      <c r="I148" s="315">
        <v>0.1</v>
      </c>
      <c r="J148" s="315">
        <v>0</v>
      </c>
      <c r="K148" s="316">
        <v>0.2</v>
      </c>
      <c r="L148" s="885">
        <f>SUM(E148:K148)/SUM(E143:K144)</f>
        <v>1.0162883659858659E-3</v>
      </c>
      <c r="M148" s="6" t="s">
        <v>708</v>
      </c>
    </row>
    <row r="149" spans="2:15" customFormat="1" ht="14.25" outlineLevel="2" x14ac:dyDescent="0.45">
      <c r="B149" s="729"/>
      <c r="C149" s="754" t="s">
        <v>571</v>
      </c>
      <c r="D149" s="755" t="s">
        <v>568</v>
      </c>
      <c r="E149" s="314">
        <v>120071.55214068542</v>
      </c>
      <c r="F149" s="315">
        <v>260138.69561742226</v>
      </c>
      <c r="G149" s="315">
        <v>109754</v>
      </c>
      <c r="H149" s="315">
        <v>2982</v>
      </c>
      <c r="I149" s="315">
        <v>59246</v>
      </c>
      <c r="J149" s="315">
        <v>145351</v>
      </c>
      <c r="K149" s="316">
        <v>242654</v>
      </c>
    </row>
    <row r="150" spans="2:15" customFormat="1" ht="14.25" outlineLevel="2" x14ac:dyDescent="0.45">
      <c r="B150" s="729"/>
      <c r="C150" s="754" t="s">
        <v>572</v>
      </c>
      <c r="D150" s="755" t="s">
        <v>570</v>
      </c>
      <c r="E150" s="314">
        <v>21.268000000000001</v>
      </c>
      <c r="F150" s="315">
        <v>14.784000000000001</v>
      </c>
      <c r="G150" s="315">
        <v>1</v>
      </c>
      <c r="H150" s="315">
        <v>0</v>
      </c>
      <c r="I150" s="315">
        <v>0</v>
      </c>
      <c r="J150" s="315">
        <v>0</v>
      </c>
      <c r="K150" s="316">
        <v>0.3</v>
      </c>
      <c r="L150" s="885">
        <f>SUM(E150:K150)/SUM(E143:K144)</f>
        <v>1.3198586572438161E-2</v>
      </c>
      <c r="M150" s="6" t="s">
        <v>708</v>
      </c>
    </row>
    <row r="151" spans="2:15" customFormat="1" ht="14.25" outlineLevel="2" x14ac:dyDescent="0.45">
      <c r="B151" s="729"/>
      <c r="C151" s="754" t="s">
        <v>572</v>
      </c>
      <c r="D151" s="755" t="s">
        <v>568</v>
      </c>
      <c r="E151" s="314">
        <v>687133.26423401153</v>
      </c>
      <c r="F151" s="315">
        <v>515893.22754881013</v>
      </c>
      <c r="G151" s="315">
        <v>306760</v>
      </c>
      <c r="H151" s="315">
        <v>169421</v>
      </c>
      <c r="I151" s="315">
        <v>191764</v>
      </c>
      <c r="J151" s="315">
        <v>472344</v>
      </c>
      <c r="K151" s="316">
        <v>298801</v>
      </c>
    </row>
    <row r="152" spans="2:15" customFormat="1" ht="14.25" outlineLevel="2" x14ac:dyDescent="0.45">
      <c r="B152" s="730"/>
      <c r="C152" s="756" t="s">
        <v>578</v>
      </c>
      <c r="D152" s="757" t="s">
        <v>577</v>
      </c>
      <c r="E152" s="626">
        <v>10856.700452145573</v>
      </c>
      <c r="F152" s="534">
        <v>8233.2108673247949</v>
      </c>
      <c r="G152" s="534">
        <v>29003</v>
      </c>
      <c r="H152" s="534">
        <v>3949</v>
      </c>
      <c r="I152" s="534">
        <v>73306</v>
      </c>
      <c r="J152" s="534">
        <v>114484</v>
      </c>
      <c r="K152" s="882">
        <v>1076</v>
      </c>
      <c r="L152" s="1010">
        <f>SUM(E147:K147,E149:K149,E151:K151)/SUM(E152:K152)/SUM(E143:K144)</f>
        <v>7.0637020777682656E-3</v>
      </c>
      <c r="M152" s="798" t="s">
        <v>711</v>
      </c>
      <c r="N152" s="887">
        <f>SUMPRODUCT(E152:K152,Input_CPI!$K$17:$Q$17)/COUNT(E152:K152)</f>
        <v>41903.157244932474</v>
      </c>
      <c r="O152" s="798" t="s">
        <v>712</v>
      </c>
    </row>
    <row r="153" spans="2:15" customFormat="1" ht="14.25" outlineLevel="2" x14ac:dyDescent="0.45">
      <c r="B153" s="728" t="s">
        <v>444</v>
      </c>
      <c r="C153" s="762" t="s">
        <v>562</v>
      </c>
      <c r="D153" s="763" t="s">
        <v>563</v>
      </c>
      <c r="E153" s="540">
        <v>461</v>
      </c>
      <c r="F153" s="437">
        <v>717</v>
      </c>
      <c r="G153" s="437">
        <v>1157</v>
      </c>
      <c r="H153" s="437">
        <v>1478</v>
      </c>
      <c r="I153" s="437">
        <v>1801</v>
      </c>
      <c r="J153" s="437">
        <v>1048</v>
      </c>
      <c r="K153" s="438">
        <v>338</v>
      </c>
      <c r="L153" s="883">
        <f>SUM(E153:K153)/SUM(E153:K154)</f>
        <v>0.54280397022332505</v>
      </c>
      <c r="M153" s="6" t="s">
        <v>710</v>
      </c>
    </row>
    <row r="154" spans="2:15" customFormat="1" ht="14.25" outlineLevel="2" x14ac:dyDescent="0.45">
      <c r="B154" s="729"/>
      <c r="C154" s="754" t="s">
        <v>564</v>
      </c>
      <c r="D154" s="755" t="s">
        <v>563</v>
      </c>
      <c r="E154" s="314">
        <v>388</v>
      </c>
      <c r="F154" s="315">
        <v>885</v>
      </c>
      <c r="G154" s="315">
        <v>841</v>
      </c>
      <c r="H154" s="315">
        <v>1131</v>
      </c>
      <c r="I154" s="315">
        <v>1527</v>
      </c>
      <c r="J154" s="315">
        <v>847</v>
      </c>
      <c r="K154" s="316">
        <v>277</v>
      </c>
      <c r="L154" s="883">
        <f>SUM(E154:K154)/SUM(E153:K154)</f>
        <v>0.45719602977667495</v>
      </c>
      <c r="M154" s="6" t="s">
        <v>710</v>
      </c>
    </row>
    <row r="155" spans="2:15" customFormat="1" ht="14.25" outlineLevel="2" x14ac:dyDescent="0.45">
      <c r="B155" s="729"/>
      <c r="C155" s="754" t="s">
        <v>565</v>
      </c>
      <c r="D155" s="755" t="s">
        <v>566</v>
      </c>
      <c r="E155" s="503">
        <v>0</v>
      </c>
      <c r="F155" s="504">
        <v>0</v>
      </c>
      <c r="G155" s="504">
        <v>0</v>
      </c>
      <c r="H155" s="504">
        <v>0</v>
      </c>
      <c r="I155" s="504">
        <v>0</v>
      </c>
      <c r="J155" s="504">
        <v>0</v>
      </c>
      <c r="K155" s="505">
        <v>0</v>
      </c>
      <c r="L155" s="885">
        <f>SUM(E155:K155)/SUM(E153:K154)</f>
        <v>0</v>
      </c>
      <c r="M155" s="6" t="s">
        <v>706</v>
      </c>
    </row>
    <row r="156" spans="2:15" customFormat="1" ht="14.25" outlineLevel="2" x14ac:dyDescent="0.45">
      <c r="B156" s="729"/>
      <c r="C156" s="754" t="s">
        <v>565</v>
      </c>
      <c r="D156" s="755" t="s">
        <v>563</v>
      </c>
      <c r="E156" s="503">
        <v>0</v>
      </c>
      <c r="F156" s="504">
        <v>0</v>
      </c>
      <c r="G156" s="504">
        <v>0</v>
      </c>
      <c r="H156" s="504">
        <v>0</v>
      </c>
      <c r="I156" s="504">
        <v>0</v>
      </c>
      <c r="J156" s="504">
        <v>0</v>
      </c>
      <c r="K156" s="505">
        <v>0</v>
      </c>
      <c r="L156" s="885">
        <f>SUM(E156:K156)/SUM(E153:K154)</f>
        <v>0</v>
      </c>
      <c r="M156" s="6" t="s">
        <v>707</v>
      </c>
    </row>
    <row r="157" spans="2:15" customFormat="1" ht="14.25" outlineLevel="2" x14ac:dyDescent="0.45">
      <c r="B157" s="729"/>
      <c r="C157" s="754" t="s">
        <v>567</v>
      </c>
      <c r="D157" s="755" t="s">
        <v>579</v>
      </c>
      <c r="E157" s="503">
        <v>0</v>
      </c>
      <c r="F157" s="504">
        <v>0</v>
      </c>
      <c r="G157" s="504">
        <v>0</v>
      </c>
      <c r="H157" s="504">
        <v>0</v>
      </c>
      <c r="I157" s="504">
        <v>0</v>
      </c>
      <c r="J157" s="504">
        <v>0</v>
      </c>
      <c r="K157" s="505">
        <v>0</v>
      </c>
    </row>
    <row r="158" spans="2:15" customFormat="1" ht="14.25" outlineLevel="2" x14ac:dyDescent="0.45">
      <c r="B158" s="729"/>
      <c r="C158" s="754" t="s">
        <v>569</v>
      </c>
      <c r="D158" s="755" t="s">
        <v>570</v>
      </c>
      <c r="E158" s="314">
        <v>0</v>
      </c>
      <c r="F158" s="315">
        <v>0</v>
      </c>
      <c r="G158" s="315">
        <v>0</v>
      </c>
      <c r="H158" s="315">
        <v>0</v>
      </c>
      <c r="I158" s="315">
        <v>0</v>
      </c>
      <c r="J158" s="315">
        <v>0</v>
      </c>
      <c r="K158" s="316">
        <v>0</v>
      </c>
      <c r="L158" s="885">
        <f>SUM(E158:K158)/SUM(E153:K154)</f>
        <v>0</v>
      </c>
      <c r="M158" s="6" t="s">
        <v>708</v>
      </c>
    </row>
    <row r="159" spans="2:15" customFormat="1" ht="14.25" outlineLevel="2" x14ac:dyDescent="0.45">
      <c r="B159" s="729"/>
      <c r="C159" s="754" t="s">
        <v>571</v>
      </c>
      <c r="D159" s="755" t="s">
        <v>568</v>
      </c>
      <c r="E159" s="314">
        <v>0</v>
      </c>
      <c r="F159" s="315">
        <v>0</v>
      </c>
      <c r="G159" s="315">
        <v>0</v>
      </c>
      <c r="H159" s="315">
        <v>0</v>
      </c>
      <c r="I159" s="315">
        <v>0</v>
      </c>
      <c r="J159" s="315">
        <v>0</v>
      </c>
      <c r="K159" s="316">
        <v>0</v>
      </c>
    </row>
    <row r="160" spans="2:15" customFormat="1" ht="14.25" outlineLevel="2" x14ac:dyDescent="0.45">
      <c r="B160" s="729"/>
      <c r="C160" s="754" t="s">
        <v>572</v>
      </c>
      <c r="D160" s="755" t="s">
        <v>570</v>
      </c>
      <c r="E160" s="314">
        <v>0</v>
      </c>
      <c r="F160" s="315">
        <v>0</v>
      </c>
      <c r="G160" s="315">
        <v>0</v>
      </c>
      <c r="H160" s="315">
        <v>0</v>
      </c>
      <c r="I160" s="315">
        <v>0</v>
      </c>
      <c r="J160" s="315">
        <v>0</v>
      </c>
      <c r="K160" s="316">
        <v>0</v>
      </c>
      <c r="L160" s="885">
        <f>SUM(E160:K160)/SUM(E153:K154)</f>
        <v>0</v>
      </c>
      <c r="M160" s="6" t="s">
        <v>708</v>
      </c>
    </row>
    <row r="161" spans="1:13" customFormat="1" ht="14.65" outlineLevel="2" thickBot="1" x14ac:dyDescent="0.5">
      <c r="B161" s="731"/>
      <c r="C161" s="764" t="s">
        <v>572</v>
      </c>
      <c r="D161" s="765" t="s">
        <v>568</v>
      </c>
      <c r="E161" s="317">
        <v>0</v>
      </c>
      <c r="F161" s="318">
        <v>0</v>
      </c>
      <c r="G161" s="318">
        <v>0</v>
      </c>
      <c r="H161" s="318">
        <v>0</v>
      </c>
      <c r="I161" s="318">
        <v>0</v>
      </c>
      <c r="J161" s="318">
        <v>0</v>
      </c>
      <c r="K161" s="319">
        <v>0</v>
      </c>
    </row>
    <row r="162" spans="1:13" customFormat="1" ht="10.5" outlineLevel="1" thickBot="1" x14ac:dyDescent="0.35"/>
    <row r="163" spans="1:13" s="724" customFormat="1" ht="15.4" outlineLevel="1" thickBot="1" x14ac:dyDescent="0.4">
      <c r="A163" s="723"/>
      <c r="B163" s="426" t="s">
        <v>580</v>
      </c>
      <c r="C163" s="427"/>
      <c r="D163" s="427"/>
      <c r="E163" s="427"/>
      <c r="F163" s="427"/>
      <c r="G163" s="427"/>
      <c r="H163" s="427"/>
      <c r="I163" s="427"/>
      <c r="J163" s="427"/>
      <c r="K163" s="428"/>
    </row>
    <row r="164" spans="1:13" customFormat="1" ht="32.1" customHeight="1" outlineLevel="2" x14ac:dyDescent="0.35">
      <c r="A164" s="723"/>
      <c r="B164" s="1059" t="s">
        <v>429</v>
      </c>
      <c r="C164" s="1059" t="s">
        <v>559</v>
      </c>
      <c r="D164" s="1061" t="s">
        <v>560</v>
      </c>
      <c r="E164" s="1063" t="s">
        <v>705</v>
      </c>
      <c r="F164" s="1063"/>
      <c r="G164" s="1063"/>
      <c r="H164" s="1063"/>
      <c r="I164" s="1063"/>
      <c r="J164" s="1063"/>
      <c r="K164" s="1064"/>
    </row>
    <row r="165" spans="1:13" s="732" customFormat="1" ht="14.65" outlineLevel="2" thickBot="1" x14ac:dyDescent="0.4">
      <c r="A165" s="723"/>
      <c r="B165" s="1060"/>
      <c r="C165" s="1060"/>
      <c r="D165" s="1062"/>
      <c r="E165" s="748" t="s">
        <v>182</v>
      </c>
      <c r="F165" s="749" t="s">
        <v>183</v>
      </c>
      <c r="G165" s="749" t="s">
        <v>184</v>
      </c>
      <c r="H165" s="749" t="s">
        <v>171</v>
      </c>
      <c r="I165" s="749" t="s">
        <v>170</v>
      </c>
      <c r="J165" s="749" t="s">
        <v>172</v>
      </c>
      <c r="K165" s="761" t="s">
        <v>69</v>
      </c>
    </row>
    <row r="166" spans="1:13" s="732" customFormat="1" ht="14.25" outlineLevel="2" x14ac:dyDescent="0.45">
      <c r="A166" s="723"/>
      <c r="B166" s="725" t="s">
        <v>432</v>
      </c>
      <c r="C166" s="733" t="s">
        <v>562</v>
      </c>
      <c r="D166" s="734" t="s">
        <v>563</v>
      </c>
      <c r="E166" s="311">
        <v>655</v>
      </c>
      <c r="F166" s="315">
        <v>356</v>
      </c>
      <c r="G166" s="315">
        <v>117</v>
      </c>
      <c r="H166" s="315">
        <v>175</v>
      </c>
      <c r="I166" s="315">
        <v>43</v>
      </c>
      <c r="J166" s="315">
        <v>89</v>
      </c>
      <c r="K166" s="316">
        <v>130</v>
      </c>
      <c r="L166" s="883">
        <f>SUM(E166:K166)/SUM(E166:K167)</f>
        <v>0.60918645387310233</v>
      </c>
      <c r="M166" s="6" t="s">
        <v>704</v>
      </c>
    </row>
    <row r="167" spans="1:13" s="732" customFormat="1" ht="14.25" outlineLevel="2" x14ac:dyDescent="0.45">
      <c r="A167" s="723"/>
      <c r="B167" s="726"/>
      <c r="C167" s="735" t="s">
        <v>564</v>
      </c>
      <c r="D167" s="736" t="s">
        <v>563</v>
      </c>
      <c r="E167" s="314">
        <v>268</v>
      </c>
      <c r="F167" s="315">
        <v>223</v>
      </c>
      <c r="G167" s="315">
        <v>94</v>
      </c>
      <c r="H167" s="315">
        <v>101</v>
      </c>
      <c r="I167" s="315">
        <v>71</v>
      </c>
      <c r="J167" s="315">
        <v>109</v>
      </c>
      <c r="K167" s="316">
        <v>138</v>
      </c>
      <c r="L167" s="883">
        <f>SUM(E167:K167)/SUM(E166:K167)</f>
        <v>0.39081354612689762</v>
      </c>
      <c r="M167" s="6" t="str">
        <f>M166</f>
        <v>Proportion of residential connections</v>
      </c>
    </row>
    <row r="168" spans="1:13" s="732" customFormat="1" ht="14.25" outlineLevel="2" x14ac:dyDescent="0.45">
      <c r="A168" s="723"/>
      <c r="B168" s="726"/>
      <c r="C168" s="737" t="s">
        <v>565</v>
      </c>
      <c r="D168" s="738" t="s">
        <v>566</v>
      </c>
      <c r="E168" s="503">
        <v>6.2660000000000009</v>
      </c>
      <c r="F168" s="504">
        <v>1.4129999999999998</v>
      </c>
      <c r="G168" s="504">
        <v>0</v>
      </c>
      <c r="H168" s="504">
        <v>0.2</v>
      </c>
      <c r="I168" s="504">
        <v>0.6</v>
      </c>
      <c r="J168" s="504">
        <v>0.6</v>
      </c>
      <c r="K168" s="505">
        <v>1</v>
      </c>
      <c r="L168" s="885">
        <f>SUM(E168:K168)/SUM(E166:K167)</f>
        <v>3.923316465550798E-3</v>
      </c>
      <c r="M168" s="6" t="s">
        <v>706</v>
      </c>
    </row>
    <row r="169" spans="1:13" s="732" customFormat="1" ht="14.25" outlineLevel="2" x14ac:dyDescent="0.45">
      <c r="A169" s="723"/>
      <c r="B169" s="726"/>
      <c r="C169" s="735" t="s">
        <v>565</v>
      </c>
      <c r="D169" s="736" t="s">
        <v>563</v>
      </c>
      <c r="E169" s="503">
        <v>1</v>
      </c>
      <c r="F169" s="504">
        <v>0</v>
      </c>
      <c r="G169" s="504">
        <v>6</v>
      </c>
      <c r="H169" s="504">
        <v>4</v>
      </c>
      <c r="I169" s="504">
        <v>6</v>
      </c>
      <c r="J169" s="504">
        <v>7</v>
      </c>
      <c r="K169" s="505">
        <v>8</v>
      </c>
      <c r="L169" s="885">
        <f>SUM(E169:K169)/SUM(E166:K167)</f>
        <v>1.2456208641494744E-2</v>
      </c>
      <c r="M169" s="6" t="s">
        <v>707</v>
      </c>
    </row>
    <row r="170" spans="1:13" s="732" customFormat="1" ht="14.25" outlineLevel="2" x14ac:dyDescent="0.45">
      <c r="A170" s="723"/>
      <c r="B170" s="726"/>
      <c r="C170" s="735" t="s">
        <v>567</v>
      </c>
      <c r="D170" s="736" t="s">
        <v>568</v>
      </c>
      <c r="E170" s="503">
        <v>857048.51161070052</v>
      </c>
      <c r="F170" s="504">
        <v>203741.13</v>
      </c>
      <c r="G170" s="504">
        <v>149415</v>
      </c>
      <c r="H170" s="504">
        <v>153673</v>
      </c>
      <c r="I170" s="504">
        <v>140835</v>
      </c>
      <c r="J170" s="504">
        <v>143250</v>
      </c>
      <c r="K170" s="505">
        <v>288935</v>
      </c>
    </row>
    <row r="171" spans="1:13" s="732" customFormat="1" ht="14.25" outlineLevel="2" x14ac:dyDescent="0.45">
      <c r="A171" s="723"/>
      <c r="B171" s="726"/>
      <c r="C171" s="735" t="s">
        <v>569</v>
      </c>
      <c r="D171" s="736" t="s">
        <v>570</v>
      </c>
      <c r="E171" s="314">
        <v>1.0110000000000001</v>
      </c>
      <c r="F171" s="315">
        <v>0</v>
      </c>
      <c r="G171" s="315">
        <v>0</v>
      </c>
      <c r="H171" s="315">
        <v>0</v>
      </c>
      <c r="I171" s="315">
        <v>0.2</v>
      </c>
      <c r="J171" s="315">
        <v>0</v>
      </c>
      <c r="K171" s="316">
        <v>0</v>
      </c>
      <c r="L171" s="885">
        <f>SUM(E171:K171)/SUM(E166:K167)</f>
        <v>4.7138964577656678E-4</v>
      </c>
      <c r="M171" s="6" t="s">
        <v>708</v>
      </c>
    </row>
    <row r="172" spans="1:13" s="732" customFormat="1" ht="14.25" outlineLevel="2" x14ac:dyDescent="0.45">
      <c r="A172" s="723"/>
      <c r="B172" s="726"/>
      <c r="C172" s="735" t="s">
        <v>571</v>
      </c>
      <c r="D172" s="736" t="s">
        <v>568</v>
      </c>
      <c r="E172" s="314">
        <v>204950.2837304773</v>
      </c>
      <c r="F172" s="315">
        <v>0</v>
      </c>
      <c r="G172" s="315">
        <v>62238</v>
      </c>
      <c r="H172" s="315">
        <v>0</v>
      </c>
      <c r="I172" s="315">
        <v>78618</v>
      </c>
      <c r="J172" s="315">
        <v>24061</v>
      </c>
      <c r="K172" s="316">
        <v>0</v>
      </c>
      <c r="L172"/>
      <c r="M172"/>
    </row>
    <row r="173" spans="1:13" s="732" customFormat="1" ht="14.25" outlineLevel="2" x14ac:dyDescent="0.45">
      <c r="A173" s="723"/>
      <c r="B173" s="726"/>
      <c r="C173" s="735" t="s">
        <v>572</v>
      </c>
      <c r="D173" s="736" t="s">
        <v>570</v>
      </c>
      <c r="E173" s="314">
        <v>25.103000000000002</v>
      </c>
      <c r="F173" s="315">
        <v>15.391999999999999</v>
      </c>
      <c r="G173" s="315">
        <v>0</v>
      </c>
      <c r="H173" s="315">
        <v>0</v>
      </c>
      <c r="I173" s="315">
        <v>0.4</v>
      </c>
      <c r="J173" s="315">
        <v>0.2</v>
      </c>
      <c r="K173" s="316">
        <v>0.2</v>
      </c>
      <c r="L173" s="885">
        <f>SUM(E173:K173)/SUM(E166:K167)</f>
        <v>1.6074347995328926E-2</v>
      </c>
      <c r="M173" s="6" t="s">
        <v>708</v>
      </c>
    </row>
    <row r="174" spans="1:13" s="732" customFormat="1" ht="14.25" outlineLevel="2" x14ac:dyDescent="0.45">
      <c r="A174" s="723"/>
      <c r="B174" s="726"/>
      <c r="C174" s="739" t="s">
        <v>572</v>
      </c>
      <c r="D174" s="736" t="s">
        <v>568</v>
      </c>
      <c r="E174" s="314">
        <v>853236.22141883743</v>
      </c>
      <c r="F174" s="315">
        <v>496509.88063220721</v>
      </c>
      <c r="G174" s="315">
        <v>142237</v>
      </c>
      <c r="H174" s="315">
        <v>191091</v>
      </c>
      <c r="I174" s="315">
        <v>242142</v>
      </c>
      <c r="J174" s="315">
        <v>277073</v>
      </c>
      <c r="K174" s="316">
        <v>431069</v>
      </c>
    </row>
    <row r="175" spans="1:13" s="732" customFormat="1" ht="26.25" outlineLevel="2" x14ac:dyDescent="0.45">
      <c r="A175" s="723"/>
      <c r="B175" s="726"/>
      <c r="C175" s="737" t="s">
        <v>573</v>
      </c>
      <c r="D175" s="736" t="s">
        <v>563</v>
      </c>
      <c r="E175" s="503">
        <v>2.6788665879574971</v>
      </c>
      <c r="F175" s="504">
        <v>3.2377300613496933</v>
      </c>
      <c r="G175" s="504">
        <v>3</v>
      </c>
      <c r="H175" s="504">
        <v>1.5</v>
      </c>
      <c r="I175" s="504">
        <v>2.6</v>
      </c>
      <c r="J175" s="504">
        <v>3.1</v>
      </c>
      <c r="K175" s="505">
        <v>4.5999999999999996</v>
      </c>
      <c r="L175" s="884">
        <f>AVERAGE(E175:K175)</f>
        <v>2.9595138070438844</v>
      </c>
      <c r="M175" s="6" t="s">
        <v>709</v>
      </c>
    </row>
    <row r="176" spans="1:13" s="732" customFormat="1" ht="14.25" outlineLevel="2" x14ac:dyDescent="0.45">
      <c r="A176" s="723"/>
      <c r="B176" s="726"/>
      <c r="C176" s="737" t="s">
        <v>574</v>
      </c>
      <c r="D176" s="736" t="s">
        <v>563</v>
      </c>
      <c r="E176" s="503">
        <v>2041</v>
      </c>
      <c r="F176" s="504">
        <v>1212</v>
      </c>
      <c r="G176" s="504">
        <v>656</v>
      </c>
      <c r="H176" s="504">
        <v>3450</v>
      </c>
      <c r="I176" s="504">
        <v>4458</v>
      </c>
      <c r="J176" s="504">
        <v>2403</v>
      </c>
      <c r="K176" s="505">
        <v>86</v>
      </c>
      <c r="L176" s="884">
        <f>AVERAGE(E176:K176)</f>
        <v>2043.7142857142858</v>
      </c>
      <c r="M176" s="6" t="s">
        <v>709</v>
      </c>
    </row>
    <row r="177" spans="1:13" s="732" customFormat="1" ht="26.25" outlineLevel="2" x14ac:dyDescent="0.45">
      <c r="A177" s="723"/>
      <c r="B177" s="726"/>
      <c r="C177" s="740" t="s">
        <v>575</v>
      </c>
      <c r="D177" s="736" t="s">
        <v>563</v>
      </c>
      <c r="E177" s="503">
        <v>7</v>
      </c>
      <c r="F177" s="504">
        <v>7</v>
      </c>
      <c r="G177" s="504">
        <v>27</v>
      </c>
      <c r="H177" s="504">
        <v>5</v>
      </c>
      <c r="I177" s="504">
        <v>4</v>
      </c>
      <c r="J177" s="504">
        <v>25</v>
      </c>
      <c r="K177" s="505">
        <v>7</v>
      </c>
      <c r="L177" s="884">
        <f>AVERAGE(E177:K177)</f>
        <v>11.714285714285714</v>
      </c>
      <c r="M177" s="6" t="s">
        <v>709</v>
      </c>
    </row>
    <row r="178" spans="1:13" s="732" customFormat="1" ht="14.25" outlineLevel="2" x14ac:dyDescent="0.45">
      <c r="A178" s="723"/>
      <c r="B178" s="727"/>
      <c r="C178" s="741" t="s">
        <v>576</v>
      </c>
      <c r="D178" s="742" t="s">
        <v>577</v>
      </c>
      <c r="E178" s="626">
        <v>194090</v>
      </c>
      <c r="F178" s="534">
        <v>117670</v>
      </c>
      <c r="G178" s="534">
        <v>42120</v>
      </c>
      <c r="H178" s="534">
        <v>299630</v>
      </c>
      <c r="I178" s="534">
        <v>448395</v>
      </c>
      <c r="J178" s="534">
        <v>264286</v>
      </c>
      <c r="K178" s="882">
        <v>21152</v>
      </c>
      <c r="L178" s="884">
        <f>AVERAGE(E178:K178)</f>
        <v>198191.85714285713</v>
      </c>
      <c r="M178" s="6" t="s">
        <v>709</v>
      </c>
    </row>
    <row r="179" spans="1:13" s="732" customFormat="1" ht="14.25" outlineLevel="2" x14ac:dyDescent="0.45">
      <c r="A179" s="723"/>
      <c r="B179" s="728" t="s">
        <v>436</v>
      </c>
      <c r="C179" s="743" t="s">
        <v>562</v>
      </c>
      <c r="D179" s="744" t="s">
        <v>563</v>
      </c>
      <c r="E179" s="540">
        <v>173</v>
      </c>
      <c r="F179" s="437">
        <v>116</v>
      </c>
      <c r="G179" s="437">
        <v>58</v>
      </c>
      <c r="H179" s="437">
        <v>69</v>
      </c>
      <c r="I179" s="437">
        <v>17</v>
      </c>
      <c r="J179" s="437">
        <v>19</v>
      </c>
      <c r="K179" s="438">
        <v>26</v>
      </c>
      <c r="L179" s="883">
        <f>SUM(E179:K179)/SUM(E179:K180)</f>
        <v>0.64857530529172325</v>
      </c>
      <c r="M179" s="6" t="s">
        <v>710</v>
      </c>
    </row>
    <row r="180" spans="1:13" s="732" customFormat="1" ht="14.25" outlineLevel="2" x14ac:dyDescent="0.45">
      <c r="A180" s="723"/>
      <c r="B180" s="729"/>
      <c r="C180" s="735" t="s">
        <v>564</v>
      </c>
      <c r="D180" s="736" t="s">
        <v>563</v>
      </c>
      <c r="E180" s="314">
        <v>97</v>
      </c>
      <c r="F180" s="315">
        <v>52</v>
      </c>
      <c r="G180" s="315">
        <v>12</v>
      </c>
      <c r="H180" s="315">
        <v>31</v>
      </c>
      <c r="I180" s="315">
        <v>23</v>
      </c>
      <c r="J180" s="315">
        <v>23</v>
      </c>
      <c r="K180" s="316">
        <v>21</v>
      </c>
      <c r="L180" s="883">
        <f>SUM(E180:K180)/SUM(E179:K180)</f>
        <v>0.35142469470827681</v>
      </c>
      <c r="M180" s="6" t="s">
        <v>710</v>
      </c>
    </row>
    <row r="181" spans="1:13" s="732" customFormat="1" ht="14.25" outlineLevel="2" x14ac:dyDescent="0.45">
      <c r="A181" s="723"/>
      <c r="B181" s="729"/>
      <c r="C181" s="737" t="s">
        <v>565</v>
      </c>
      <c r="D181" s="738" t="s">
        <v>566</v>
      </c>
      <c r="E181" s="503">
        <v>13.166999999999996</v>
      </c>
      <c r="F181" s="504">
        <v>7.0149999999999997</v>
      </c>
      <c r="G181" s="504">
        <v>5</v>
      </c>
      <c r="H181" s="504">
        <v>8.1999999999999993</v>
      </c>
      <c r="I181" s="504">
        <v>6.5</v>
      </c>
      <c r="J181" s="504">
        <v>7.5</v>
      </c>
      <c r="K181" s="505">
        <v>5.9</v>
      </c>
      <c r="L181" s="885">
        <f>SUM(E181:K181)/SUM(E179:K180)</f>
        <v>7.2295793758480317E-2</v>
      </c>
      <c r="M181" s="6" t="s">
        <v>706</v>
      </c>
    </row>
    <row r="182" spans="1:13" s="732" customFormat="1" ht="14.25" outlineLevel="2" x14ac:dyDescent="0.45">
      <c r="A182" s="723"/>
      <c r="B182" s="729"/>
      <c r="C182" s="735" t="s">
        <v>565</v>
      </c>
      <c r="D182" s="736" t="s">
        <v>563</v>
      </c>
      <c r="E182" s="503">
        <v>1</v>
      </c>
      <c r="F182" s="504">
        <v>0</v>
      </c>
      <c r="G182" s="504">
        <v>20</v>
      </c>
      <c r="H182" s="504">
        <v>22</v>
      </c>
      <c r="I182" s="504">
        <v>8</v>
      </c>
      <c r="J182" s="504">
        <v>9</v>
      </c>
      <c r="K182" s="505">
        <v>17</v>
      </c>
      <c r="L182" s="885">
        <f>SUM(E182:K182)/SUM(E179:K180)</f>
        <v>0.1044776119402985</v>
      </c>
      <c r="M182" s="6" t="s">
        <v>707</v>
      </c>
    </row>
    <row r="183" spans="1:13" s="732" customFormat="1" ht="14.25" outlineLevel="2" x14ac:dyDescent="0.45">
      <c r="A183" s="723"/>
      <c r="B183" s="729"/>
      <c r="C183" s="735" t="s">
        <v>567</v>
      </c>
      <c r="D183" s="736" t="s">
        <v>568</v>
      </c>
      <c r="E183" s="503">
        <v>1805396.9284905633</v>
      </c>
      <c r="F183" s="504">
        <v>855584.65825577942</v>
      </c>
      <c r="G183" s="504">
        <v>1188795</v>
      </c>
      <c r="H183" s="504">
        <v>1422121</v>
      </c>
      <c r="I183" s="504">
        <v>744873</v>
      </c>
      <c r="J183" s="504">
        <v>732540</v>
      </c>
      <c r="K183" s="505">
        <v>848006</v>
      </c>
      <c r="L183"/>
      <c r="M183"/>
    </row>
    <row r="184" spans="1:13" s="732" customFormat="1" ht="14.25" outlineLevel="2" x14ac:dyDescent="0.45">
      <c r="A184" s="723"/>
      <c r="B184" s="729"/>
      <c r="C184" s="932" t="s">
        <v>569</v>
      </c>
      <c r="D184" s="736" t="s">
        <v>570</v>
      </c>
      <c r="E184" s="314">
        <v>3.4250000000000003</v>
      </c>
      <c r="F184" s="315">
        <v>3.9064999999999999</v>
      </c>
      <c r="G184" s="315">
        <v>0</v>
      </c>
      <c r="H184" s="315">
        <v>0</v>
      </c>
      <c r="I184" s="315">
        <v>0.38</v>
      </c>
      <c r="J184" s="315">
        <v>0.05</v>
      </c>
      <c r="K184" s="316">
        <v>12.47</v>
      </c>
      <c r="L184" s="885">
        <f>SUM(E184:K184)/SUM(E179:K180)</f>
        <v>2.7451153324287655E-2</v>
      </c>
      <c r="M184" s="6" t="s">
        <v>708</v>
      </c>
    </row>
    <row r="185" spans="1:13" s="732" customFormat="1" ht="14.25" outlineLevel="2" x14ac:dyDescent="0.45">
      <c r="A185" s="723"/>
      <c r="B185" s="729"/>
      <c r="C185" s="932" t="s">
        <v>571</v>
      </c>
      <c r="D185" s="736" t="s">
        <v>568</v>
      </c>
      <c r="E185" s="314">
        <v>675893.63505333907</v>
      </c>
      <c r="F185" s="315">
        <v>261586.40820031852</v>
      </c>
      <c r="G185" s="315">
        <v>274168</v>
      </c>
      <c r="H185" s="315">
        <v>468484</v>
      </c>
      <c r="I185" s="315">
        <v>236754</v>
      </c>
      <c r="J185" s="315">
        <v>1622568</v>
      </c>
      <c r="K185" s="316">
        <v>1029711</v>
      </c>
      <c r="L185"/>
      <c r="M185"/>
    </row>
    <row r="186" spans="1:13" s="732" customFormat="1" ht="14.25" outlineLevel="2" x14ac:dyDescent="0.45">
      <c r="A186" s="723"/>
      <c r="B186" s="729"/>
      <c r="C186" s="932" t="s">
        <v>572</v>
      </c>
      <c r="D186" s="736" t="s">
        <v>570</v>
      </c>
      <c r="E186" s="314">
        <v>5.5640000000000001</v>
      </c>
      <c r="F186" s="315">
        <v>5.0250000000000004</v>
      </c>
      <c r="G186" s="315">
        <v>1</v>
      </c>
      <c r="H186" s="315">
        <v>1</v>
      </c>
      <c r="I186" s="315">
        <v>0.12</v>
      </c>
      <c r="J186" s="315">
        <v>0.34</v>
      </c>
      <c r="K186" s="316">
        <v>0.2</v>
      </c>
      <c r="L186" s="885">
        <f>SUM(E186:K186)/SUM(E179:K180)</f>
        <v>1.7976933514246944E-2</v>
      </c>
      <c r="M186" s="6" t="s">
        <v>708</v>
      </c>
    </row>
    <row r="187" spans="1:13" s="732" customFormat="1" ht="14.25" outlineLevel="2" x14ac:dyDescent="0.45">
      <c r="A187" s="723"/>
      <c r="B187" s="730"/>
      <c r="C187" s="933" t="s">
        <v>572</v>
      </c>
      <c r="D187" s="736" t="s">
        <v>568</v>
      </c>
      <c r="E187" s="628">
        <v>391410.20159323158</v>
      </c>
      <c r="F187" s="444">
        <v>359043.28418453806</v>
      </c>
      <c r="G187" s="444">
        <v>196997</v>
      </c>
      <c r="H187" s="444">
        <v>149416</v>
      </c>
      <c r="I187" s="444">
        <v>103897</v>
      </c>
      <c r="J187" s="444">
        <v>195228</v>
      </c>
      <c r="K187" s="445">
        <v>195972</v>
      </c>
    </row>
    <row r="188" spans="1:13" s="732" customFormat="1" ht="14.25" outlineLevel="2" x14ac:dyDescent="0.45">
      <c r="A188" s="723"/>
      <c r="B188" s="728" t="s">
        <v>441</v>
      </c>
      <c r="C188" s="934" t="s">
        <v>562</v>
      </c>
      <c r="D188" s="744" t="s">
        <v>563</v>
      </c>
      <c r="E188" s="540">
        <v>801</v>
      </c>
      <c r="F188" s="437">
        <v>524</v>
      </c>
      <c r="G188" s="437">
        <v>404</v>
      </c>
      <c r="H188" s="437">
        <v>258</v>
      </c>
      <c r="I188" s="437">
        <v>239</v>
      </c>
      <c r="J188" s="437">
        <v>269</v>
      </c>
      <c r="K188" s="438">
        <v>215</v>
      </c>
      <c r="L188" s="883">
        <f>SUM(E188:K188)/SUM(E188:K189)</f>
        <v>0.95759717314487636</v>
      </c>
      <c r="M188" s="6" t="s">
        <v>710</v>
      </c>
    </row>
    <row r="189" spans="1:13" s="732" customFormat="1" ht="14.25" outlineLevel="2" x14ac:dyDescent="0.45">
      <c r="A189" s="723"/>
      <c r="B189" s="729"/>
      <c r="C189" s="932" t="s">
        <v>564</v>
      </c>
      <c r="D189" s="736" t="s">
        <v>563</v>
      </c>
      <c r="E189" s="314">
        <v>19</v>
      </c>
      <c r="F189" s="315">
        <v>9</v>
      </c>
      <c r="G189" s="315">
        <v>2</v>
      </c>
      <c r="H189" s="315">
        <v>59</v>
      </c>
      <c r="I189" s="315">
        <v>16</v>
      </c>
      <c r="J189" s="315">
        <v>10</v>
      </c>
      <c r="K189" s="316">
        <v>5</v>
      </c>
      <c r="L189" s="883">
        <f>SUM(E189:K189)/SUM(E188:K189)</f>
        <v>4.2402826855123678E-2</v>
      </c>
      <c r="M189" s="6" t="s">
        <v>710</v>
      </c>
    </row>
    <row r="190" spans="1:13" s="732" customFormat="1" ht="14.25" outlineLevel="2" x14ac:dyDescent="0.45">
      <c r="A190" s="723"/>
      <c r="B190" s="729"/>
      <c r="C190" s="935" t="s">
        <v>565</v>
      </c>
      <c r="D190" s="738" t="s">
        <v>566</v>
      </c>
      <c r="E190" s="503">
        <v>1.363</v>
      </c>
      <c r="F190" s="504">
        <v>2.6999999999999997</v>
      </c>
      <c r="G190" s="504">
        <v>0</v>
      </c>
      <c r="H190" s="504">
        <v>0.4</v>
      </c>
      <c r="I190" s="504">
        <v>0.78</v>
      </c>
      <c r="J190" s="504">
        <v>0.46</v>
      </c>
      <c r="K190" s="505">
        <v>0.52</v>
      </c>
      <c r="L190" s="885">
        <f>SUM(E190:K190)/SUM(E188:K189)</f>
        <v>2.1989399293286223E-3</v>
      </c>
      <c r="M190" s="6" t="s">
        <v>706</v>
      </c>
    </row>
    <row r="191" spans="1:13" s="732" customFormat="1" ht="14.25" outlineLevel="2" x14ac:dyDescent="0.45">
      <c r="A191" s="723"/>
      <c r="B191" s="729"/>
      <c r="C191" s="932" t="s">
        <v>565</v>
      </c>
      <c r="D191" s="736" t="s">
        <v>563</v>
      </c>
      <c r="E191" s="503">
        <v>0</v>
      </c>
      <c r="F191" s="504">
        <v>2</v>
      </c>
      <c r="G191" s="504">
        <v>5</v>
      </c>
      <c r="H191" s="504">
        <v>4</v>
      </c>
      <c r="I191" s="504">
        <v>3</v>
      </c>
      <c r="J191" s="504">
        <v>0</v>
      </c>
      <c r="K191" s="505">
        <v>2</v>
      </c>
      <c r="L191" s="885">
        <f>SUM(E191:K191)/SUM(E188:K189)</f>
        <v>5.6537102473498231E-3</v>
      </c>
      <c r="M191" s="6" t="s">
        <v>707</v>
      </c>
    </row>
    <row r="192" spans="1:13" s="732" customFormat="1" ht="14.25" outlineLevel="2" x14ac:dyDescent="0.45">
      <c r="A192" s="723"/>
      <c r="B192" s="729"/>
      <c r="C192" s="932" t="s">
        <v>567</v>
      </c>
      <c r="D192" s="736" t="s">
        <v>568</v>
      </c>
      <c r="E192" s="503">
        <v>397888.93381346244</v>
      </c>
      <c r="F192" s="504">
        <v>360151.17652458942</v>
      </c>
      <c r="G192" s="504">
        <v>192543</v>
      </c>
      <c r="H192" s="504">
        <v>127752</v>
      </c>
      <c r="I192" s="504">
        <v>42212</v>
      </c>
      <c r="J192" s="504">
        <v>69206</v>
      </c>
      <c r="K192" s="505">
        <v>43749</v>
      </c>
      <c r="L192"/>
      <c r="M192"/>
    </row>
    <row r="193" spans="1:15" s="732" customFormat="1" ht="14.25" outlineLevel="2" x14ac:dyDescent="0.45">
      <c r="A193" s="723"/>
      <c r="B193" s="729"/>
      <c r="C193" s="932" t="s">
        <v>569</v>
      </c>
      <c r="D193" s="736" t="s">
        <v>570</v>
      </c>
      <c r="E193" s="314">
        <v>0.47709607574000001</v>
      </c>
      <c r="F193" s="315">
        <v>2.0990000000000002</v>
      </c>
      <c r="G193" s="315">
        <v>0</v>
      </c>
      <c r="H193" s="315">
        <v>0</v>
      </c>
      <c r="I193" s="315">
        <v>0.1</v>
      </c>
      <c r="J193" s="315">
        <v>0</v>
      </c>
      <c r="K193" s="316">
        <v>0.2</v>
      </c>
      <c r="L193" s="885">
        <f>SUM(E193:K193)/SUM(E188:K189)</f>
        <v>1.0162883659858659E-3</v>
      </c>
      <c r="M193" s="6" t="s">
        <v>708</v>
      </c>
    </row>
    <row r="194" spans="1:15" s="732" customFormat="1" ht="14.25" outlineLevel="2" x14ac:dyDescent="0.45">
      <c r="A194" s="723"/>
      <c r="B194" s="729"/>
      <c r="C194" s="932" t="s">
        <v>571</v>
      </c>
      <c r="D194" s="736" t="s">
        <v>568</v>
      </c>
      <c r="E194" s="314">
        <v>120071.55214068542</v>
      </c>
      <c r="F194" s="315">
        <v>260138.69561742226</v>
      </c>
      <c r="G194" s="315">
        <v>109754</v>
      </c>
      <c r="H194" s="315">
        <v>2982</v>
      </c>
      <c r="I194" s="315">
        <v>59246</v>
      </c>
      <c r="J194" s="315">
        <v>145351</v>
      </c>
      <c r="K194" s="316">
        <v>242654</v>
      </c>
      <c r="L194"/>
      <c r="M194"/>
    </row>
    <row r="195" spans="1:15" s="732" customFormat="1" ht="14.25" outlineLevel="2" x14ac:dyDescent="0.45">
      <c r="A195" s="723"/>
      <c r="B195" s="729"/>
      <c r="C195" s="735" t="s">
        <v>572</v>
      </c>
      <c r="D195" s="736" t="s">
        <v>570</v>
      </c>
      <c r="E195" s="314">
        <v>21.268000000000001</v>
      </c>
      <c r="F195" s="315">
        <v>14.784000000000001</v>
      </c>
      <c r="G195" s="315">
        <v>1</v>
      </c>
      <c r="H195" s="315">
        <v>0</v>
      </c>
      <c r="I195" s="315">
        <v>0.02</v>
      </c>
      <c r="J195" s="315">
        <v>0</v>
      </c>
      <c r="K195" s="316">
        <v>0.3</v>
      </c>
      <c r="L195" s="885">
        <f>SUM(E195:K195)/SUM(E188:K189)</f>
        <v>1.320565371024735E-2</v>
      </c>
      <c r="M195" s="6" t="s">
        <v>708</v>
      </c>
    </row>
    <row r="196" spans="1:15" s="732" customFormat="1" ht="14.25" outlineLevel="2" x14ac:dyDescent="0.45">
      <c r="A196" s="723"/>
      <c r="B196" s="729"/>
      <c r="C196" s="739" t="s">
        <v>572</v>
      </c>
      <c r="D196" s="736" t="s">
        <v>568</v>
      </c>
      <c r="E196" s="314">
        <v>687133.26423401153</v>
      </c>
      <c r="F196" s="315">
        <v>515893.22754881013</v>
      </c>
      <c r="G196" s="315">
        <v>306760</v>
      </c>
      <c r="H196" s="315">
        <v>169421</v>
      </c>
      <c r="I196" s="315">
        <v>191764</v>
      </c>
      <c r="J196" s="315">
        <v>472344</v>
      </c>
      <c r="K196" s="316">
        <v>298801</v>
      </c>
      <c r="L196"/>
      <c r="M196"/>
    </row>
    <row r="197" spans="1:15" s="732" customFormat="1" ht="14.25" outlineLevel="2" x14ac:dyDescent="0.45">
      <c r="A197" s="723"/>
      <c r="B197" s="730"/>
      <c r="C197" s="741" t="s">
        <v>578</v>
      </c>
      <c r="D197" s="742" t="s">
        <v>577</v>
      </c>
      <c r="E197" s="626">
        <v>10856.700452145573</v>
      </c>
      <c r="F197" s="534">
        <v>8233.2108673247949</v>
      </c>
      <c r="G197" s="534">
        <v>29003</v>
      </c>
      <c r="H197" s="534">
        <v>3949</v>
      </c>
      <c r="I197" s="534">
        <v>73306</v>
      </c>
      <c r="J197" s="534">
        <v>114484</v>
      </c>
      <c r="K197" s="882">
        <v>1076</v>
      </c>
      <c r="L197" s="1010">
        <f>SUM(E192:K192,E194:K194,E196:K196)/SUM(E197:K197)/SUM(E188:K189)</f>
        <v>7.0637020777682656E-3</v>
      </c>
      <c r="M197" s="798" t="s">
        <v>711</v>
      </c>
      <c r="N197" s="887">
        <f>SUMPRODUCT(E197:K197,Input_CPI!$K$17:$Q$17)/COUNT(E197:K197)</f>
        <v>41903.157244932474</v>
      </c>
      <c r="O197" s="798" t="s">
        <v>712</v>
      </c>
    </row>
    <row r="198" spans="1:15" s="732" customFormat="1" ht="14.25" outlineLevel="2" x14ac:dyDescent="0.45">
      <c r="A198" s="723"/>
      <c r="B198" s="728" t="s">
        <v>444</v>
      </c>
      <c r="C198" s="743" t="s">
        <v>562</v>
      </c>
      <c r="D198" s="744" t="s">
        <v>563</v>
      </c>
      <c r="E198" s="540">
        <v>461</v>
      </c>
      <c r="F198" s="437">
        <v>717</v>
      </c>
      <c r="G198" s="437">
        <v>1157</v>
      </c>
      <c r="H198" s="437">
        <v>1478</v>
      </c>
      <c r="I198" s="437">
        <v>1801</v>
      </c>
      <c r="J198" s="437">
        <v>1048</v>
      </c>
      <c r="K198" s="438">
        <v>338</v>
      </c>
      <c r="L198" s="883">
        <f>SUM(E198:K198)/SUM(E198:K199)</f>
        <v>0.54280397022332505</v>
      </c>
      <c r="M198" s="6" t="s">
        <v>710</v>
      </c>
    </row>
    <row r="199" spans="1:15" s="732" customFormat="1" ht="14.25" outlineLevel="2" x14ac:dyDescent="0.45">
      <c r="A199" s="723"/>
      <c r="B199" s="729"/>
      <c r="C199" s="735" t="s">
        <v>564</v>
      </c>
      <c r="D199" s="736" t="s">
        <v>563</v>
      </c>
      <c r="E199" s="314">
        <v>388</v>
      </c>
      <c r="F199" s="315">
        <v>885</v>
      </c>
      <c r="G199" s="315">
        <v>841</v>
      </c>
      <c r="H199" s="315">
        <v>1131</v>
      </c>
      <c r="I199" s="315">
        <v>1527</v>
      </c>
      <c r="J199" s="315">
        <v>847</v>
      </c>
      <c r="K199" s="316">
        <v>277</v>
      </c>
      <c r="L199" s="883">
        <f>SUM(E199:K199)/SUM(E198:K199)</f>
        <v>0.45719602977667495</v>
      </c>
      <c r="M199" s="6" t="s">
        <v>710</v>
      </c>
    </row>
    <row r="200" spans="1:15" s="732" customFormat="1" ht="14.25" outlineLevel="2" x14ac:dyDescent="0.45">
      <c r="A200" s="723"/>
      <c r="B200" s="729"/>
      <c r="C200" s="737" t="s">
        <v>565</v>
      </c>
      <c r="D200" s="738" t="s">
        <v>566</v>
      </c>
      <c r="E200" s="503">
        <v>0</v>
      </c>
      <c r="F200" s="504">
        <v>0</v>
      </c>
      <c r="G200" s="504">
        <v>0</v>
      </c>
      <c r="H200" s="504">
        <v>0</v>
      </c>
      <c r="I200" s="504">
        <v>0</v>
      </c>
      <c r="J200" s="504">
        <v>0</v>
      </c>
      <c r="K200" s="505">
        <v>0</v>
      </c>
      <c r="L200" s="885">
        <f>SUM(E200:K200)/SUM(E198:K199)</f>
        <v>0</v>
      </c>
      <c r="M200" s="6" t="s">
        <v>706</v>
      </c>
    </row>
    <row r="201" spans="1:15" s="732" customFormat="1" ht="14.25" outlineLevel="2" x14ac:dyDescent="0.45">
      <c r="A201" s="723"/>
      <c r="B201" s="729"/>
      <c r="C201" s="735" t="s">
        <v>565</v>
      </c>
      <c r="D201" s="736" t="s">
        <v>563</v>
      </c>
      <c r="E201" s="503">
        <v>0</v>
      </c>
      <c r="F201" s="504">
        <v>0</v>
      </c>
      <c r="G201" s="504">
        <v>0</v>
      </c>
      <c r="H201" s="504">
        <v>0</v>
      </c>
      <c r="I201" s="504">
        <v>0</v>
      </c>
      <c r="J201" s="504">
        <v>0</v>
      </c>
      <c r="K201" s="505">
        <v>0</v>
      </c>
      <c r="L201" s="885">
        <f>SUM(E201:K201)/SUM(E198:K199)</f>
        <v>0</v>
      </c>
      <c r="M201" s="6" t="s">
        <v>707</v>
      </c>
    </row>
    <row r="202" spans="1:15" s="732" customFormat="1" ht="14.25" outlineLevel="2" x14ac:dyDescent="0.45">
      <c r="A202" s="723"/>
      <c r="B202" s="729"/>
      <c r="C202" s="735" t="s">
        <v>567</v>
      </c>
      <c r="D202" s="736" t="s">
        <v>568</v>
      </c>
      <c r="E202" s="503">
        <v>0</v>
      </c>
      <c r="F202" s="504">
        <v>0</v>
      </c>
      <c r="G202" s="504">
        <v>0</v>
      </c>
      <c r="H202" s="504">
        <v>0</v>
      </c>
      <c r="I202" s="504">
        <v>0</v>
      </c>
      <c r="J202" s="504">
        <v>0</v>
      </c>
      <c r="K202" s="505">
        <v>0</v>
      </c>
      <c r="L202"/>
      <c r="M202"/>
    </row>
    <row r="203" spans="1:15" s="732" customFormat="1" ht="14.25" outlineLevel="2" x14ac:dyDescent="0.45">
      <c r="A203" s="723"/>
      <c r="B203" s="729"/>
      <c r="C203" s="735" t="s">
        <v>569</v>
      </c>
      <c r="D203" s="736" t="s">
        <v>570</v>
      </c>
      <c r="E203" s="314">
        <v>0</v>
      </c>
      <c r="F203" s="315">
        <v>0</v>
      </c>
      <c r="G203" s="315">
        <v>0</v>
      </c>
      <c r="H203" s="315">
        <v>0</v>
      </c>
      <c r="I203" s="315">
        <v>0</v>
      </c>
      <c r="J203" s="315">
        <v>0</v>
      </c>
      <c r="K203" s="316">
        <v>0</v>
      </c>
      <c r="L203" s="885">
        <f>SUM(E203:K203)/SUM(E198:K199)</f>
        <v>0</v>
      </c>
      <c r="M203" s="6" t="s">
        <v>708</v>
      </c>
    </row>
    <row r="204" spans="1:15" s="732" customFormat="1" ht="14.25" outlineLevel="2" x14ac:dyDescent="0.45">
      <c r="A204" s="723"/>
      <c r="B204" s="729"/>
      <c r="C204" s="735" t="s">
        <v>571</v>
      </c>
      <c r="D204" s="736" t="s">
        <v>568</v>
      </c>
      <c r="E204" s="314">
        <v>0</v>
      </c>
      <c r="F204" s="315">
        <v>0</v>
      </c>
      <c r="G204" s="315">
        <v>0</v>
      </c>
      <c r="H204" s="315">
        <v>0</v>
      </c>
      <c r="I204" s="315">
        <v>0</v>
      </c>
      <c r="J204" s="315">
        <v>0</v>
      </c>
      <c r="K204" s="316">
        <v>0</v>
      </c>
      <c r="L204"/>
      <c r="M204"/>
    </row>
    <row r="205" spans="1:15" s="732" customFormat="1" ht="14.25" outlineLevel="2" x14ac:dyDescent="0.45">
      <c r="A205" s="723"/>
      <c r="B205" s="729"/>
      <c r="C205" s="735" t="s">
        <v>572</v>
      </c>
      <c r="D205" s="736" t="s">
        <v>570</v>
      </c>
      <c r="E205" s="314">
        <v>0</v>
      </c>
      <c r="F205" s="315">
        <v>0</v>
      </c>
      <c r="G205" s="315">
        <v>0</v>
      </c>
      <c r="H205" s="315">
        <v>0</v>
      </c>
      <c r="I205" s="315">
        <v>0</v>
      </c>
      <c r="J205" s="315">
        <v>0</v>
      </c>
      <c r="K205" s="316">
        <v>0</v>
      </c>
      <c r="L205" s="885">
        <f>SUM(E205:K205)/SUM(E198:K199)</f>
        <v>0</v>
      </c>
      <c r="M205" s="6" t="s">
        <v>708</v>
      </c>
    </row>
    <row r="206" spans="1:15" s="732" customFormat="1" ht="14.65" outlineLevel="2" thickBot="1" x14ac:dyDescent="0.5">
      <c r="A206" s="745"/>
      <c r="B206" s="731"/>
      <c r="C206" s="746" t="s">
        <v>572</v>
      </c>
      <c r="D206" s="747" t="s">
        <v>568</v>
      </c>
      <c r="E206" s="317">
        <v>0</v>
      </c>
      <c r="F206" s="318">
        <v>0</v>
      </c>
      <c r="G206" s="318">
        <v>0</v>
      </c>
      <c r="H206" s="318">
        <v>0</v>
      </c>
      <c r="I206" s="318">
        <v>0</v>
      </c>
      <c r="J206" s="318">
        <v>0</v>
      </c>
      <c r="K206" s="319">
        <v>0</v>
      </c>
    </row>
    <row r="207" spans="1:15" ht="11.25" customHeight="1" x14ac:dyDescent="0.3"/>
    <row r="208" spans="1:15" s="46" customFormat="1" ht="15" x14ac:dyDescent="0.3">
      <c r="B208" s="46" t="s">
        <v>16</v>
      </c>
    </row>
  </sheetData>
  <mergeCells count="16">
    <mergeCell ref="D10:D11"/>
    <mergeCell ref="B10:B11"/>
    <mergeCell ref="C10:C11"/>
    <mergeCell ref="E10:K10"/>
    <mergeCell ref="B55:B56"/>
    <mergeCell ref="C55:C56"/>
    <mergeCell ref="D55:D56"/>
    <mergeCell ref="E55:K55"/>
    <mergeCell ref="B119:B120"/>
    <mergeCell ref="C119:C120"/>
    <mergeCell ref="D119:D120"/>
    <mergeCell ref="E119:K119"/>
    <mergeCell ref="B164:B165"/>
    <mergeCell ref="C164:C165"/>
    <mergeCell ref="D164:D165"/>
    <mergeCell ref="E164:K164"/>
  </mergeCells>
  <conditionalFormatting sqref="B3">
    <cfRule type="cellIs" dxfId="870" priority="616" operator="notEqual">
      <formula>"No Errors Found"</formula>
    </cfRule>
  </conditionalFormatting>
  <conditionalFormatting sqref="I12:I13 I46">
    <cfRule type="expression" dxfId="869" priority="255">
      <formula>(dms_FRCPlength_Num)&lt;3</formula>
    </cfRule>
  </conditionalFormatting>
  <conditionalFormatting sqref="J12:J13 J46">
    <cfRule type="expression" dxfId="868" priority="254">
      <formula>(dms_FRCPlength_Num)&lt;4</formula>
    </cfRule>
  </conditionalFormatting>
  <conditionalFormatting sqref="K12:K13 K46">
    <cfRule type="expression" dxfId="867" priority="253">
      <formula>(dms_FRCPlength_Num)&lt;5</formula>
    </cfRule>
  </conditionalFormatting>
  <conditionalFormatting sqref="I43">
    <cfRule type="expression" dxfId="866" priority="252">
      <formula>(dms_FRCPlength_Num)&lt;3</formula>
    </cfRule>
  </conditionalFormatting>
  <conditionalFormatting sqref="J43">
    <cfRule type="expression" dxfId="865" priority="251">
      <formula>(dms_FRCPlength_Num)&lt;4</formula>
    </cfRule>
  </conditionalFormatting>
  <conditionalFormatting sqref="K43">
    <cfRule type="expression" dxfId="864" priority="250">
      <formula>(dms_FRCPlength_Num)&lt;5</formula>
    </cfRule>
  </conditionalFormatting>
  <conditionalFormatting sqref="I16">
    <cfRule type="expression" dxfId="863" priority="228">
      <formula>(dms_FRCPlength_Num)&lt;3</formula>
    </cfRule>
  </conditionalFormatting>
  <conditionalFormatting sqref="J16">
    <cfRule type="expression" dxfId="862" priority="227">
      <formula>(dms_FRCPlength_Num)&lt;4</formula>
    </cfRule>
  </conditionalFormatting>
  <conditionalFormatting sqref="K16">
    <cfRule type="expression" dxfId="861" priority="226">
      <formula>(dms_FRCPlength_Num)&lt;5</formula>
    </cfRule>
  </conditionalFormatting>
  <conditionalFormatting sqref="I44:I45">
    <cfRule type="expression" dxfId="860" priority="249">
      <formula>(dms_FRCPlength_Num)&lt;3</formula>
    </cfRule>
  </conditionalFormatting>
  <conditionalFormatting sqref="J44:J45">
    <cfRule type="expression" dxfId="859" priority="248">
      <formula>(dms_FRCPlength_Num)&lt;4</formula>
    </cfRule>
  </conditionalFormatting>
  <conditionalFormatting sqref="K44:K45">
    <cfRule type="expression" dxfId="858" priority="247">
      <formula>(dms_FRCPlength_Num)&lt;5</formula>
    </cfRule>
  </conditionalFormatting>
  <conditionalFormatting sqref="I47">
    <cfRule type="expression" dxfId="857" priority="246">
      <formula>(dms_FRCPlength_Num)&lt;3</formula>
    </cfRule>
  </conditionalFormatting>
  <conditionalFormatting sqref="J47">
    <cfRule type="expression" dxfId="856" priority="245">
      <formula>(dms_FRCPlength_Num)&lt;4</formula>
    </cfRule>
  </conditionalFormatting>
  <conditionalFormatting sqref="K47">
    <cfRule type="expression" dxfId="855" priority="244">
      <formula>(dms_FRCPlength_Num)&lt;5</formula>
    </cfRule>
  </conditionalFormatting>
  <conditionalFormatting sqref="I49">
    <cfRule type="expression" dxfId="854" priority="243">
      <formula>(dms_FRCPlength_Num)&lt;3</formula>
    </cfRule>
  </conditionalFormatting>
  <conditionalFormatting sqref="J49">
    <cfRule type="expression" dxfId="853" priority="242">
      <formula>(dms_FRCPlength_Num)&lt;4</formula>
    </cfRule>
  </conditionalFormatting>
  <conditionalFormatting sqref="K49">
    <cfRule type="expression" dxfId="852" priority="241">
      <formula>(dms_FRCPlength_Num)&lt;5</formula>
    </cfRule>
  </conditionalFormatting>
  <conditionalFormatting sqref="I48">
    <cfRule type="expression" dxfId="851" priority="240">
      <formula>(dms_FRCPlength_Num)&lt;3</formula>
    </cfRule>
  </conditionalFormatting>
  <conditionalFormatting sqref="J48">
    <cfRule type="expression" dxfId="850" priority="239">
      <formula>(dms_FRCPlength_Num)&lt;4</formula>
    </cfRule>
  </conditionalFormatting>
  <conditionalFormatting sqref="K48">
    <cfRule type="expression" dxfId="849" priority="238">
      <formula>(dms_FRCPlength_Num)&lt;5</formula>
    </cfRule>
  </conditionalFormatting>
  <conditionalFormatting sqref="I51">
    <cfRule type="expression" dxfId="848" priority="237">
      <formula>(dms_FRCPlength_Num)&lt;3</formula>
    </cfRule>
  </conditionalFormatting>
  <conditionalFormatting sqref="J51">
    <cfRule type="expression" dxfId="847" priority="236">
      <formula>(dms_FRCPlength_Num)&lt;4</formula>
    </cfRule>
  </conditionalFormatting>
  <conditionalFormatting sqref="K51">
    <cfRule type="expression" dxfId="846" priority="235">
      <formula>(dms_FRCPlength_Num)&lt;5</formula>
    </cfRule>
  </conditionalFormatting>
  <conditionalFormatting sqref="I50">
    <cfRule type="expression" dxfId="845" priority="234">
      <formula>(dms_FRCPlength_Num)&lt;3</formula>
    </cfRule>
  </conditionalFormatting>
  <conditionalFormatting sqref="J50">
    <cfRule type="expression" dxfId="844" priority="233">
      <formula>(dms_FRCPlength_Num)&lt;4</formula>
    </cfRule>
  </conditionalFormatting>
  <conditionalFormatting sqref="K50">
    <cfRule type="expression" dxfId="843" priority="232">
      <formula>(dms_FRCPlength_Num)&lt;5</formula>
    </cfRule>
  </conditionalFormatting>
  <conditionalFormatting sqref="I52">
    <cfRule type="expression" dxfId="842" priority="231">
      <formula>(dms_FRCPlength_Num)&lt;3</formula>
    </cfRule>
  </conditionalFormatting>
  <conditionalFormatting sqref="J52">
    <cfRule type="expression" dxfId="841" priority="230">
      <formula>(dms_FRCPlength_Num)&lt;4</formula>
    </cfRule>
  </conditionalFormatting>
  <conditionalFormatting sqref="K52">
    <cfRule type="expression" dxfId="840" priority="229">
      <formula>(dms_FRCPlength_Num)&lt;5</formula>
    </cfRule>
  </conditionalFormatting>
  <conditionalFormatting sqref="I14:I15">
    <cfRule type="expression" dxfId="839" priority="225">
      <formula>(dms_FRCPlength_Num)&lt;3</formula>
    </cfRule>
  </conditionalFormatting>
  <conditionalFormatting sqref="J14:J15">
    <cfRule type="expression" dxfId="838" priority="224">
      <formula>(dms_FRCPlength_Num)&lt;4</formula>
    </cfRule>
  </conditionalFormatting>
  <conditionalFormatting sqref="K14:K15">
    <cfRule type="expression" dxfId="837" priority="223">
      <formula>(dms_FRCPlength_Num)&lt;5</formula>
    </cfRule>
  </conditionalFormatting>
  <conditionalFormatting sqref="I17:I20">
    <cfRule type="expression" dxfId="836" priority="222">
      <formula>(dms_FRCPlength_Num)&lt;3</formula>
    </cfRule>
  </conditionalFormatting>
  <conditionalFormatting sqref="J17:J20">
    <cfRule type="expression" dxfId="835" priority="221">
      <formula>(dms_FRCPlength_Num)&lt;4</formula>
    </cfRule>
  </conditionalFormatting>
  <conditionalFormatting sqref="K17:K20">
    <cfRule type="expression" dxfId="834" priority="220">
      <formula>(dms_FRCPlength_Num)&lt;5</formula>
    </cfRule>
  </conditionalFormatting>
  <conditionalFormatting sqref="I21:I24">
    <cfRule type="expression" dxfId="833" priority="219">
      <formula>(dms_FRCPlength_Num)&lt;3</formula>
    </cfRule>
  </conditionalFormatting>
  <conditionalFormatting sqref="J21:J24">
    <cfRule type="expression" dxfId="832" priority="218">
      <formula>(dms_FRCPlength_Num)&lt;4</formula>
    </cfRule>
  </conditionalFormatting>
  <conditionalFormatting sqref="K21:K24">
    <cfRule type="expression" dxfId="831" priority="217">
      <formula>(dms_FRCPlength_Num)&lt;5</formula>
    </cfRule>
  </conditionalFormatting>
  <conditionalFormatting sqref="I25:I26">
    <cfRule type="expression" dxfId="830" priority="216">
      <formula>(dms_FRCPlength_Num)&lt;3</formula>
    </cfRule>
  </conditionalFormatting>
  <conditionalFormatting sqref="J25:J26">
    <cfRule type="expression" dxfId="829" priority="215">
      <formula>(dms_FRCPlength_Num)&lt;4</formula>
    </cfRule>
  </conditionalFormatting>
  <conditionalFormatting sqref="K25:K26">
    <cfRule type="expression" dxfId="828" priority="214">
      <formula>(dms_FRCPlength_Num)&lt;5</formula>
    </cfRule>
  </conditionalFormatting>
  <conditionalFormatting sqref="I29">
    <cfRule type="expression" dxfId="827" priority="213">
      <formula>(dms_FRCPlength_Num)&lt;3</formula>
    </cfRule>
  </conditionalFormatting>
  <conditionalFormatting sqref="J29">
    <cfRule type="expression" dxfId="826" priority="212">
      <formula>(dms_FRCPlength_Num)&lt;4</formula>
    </cfRule>
  </conditionalFormatting>
  <conditionalFormatting sqref="K29">
    <cfRule type="expression" dxfId="825" priority="211">
      <formula>(dms_FRCPlength_Num)&lt;5</formula>
    </cfRule>
  </conditionalFormatting>
  <conditionalFormatting sqref="I27:I28">
    <cfRule type="expression" dxfId="824" priority="210">
      <formula>(dms_FRCPlength_Num)&lt;3</formula>
    </cfRule>
  </conditionalFormatting>
  <conditionalFormatting sqref="J27:J28">
    <cfRule type="expression" dxfId="823" priority="209">
      <formula>(dms_FRCPlength_Num)&lt;4</formula>
    </cfRule>
  </conditionalFormatting>
  <conditionalFormatting sqref="K27:K28">
    <cfRule type="expression" dxfId="822" priority="208">
      <formula>(dms_FRCPlength_Num)&lt;5</formula>
    </cfRule>
  </conditionalFormatting>
  <conditionalFormatting sqref="I30:I33">
    <cfRule type="expression" dxfId="821" priority="207">
      <formula>(dms_FRCPlength_Num)&lt;3</formula>
    </cfRule>
  </conditionalFormatting>
  <conditionalFormatting sqref="J30:J33">
    <cfRule type="expression" dxfId="820" priority="206">
      <formula>(dms_FRCPlength_Num)&lt;4</formula>
    </cfRule>
  </conditionalFormatting>
  <conditionalFormatting sqref="K30:K33">
    <cfRule type="expression" dxfId="819" priority="205">
      <formula>(dms_FRCPlength_Num)&lt;5</formula>
    </cfRule>
  </conditionalFormatting>
  <conditionalFormatting sqref="I34:I35">
    <cfRule type="expression" dxfId="818" priority="204">
      <formula>(dms_FRCPlength_Num)&lt;3</formula>
    </cfRule>
  </conditionalFormatting>
  <conditionalFormatting sqref="J34:J35">
    <cfRule type="expression" dxfId="817" priority="203">
      <formula>(dms_FRCPlength_Num)&lt;4</formula>
    </cfRule>
  </conditionalFormatting>
  <conditionalFormatting sqref="K34:K35">
    <cfRule type="expression" dxfId="816" priority="202">
      <formula>(dms_FRCPlength_Num)&lt;5</formula>
    </cfRule>
  </conditionalFormatting>
  <conditionalFormatting sqref="I38">
    <cfRule type="expression" dxfId="815" priority="201">
      <formula>(dms_FRCPlength_Num)&lt;3</formula>
    </cfRule>
  </conditionalFormatting>
  <conditionalFormatting sqref="J38">
    <cfRule type="expression" dxfId="814" priority="200">
      <formula>(dms_FRCPlength_Num)&lt;4</formula>
    </cfRule>
  </conditionalFormatting>
  <conditionalFormatting sqref="K38">
    <cfRule type="expression" dxfId="813" priority="199">
      <formula>(dms_FRCPlength_Num)&lt;5</formula>
    </cfRule>
  </conditionalFormatting>
  <conditionalFormatting sqref="I36:I37">
    <cfRule type="expression" dxfId="812" priority="198">
      <formula>(dms_FRCPlength_Num)&lt;3</formula>
    </cfRule>
  </conditionalFormatting>
  <conditionalFormatting sqref="J36:J37">
    <cfRule type="expression" dxfId="811" priority="197">
      <formula>(dms_FRCPlength_Num)&lt;4</formula>
    </cfRule>
  </conditionalFormatting>
  <conditionalFormatting sqref="K36:K37">
    <cfRule type="expression" dxfId="810" priority="196">
      <formula>(dms_FRCPlength_Num)&lt;5</formula>
    </cfRule>
  </conditionalFormatting>
  <conditionalFormatting sqref="I39:I42">
    <cfRule type="expression" dxfId="809" priority="195">
      <formula>(dms_FRCPlength_Num)&lt;3</formula>
    </cfRule>
  </conditionalFormatting>
  <conditionalFormatting sqref="J39:J42">
    <cfRule type="expression" dxfId="808" priority="194">
      <formula>(dms_FRCPlength_Num)&lt;4</formula>
    </cfRule>
  </conditionalFormatting>
  <conditionalFormatting sqref="K39:K42">
    <cfRule type="expression" dxfId="807" priority="193">
      <formula>(dms_FRCPlength_Num)&lt;5</formula>
    </cfRule>
  </conditionalFormatting>
  <conditionalFormatting sqref="I57:I58 I91">
    <cfRule type="expression" dxfId="806" priority="192">
      <formula>(dms_FRCPlength_Num)&lt;3</formula>
    </cfRule>
  </conditionalFormatting>
  <conditionalFormatting sqref="J57:J58 J91">
    <cfRule type="expression" dxfId="805" priority="191">
      <formula>(dms_FRCPlength_Num)&lt;4</formula>
    </cfRule>
  </conditionalFormatting>
  <conditionalFormatting sqref="K57:K58 K91">
    <cfRule type="expression" dxfId="804" priority="190">
      <formula>(dms_FRCPlength_Num)&lt;5</formula>
    </cfRule>
  </conditionalFormatting>
  <conditionalFormatting sqref="I88">
    <cfRule type="expression" dxfId="803" priority="189">
      <formula>(dms_FRCPlength_Num)&lt;3</formula>
    </cfRule>
  </conditionalFormatting>
  <conditionalFormatting sqref="J88">
    <cfRule type="expression" dxfId="802" priority="188">
      <formula>(dms_FRCPlength_Num)&lt;4</formula>
    </cfRule>
  </conditionalFormatting>
  <conditionalFormatting sqref="K88">
    <cfRule type="expression" dxfId="801" priority="187">
      <formula>(dms_FRCPlength_Num)&lt;5</formula>
    </cfRule>
  </conditionalFormatting>
  <conditionalFormatting sqref="I61">
    <cfRule type="expression" dxfId="800" priority="165">
      <formula>(dms_FRCPlength_Num)&lt;3</formula>
    </cfRule>
  </conditionalFormatting>
  <conditionalFormatting sqref="J61">
    <cfRule type="expression" dxfId="799" priority="164">
      <formula>(dms_FRCPlength_Num)&lt;4</formula>
    </cfRule>
  </conditionalFormatting>
  <conditionalFormatting sqref="K61">
    <cfRule type="expression" dxfId="798" priority="163">
      <formula>(dms_FRCPlength_Num)&lt;5</formula>
    </cfRule>
  </conditionalFormatting>
  <conditionalFormatting sqref="I89:I90">
    <cfRule type="expression" dxfId="797" priority="186">
      <formula>(dms_FRCPlength_Num)&lt;3</formula>
    </cfRule>
  </conditionalFormatting>
  <conditionalFormatting sqref="J89:J90">
    <cfRule type="expression" dxfId="796" priority="185">
      <formula>(dms_FRCPlength_Num)&lt;4</formula>
    </cfRule>
  </conditionalFormatting>
  <conditionalFormatting sqref="K89:K90">
    <cfRule type="expression" dxfId="795" priority="184">
      <formula>(dms_FRCPlength_Num)&lt;5</formula>
    </cfRule>
  </conditionalFormatting>
  <conditionalFormatting sqref="I92">
    <cfRule type="expression" dxfId="794" priority="183">
      <formula>(dms_FRCPlength_Num)&lt;3</formula>
    </cfRule>
  </conditionalFormatting>
  <conditionalFormatting sqref="J92">
    <cfRule type="expression" dxfId="793" priority="182">
      <formula>(dms_FRCPlength_Num)&lt;4</formula>
    </cfRule>
  </conditionalFormatting>
  <conditionalFormatting sqref="K92">
    <cfRule type="expression" dxfId="792" priority="181">
      <formula>(dms_FRCPlength_Num)&lt;5</formula>
    </cfRule>
  </conditionalFormatting>
  <conditionalFormatting sqref="I94">
    <cfRule type="expression" dxfId="791" priority="180">
      <formula>(dms_FRCPlength_Num)&lt;3</formula>
    </cfRule>
  </conditionalFormatting>
  <conditionalFormatting sqref="J94">
    <cfRule type="expression" dxfId="790" priority="179">
      <formula>(dms_FRCPlength_Num)&lt;4</formula>
    </cfRule>
  </conditionalFormatting>
  <conditionalFormatting sqref="K94">
    <cfRule type="expression" dxfId="789" priority="178">
      <formula>(dms_FRCPlength_Num)&lt;5</formula>
    </cfRule>
  </conditionalFormatting>
  <conditionalFormatting sqref="I93">
    <cfRule type="expression" dxfId="788" priority="177">
      <formula>(dms_FRCPlength_Num)&lt;3</formula>
    </cfRule>
  </conditionalFormatting>
  <conditionalFormatting sqref="J93">
    <cfRule type="expression" dxfId="787" priority="176">
      <formula>(dms_FRCPlength_Num)&lt;4</formula>
    </cfRule>
  </conditionalFormatting>
  <conditionalFormatting sqref="K93">
    <cfRule type="expression" dxfId="786" priority="175">
      <formula>(dms_FRCPlength_Num)&lt;5</formula>
    </cfRule>
  </conditionalFormatting>
  <conditionalFormatting sqref="I96">
    <cfRule type="expression" dxfId="785" priority="174">
      <formula>(dms_FRCPlength_Num)&lt;3</formula>
    </cfRule>
  </conditionalFormatting>
  <conditionalFormatting sqref="J96">
    <cfRule type="expression" dxfId="784" priority="173">
      <formula>(dms_FRCPlength_Num)&lt;4</formula>
    </cfRule>
  </conditionalFormatting>
  <conditionalFormatting sqref="K96">
    <cfRule type="expression" dxfId="783" priority="172">
      <formula>(dms_FRCPlength_Num)&lt;5</formula>
    </cfRule>
  </conditionalFormatting>
  <conditionalFormatting sqref="I95">
    <cfRule type="expression" dxfId="782" priority="171">
      <formula>(dms_FRCPlength_Num)&lt;3</formula>
    </cfRule>
  </conditionalFormatting>
  <conditionalFormatting sqref="J95">
    <cfRule type="expression" dxfId="781" priority="170">
      <formula>(dms_FRCPlength_Num)&lt;4</formula>
    </cfRule>
  </conditionalFormatting>
  <conditionalFormatting sqref="K95">
    <cfRule type="expression" dxfId="780" priority="169">
      <formula>(dms_FRCPlength_Num)&lt;5</formula>
    </cfRule>
  </conditionalFormatting>
  <conditionalFormatting sqref="I97">
    <cfRule type="expression" dxfId="779" priority="168">
      <formula>(dms_FRCPlength_Num)&lt;3</formula>
    </cfRule>
  </conditionalFormatting>
  <conditionalFormatting sqref="J97">
    <cfRule type="expression" dxfId="778" priority="167">
      <formula>(dms_FRCPlength_Num)&lt;4</formula>
    </cfRule>
  </conditionalFormatting>
  <conditionalFormatting sqref="K97">
    <cfRule type="expression" dxfId="777" priority="166">
      <formula>(dms_FRCPlength_Num)&lt;5</formula>
    </cfRule>
  </conditionalFormatting>
  <conditionalFormatting sqref="I59:I60">
    <cfRule type="expression" dxfId="776" priority="162">
      <formula>(dms_FRCPlength_Num)&lt;3</formula>
    </cfRule>
  </conditionalFormatting>
  <conditionalFormatting sqref="J59:J60">
    <cfRule type="expression" dxfId="775" priority="161">
      <formula>(dms_FRCPlength_Num)&lt;4</formula>
    </cfRule>
  </conditionalFormatting>
  <conditionalFormatting sqref="K59:K60">
    <cfRule type="expression" dxfId="774" priority="160">
      <formula>(dms_FRCPlength_Num)&lt;5</formula>
    </cfRule>
  </conditionalFormatting>
  <conditionalFormatting sqref="I62:I65">
    <cfRule type="expression" dxfId="773" priority="159">
      <formula>(dms_FRCPlength_Num)&lt;3</formula>
    </cfRule>
  </conditionalFormatting>
  <conditionalFormatting sqref="J62:J65">
    <cfRule type="expression" dxfId="772" priority="158">
      <formula>(dms_FRCPlength_Num)&lt;4</formula>
    </cfRule>
  </conditionalFormatting>
  <conditionalFormatting sqref="K62:K65">
    <cfRule type="expression" dxfId="771" priority="157">
      <formula>(dms_FRCPlength_Num)&lt;5</formula>
    </cfRule>
  </conditionalFormatting>
  <conditionalFormatting sqref="I66:I69">
    <cfRule type="expression" dxfId="770" priority="156">
      <formula>(dms_FRCPlength_Num)&lt;3</formula>
    </cfRule>
  </conditionalFormatting>
  <conditionalFormatting sqref="J66:J69">
    <cfRule type="expression" dxfId="769" priority="155">
      <formula>(dms_FRCPlength_Num)&lt;4</formula>
    </cfRule>
  </conditionalFormatting>
  <conditionalFormatting sqref="K66:K69">
    <cfRule type="expression" dxfId="768" priority="154">
      <formula>(dms_FRCPlength_Num)&lt;5</formula>
    </cfRule>
  </conditionalFormatting>
  <conditionalFormatting sqref="I70:I71">
    <cfRule type="expression" dxfId="767" priority="153">
      <formula>(dms_FRCPlength_Num)&lt;3</formula>
    </cfRule>
  </conditionalFormatting>
  <conditionalFormatting sqref="J70:J71">
    <cfRule type="expression" dxfId="766" priority="152">
      <formula>(dms_FRCPlength_Num)&lt;4</formula>
    </cfRule>
  </conditionalFormatting>
  <conditionalFormatting sqref="K70:K71">
    <cfRule type="expression" dxfId="765" priority="151">
      <formula>(dms_FRCPlength_Num)&lt;5</formula>
    </cfRule>
  </conditionalFormatting>
  <conditionalFormatting sqref="I74">
    <cfRule type="expression" dxfId="764" priority="150">
      <formula>(dms_FRCPlength_Num)&lt;3</formula>
    </cfRule>
  </conditionalFormatting>
  <conditionalFormatting sqref="J74">
    <cfRule type="expression" dxfId="763" priority="149">
      <formula>(dms_FRCPlength_Num)&lt;4</formula>
    </cfRule>
  </conditionalFormatting>
  <conditionalFormatting sqref="K74">
    <cfRule type="expression" dxfId="762" priority="148">
      <formula>(dms_FRCPlength_Num)&lt;5</formula>
    </cfRule>
  </conditionalFormatting>
  <conditionalFormatting sqref="I72:I73">
    <cfRule type="expression" dxfId="761" priority="147">
      <formula>(dms_FRCPlength_Num)&lt;3</formula>
    </cfRule>
  </conditionalFormatting>
  <conditionalFormatting sqref="J72:J73">
    <cfRule type="expression" dxfId="760" priority="146">
      <formula>(dms_FRCPlength_Num)&lt;4</formula>
    </cfRule>
  </conditionalFormatting>
  <conditionalFormatting sqref="K72:K73">
    <cfRule type="expression" dxfId="759" priority="145">
      <formula>(dms_FRCPlength_Num)&lt;5</formula>
    </cfRule>
  </conditionalFormatting>
  <conditionalFormatting sqref="I75:I78">
    <cfRule type="expression" dxfId="758" priority="144">
      <formula>(dms_FRCPlength_Num)&lt;3</formula>
    </cfRule>
  </conditionalFormatting>
  <conditionalFormatting sqref="J75:J78">
    <cfRule type="expression" dxfId="757" priority="143">
      <formula>(dms_FRCPlength_Num)&lt;4</formula>
    </cfRule>
  </conditionalFormatting>
  <conditionalFormatting sqref="K75:K78">
    <cfRule type="expression" dxfId="756" priority="142">
      <formula>(dms_FRCPlength_Num)&lt;5</formula>
    </cfRule>
  </conditionalFormatting>
  <conditionalFormatting sqref="I79:I80">
    <cfRule type="expression" dxfId="755" priority="141">
      <formula>(dms_FRCPlength_Num)&lt;3</formula>
    </cfRule>
  </conditionalFormatting>
  <conditionalFormatting sqref="J79:J80">
    <cfRule type="expression" dxfId="754" priority="140">
      <formula>(dms_FRCPlength_Num)&lt;4</formula>
    </cfRule>
  </conditionalFormatting>
  <conditionalFormatting sqref="K79:K80">
    <cfRule type="expression" dxfId="753" priority="139">
      <formula>(dms_FRCPlength_Num)&lt;5</formula>
    </cfRule>
  </conditionalFormatting>
  <conditionalFormatting sqref="I83">
    <cfRule type="expression" dxfId="752" priority="138">
      <formula>(dms_FRCPlength_Num)&lt;3</formula>
    </cfRule>
  </conditionalFormatting>
  <conditionalFormatting sqref="J83">
    <cfRule type="expression" dxfId="751" priority="137">
      <formula>(dms_FRCPlength_Num)&lt;4</formula>
    </cfRule>
  </conditionalFormatting>
  <conditionalFormatting sqref="K83">
    <cfRule type="expression" dxfId="750" priority="136">
      <formula>(dms_FRCPlength_Num)&lt;5</formula>
    </cfRule>
  </conditionalFormatting>
  <conditionalFormatting sqref="I81:I82">
    <cfRule type="expression" dxfId="749" priority="135">
      <formula>(dms_FRCPlength_Num)&lt;3</formula>
    </cfRule>
  </conditionalFormatting>
  <conditionalFormatting sqref="J81:J82">
    <cfRule type="expression" dxfId="748" priority="134">
      <formula>(dms_FRCPlength_Num)&lt;4</formula>
    </cfRule>
  </conditionalFormatting>
  <conditionalFormatting sqref="K81:K82">
    <cfRule type="expression" dxfId="747" priority="133">
      <formula>(dms_FRCPlength_Num)&lt;5</formula>
    </cfRule>
  </conditionalFormatting>
  <conditionalFormatting sqref="I86:I87">
    <cfRule type="expression" dxfId="746" priority="132">
      <formula>(dms_FRCPlength_Num)&lt;3</formula>
    </cfRule>
  </conditionalFormatting>
  <conditionalFormatting sqref="J86:J87">
    <cfRule type="expression" dxfId="745" priority="131">
      <formula>(dms_FRCPlength_Num)&lt;4</formula>
    </cfRule>
  </conditionalFormatting>
  <conditionalFormatting sqref="K86:K87">
    <cfRule type="expression" dxfId="744" priority="130">
      <formula>(dms_FRCPlength_Num)&lt;5</formula>
    </cfRule>
  </conditionalFormatting>
  <conditionalFormatting sqref="I121:I122 I155">
    <cfRule type="expression" dxfId="743" priority="129">
      <formula>(dms_FRCPlength_Num)&lt;3</formula>
    </cfRule>
  </conditionalFormatting>
  <conditionalFormatting sqref="J121:J122 J155">
    <cfRule type="expression" dxfId="742" priority="128">
      <formula>(dms_FRCPlength_Num)&lt;4</formula>
    </cfRule>
  </conditionalFormatting>
  <conditionalFormatting sqref="K121:K122 K155">
    <cfRule type="expression" dxfId="741" priority="127">
      <formula>(dms_FRCPlength_Num)&lt;5</formula>
    </cfRule>
  </conditionalFormatting>
  <conditionalFormatting sqref="I152">
    <cfRule type="expression" dxfId="740" priority="126">
      <formula>(dms_FRCPlength_Num)&lt;3</formula>
    </cfRule>
  </conditionalFormatting>
  <conditionalFormatting sqref="J152">
    <cfRule type="expression" dxfId="739" priority="125">
      <formula>(dms_FRCPlength_Num)&lt;4</formula>
    </cfRule>
  </conditionalFormatting>
  <conditionalFormatting sqref="K152">
    <cfRule type="expression" dxfId="738" priority="124">
      <formula>(dms_FRCPlength_Num)&lt;5</formula>
    </cfRule>
  </conditionalFormatting>
  <conditionalFormatting sqref="I125">
    <cfRule type="expression" dxfId="737" priority="102">
      <formula>(dms_FRCPlength_Num)&lt;3</formula>
    </cfRule>
  </conditionalFormatting>
  <conditionalFormatting sqref="J125">
    <cfRule type="expression" dxfId="736" priority="101">
      <formula>(dms_FRCPlength_Num)&lt;4</formula>
    </cfRule>
  </conditionalFormatting>
  <conditionalFormatting sqref="K125">
    <cfRule type="expression" dxfId="735" priority="100">
      <formula>(dms_FRCPlength_Num)&lt;5</formula>
    </cfRule>
  </conditionalFormatting>
  <conditionalFormatting sqref="I153:I154">
    <cfRule type="expression" dxfId="734" priority="123">
      <formula>(dms_FRCPlength_Num)&lt;3</formula>
    </cfRule>
  </conditionalFormatting>
  <conditionalFormatting sqref="J153:J154">
    <cfRule type="expression" dxfId="733" priority="122">
      <formula>(dms_FRCPlength_Num)&lt;4</formula>
    </cfRule>
  </conditionalFormatting>
  <conditionalFormatting sqref="K153:K154">
    <cfRule type="expression" dxfId="732" priority="121">
      <formula>(dms_FRCPlength_Num)&lt;5</formula>
    </cfRule>
  </conditionalFormatting>
  <conditionalFormatting sqref="I156">
    <cfRule type="expression" dxfId="731" priority="120">
      <formula>(dms_FRCPlength_Num)&lt;3</formula>
    </cfRule>
  </conditionalFormatting>
  <conditionalFormatting sqref="J156">
    <cfRule type="expression" dxfId="730" priority="119">
      <formula>(dms_FRCPlength_Num)&lt;4</formula>
    </cfRule>
  </conditionalFormatting>
  <conditionalFormatting sqref="K156">
    <cfRule type="expression" dxfId="729" priority="118">
      <formula>(dms_FRCPlength_Num)&lt;5</formula>
    </cfRule>
  </conditionalFormatting>
  <conditionalFormatting sqref="I158">
    <cfRule type="expression" dxfId="728" priority="117">
      <formula>(dms_FRCPlength_Num)&lt;3</formula>
    </cfRule>
  </conditionalFormatting>
  <conditionalFormatting sqref="J158">
    <cfRule type="expression" dxfId="727" priority="116">
      <formula>(dms_FRCPlength_Num)&lt;4</formula>
    </cfRule>
  </conditionalFormatting>
  <conditionalFormatting sqref="K158">
    <cfRule type="expression" dxfId="726" priority="115">
      <formula>(dms_FRCPlength_Num)&lt;5</formula>
    </cfRule>
  </conditionalFormatting>
  <conditionalFormatting sqref="I157">
    <cfRule type="expression" dxfId="725" priority="114">
      <formula>(dms_FRCPlength_Num)&lt;3</formula>
    </cfRule>
  </conditionalFormatting>
  <conditionalFormatting sqref="J157">
    <cfRule type="expression" dxfId="724" priority="113">
      <formula>(dms_FRCPlength_Num)&lt;4</formula>
    </cfRule>
  </conditionalFormatting>
  <conditionalFormatting sqref="K157">
    <cfRule type="expression" dxfId="723" priority="112">
      <formula>(dms_FRCPlength_Num)&lt;5</formula>
    </cfRule>
  </conditionalFormatting>
  <conditionalFormatting sqref="I160">
    <cfRule type="expression" dxfId="722" priority="111">
      <formula>(dms_FRCPlength_Num)&lt;3</formula>
    </cfRule>
  </conditionalFormatting>
  <conditionalFormatting sqref="J160">
    <cfRule type="expression" dxfId="721" priority="110">
      <formula>(dms_FRCPlength_Num)&lt;4</formula>
    </cfRule>
  </conditionalFormatting>
  <conditionalFormatting sqref="K160">
    <cfRule type="expression" dxfId="720" priority="109">
      <formula>(dms_FRCPlength_Num)&lt;5</formula>
    </cfRule>
  </conditionalFormatting>
  <conditionalFormatting sqref="I159">
    <cfRule type="expression" dxfId="719" priority="108">
      <formula>(dms_FRCPlength_Num)&lt;3</formula>
    </cfRule>
  </conditionalFormatting>
  <conditionalFormatting sqref="J159">
    <cfRule type="expression" dxfId="718" priority="107">
      <formula>(dms_FRCPlength_Num)&lt;4</formula>
    </cfRule>
  </conditionalFormatting>
  <conditionalFormatting sqref="K159">
    <cfRule type="expression" dxfId="717" priority="106">
      <formula>(dms_FRCPlength_Num)&lt;5</formula>
    </cfRule>
  </conditionalFormatting>
  <conditionalFormatting sqref="I161">
    <cfRule type="expression" dxfId="716" priority="105">
      <formula>(dms_FRCPlength_Num)&lt;3</formula>
    </cfRule>
  </conditionalFormatting>
  <conditionalFormatting sqref="J161">
    <cfRule type="expression" dxfId="715" priority="104">
      <formula>(dms_FRCPlength_Num)&lt;4</formula>
    </cfRule>
  </conditionalFormatting>
  <conditionalFormatting sqref="K161">
    <cfRule type="expression" dxfId="714" priority="103">
      <formula>(dms_FRCPlength_Num)&lt;5</formula>
    </cfRule>
  </conditionalFormatting>
  <conditionalFormatting sqref="I123:I124">
    <cfRule type="expression" dxfId="713" priority="99">
      <formula>(dms_FRCPlength_Num)&lt;3</formula>
    </cfRule>
  </conditionalFormatting>
  <conditionalFormatting sqref="J123:J124">
    <cfRule type="expression" dxfId="712" priority="98">
      <formula>(dms_FRCPlength_Num)&lt;4</formula>
    </cfRule>
  </conditionalFormatting>
  <conditionalFormatting sqref="K123:K124">
    <cfRule type="expression" dxfId="711" priority="97">
      <formula>(dms_FRCPlength_Num)&lt;5</formula>
    </cfRule>
  </conditionalFormatting>
  <conditionalFormatting sqref="I126:I129">
    <cfRule type="expression" dxfId="710" priority="96">
      <formula>(dms_FRCPlength_Num)&lt;3</formula>
    </cfRule>
  </conditionalFormatting>
  <conditionalFormatting sqref="J126:J129">
    <cfRule type="expression" dxfId="709" priority="95">
      <formula>(dms_FRCPlength_Num)&lt;4</formula>
    </cfRule>
  </conditionalFormatting>
  <conditionalFormatting sqref="K126:K129">
    <cfRule type="expression" dxfId="708" priority="94">
      <formula>(dms_FRCPlength_Num)&lt;5</formula>
    </cfRule>
  </conditionalFormatting>
  <conditionalFormatting sqref="I130:I133">
    <cfRule type="expression" dxfId="707" priority="93">
      <formula>(dms_FRCPlength_Num)&lt;3</formula>
    </cfRule>
  </conditionalFormatting>
  <conditionalFormatting sqref="J130:J133">
    <cfRule type="expression" dxfId="706" priority="92">
      <formula>(dms_FRCPlength_Num)&lt;4</formula>
    </cfRule>
  </conditionalFormatting>
  <conditionalFormatting sqref="K130:K133">
    <cfRule type="expression" dxfId="705" priority="91">
      <formula>(dms_FRCPlength_Num)&lt;5</formula>
    </cfRule>
  </conditionalFormatting>
  <conditionalFormatting sqref="I134:I135">
    <cfRule type="expression" dxfId="704" priority="90">
      <formula>(dms_FRCPlength_Num)&lt;3</formula>
    </cfRule>
  </conditionalFormatting>
  <conditionalFormatting sqref="J134:J135">
    <cfRule type="expression" dxfId="703" priority="89">
      <formula>(dms_FRCPlength_Num)&lt;4</formula>
    </cfRule>
  </conditionalFormatting>
  <conditionalFormatting sqref="K134:K135">
    <cfRule type="expression" dxfId="702" priority="88">
      <formula>(dms_FRCPlength_Num)&lt;5</formula>
    </cfRule>
  </conditionalFormatting>
  <conditionalFormatting sqref="I138">
    <cfRule type="expression" dxfId="701" priority="87">
      <formula>(dms_FRCPlength_Num)&lt;3</formula>
    </cfRule>
  </conditionalFormatting>
  <conditionalFormatting sqref="J138">
    <cfRule type="expression" dxfId="700" priority="86">
      <formula>(dms_FRCPlength_Num)&lt;4</formula>
    </cfRule>
  </conditionalFormatting>
  <conditionalFormatting sqref="K138">
    <cfRule type="expression" dxfId="699" priority="85">
      <formula>(dms_FRCPlength_Num)&lt;5</formula>
    </cfRule>
  </conditionalFormatting>
  <conditionalFormatting sqref="I136:I137">
    <cfRule type="expression" dxfId="698" priority="84">
      <formula>(dms_FRCPlength_Num)&lt;3</formula>
    </cfRule>
  </conditionalFormatting>
  <conditionalFormatting sqref="J136:J137">
    <cfRule type="expression" dxfId="697" priority="83">
      <formula>(dms_FRCPlength_Num)&lt;4</formula>
    </cfRule>
  </conditionalFormatting>
  <conditionalFormatting sqref="K136:K137">
    <cfRule type="expression" dxfId="696" priority="82">
      <formula>(dms_FRCPlength_Num)&lt;5</formula>
    </cfRule>
  </conditionalFormatting>
  <conditionalFormatting sqref="I139:I142">
    <cfRule type="expression" dxfId="695" priority="81">
      <formula>(dms_FRCPlength_Num)&lt;3</formula>
    </cfRule>
  </conditionalFormatting>
  <conditionalFormatting sqref="J139:J142">
    <cfRule type="expression" dxfId="694" priority="80">
      <formula>(dms_FRCPlength_Num)&lt;4</formula>
    </cfRule>
  </conditionalFormatting>
  <conditionalFormatting sqref="K139:K142">
    <cfRule type="expression" dxfId="693" priority="79">
      <formula>(dms_FRCPlength_Num)&lt;5</formula>
    </cfRule>
  </conditionalFormatting>
  <conditionalFormatting sqref="I143:I144">
    <cfRule type="expression" dxfId="692" priority="78">
      <formula>(dms_FRCPlength_Num)&lt;3</formula>
    </cfRule>
  </conditionalFormatting>
  <conditionalFormatting sqref="J143:J144">
    <cfRule type="expression" dxfId="691" priority="77">
      <formula>(dms_FRCPlength_Num)&lt;4</formula>
    </cfRule>
  </conditionalFormatting>
  <conditionalFormatting sqref="K143:K144">
    <cfRule type="expression" dxfId="690" priority="76">
      <formula>(dms_FRCPlength_Num)&lt;5</formula>
    </cfRule>
  </conditionalFormatting>
  <conditionalFormatting sqref="I147">
    <cfRule type="expression" dxfId="689" priority="75">
      <formula>(dms_FRCPlength_Num)&lt;3</formula>
    </cfRule>
  </conditionalFormatting>
  <conditionalFormatting sqref="J147">
    <cfRule type="expression" dxfId="688" priority="74">
      <formula>(dms_FRCPlength_Num)&lt;4</formula>
    </cfRule>
  </conditionalFormatting>
  <conditionalFormatting sqref="K147">
    <cfRule type="expression" dxfId="687" priority="73">
      <formula>(dms_FRCPlength_Num)&lt;5</formula>
    </cfRule>
  </conditionalFormatting>
  <conditionalFormatting sqref="I145:I146">
    <cfRule type="expression" dxfId="686" priority="72">
      <formula>(dms_FRCPlength_Num)&lt;3</formula>
    </cfRule>
  </conditionalFormatting>
  <conditionalFormatting sqref="J145:J146">
    <cfRule type="expression" dxfId="685" priority="71">
      <formula>(dms_FRCPlength_Num)&lt;4</formula>
    </cfRule>
  </conditionalFormatting>
  <conditionalFormatting sqref="K145:K146">
    <cfRule type="expression" dxfId="684" priority="70">
      <formula>(dms_FRCPlength_Num)&lt;5</formula>
    </cfRule>
  </conditionalFormatting>
  <conditionalFormatting sqref="I148:I151">
    <cfRule type="expression" dxfId="683" priority="69">
      <formula>(dms_FRCPlength_Num)&lt;3</formula>
    </cfRule>
  </conditionalFormatting>
  <conditionalFormatting sqref="J148:J151">
    <cfRule type="expression" dxfId="682" priority="68">
      <formula>(dms_FRCPlength_Num)&lt;4</formula>
    </cfRule>
  </conditionalFormatting>
  <conditionalFormatting sqref="K148:K151">
    <cfRule type="expression" dxfId="681" priority="67">
      <formula>(dms_FRCPlength_Num)&lt;5</formula>
    </cfRule>
  </conditionalFormatting>
  <conditionalFormatting sqref="I166:I167 I200">
    <cfRule type="expression" dxfId="680" priority="66">
      <formula>(dms_FRCPlength_Num)&lt;3</formula>
    </cfRule>
  </conditionalFormatting>
  <conditionalFormatting sqref="J166:J167 J200">
    <cfRule type="expression" dxfId="679" priority="65">
      <formula>(dms_FRCPlength_Num)&lt;4</formula>
    </cfRule>
  </conditionalFormatting>
  <conditionalFormatting sqref="K166:K167 K200">
    <cfRule type="expression" dxfId="678" priority="64">
      <formula>(dms_FRCPlength_Num)&lt;5</formula>
    </cfRule>
  </conditionalFormatting>
  <conditionalFormatting sqref="I197">
    <cfRule type="expression" dxfId="677" priority="63">
      <formula>(dms_FRCPlength_Num)&lt;3</formula>
    </cfRule>
  </conditionalFormatting>
  <conditionalFormatting sqref="J197">
    <cfRule type="expression" dxfId="676" priority="62">
      <formula>(dms_FRCPlength_Num)&lt;4</formula>
    </cfRule>
  </conditionalFormatting>
  <conditionalFormatting sqref="K197">
    <cfRule type="expression" dxfId="675" priority="61">
      <formula>(dms_FRCPlength_Num)&lt;5</formula>
    </cfRule>
  </conditionalFormatting>
  <conditionalFormatting sqref="I170">
    <cfRule type="expression" dxfId="674" priority="39">
      <formula>(dms_FRCPlength_Num)&lt;3</formula>
    </cfRule>
  </conditionalFormatting>
  <conditionalFormatting sqref="J170">
    <cfRule type="expression" dxfId="673" priority="38">
      <formula>(dms_FRCPlength_Num)&lt;4</formula>
    </cfRule>
  </conditionalFormatting>
  <conditionalFormatting sqref="K170">
    <cfRule type="expression" dxfId="672" priority="37">
      <formula>(dms_FRCPlength_Num)&lt;5</formula>
    </cfRule>
  </conditionalFormatting>
  <conditionalFormatting sqref="I198:I199">
    <cfRule type="expression" dxfId="671" priority="60">
      <formula>(dms_FRCPlength_Num)&lt;3</formula>
    </cfRule>
  </conditionalFormatting>
  <conditionalFormatting sqref="J198:J199">
    <cfRule type="expression" dxfId="670" priority="59">
      <formula>(dms_FRCPlength_Num)&lt;4</formula>
    </cfRule>
  </conditionalFormatting>
  <conditionalFormatting sqref="K198:K199">
    <cfRule type="expression" dxfId="669" priority="58">
      <formula>(dms_FRCPlength_Num)&lt;5</formula>
    </cfRule>
  </conditionalFormatting>
  <conditionalFormatting sqref="I201">
    <cfRule type="expression" dxfId="668" priority="57">
      <formula>(dms_FRCPlength_Num)&lt;3</formula>
    </cfRule>
  </conditionalFormatting>
  <conditionalFormatting sqref="J201">
    <cfRule type="expression" dxfId="667" priority="56">
      <formula>(dms_FRCPlength_Num)&lt;4</formula>
    </cfRule>
  </conditionalFormatting>
  <conditionalFormatting sqref="K201">
    <cfRule type="expression" dxfId="666" priority="55">
      <formula>(dms_FRCPlength_Num)&lt;5</formula>
    </cfRule>
  </conditionalFormatting>
  <conditionalFormatting sqref="I203">
    <cfRule type="expression" dxfId="665" priority="54">
      <formula>(dms_FRCPlength_Num)&lt;3</formula>
    </cfRule>
  </conditionalFormatting>
  <conditionalFormatting sqref="J203">
    <cfRule type="expression" dxfId="664" priority="53">
      <formula>(dms_FRCPlength_Num)&lt;4</formula>
    </cfRule>
  </conditionalFormatting>
  <conditionalFormatting sqref="K203">
    <cfRule type="expression" dxfId="663" priority="52">
      <formula>(dms_FRCPlength_Num)&lt;5</formula>
    </cfRule>
  </conditionalFormatting>
  <conditionalFormatting sqref="I202">
    <cfRule type="expression" dxfId="662" priority="51">
      <formula>(dms_FRCPlength_Num)&lt;3</formula>
    </cfRule>
  </conditionalFormatting>
  <conditionalFormatting sqref="J202">
    <cfRule type="expression" dxfId="661" priority="50">
      <formula>(dms_FRCPlength_Num)&lt;4</formula>
    </cfRule>
  </conditionalFormatting>
  <conditionalFormatting sqref="K202">
    <cfRule type="expression" dxfId="660" priority="49">
      <formula>(dms_FRCPlength_Num)&lt;5</formula>
    </cfRule>
  </conditionalFormatting>
  <conditionalFormatting sqref="I205">
    <cfRule type="expression" dxfId="659" priority="48">
      <formula>(dms_FRCPlength_Num)&lt;3</formula>
    </cfRule>
  </conditionalFormatting>
  <conditionalFormatting sqref="J205">
    <cfRule type="expression" dxfId="658" priority="47">
      <formula>(dms_FRCPlength_Num)&lt;4</formula>
    </cfRule>
  </conditionalFormatting>
  <conditionalFormatting sqref="K205">
    <cfRule type="expression" dxfId="657" priority="46">
      <formula>(dms_FRCPlength_Num)&lt;5</formula>
    </cfRule>
  </conditionalFormatting>
  <conditionalFormatting sqref="I204">
    <cfRule type="expression" dxfId="656" priority="45">
      <formula>(dms_FRCPlength_Num)&lt;3</formula>
    </cfRule>
  </conditionalFormatting>
  <conditionalFormatting sqref="J204">
    <cfRule type="expression" dxfId="655" priority="44">
      <formula>(dms_FRCPlength_Num)&lt;4</formula>
    </cfRule>
  </conditionalFormatting>
  <conditionalFormatting sqref="K204">
    <cfRule type="expression" dxfId="654" priority="43">
      <formula>(dms_FRCPlength_Num)&lt;5</formula>
    </cfRule>
  </conditionalFormatting>
  <conditionalFormatting sqref="I206">
    <cfRule type="expression" dxfId="653" priority="42">
      <formula>(dms_FRCPlength_Num)&lt;3</formula>
    </cfRule>
  </conditionalFormatting>
  <conditionalFormatting sqref="J206">
    <cfRule type="expression" dxfId="652" priority="41">
      <formula>(dms_FRCPlength_Num)&lt;4</formula>
    </cfRule>
  </conditionalFormatting>
  <conditionalFormatting sqref="K206">
    <cfRule type="expression" dxfId="651" priority="40">
      <formula>(dms_FRCPlength_Num)&lt;5</formula>
    </cfRule>
  </conditionalFormatting>
  <conditionalFormatting sqref="I168:I169">
    <cfRule type="expression" dxfId="650" priority="36">
      <formula>(dms_FRCPlength_Num)&lt;3</formula>
    </cfRule>
  </conditionalFormatting>
  <conditionalFormatting sqref="J168:J169">
    <cfRule type="expression" dxfId="649" priority="35">
      <formula>(dms_FRCPlength_Num)&lt;4</formula>
    </cfRule>
  </conditionalFormatting>
  <conditionalFormatting sqref="K168:K169">
    <cfRule type="expression" dxfId="648" priority="34">
      <formula>(dms_FRCPlength_Num)&lt;5</formula>
    </cfRule>
  </conditionalFormatting>
  <conditionalFormatting sqref="I171:I174">
    <cfRule type="expression" dxfId="647" priority="33">
      <formula>(dms_FRCPlength_Num)&lt;3</formula>
    </cfRule>
  </conditionalFormatting>
  <conditionalFormatting sqref="J171:J174">
    <cfRule type="expression" dxfId="646" priority="32">
      <formula>(dms_FRCPlength_Num)&lt;4</formula>
    </cfRule>
  </conditionalFormatting>
  <conditionalFormatting sqref="K171:K174">
    <cfRule type="expression" dxfId="645" priority="31">
      <formula>(dms_FRCPlength_Num)&lt;5</formula>
    </cfRule>
  </conditionalFormatting>
  <conditionalFormatting sqref="I175:I178">
    <cfRule type="expression" dxfId="644" priority="30">
      <formula>(dms_FRCPlength_Num)&lt;3</formula>
    </cfRule>
  </conditionalFormatting>
  <conditionalFormatting sqref="J175:J178">
    <cfRule type="expression" dxfId="643" priority="29">
      <formula>(dms_FRCPlength_Num)&lt;4</formula>
    </cfRule>
  </conditionalFormatting>
  <conditionalFormatting sqref="K175:K178">
    <cfRule type="expression" dxfId="642" priority="28">
      <formula>(dms_FRCPlength_Num)&lt;5</formula>
    </cfRule>
  </conditionalFormatting>
  <conditionalFormatting sqref="I179:I180">
    <cfRule type="expression" dxfId="641" priority="27">
      <formula>(dms_FRCPlength_Num)&lt;3</formula>
    </cfRule>
  </conditionalFormatting>
  <conditionalFormatting sqref="J179:J180">
    <cfRule type="expression" dxfId="640" priority="26">
      <formula>(dms_FRCPlength_Num)&lt;4</formula>
    </cfRule>
  </conditionalFormatting>
  <conditionalFormatting sqref="K179:K180">
    <cfRule type="expression" dxfId="639" priority="25">
      <formula>(dms_FRCPlength_Num)&lt;5</formula>
    </cfRule>
  </conditionalFormatting>
  <conditionalFormatting sqref="I183">
    <cfRule type="expression" dxfId="638" priority="24">
      <formula>(dms_FRCPlength_Num)&lt;3</formula>
    </cfRule>
  </conditionalFormatting>
  <conditionalFormatting sqref="J183">
    <cfRule type="expression" dxfId="637" priority="23">
      <formula>(dms_FRCPlength_Num)&lt;4</formula>
    </cfRule>
  </conditionalFormatting>
  <conditionalFormatting sqref="K183">
    <cfRule type="expression" dxfId="636" priority="22">
      <formula>(dms_FRCPlength_Num)&lt;5</formula>
    </cfRule>
  </conditionalFormatting>
  <conditionalFormatting sqref="I181:I182">
    <cfRule type="expression" dxfId="635" priority="21">
      <formula>(dms_FRCPlength_Num)&lt;3</formula>
    </cfRule>
  </conditionalFormatting>
  <conditionalFormatting sqref="J181:J182">
    <cfRule type="expression" dxfId="634" priority="20">
      <formula>(dms_FRCPlength_Num)&lt;4</formula>
    </cfRule>
  </conditionalFormatting>
  <conditionalFormatting sqref="K181:K182">
    <cfRule type="expression" dxfId="633" priority="19">
      <formula>(dms_FRCPlength_Num)&lt;5</formula>
    </cfRule>
  </conditionalFormatting>
  <conditionalFormatting sqref="I184:I187">
    <cfRule type="expression" dxfId="632" priority="18">
      <formula>(dms_FRCPlength_Num)&lt;3</formula>
    </cfRule>
  </conditionalFormatting>
  <conditionalFormatting sqref="J184:J187">
    <cfRule type="expression" dxfId="631" priority="17">
      <formula>(dms_FRCPlength_Num)&lt;4</formula>
    </cfRule>
  </conditionalFormatting>
  <conditionalFormatting sqref="K184:K187">
    <cfRule type="expression" dxfId="630" priority="16">
      <formula>(dms_FRCPlength_Num)&lt;5</formula>
    </cfRule>
  </conditionalFormatting>
  <conditionalFormatting sqref="I188:I189">
    <cfRule type="expression" dxfId="629" priority="15">
      <formula>(dms_FRCPlength_Num)&lt;3</formula>
    </cfRule>
  </conditionalFormatting>
  <conditionalFormatting sqref="J188:J189">
    <cfRule type="expression" dxfId="628" priority="14">
      <formula>(dms_FRCPlength_Num)&lt;4</formula>
    </cfRule>
  </conditionalFormatting>
  <conditionalFormatting sqref="K188:K189">
    <cfRule type="expression" dxfId="627" priority="13">
      <formula>(dms_FRCPlength_Num)&lt;5</formula>
    </cfRule>
  </conditionalFormatting>
  <conditionalFormatting sqref="I192">
    <cfRule type="expression" dxfId="626" priority="12">
      <formula>(dms_FRCPlength_Num)&lt;3</formula>
    </cfRule>
  </conditionalFormatting>
  <conditionalFormatting sqref="J192">
    <cfRule type="expression" dxfId="625" priority="11">
      <formula>(dms_FRCPlength_Num)&lt;4</formula>
    </cfRule>
  </conditionalFormatting>
  <conditionalFormatting sqref="K192">
    <cfRule type="expression" dxfId="624" priority="10">
      <formula>(dms_FRCPlength_Num)&lt;5</formula>
    </cfRule>
  </conditionalFormatting>
  <conditionalFormatting sqref="I190:I191">
    <cfRule type="expression" dxfId="623" priority="9">
      <formula>(dms_FRCPlength_Num)&lt;3</formula>
    </cfRule>
  </conditionalFormatting>
  <conditionalFormatting sqref="J190:J191">
    <cfRule type="expression" dxfId="622" priority="8">
      <formula>(dms_FRCPlength_Num)&lt;4</formula>
    </cfRule>
  </conditionalFormatting>
  <conditionalFormatting sqref="K190:K191">
    <cfRule type="expression" dxfId="621" priority="7">
      <formula>(dms_FRCPlength_Num)&lt;5</formula>
    </cfRule>
  </conditionalFormatting>
  <conditionalFormatting sqref="I193:I196">
    <cfRule type="expression" dxfId="620" priority="6">
      <formula>(dms_FRCPlength_Num)&lt;3</formula>
    </cfRule>
  </conditionalFormatting>
  <conditionalFormatting sqref="J193:J196">
    <cfRule type="expression" dxfId="619" priority="5">
      <formula>(dms_FRCPlength_Num)&lt;4</formula>
    </cfRule>
  </conditionalFormatting>
  <conditionalFormatting sqref="K193:K196">
    <cfRule type="expression" dxfId="618" priority="4">
      <formula>(dms_FRCPlength_Num)&lt;5</formula>
    </cfRule>
  </conditionalFormatting>
  <conditionalFormatting sqref="I84:I85">
    <cfRule type="expression" dxfId="617" priority="3">
      <formula>(dms_FRCPlength_Num)&lt;3</formula>
    </cfRule>
  </conditionalFormatting>
  <conditionalFormatting sqref="J84:J85">
    <cfRule type="expression" dxfId="616" priority="2">
      <formula>(dms_FRCPlength_Num)&lt;4</formula>
    </cfRule>
  </conditionalFormatting>
  <conditionalFormatting sqref="K84:K85">
    <cfRule type="expression" dxfId="615" priority="1">
      <formula>(dms_FRCPlength_Num)&lt;5</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F52C-9B87-4840-8B51-C8B24BA884DE}">
  <sheetPr codeName="Sheet18">
    <tabColor theme="4" tint="0.79998168889431442"/>
  </sheetPr>
  <dimension ref="A1:AS93"/>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8.6640625" style="45" customWidth="1"/>
    <col min="5" max="5" width="63.83203125" style="45" customWidth="1"/>
    <col min="6" max="6" width="15.6640625" style="45" customWidth="1"/>
    <col min="7" max="13" width="15.83203125" style="45" customWidth="1"/>
    <col min="14" max="14" width="3.83203125" style="45" customWidth="1"/>
    <col min="15" max="21" width="15.6640625" style="45" customWidth="1"/>
    <col min="22" max="22" width="3.6640625" style="45" customWidth="1"/>
    <col min="23" max="29" width="15.6640625" style="45" customWidth="1"/>
    <col min="30" max="30" width="3.6640625" style="45" customWidth="1"/>
    <col min="31" max="37" width="15.6640625" style="45" customWidth="1"/>
    <col min="38" max="38" width="3.6640625" style="45" customWidth="1"/>
    <col min="39" max="45" width="15.6640625" style="45" customWidth="1"/>
    <col min="46" max="16384" width="9.33203125" style="45"/>
  </cols>
  <sheetData>
    <row r="1" spans="1:13" ht="18.75" x14ac:dyDescent="0.3">
      <c r="A1" s="41">
        <f>IF(SUM($A3:$A93)&gt;0,1,0)</f>
        <v>0</v>
      </c>
      <c r="B1" s="3" t="s">
        <v>1091</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thickBot="1" x14ac:dyDescent="0.35"/>
    <row r="8" spans="1:13" ht="15.4" thickBot="1" x14ac:dyDescent="0.35">
      <c r="D8" s="325" t="s">
        <v>427</v>
      </c>
      <c r="E8" s="325"/>
      <c r="F8" s="325"/>
      <c r="G8" s="325"/>
      <c r="H8" s="325"/>
      <c r="I8" s="325"/>
      <c r="J8" s="325"/>
      <c r="K8" s="325"/>
      <c r="L8" s="325"/>
      <c r="M8" s="325"/>
    </row>
    <row r="9" spans="1:13" ht="28.15" customHeight="1" thickBot="1" x14ac:dyDescent="0.35">
      <c r="D9" s="426" t="s">
        <v>428</v>
      </c>
      <c r="E9" s="427"/>
      <c r="F9" s="427"/>
      <c r="G9" s="427"/>
      <c r="H9" s="427"/>
      <c r="I9" s="427"/>
      <c r="J9" s="427"/>
      <c r="K9" s="427"/>
      <c r="L9" s="427"/>
      <c r="M9" s="428"/>
    </row>
    <row r="10" spans="1:13" ht="28.15" thickBot="1" x14ac:dyDescent="0.35">
      <c r="D10" s="1065" t="s">
        <v>429</v>
      </c>
      <c r="E10" s="1065" t="s">
        <v>430</v>
      </c>
      <c r="F10" s="1067"/>
      <c r="G10" s="513" t="s">
        <v>431</v>
      </c>
      <c r="H10" s="513"/>
      <c r="I10" s="513"/>
      <c r="J10" s="513"/>
      <c r="K10" s="513"/>
      <c r="L10" s="513"/>
      <c r="M10" s="514"/>
    </row>
    <row r="11" spans="1:13" ht="14.65" thickBot="1" x14ac:dyDescent="0.35">
      <c r="D11" s="1066"/>
      <c r="E11" s="1066"/>
      <c r="F11" s="1068"/>
      <c r="G11" s="515" t="s">
        <v>70</v>
      </c>
      <c r="H11" s="515" t="s">
        <v>71</v>
      </c>
      <c r="I11" s="516" t="s">
        <v>72</v>
      </c>
      <c r="J11" s="516" t="s">
        <v>73</v>
      </c>
      <c r="K11" s="516" t="s">
        <v>74</v>
      </c>
      <c r="L11" s="516" t="s">
        <v>82</v>
      </c>
      <c r="M11" s="516" t="s">
        <v>243</v>
      </c>
    </row>
    <row r="12" spans="1:13" ht="14.25" x14ac:dyDescent="0.45">
      <c r="D12" s="491" t="s">
        <v>432</v>
      </c>
      <c r="E12" s="492" t="s">
        <v>433</v>
      </c>
      <c r="F12" s="493"/>
      <c r="G12" s="311">
        <f>G49+G74</f>
        <v>646911.81824752677</v>
      </c>
      <c r="H12" s="312">
        <f t="shared" ref="H12:M12" si="0">H49+H74</f>
        <v>647279.21387235867</v>
      </c>
      <c r="I12" s="312">
        <f t="shared" si="0"/>
        <v>246118.34257615238</v>
      </c>
      <c r="J12" s="312">
        <f t="shared" si="0"/>
        <v>250910.82997267912</v>
      </c>
      <c r="K12" s="312">
        <f t="shared" si="0"/>
        <v>254487.51122353366</v>
      </c>
      <c r="L12" s="312">
        <f t="shared" si="0"/>
        <v>257604.3111681584</v>
      </c>
      <c r="M12" s="313">
        <f t="shared" si="0"/>
        <v>261287.52787992108</v>
      </c>
    </row>
    <row r="13" spans="1:13" ht="14.25" x14ac:dyDescent="0.45">
      <c r="D13" s="494"/>
      <c r="E13" s="495" t="s">
        <v>434</v>
      </c>
      <c r="F13" s="496"/>
      <c r="G13" s="314">
        <f t="shared" ref="G13:M13" si="1">G50+G75</f>
        <v>250574.9513369858</v>
      </c>
      <c r="H13" s="315">
        <f t="shared" si="1"/>
        <v>248962.83905563381</v>
      </c>
      <c r="I13" s="315">
        <f t="shared" si="1"/>
        <v>112812.10832335358</v>
      </c>
      <c r="J13" s="315">
        <f t="shared" si="1"/>
        <v>114223.46561118843</v>
      </c>
      <c r="K13" s="315">
        <f t="shared" si="1"/>
        <v>115070.08464925773</v>
      </c>
      <c r="L13" s="315">
        <f t="shared" si="1"/>
        <v>115702.90095448565</v>
      </c>
      <c r="M13" s="316">
        <f t="shared" si="1"/>
        <v>116584.12155675748</v>
      </c>
    </row>
    <row r="14" spans="1:13" ht="14.25" x14ac:dyDescent="0.45">
      <c r="D14" s="497"/>
      <c r="E14" s="498" t="s">
        <v>435</v>
      </c>
      <c r="F14" s="499"/>
      <c r="G14" s="314">
        <f t="shared" ref="G14:M14" si="2">G51+G76</f>
        <v>813759.49415093532</v>
      </c>
      <c r="H14" s="315">
        <f t="shared" si="2"/>
        <v>806367.46890944813</v>
      </c>
      <c r="I14" s="315">
        <f t="shared" si="2"/>
        <v>364415.91347656265</v>
      </c>
      <c r="J14" s="315">
        <f t="shared" si="2"/>
        <v>367996.06186186225</v>
      </c>
      <c r="K14" s="315">
        <f t="shared" si="2"/>
        <v>369742.64891585521</v>
      </c>
      <c r="L14" s="315">
        <f t="shared" si="2"/>
        <v>370794.84011562669</v>
      </c>
      <c r="M14" s="316">
        <f t="shared" si="2"/>
        <v>372635.46177533525</v>
      </c>
    </row>
    <row r="15" spans="1:13" ht="14.25" x14ac:dyDescent="0.45">
      <c r="D15" s="500" t="s">
        <v>436</v>
      </c>
      <c r="E15" s="501" t="s">
        <v>433</v>
      </c>
      <c r="F15" s="502"/>
      <c r="G15" s="503">
        <f t="shared" ref="G15:M15" si="3">G52+G77</f>
        <v>314709.64313360647</v>
      </c>
      <c r="H15" s="504">
        <f t="shared" si="3"/>
        <v>321017.14121983654</v>
      </c>
      <c r="I15" s="504">
        <f t="shared" si="3"/>
        <v>149325.88486703273</v>
      </c>
      <c r="J15" s="504">
        <f t="shared" si="3"/>
        <v>155198.00461221856</v>
      </c>
      <c r="K15" s="504">
        <f t="shared" si="3"/>
        <v>160476.58774627361</v>
      </c>
      <c r="L15" s="504">
        <f t="shared" si="3"/>
        <v>165607.58423323548</v>
      </c>
      <c r="M15" s="505">
        <f t="shared" si="3"/>
        <v>171250.39576184683</v>
      </c>
    </row>
    <row r="16" spans="1:13" ht="14.25" x14ac:dyDescent="0.45">
      <c r="D16" s="500"/>
      <c r="E16" s="495" t="s">
        <v>437</v>
      </c>
      <c r="F16" s="496"/>
      <c r="G16" s="503">
        <f t="shared" ref="G16:M16" si="4">G53+G78</f>
        <v>3895069.6114017367</v>
      </c>
      <c r="H16" s="504">
        <f t="shared" si="4"/>
        <v>3736074.7828885969</v>
      </c>
      <c r="I16" s="504">
        <f t="shared" si="4"/>
        <v>1332652.5025214679</v>
      </c>
      <c r="J16" s="504">
        <f t="shared" si="4"/>
        <v>1299695.6514745415</v>
      </c>
      <c r="K16" s="504">
        <f t="shared" si="4"/>
        <v>1259596.4302904543</v>
      </c>
      <c r="L16" s="504">
        <f t="shared" si="4"/>
        <v>1216781.3958284887</v>
      </c>
      <c r="M16" s="505">
        <f t="shared" si="4"/>
        <v>1176191.6415085017</v>
      </c>
    </row>
    <row r="17" spans="4:13" ht="14.25" x14ac:dyDescent="0.45">
      <c r="D17" s="500"/>
      <c r="E17" s="495" t="s">
        <v>438</v>
      </c>
      <c r="F17" s="496"/>
      <c r="G17" s="503">
        <f t="shared" ref="G17:M17" si="5">G54+G79</f>
        <v>814471.54863794439</v>
      </c>
      <c r="H17" s="504">
        <f t="shared" si="5"/>
        <v>804878.66417021456</v>
      </c>
      <c r="I17" s="504">
        <f t="shared" si="5"/>
        <v>296092.43014492112</v>
      </c>
      <c r="J17" s="504">
        <f t="shared" si="5"/>
        <v>298140.49754520558</v>
      </c>
      <c r="K17" s="504">
        <f t="shared" si="5"/>
        <v>298667.93673426996</v>
      </c>
      <c r="L17" s="504">
        <f t="shared" si="5"/>
        <v>298604.40694967052</v>
      </c>
      <c r="M17" s="505">
        <f t="shared" si="5"/>
        <v>299144.6025553451</v>
      </c>
    </row>
    <row r="18" spans="4:13" ht="14.25" x14ac:dyDescent="0.45">
      <c r="D18" s="500"/>
      <c r="E18" s="495" t="s">
        <v>439</v>
      </c>
      <c r="F18" s="496"/>
      <c r="G18" s="503">
        <f t="shared" ref="G18:M18" si="6">G55+G80</f>
        <v>1753950.0005630832</v>
      </c>
      <c r="H18" s="504">
        <f t="shared" si="6"/>
        <v>1997508.0246679503</v>
      </c>
      <c r="I18" s="504">
        <f t="shared" si="6"/>
        <v>832616.32077849249</v>
      </c>
      <c r="J18" s="504">
        <f t="shared" si="6"/>
        <v>937463.85013846948</v>
      </c>
      <c r="K18" s="504">
        <f t="shared" si="6"/>
        <v>1039039.6742689236</v>
      </c>
      <c r="L18" s="504">
        <f t="shared" si="6"/>
        <v>1139399.3294669364</v>
      </c>
      <c r="M18" s="505">
        <f t="shared" si="6"/>
        <v>1242941.6213616582</v>
      </c>
    </row>
    <row r="19" spans="4:13" ht="14.25" x14ac:dyDescent="0.45">
      <c r="D19" s="506"/>
      <c r="E19" s="498" t="s">
        <v>440</v>
      </c>
      <c r="F19" s="499"/>
      <c r="G19" s="503">
        <f t="shared" ref="G19:M19" si="7">G56+G81</f>
        <v>0</v>
      </c>
      <c r="H19" s="504">
        <f t="shared" si="7"/>
        <v>0</v>
      </c>
      <c r="I19" s="504">
        <f t="shared" si="7"/>
        <v>0</v>
      </c>
      <c r="J19" s="504">
        <f t="shared" si="7"/>
        <v>0</v>
      </c>
      <c r="K19" s="504">
        <f t="shared" si="7"/>
        <v>0</v>
      </c>
      <c r="L19" s="504">
        <f t="shared" si="7"/>
        <v>0</v>
      </c>
      <c r="M19" s="505">
        <f t="shared" si="7"/>
        <v>0</v>
      </c>
    </row>
    <row r="20" spans="4:13" ht="14.25" x14ac:dyDescent="0.45">
      <c r="D20" s="500" t="s">
        <v>441</v>
      </c>
      <c r="E20" s="501" t="s">
        <v>434</v>
      </c>
      <c r="F20" s="502"/>
      <c r="G20" s="314">
        <f t="shared" ref="G20:M20" si="8">G57+G82</f>
        <v>1104858.3203787073</v>
      </c>
      <c r="H20" s="315">
        <f t="shared" si="8"/>
        <v>1094822.0127826547</v>
      </c>
      <c r="I20" s="315">
        <f t="shared" si="8"/>
        <v>494775.12333430076</v>
      </c>
      <c r="J20" s="315">
        <f t="shared" si="8"/>
        <v>499635.96583152504</v>
      </c>
      <c r="K20" s="315">
        <f t="shared" si="8"/>
        <v>502007.34368055809</v>
      </c>
      <c r="L20" s="315">
        <f t="shared" si="8"/>
        <v>503435.92572482629</v>
      </c>
      <c r="M20" s="316">
        <f t="shared" si="8"/>
        <v>505934.97632886277</v>
      </c>
    </row>
    <row r="21" spans="4:13" ht="14.25" x14ac:dyDescent="0.45">
      <c r="D21" s="500"/>
      <c r="E21" s="495" t="s">
        <v>442</v>
      </c>
      <c r="F21" s="496"/>
      <c r="G21" s="314">
        <f t="shared" ref="G21:M21" si="9">G58+G83</f>
        <v>408250.11707518273</v>
      </c>
      <c r="H21" s="315">
        <f t="shared" si="9"/>
        <v>404541.65629291104</v>
      </c>
      <c r="I21" s="315">
        <f t="shared" si="9"/>
        <v>149237.12824922227</v>
      </c>
      <c r="J21" s="315">
        <f t="shared" si="9"/>
        <v>150703.28558200996</v>
      </c>
      <c r="K21" s="315">
        <f t="shared" si="9"/>
        <v>151418.55521359248</v>
      </c>
      <c r="L21" s="315">
        <f t="shared" si="9"/>
        <v>151849.45295218175</v>
      </c>
      <c r="M21" s="316">
        <f t="shared" si="9"/>
        <v>152603.23202858836</v>
      </c>
    </row>
    <row r="22" spans="4:13" ht="14.25" x14ac:dyDescent="0.45">
      <c r="D22" s="506"/>
      <c r="E22" s="498" t="s">
        <v>443</v>
      </c>
      <c r="F22" s="499"/>
      <c r="G22" s="314">
        <f t="shared" ref="G22:M22" si="10">G59+G84</f>
        <v>383944.30031411821</v>
      </c>
      <c r="H22" s="315">
        <f t="shared" si="10"/>
        <v>380456.62861302367</v>
      </c>
      <c r="I22" s="315">
        <f t="shared" si="10"/>
        <v>140352.05965656566</v>
      </c>
      <c r="J22" s="315">
        <f t="shared" si="10"/>
        <v>141730.92699240509</v>
      </c>
      <c r="K22" s="315">
        <f t="shared" si="10"/>
        <v>142403.6119145831</v>
      </c>
      <c r="L22" s="315">
        <f t="shared" si="10"/>
        <v>142808.85547442542</v>
      </c>
      <c r="M22" s="316">
        <f t="shared" si="10"/>
        <v>143517.75712069013</v>
      </c>
    </row>
    <row r="23" spans="4:13" ht="14.25" x14ac:dyDescent="0.45">
      <c r="D23" s="500" t="s">
        <v>444</v>
      </c>
      <c r="E23" s="501" t="s">
        <v>433</v>
      </c>
      <c r="F23" s="502"/>
      <c r="G23" s="503">
        <f t="shared" ref="G23:M23" si="11">G60+G85</f>
        <v>0</v>
      </c>
      <c r="H23" s="504">
        <f t="shared" si="11"/>
        <v>0</v>
      </c>
      <c r="I23" s="504">
        <f t="shared" si="11"/>
        <v>0</v>
      </c>
      <c r="J23" s="504">
        <f t="shared" si="11"/>
        <v>0</v>
      </c>
      <c r="K23" s="504">
        <f t="shared" si="11"/>
        <v>0</v>
      </c>
      <c r="L23" s="504">
        <f t="shared" si="11"/>
        <v>0</v>
      </c>
      <c r="M23" s="505">
        <f t="shared" si="11"/>
        <v>0</v>
      </c>
    </row>
    <row r="24" spans="4:13" ht="14.25" x14ac:dyDescent="0.45">
      <c r="D24" s="500"/>
      <c r="E24" s="495" t="s">
        <v>445</v>
      </c>
      <c r="F24" s="496"/>
      <c r="G24" s="503">
        <f t="shared" ref="G24:M24" si="12">G61+G86</f>
        <v>0</v>
      </c>
      <c r="H24" s="504">
        <f t="shared" si="12"/>
        <v>0</v>
      </c>
      <c r="I24" s="504">
        <f t="shared" si="12"/>
        <v>0</v>
      </c>
      <c r="J24" s="504">
        <f t="shared" si="12"/>
        <v>0</v>
      </c>
      <c r="K24" s="504">
        <f t="shared" si="12"/>
        <v>0</v>
      </c>
      <c r="L24" s="504">
        <f t="shared" si="12"/>
        <v>0</v>
      </c>
      <c r="M24" s="505">
        <f t="shared" si="12"/>
        <v>0</v>
      </c>
    </row>
    <row r="25" spans="4:13" ht="14.65" thickBot="1" x14ac:dyDescent="0.5">
      <c r="D25" s="507"/>
      <c r="E25" s="508" t="s">
        <v>446</v>
      </c>
      <c r="F25" s="509"/>
      <c r="G25" s="510">
        <f t="shared" ref="G25:M25" si="13">G62+G87</f>
        <v>0</v>
      </c>
      <c r="H25" s="511">
        <f t="shared" si="13"/>
        <v>0</v>
      </c>
      <c r="I25" s="511">
        <f t="shared" si="13"/>
        <v>0</v>
      </c>
      <c r="J25" s="511">
        <f t="shared" si="13"/>
        <v>0</v>
      </c>
      <c r="K25" s="511">
        <f t="shared" si="13"/>
        <v>0</v>
      </c>
      <c r="L25" s="511">
        <f t="shared" si="13"/>
        <v>0</v>
      </c>
      <c r="M25" s="512">
        <f t="shared" si="13"/>
        <v>0</v>
      </c>
    </row>
    <row r="26" spans="4:13" ht="11.25" customHeight="1" x14ac:dyDescent="0.3"/>
    <row r="27" spans="4:13" ht="12.75" x14ac:dyDescent="0.3">
      <c r="D27" s="351" t="s">
        <v>823</v>
      </c>
      <c r="G27" s="118">
        <f>SUM(O74:O87)</f>
        <v>3839413.9617052604</v>
      </c>
      <c r="H27" s="119">
        <f t="shared" ref="H27:M27" si="14">SUM(P74:P87)</f>
        <v>3889297.350758425</v>
      </c>
      <c r="I27" s="120">
        <f t="shared" si="14"/>
        <v>1180559.200910527</v>
      </c>
      <c r="J27" s="118">
        <f t="shared" si="14"/>
        <v>1198455.4115700077</v>
      </c>
      <c r="K27" s="118">
        <f t="shared" si="14"/>
        <v>1210568.0653834874</v>
      </c>
      <c r="L27" s="118">
        <f t="shared" si="14"/>
        <v>1220555.3536916368</v>
      </c>
      <c r="M27" s="118">
        <f t="shared" si="14"/>
        <v>1233291.6573989228</v>
      </c>
    </row>
    <row r="28" spans="4:13" ht="12.75" x14ac:dyDescent="0.3">
      <c r="D28" s="351" t="s">
        <v>824</v>
      </c>
      <c r="G28" s="118">
        <f>SUM(W74:W87)</f>
        <v>3666234.1876728726</v>
      </c>
      <c r="H28" s="119">
        <f t="shared" ref="H28:M28" si="15">SUM(X74:X87)</f>
        <v>3671759.4258525101</v>
      </c>
      <c r="I28" s="120">
        <f t="shared" si="15"/>
        <v>186888.17166687499</v>
      </c>
      <c r="J28" s="118">
        <f t="shared" si="15"/>
        <v>189508.91631946573</v>
      </c>
      <c r="K28" s="118">
        <f t="shared" si="15"/>
        <v>191216.11083199084</v>
      </c>
      <c r="L28" s="118">
        <f t="shared" si="15"/>
        <v>192590.20850469571</v>
      </c>
      <c r="M28" s="118">
        <f t="shared" si="15"/>
        <v>194400.8259038004</v>
      </c>
    </row>
    <row r="29" spans="4:13" ht="12.75" x14ac:dyDescent="0.3">
      <c r="D29" s="351" t="s">
        <v>747</v>
      </c>
      <c r="G29" s="118">
        <f>SUM(AE74:AE87)</f>
        <v>2880851.6558616934</v>
      </c>
      <c r="H29" s="119">
        <f t="shared" ref="H29:M29" si="16">SUM(AF74:AF87)</f>
        <v>2880851.655861693</v>
      </c>
      <c r="I29" s="120">
        <f t="shared" si="16"/>
        <v>0</v>
      </c>
      <c r="J29" s="118">
        <f t="shared" si="16"/>
        <v>0</v>
      </c>
      <c r="K29" s="118">
        <f t="shared" si="16"/>
        <v>0</v>
      </c>
      <c r="L29" s="118">
        <f t="shared" si="16"/>
        <v>0</v>
      </c>
      <c r="M29" s="118">
        <f t="shared" si="16"/>
        <v>0</v>
      </c>
    </row>
    <row r="30" spans="4:13" ht="12.75" x14ac:dyDescent="0.3">
      <c r="D30" s="351" t="s">
        <v>825</v>
      </c>
      <c r="G30" s="929"/>
      <c r="H30" s="930"/>
      <c r="I30" s="931"/>
      <c r="J30" s="929"/>
      <c r="K30" s="929"/>
      <c r="L30" s="929"/>
      <c r="M30" s="929"/>
    </row>
    <row r="31" spans="4:13" ht="12.75" x14ac:dyDescent="0.3">
      <c r="D31" s="6" t="s">
        <v>742</v>
      </c>
      <c r="G31" s="118">
        <f>SUM(G27:G30)</f>
        <v>10386499.805239826</v>
      </c>
      <c r="H31" s="119">
        <f t="shared" ref="H31:M31" si="17">SUM(H27:H30)</f>
        <v>10441908.432472628</v>
      </c>
      <c r="I31" s="120">
        <f t="shared" si="17"/>
        <v>1367447.372577402</v>
      </c>
      <c r="J31" s="118">
        <f t="shared" si="17"/>
        <v>1387964.3278894734</v>
      </c>
      <c r="K31" s="118">
        <f t="shared" si="17"/>
        <v>1401784.1762154782</v>
      </c>
      <c r="L31" s="118">
        <f t="shared" si="17"/>
        <v>1413145.5621963325</v>
      </c>
      <c r="M31" s="118">
        <f t="shared" si="17"/>
        <v>1427692.4833027232</v>
      </c>
    </row>
    <row r="32" spans="4:13" ht="12.75" x14ac:dyDescent="0.3">
      <c r="D32" s="6"/>
    </row>
    <row r="33" spans="1:45" ht="12.75" x14ac:dyDescent="0.3">
      <c r="D33" s="351" t="s">
        <v>826</v>
      </c>
      <c r="G33" s="118">
        <f>SUM(O49:O62)</f>
        <v>0</v>
      </c>
      <c r="H33" s="119">
        <f t="shared" ref="H33:M33" si="18">SUM(P49:P62)</f>
        <v>0</v>
      </c>
      <c r="I33" s="120">
        <f t="shared" si="18"/>
        <v>2750950.4413506696</v>
      </c>
      <c r="J33" s="118">
        <f t="shared" si="18"/>
        <v>2827734.211732632</v>
      </c>
      <c r="K33" s="118">
        <f t="shared" si="18"/>
        <v>2891126.2084218236</v>
      </c>
      <c r="L33" s="118">
        <f t="shared" si="18"/>
        <v>2949443.4406717028</v>
      </c>
      <c r="M33" s="118">
        <f t="shared" si="18"/>
        <v>3014398.8545747832</v>
      </c>
    </row>
    <row r="34" spans="1:45" ht="12.75" x14ac:dyDescent="0.3">
      <c r="D34" s="351" t="s">
        <v>746</v>
      </c>
      <c r="G34" s="118">
        <f>SUM(W49:W62)</f>
        <v>0</v>
      </c>
      <c r="H34" s="119">
        <f t="shared" ref="H34:M34" si="19">SUM(X49:X62)</f>
        <v>0</v>
      </c>
      <c r="I34" s="120">
        <f t="shared" si="19"/>
        <v>0</v>
      </c>
      <c r="J34" s="118">
        <f t="shared" si="19"/>
        <v>0</v>
      </c>
      <c r="K34" s="118">
        <f t="shared" si="19"/>
        <v>0</v>
      </c>
      <c r="L34" s="118">
        <f t="shared" si="19"/>
        <v>0</v>
      </c>
      <c r="M34" s="118">
        <f t="shared" si="19"/>
        <v>0</v>
      </c>
    </row>
    <row r="35" spans="1:45" ht="12.75" x14ac:dyDescent="0.3">
      <c r="D35" s="351" t="s">
        <v>748</v>
      </c>
      <c r="G35" s="118">
        <f>SUM(AE49:AE62)</f>
        <v>0</v>
      </c>
      <c r="H35" s="119">
        <f t="shared" ref="H35:M35" si="20">SUM(AF49:AF62)</f>
        <v>0</v>
      </c>
      <c r="I35" s="120">
        <f t="shared" si="20"/>
        <v>0</v>
      </c>
      <c r="J35" s="118">
        <f t="shared" si="20"/>
        <v>0</v>
      </c>
      <c r="K35" s="118">
        <f t="shared" si="20"/>
        <v>0</v>
      </c>
      <c r="L35" s="118">
        <f t="shared" si="20"/>
        <v>0</v>
      </c>
      <c r="M35" s="118">
        <f t="shared" si="20"/>
        <v>0</v>
      </c>
    </row>
    <row r="36" spans="1:45" ht="12.75" x14ac:dyDescent="0.3">
      <c r="D36" s="351" t="s">
        <v>827</v>
      </c>
      <c r="G36" s="929"/>
      <c r="H36" s="930"/>
      <c r="I36" s="931"/>
      <c r="J36" s="929"/>
      <c r="K36" s="929"/>
      <c r="L36" s="929"/>
      <c r="M36" s="929"/>
    </row>
    <row r="37" spans="1:45" ht="12.75" x14ac:dyDescent="0.3">
      <c r="D37" s="6" t="s">
        <v>743</v>
      </c>
      <c r="G37" s="118">
        <f>SUM(G33:G36)</f>
        <v>0</v>
      </c>
      <c r="H37" s="119">
        <f t="shared" ref="H37:M37" si="21">SUM(H33:H36)</f>
        <v>0</v>
      </c>
      <c r="I37" s="120">
        <f t="shared" si="21"/>
        <v>2750950.4413506696</v>
      </c>
      <c r="J37" s="118">
        <f t="shared" si="21"/>
        <v>2827734.211732632</v>
      </c>
      <c r="K37" s="118">
        <f t="shared" si="21"/>
        <v>2891126.2084218236</v>
      </c>
      <c r="L37" s="118">
        <f t="shared" si="21"/>
        <v>2949443.4406717028</v>
      </c>
      <c r="M37" s="118">
        <f t="shared" si="21"/>
        <v>3014398.8545747832</v>
      </c>
    </row>
    <row r="38" spans="1:45" ht="12.75" x14ac:dyDescent="0.3">
      <c r="D38" s="6" t="s">
        <v>700</v>
      </c>
      <c r="G38" s="118">
        <f>G31+G37</f>
        <v>10386499.805239826</v>
      </c>
      <c r="H38" s="119">
        <f t="shared" ref="H38:M38" si="22">H31+H37</f>
        <v>10441908.432472628</v>
      </c>
      <c r="I38" s="120">
        <f t="shared" si="22"/>
        <v>4118397.8139280714</v>
      </c>
      <c r="J38" s="118">
        <f t="shared" si="22"/>
        <v>4215698.5396221057</v>
      </c>
      <c r="K38" s="118">
        <f t="shared" si="22"/>
        <v>4292910.3846373018</v>
      </c>
      <c r="L38" s="118">
        <f t="shared" si="22"/>
        <v>4362589.0028680358</v>
      </c>
      <c r="M38" s="118">
        <f t="shared" si="22"/>
        <v>4442091.3378775064</v>
      </c>
    </row>
    <row r="39" spans="1:45" ht="12.75" x14ac:dyDescent="0.3">
      <c r="D39" s="6"/>
    </row>
    <row r="40" spans="1:45" ht="12.75" x14ac:dyDescent="0.3">
      <c r="D40" s="6" t="s">
        <v>695</v>
      </c>
      <c r="G40" s="115">
        <v>10386499.805239828</v>
      </c>
      <c r="H40" s="116">
        <v>10441908.432472629</v>
      </c>
      <c r="I40" s="117">
        <v>4118397.8139280714</v>
      </c>
      <c r="J40" s="115">
        <v>4215698.5396221057</v>
      </c>
      <c r="K40" s="115">
        <v>4292910.3846373018</v>
      </c>
      <c r="L40" s="115">
        <v>4362589.0028680349</v>
      </c>
      <c r="M40" s="115">
        <v>4442091.3378775073</v>
      </c>
    </row>
    <row r="41" spans="1:45" ht="12.75" x14ac:dyDescent="0.3">
      <c r="A41" s="41">
        <f>IF(SUM($G41:$M41)&gt;0,1,0)</f>
        <v>0</v>
      </c>
      <c r="D41" s="6" t="s">
        <v>84</v>
      </c>
      <c r="G41" s="62">
        <f t="shared" ref="G41:M41" si="23">IF(OR(ROUND(SUM(G12:G25)-G38,3)&lt;&gt;0,ROUND(SUM(G12:G25)-G40,3)&lt;&gt;0),1,0)</f>
        <v>0</v>
      </c>
      <c r="H41" s="62">
        <f t="shared" si="23"/>
        <v>0</v>
      </c>
      <c r="I41" s="62">
        <f t="shared" si="23"/>
        <v>0</v>
      </c>
      <c r="J41" s="62">
        <f t="shared" si="23"/>
        <v>0</v>
      </c>
      <c r="K41" s="62">
        <f t="shared" si="23"/>
        <v>0</v>
      </c>
      <c r="L41" s="62">
        <f t="shared" si="23"/>
        <v>0</v>
      </c>
      <c r="M41" s="62">
        <f t="shared" si="23"/>
        <v>0</v>
      </c>
    </row>
    <row r="42" spans="1:45" ht="11.25" customHeight="1" x14ac:dyDescent="0.3"/>
    <row r="43" spans="1:45" s="7" customFormat="1" ht="13.9" x14ac:dyDescent="0.3">
      <c r="C43" s="7" t="s">
        <v>832</v>
      </c>
    </row>
    <row r="44" spans="1:45" ht="11.25" customHeight="1" thickBot="1" x14ac:dyDescent="0.35"/>
    <row r="45" spans="1:45" ht="15.4" thickBot="1" x14ac:dyDescent="0.35">
      <c r="D45" s="325" t="s">
        <v>427</v>
      </c>
      <c r="E45" s="325"/>
      <c r="F45" s="325"/>
      <c r="G45" s="325"/>
      <c r="H45" s="325"/>
      <c r="I45" s="325"/>
      <c r="J45" s="325"/>
      <c r="K45" s="325"/>
      <c r="L45" s="325"/>
      <c r="M45" s="325"/>
      <c r="O45" s="325"/>
      <c r="P45" s="325"/>
      <c r="Q45" s="325"/>
      <c r="R45" s="325"/>
      <c r="S45" s="325"/>
      <c r="T45" s="325"/>
      <c r="U45" s="941"/>
      <c r="W45" s="325"/>
      <c r="X45" s="325"/>
      <c r="Y45" s="325"/>
      <c r="Z45" s="325"/>
      <c r="AA45" s="325"/>
      <c r="AB45" s="325"/>
      <c r="AC45" s="941"/>
      <c r="AE45" s="325"/>
      <c r="AF45" s="325"/>
      <c r="AG45" s="325"/>
      <c r="AH45" s="325"/>
      <c r="AI45" s="325"/>
      <c r="AJ45" s="325"/>
      <c r="AK45" s="941"/>
      <c r="AM45" s="325"/>
      <c r="AN45" s="325"/>
      <c r="AO45" s="325"/>
      <c r="AP45" s="325"/>
      <c r="AQ45" s="325"/>
      <c r="AR45" s="325"/>
      <c r="AS45" s="941"/>
    </row>
    <row r="46" spans="1:45" ht="28.15" customHeight="1" thickBot="1" x14ac:dyDescent="0.35">
      <c r="D46" s="426" t="s">
        <v>726</v>
      </c>
      <c r="E46" s="427"/>
      <c r="F46" s="427"/>
      <c r="G46" s="939" t="s">
        <v>833</v>
      </c>
      <c r="H46" s="939"/>
      <c r="I46" s="939"/>
      <c r="J46" s="939"/>
      <c r="K46" s="939"/>
      <c r="L46" s="939"/>
      <c r="M46" s="940"/>
      <c r="O46" s="942" t="s">
        <v>834</v>
      </c>
      <c r="P46" s="939"/>
      <c r="Q46" s="939"/>
      <c r="R46" s="939"/>
      <c r="S46" s="939"/>
      <c r="T46" s="939"/>
      <c r="U46" s="940"/>
      <c r="W46" s="942" t="s">
        <v>829</v>
      </c>
      <c r="X46" s="939"/>
      <c r="Y46" s="939"/>
      <c r="Z46" s="939"/>
      <c r="AA46" s="939"/>
      <c r="AB46" s="939"/>
      <c r="AC46" s="940"/>
      <c r="AE46" s="942" t="s">
        <v>830</v>
      </c>
      <c r="AF46" s="939"/>
      <c r="AG46" s="939"/>
      <c r="AH46" s="939"/>
      <c r="AI46" s="939"/>
      <c r="AJ46" s="939"/>
      <c r="AK46" s="940"/>
      <c r="AM46" s="942" t="s">
        <v>831</v>
      </c>
      <c r="AN46" s="939"/>
      <c r="AO46" s="939"/>
      <c r="AP46" s="939"/>
      <c r="AQ46" s="939"/>
      <c r="AR46" s="939"/>
      <c r="AS46" s="940"/>
    </row>
    <row r="47" spans="1:45" ht="28.15" thickBot="1" x14ac:dyDescent="0.35">
      <c r="D47" s="1065" t="s">
        <v>429</v>
      </c>
      <c r="E47" s="1065" t="s">
        <v>430</v>
      </c>
      <c r="F47" s="1067"/>
      <c r="G47" s="513" t="s">
        <v>431</v>
      </c>
      <c r="H47" s="513"/>
      <c r="I47" s="513"/>
      <c r="J47" s="513"/>
      <c r="K47" s="513"/>
      <c r="L47" s="513"/>
      <c r="M47" s="514"/>
      <c r="O47" s="548" t="str">
        <f>$G$47</f>
        <v>EXPENDITURE 
($'0s,  real June 2024)</v>
      </c>
      <c r="P47" s="513"/>
      <c r="Q47" s="513"/>
      <c r="R47" s="513"/>
      <c r="S47" s="513"/>
      <c r="T47" s="513"/>
      <c r="U47" s="514"/>
      <c r="W47" s="548" t="str">
        <f>$G$47</f>
        <v>EXPENDITURE 
($'0s,  real June 2024)</v>
      </c>
      <c r="X47" s="513"/>
      <c r="Y47" s="513"/>
      <c r="Z47" s="513"/>
      <c r="AA47" s="513"/>
      <c r="AB47" s="513"/>
      <c r="AC47" s="514"/>
      <c r="AE47" s="548" t="str">
        <f>$G$47</f>
        <v>EXPENDITURE 
($'0s,  real June 2024)</v>
      </c>
      <c r="AF47" s="513"/>
      <c r="AG47" s="513"/>
      <c r="AH47" s="513"/>
      <c r="AI47" s="513"/>
      <c r="AJ47" s="513"/>
      <c r="AK47" s="514"/>
      <c r="AM47" s="548" t="str">
        <f>$G$47</f>
        <v>EXPENDITURE 
($'0s,  real June 2024)</v>
      </c>
      <c r="AN47" s="513"/>
      <c r="AO47" s="513"/>
      <c r="AP47" s="513"/>
      <c r="AQ47" s="513"/>
      <c r="AR47" s="513"/>
      <c r="AS47" s="514"/>
    </row>
    <row r="48" spans="1:45" ht="14.65" thickBot="1" x14ac:dyDescent="0.35">
      <c r="D48" s="1066"/>
      <c r="E48" s="1066"/>
      <c r="F48" s="1068"/>
      <c r="G48" s="515" t="s">
        <v>70</v>
      </c>
      <c r="H48" s="515" t="s">
        <v>71</v>
      </c>
      <c r="I48" s="516" t="s">
        <v>72</v>
      </c>
      <c r="J48" s="516" t="s">
        <v>73</v>
      </c>
      <c r="K48" s="516" t="s">
        <v>74</v>
      </c>
      <c r="L48" s="516" t="s">
        <v>82</v>
      </c>
      <c r="M48" s="516" t="s">
        <v>243</v>
      </c>
      <c r="O48" s="611" t="str">
        <f>$G$48</f>
        <v>2022-23</v>
      </c>
      <c r="P48" s="515" t="str">
        <f>$H$48</f>
        <v>2023-24</v>
      </c>
      <c r="Q48" s="516" t="str">
        <f>$I$48</f>
        <v>2024-25</v>
      </c>
      <c r="R48" s="516" t="str">
        <f>$J$48</f>
        <v>2025-26</v>
      </c>
      <c r="S48" s="516" t="str">
        <f>$K$48</f>
        <v>2026-27</v>
      </c>
      <c r="T48" s="516" t="str">
        <f>$L$48</f>
        <v>2027-28</v>
      </c>
      <c r="U48" s="612" t="str">
        <f>$M$48</f>
        <v>2028-29</v>
      </c>
      <c r="W48" s="611" t="str">
        <f>$G$48</f>
        <v>2022-23</v>
      </c>
      <c r="X48" s="515" t="str">
        <f>$H$48</f>
        <v>2023-24</v>
      </c>
      <c r="Y48" s="516" t="str">
        <f>$I$48</f>
        <v>2024-25</v>
      </c>
      <c r="Z48" s="516" t="str">
        <f>$J$48</f>
        <v>2025-26</v>
      </c>
      <c r="AA48" s="516" t="str">
        <f>$K$48</f>
        <v>2026-27</v>
      </c>
      <c r="AB48" s="516" t="str">
        <f>$L$48</f>
        <v>2027-28</v>
      </c>
      <c r="AC48" s="612" t="str">
        <f>$M$48</f>
        <v>2028-29</v>
      </c>
      <c r="AE48" s="611" t="str">
        <f>$G$48</f>
        <v>2022-23</v>
      </c>
      <c r="AF48" s="515" t="str">
        <f>$H$48</f>
        <v>2023-24</v>
      </c>
      <c r="AG48" s="516" t="str">
        <f>$I$48</f>
        <v>2024-25</v>
      </c>
      <c r="AH48" s="516" t="str">
        <f>$J$48</f>
        <v>2025-26</v>
      </c>
      <c r="AI48" s="516" t="str">
        <f>$K$48</f>
        <v>2026-27</v>
      </c>
      <c r="AJ48" s="516" t="str">
        <f>$L$48</f>
        <v>2027-28</v>
      </c>
      <c r="AK48" s="612" t="str">
        <f>$M$48</f>
        <v>2028-29</v>
      </c>
      <c r="AM48" s="611" t="str">
        <f>$G$48</f>
        <v>2022-23</v>
      </c>
      <c r="AN48" s="515" t="str">
        <f>$H$48</f>
        <v>2023-24</v>
      </c>
      <c r="AO48" s="516" t="str">
        <f>$I$48</f>
        <v>2024-25</v>
      </c>
      <c r="AP48" s="516" t="str">
        <f>$J$48</f>
        <v>2025-26</v>
      </c>
      <c r="AQ48" s="516" t="str">
        <f>$K$48</f>
        <v>2026-27</v>
      </c>
      <c r="AR48" s="516" t="str">
        <f>$L$48</f>
        <v>2027-28</v>
      </c>
      <c r="AS48" s="612" t="str">
        <f>$M$48</f>
        <v>2028-29</v>
      </c>
    </row>
    <row r="49" spans="4:45" ht="14.25" x14ac:dyDescent="0.45">
      <c r="D49" s="491" t="s">
        <v>432</v>
      </c>
      <c r="E49" s="492" t="s">
        <v>433</v>
      </c>
      <c r="F49" s="493"/>
      <c r="G49" s="943">
        <f>O49+W49+AE49+AM49</f>
        <v>0</v>
      </c>
      <c r="H49" s="816">
        <f t="shared" ref="H49:H62" si="24">P49+X49+AF49+AN49</f>
        <v>0</v>
      </c>
      <c r="I49" s="816">
        <f t="shared" ref="I49:I62" si="25">Q49+Y49+AG49+AO49</f>
        <v>0</v>
      </c>
      <c r="J49" s="816">
        <f t="shared" ref="J49:J62" si="26">R49+Z49+AH49+AP49</f>
        <v>0</v>
      </c>
      <c r="K49" s="816">
        <f t="shared" ref="K49:K62" si="27">S49+AA49+AI49+AQ49</f>
        <v>0</v>
      </c>
      <c r="L49" s="816">
        <f t="shared" ref="L49:L62" si="28">T49+AB49+AJ49+AR49</f>
        <v>0</v>
      </c>
      <c r="M49" s="944">
        <f t="shared" ref="M49:M62" si="29">U49+AC49+AK49+AS49</f>
        <v>0</v>
      </c>
      <c r="O49" s="311">
        <v>0</v>
      </c>
      <c r="P49" s="312">
        <v>0</v>
      </c>
      <c r="Q49" s="312">
        <v>0</v>
      </c>
      <c r="R49" s="312">
        <v>0</v>
      </c>
      <c r="S49" s="312">
        <v>0</v>
      </c>
      <c r="T49" s="312">
        <v>0</v>
      </c>
      <c r="U49" s="313">
        <v>0</v>
      </c>
      <c r="W49" s="311">
        <v>0</v>
      </c>
      <c r="X49" s="312">
        <v>0</v>
      </c>
      <c r="Y49" s="312">
        <v>0</v>
      </c>
      <c r="Z49" s="312">
        <v>0</v>
      </c>
      <c r="AA49" s="312">
        <v>0</v>
      </c>
      <c r="AB49" s="312">
        <v>0</v>
      </c>
      <c r="AC49" s="313">
        <v>0</v>
      </c>
      <c r="AE49" s="311">
        <v>0</v>
      </c>
      <c r="AF49" s="312">
        <v>0</v>
      </c>
      <c r="AG49" s="312">
        <v>0</v>
      </c>
      <c r="AH49" s="312">
        <v>0</v>
      </c>
      <c r="AI49" s="312">
        <v>0</v>
      </c>
      <c r="AJ49" s="312">
        <v>0</v>
      </c>
      <c r="AK49" s="313">
        <v>0</v>
      </c>
      <c r="AM49" s="758"/>
      <c r="AN49" s="784"/>
      <c r="AO49" s="784"/>
      <c r="AP49" s="784"/>
      <c r="AQ49" s="784"/>
      <c r="AR49" s="784"/>
      <c r="AS49" s="951"/>
    </row>
    <row r="50" spans="4:45" ht="14.25" x14ac:dyDescent="0.45">
      <c r="D50" s="494"/>
      <c r="E50" s="495" t="s">
        <v>434</v>
      </c>
      <c r="F50" s="496"/>
      <c r="G50" s="936">
        <f t="shared" ref="G50:G62" si="30">O50+W50+AE50+AM50</f>
        <v>0</v>
      </c>
      <c r="H50" s="937">
        <f t="shared" si="24"/>
        <v>0</v>
      </c>
      <c r="I50" s="937">
        <f t="shared" si="25"/>
        <v>0</v>
      </c>
      <c r="J50" s="937">
        <f t="shared" si="26"/>
        <v>0</v>
      </c>
      <c r="K50" s="937">
        <f t="shared" si="27"/>
        <v>0</v>
      </c>
      <c r="L50" s="937">
        <f t="shared" si="28"/>
        <v>0</v>
      </c>
      <c r="M50" s="938">
        <f t="shared" si="29"/>
        <v>0</v>
      </c>
      <c r="O50" s="314">
        <v>0</v>
      </c>
      <c r="P50" s="315">
        <v>0</v>
      </c>
      <c r="Q50" s="315">
        <v>0</v>
      </c>
      <c r="R50" s="315">
        <v>0</v>
      </c>
      <c r="S50" s="315">
        <v>0</v>
      </c>
      <c r="T50" s="315">
        <v>0</v>
      </c>
      <c r="U50" s="316">
        <v>0</v>
      </c>
      <c r="W50" s="314">
        <v>0</v>
      </c>
      <c r="X50" s="315">
        <v>0</v>
      </c>
      <c r="Y50" s="315">
        <v>0</v>
      </c>
      <c r="Z50" s="315">
        <v>0</v>
      </c>
      <c r="AA50" s="315">
        <v>0</v>
      </c>
      <c r="AB50" s="315">
        <v>0</v>
      </c>
      <c r="AC50" s="316">
        <v>0</v>
      </c>
      <c r="AE50" s="314">
        <v>0</v>
      </c>
      <c r="AF50" s="315">
        <v>0</v>
      </c>
      <c r="AG50" s="315">
        <v>0</v>
      </c>
      <c r="AH50" s="315">
        <v>0</v>
      </c>
      <c r="AI50" s="315">
        <v>0</v>
      </c>
      <c r="AJ50" s="315">
        <v>0</v>
      </c>
      <c r="AK50" s="316">
        <v>0</v>
      </c>
      <c r="AM50" s="760"/>
      <c r="AN50" s="759"/>
      <c r="AO50" s="759"/>
      <c r="AP50" s="759"/>
      <c r="AQ50" s="759"/>
      <c r="AR50" s="759"/>
      <c r="AS50" s="900"/>
    </row>
    <row r="51" spans="4:45" ht="14.25" x14ac:dyDescent="0.45">
      <c r="D51" s="497"/>
      <c r="E51" s="498" t="s">
        <v>435</v>
      </c>
      <c r="F51" s="499"/>
      <c r="G51" s="936">
        <f t="shared" si="30"/>
        <v>0</v>
      </c>
      <c r="H51" s="937">
        <f t="shared" si="24"/>
        <v>0</v>
      </c>
      <c r="I51" s="937">
        <f t="shared" si="25"/>
        <v>0</v>
      </c>
      <c r="J51" s="937">
        <f t="shared" si="26"/>
        <v>0</v>
      </c>
      <c r="K51" s="937">
        <f t="shared" si="27"/>
        <v>0</v>
      </c>
      <c r="L51" s="937">
        <f t="shared" si="28"/>
        <v>0</v>
      </c>
      <c r="M51" s="938">
        <f t="shared" si="29"/>
        <v>0</v>
      </c>
      <c r="O51" s="314">
        <v>0</v>
      </c>
      <c r="P51" s="315">
        <v>0</v>
      </c>
      <c r="Q51" s="315">
        <v>0</v>
      </c>
      <c r="R51" s="315">
        <v>0</v>
      </c>
      <c r="S51" s="315">
        <v>0</v>
      </c>
      <c r="T51" s="315">
        <v>0</v>
      </c>
      <c r="U51" s="316">
        <v>0</v>
      </c>
      <c r="W51" s="314">
        <v>0</v>
      </c>
      <c r="X51" s="315">
        <v>0</v>
      </c>
      <c r="Y51" s="315">
        <v>0</v>
      </c>
      <c r="Z51" s="315">
        <v>0</v>
      </c>
      <c r="AA51" s="315">
        <v>0</v>
      </c>
      <c r="AB51" s="315">
        <v>0</v>
      </c>
      <c r="AC51" s="316">
        <v>0</v>
      </c>
      <c r="AE51" s="314">
        <v>0</v>
      </c>
      <c r="AF51" s="315">
        <v>0</v>
      </c>
      <c r="AG51" s="315">
        <v>0</v>
      </c>
      <c r="AH51" s="315">
        <v>0</v>
      </c>
      <c r="AI51" s="315">
        <v>0</v>
      </c>
      <c r="AJ51" s="315">
        <v>0</v>
      </c>
      <c r="AK51" s="316">
        <v>0</v>
      </c>
      <c r="AM51" s="760"/>
      <c r="AN51" s="759"/>
      <c r="AO51" s="759"/>
      <c r="AP51" s="759"/>
      <c r="AQ51" s="759"/>
      <c r="AR51" s="759"/>
      <c r="AS51" s="900"/>
    </row>
    <row r="52" spans="4:45" ht="14.25" x14ac:dyDescent="0.45">
      <c r="D52" s="500" t="s">
        <v>436</v>
      </c>
      <c r="E52" s="501" t="s">
        <v>433</v>
      </c>
      <c r="F52" s="502"/>
      <c r="G52" s="945">
        <f t="shared" si="30"/>
        <v>0</v>
      </c>
      <c r="H52" s="946">
        <f t="shared" si="24"/>
        <v>0</v>
      </c>
      <c r="I52" s="946">
        <f t="shared" si="25"/>
        <v>0</v>
      </c>
      <c r="J52" s="946">
        <f t="shared" si="26"/>
        <v>0</v>
      </c>
      <c r="K52" s="946">
        <f t="shared" si="27"/>
        <v>0</v>
      </c>
      <c r="L52" s="946">
        <f t="shared" si="28"/>
        <v>0</v>
      </c>
      <c r="M52" s="947">
        <f t="shared" si="29"/>
        <v>0</v>
      </c>
      <c r="O52" s="503">
        <v>0</v>
      </c>
      <c r="P52" s="504">
        <v>0</v>
      </c>
      <c r="Q52" s="504">
        <v>0</v>
      </c>
      <c r="R52" s="504">
        <v>0</v>
      </c>
      <c r="S52" s="504">
        <v>0</v>
      </c>
      <c r="T52" s="504">
        <v>0</v>
      </c>
      <c r="U52" s="505">
        <v>0</v>
      </c>
      <c r="W52" s="503">
        <v>0</v>
      </c>
      <c r="X52" s="504">
        <v>0</v>
      </c>
      <c r="Y52" s="504">
        <v>0</v>
      </c>
      <c r="Z52" s="504">
        <v>0</v>
      </c>
      <c r="AA52" s="504">
        <v>0</v>
      </c>
      <c r="AB52" s="504">
        <v>0</v>
      </c>
      <c r="AC52" s="505">
        <v>0</v>
      </c>
      <c r="AE52" s="503">
        <v>0</v>
      </c>
      <c r="AF52" s="504">
        <v>0</v>
      </c>
      <c r="AG52" s="504">
        <v>0</v>
      </c>
      <c r="AH52" s="504">
        <v>0</v>
      </c>
      <c r="AI52" s="504">
        <v>0</v>
      </c>
      <c r="AJ52" s="504">
        <v>0</v>
      </c>
      <c r="AK52" s="505">
        <v>0</v>
      </c>
      <c r="AM52" s="952"/>
      <c r="AN52" s="953"/>
      <c r="AO52" s="953"/>
      <c r="AP52" s="953"/>
      <c r="AQ52" s="953"/>
      <c r="AR52" s="953"/>
      <c r="AS52" s="954"/>
    </row>
    <row r="53" spans="4:45" ht="14.25" x14ac:dyDescent="0.45">
      <c r="D53" s="500"/>
      <c r="E53" s="495" t="s">
        <v>437</v>
      </c>
      <c r="F53" s="496"/>
      <c r="G53" s="945">
        <f t="shared" si="30"/>
        <v>0</v>
      </c>
      <c r="H53" s="946">
        <f t="shared" si="24"/>
        <v>0</v>
      </c>
      <c r="I53" s="946">
        <f t="shared" si="25"/>
        <v>1332652.5025214679</v>
      </c>
      <c r="J53" s="946">
        <f t="shared" si="26"/>
        <v>1299695.6514745415</v>
      </c>
      <c r="K53" s="946">
        <f t="shared" si="27"/>
        <v>1259596.4302904543</v>
      </c>
      <c r="L53" s="946">
        <f t="shared" si="28"/>
        <v>1216781.3958284887</v>
      </c>
      <c r="M53" s="947">
        <f t="shared" si="29"/>
        <v>1176191.6415085017</v>
      </c>
      <c r="O53" s="503">
        <v>0</v>
      </c>
      <c r="P53" s="504">
        <v>0</v>
      </c>
      <c r="Q53" s="504">
        <v>1332652.5025214679</v>
      </c>
      <c r="R53" s="504">
        <v>1299695.6514745415</v>
      </c>
      <c r="S53" s="504">
        <v>1259596.4302904543</v>
      </c>
      <c r="T53" s="504">
        <v>1216781.3958284887</v>
      </c>
      <c r="U53" s="505">
        <v>1176191.6415085017</v>
      </c>
      <c r="W53" s="503">
        <v>0</v>
      </c>
      <c r="X53" s="504">
        <v>0</v>
      </c>
      <c r="Y53" s="504">
        <v>0</v>
      </c>
      <c r="Z53" s="504">
        <v>0</v>
      </c>
      <c r="AA53" s="504">
        <v>0</v>
      </c>
      <c r="AB53" s="504">
        <v>0</v>
      </c>
      <c r="AC53" s="505">
        <v>0</v>
      </c>
      <c r="AE53" s="503">
        <v>0</v>
      </c>
      <c r="AF53" s="504">
        <v>0</v>
      </c>
      <c r="AG53" s="504">
        <v>0</v>
      </c>
      <c r="AH53" s="504">
        <v>0</v>
      </c>
      <c r="AI53" s="504">
        <v>0</v>
      </c>
      <c r="AJ53" s="504">
        <v>0</v>
      </c>
      <c r="AK53" s="505">
        <v>0</v>
      </c>
      <c r="AM53" s="952"/>
      <c r="AN53" s="953"/>
      <c r="AO53" s="953"/>
      <c r="AP53" s="953"/>
      <c r="AQ53" s="953"/>
      <c r="AR53" s="953"/>
      <c r="AS53" s="954"/>
    </row>
    <row r="54" spans="4:45" ht="14.25" x14ac:dyDescent="0.45">
      <c r="D54" s="500"/>
      <c r="E54" s="495" t="s">
        <v>438</v>
      </c>
      <c r="F54" s="496"/>
      <c r="G54" s="945">
        <f t="shared" si="30"/>
        <v>0</v>
      </c>
      <c r="H54" s="946">
        <f t="shared" si="24"/>
        <v>0</v>
      </c>
      <c r="I54" s="946">
        <f t="shared" si="25"/>
        <v>296092.43014492112</v>
      </c>
      <c r="J54" s="946">
        <f t="shared" si="26"/>
        <v>298140.49754520558</v>
      </c>
      <c r="K54" s="946">
        <f t="shared" si="27"/>
        <v>298667.93673426996</v>
      </c>
      <c r="L54" s="946">
        <f t="shared" si="28"/>
        <v>298604.40694967052</v>
      </c>
      <c r="M54" s="947">
        <f t="shared" si="29"/>
        <v>299144.6025553451</v>
      </c>
      <c r="O54" s="503">
        <v>0</v>
      </c>
      <c r="P54" s="504">
        <v>0</v>
      </c>
      <c r="Q54" s="504">
        <v>296092.43014492112</v>
      </c>
      <c r="R54" s="504">
        <v>298140.49754520558</v>
      </c>
      <c r="S54" s="504">
        <v>298667.93673426996</v>
      </c>
      <c r="T54" s="504">
        <v>298604.40694967052</v>
      </c>
      <c r="U54" s="505">
        <v>299144.6025553451</v>
      </c>
      <c r="W54" s="503">
        <v>0</v>
      </c>
      <c r="X54" s="504">
        <v>0</v>
      </c>
      <c r="Y54" s="504">
        <v>0</v>
      </c>
      <c r="Z54" s="504">
        <v>0</v>
      </c>
      <c r="AA54" s="504">
        <v>0</v>
      </c>
      <c r="AB54" s="504">
        <v>0</v>
      </c>
      <c r="AC54" s="505">
        <v>0</v>
      </c>
      <c r="AE54" s="503">
        <v>0</v>
      </c>
      <c r="AF54" s="504">
        <v>0</v>
      </c>
      <c r="AG54" s="504">
        <v>0</v>
      </c>
      <c r="AH54" s="504">
        <v>0</v>
      </c>
      <c r="AI54" s="504">
        <v>0</v>
      </c>
      <c r="AJ54" s="504">
        <v>0</v>
      </c>
      <c r="AK54" s="505">
        <v>0</v>
      </c>
      <c r="AM54" s="952"/>
      <c r="AN54" s="953"/>
      <c r="AO54" s="953"/>
      <c r="AP54" s="953"/>
      <c r="AQ54" s="953"/>
      <c r="AR54" s="953"/>
      <c r="AS54" s="954"/>
    </row>
    <row r="55" spans="4:45" ht="14.25" x14ac:dyDescent="0.45">
      <c r="D55" s="500"/>
      <c r="E55" s="495" t="s">
        <v>439</v>
      </c>
      <c r="F55" s="496"/>
      <c r="G55" s="945">
        <f t="shared" si="30"/>
        <v>0</v>
      </c>
      <c r="H55" s="946">
        <f t="shared" si="24"/>
        <v>0</v>
      </c>
      <c r="I55" s="946">
        <f t="shared" si="25"/>
        <v>832616.32077849249</v>
      </c>
      <c r="J55" s="946">
        <f t="shared" si="26"/>
        <v>937463.85013846948</v>
      </c>
      <c r="K55" s="946">
        <f t="shared" si="27"/>
        <v>1039039.6742689236</v>
      </c>
      <c r="L55" s="946">
        <f t="shared" si="28"/>
        <v>1139399.3294669364</v>
      </c>
      <c r="M55" s="947">
        <f t="shared" si="29"/>
        <v>1242941.6213616582</v>
      </c>
      <c r="O55" s="503">
        <v>0</v>
      </c>
      <c r="P55" s="504">
        <v>0</v>
      </c>
      <c r="Q55" s="504">
        <v>832616.32077849249</v>
      </c>
      <c r="R55" s="504">
        <v>937463.85013846948</v>
      </c>
      <c r="S55" s="504">
        <v>1039039.6742689236</v>
      </c>
      <c r="T55" s="504">
        <v>1139399.3294669364</v>
      </c>
      <c r="U55" s="505">
        <v>1242941.6213616582</v>
      </c>
      <c r="W55" s="503">
        <v>0</v>
      </c>
      <c r="X55" s="504">
        <v>0</v>
      </c>
      <c r="Y55" s="504">
        <v>0</v>
      </c>
      <c r="Z55" s="504">
        <v>0</v>
      </c>
      <c r="AA55" s="504">
        <v>0</v>
      </c>
      <c r="AB55" s="504">
        <v>0</v>
      </c>
      <c r="AC55" s="505">
        <v>0</v>
      </c>
      <c r="AE55" s="503">
        <v>0</v>
      </c>
      <c r="AF55" s="504">
        <v>0</v>
      </c>
      <c r="AG55" s="504">
        <v>0</v>
      </c>
      <c r="AH55" s="504">
        <v>0</v>
      </c>
      <c r="AI55" s="504">
        <v>0</v>
      </c>
      <c r="AJ55" s="504">
        <v>0</v>
      </c>
      <c r="AK55" s="505">
        <v>0</v>
      </c>
      <c r="AM55" s="952"/>
      <c r="AN55" s="953"/>
      <c r="AO55" s="953"/>
      <c r="AP55" s="953"/>
      <c r="AQ55" s="953"/>
      <c r="AR55" s="953"/>
      <c r="AS55" s="954"/>
    </row>
    <row r="56" spans="4:45" ht="14.25" x14ac:dyDescent="0.45">
      <c r="D56" s="506"/>
      <c r="E56" s="498" t="s">
        <v>440</v>
      </c>
      <c r="F56" s="499"/>
      <c r="G56" s="945">
        <f t="shared" si="30"/>
        <v>0</v>
      </c>
      <c r="H56" s="946">
        <f t="shared" si="24"/>
        <v>0</v>
      </c>
      <c r="I56" s="946">
        <f t="shared" si="25"/>
        <v>0</v>
      </c>
      <c r="J56" s="946">
        <f t="shared" si="26"/>
        <v>0</v>
      </c>
      <c r="K56" s="946">
        <f t="shared" si="27"/>
        <v>0</v>
      </c>
      <c r="L56" s="946">
        <f t="shared" si="28"/>
        <v>0</v>
      </c>
      <c r="M56" s="947">
        <f t="shared" si="29"/>
        <v>0</v>
      </c>
      <c r="O56" s="503">
        <v>0</v>
      </c>
      <c r="P56" s="504">
        <v>0</v>
      </c>
      <c r="Q56" s="504">
        <v>0</v>
      </c>
      <c r="R56" s="504">
        <v>0</v>
      </c>
      <c r="S56" s="504">
        <v>0</v>
      </c>
      <c r="T56" s="504">
        <v>0</v>
      </c>
      <c r="U56" s="505">
        <v>0</v>
      </c>
      <c r="W56" s="503">
        <v>0</v>
      </c>
      <c r="X56" s="504">
        <v>0</v>
      </c>
      <c r="Y56" s="504">
        <v>0</v>
      </c>
      <c r="Z56" s="504">
        <v>0</v>
      </c>
      <c r="AA56" s="504">
        <v>0</v>
      </c>
      <c r="AB56" s="504">
        <v>0</v>
      </c>
      <c r="AC56" s="505">
        <v>0</v>
      </c>
      <c r="AE56" s="503">
        <v>0</v>
      </c>
      <c r="AF56" s="504">
        <v>0</v>
      </c>
      <c r="AG56" s="504">
        <v>0</v>
      </c>
      <c r="AH56" s="504">
        <v>0</v>
      </c>
      <c r="AI56" s="504">
        <v>0</v>
      </c>
      <c r="AJ56" s="504">
        <v>0</v>
      </c>
      <c r="AK56" s="505">
        <v>0</v>
      </c>
      <c r="AM56" s="952"/>
      <c r="AN56" s="953"/>
      <c r="AO56" s="953"/>
      <c r="AP56" s="953"/>
      <c r="AQ56" s="953"/>
      <c r="AR56" s="953"/>
      <c r="AS56" s="954"/>
    </row>
    <row r="57" spans="4:45" ht="14.25" x14ac:dyDescent="0.45">
      <c r="D57" s="500" t="s">
        <v>441</v>
      </c>
      <c r="E57" s="501" t="s">
        <v>434</v>
      </c>
      <c r="F57" s="502"/>
      <c r="G57" s="936">
        <f t="shared" si="30"/>
        <v>0</v>
      </c>
      <c r="H57" s="937">
        <f t="shared" si="24"/>
        <v>0</v>
      </c>
      <c r="I57" s="937">
        <f t="shared" si="25"/>
        <v>0</v>
      </c>
      <c r="J57" s="937">
        <f t="shared" si="26"/>
        <v>0</v>
      </c>
      <c r="K57" s="937">
        <f t="shared" si="27"/>
        <v>0</v>
      </c>
      <c r="L57" s="937">
        <f t="shared" si="28"/>
        <v>0</v>
      </c>
      <c r="M57" s="938">
        <f t="shared" si="29"/>
        <v>0</v>
      </c>
      <c r="O57" s="314">
        <v>0</v>
      </c>
      <c r="P57" s="315">
        <v>0</v>
      </c>
      <c r="Q57" s="315">
        <v>0</v>
      </c>
      <c r="R57" s="315">
        <v>0</v>
      </c>
      <c r="S57" s="315">
        <v>0</v>
      </c>
      <c r="T57" s="315">
        <v>0</v>
      </c>
      <c r="U57" s="316">
        <v>0</v>
      </c>
      <c r="W57" s="314">
        <v>0</v>
      </c>
      <c r="X57" s="315">
        <v>0</v>
      </c>
      <c r="Y57" s="315">
        <v>0</v>
      </c>
      <c r="Z57" s="315">
        <v>0</v>
      </c>
      <c r="AA57" s="315">
        <v>0</v>
      </c>
      <c r="AB57" s="315">
        <v>0</v>
      </c>
      <c r="AC57" s="316">
        <v>0</v>
      </c>
      <c r="AE57" s="314">
        <v>0</v>
      </c>
      <c r="AF57" s="315">
        <v>0</v>
      </c>
      <c r="AG57" s="315">
        <v>0</v>
      </c>
      <c r="AH57" s="315">
        <v>0</v>
      </c>
      <c r="AI57" s="315">
        <v>0</v>
      </c>
      <c r="AJ57" s="315">
        <v>0</v>
      </c>
      <c r="AK57" s="316">
        <v>0</v>
      </c>
      <c r="AM57" s="760"/>
      <c r="AN57" s="759"/>
      <c r="AO57" s="759"/>
      <c r="AP57" s="759"/>
      <c r="AQ57" s="759"/>
      <c r="AR57" s="759"/>
      <c r="AS57" s="900"/>
    </row>
    <row r="58" spans="4:45" ht="14.25" x14ac:dyDescent="0.45">
      <c r="D58" s="500"/>
      <c r="E58" s="495" t="s">
        <v>442</v>
      </c>
      <c r="F58" s="496"/>
      <c r="G58" s="936">
        <f t="shared" si="30"/>
        <v>0</v>
      </c>
      <c r="H58" s="937">
        <f t="shared" si="24"/>
        <v>0</v>
      </c>
      <c r="I58" s="937">
        <f t="shared" si="25"/>
        <v>149237.12824922227</v>
      </c>
      <c r="J58" s="937">
        <f t="shared" si="26"/>
        <v>150703.28558200996</v>
      </c>
      <c r="K58" s="937">
        <f t="shared" si="27"/>
        <v>151418.55521359248</v>
      </c>
      <c r="L58" s="937">
        <f t="shared" si="28"/>
        <v>151849.45295218175</v>
      </c>
      <c r="M58" s="938">
        <f t="shared" si="29"/>
        <v>152603.23202858836</v>
      </c>
      <c r="O58" s="314">
        <v>0</v>
      </c>
      <c r="P58" s="315">
        <v>0</v>
      </c>
      <c r="Q58" s="315">
        <v>149237.12824922227</v>
      </c>
      <c r="R58" s="315">
        <v>150703.28558200996</v>
      </c>
      <c r="S58" s="315">
        <v>151418.55521359248</v>
      </c>
      <c r="T58" s="315">
        <v>151849.45295218175</v>
      </c>
      <c r="U58" s="316">
        <v>152603.23202858836</v>
      </c>
      <c r="W58" s="314">
        <v>0</v>
      </c>
      <c r="X58" s="315">
        <v>0</v>
      </c>
      <c r="Y58" s="315">
        <v>0</v>
      </c>
      <c r="Z58" s="315">
        <v>0</v>
      </c>
      <c r="AA58" s="315">
        <v>0</v>
      </c>
      <c r="AB58" s="315">
        <v>0</v>
      </c>
      <c r="AC58" s="316">
        <v>0</v>
      </c>
      <c r="AE58" s="314">
        <v>0</v>
      </c>
      <c r="AF58" s="315">
        <v>0</v>
      </c>
      <c r="AG58" s="315">
        <v>0</v>
      </c>
      <c r="AH58" s="315">
        <v>0</v>
      </c>
      <c r="AI58" s="315">
        <v>0</v>
      </c>
      <c r="AJ58" s="315">
        <v>0</v>
      </c>
      <c r="AK58" s="316">
        <v>0</v>
      </c>
      <c r="AM58" s="760"/>
      <c r="AN58" s="759"/>
      <c r="AO58" s="759"/>
      <c r="AP58" s="759"/>
      <c r="AQ58" s="759"/>
      <c r="AR58" s="759"/>
      <c r="AS58" s="900"/>
    </row>
    <row r="59" spans="4:45" ht="14.25" x14ac:dyDescent="0.45">
      <c r="D59" s="506"/>
      <c r="E59" s="498" t="s">
        <v>443</v>
      </c>
      <c r="F59" s="499"/>
      <c r="G59" s="936">
        <f t="shared" si="30"/>
        <v>0</v>
      </c>
      <c r="H59" s="937">
        <f t="shared" si="24"/>
        <v>0</v>
      </c>
      <c r="I59" s="937">
        <f t="shared" si="25"/>
        <v>140352.05965656566</v>
      </c>
      <c r="J59" s="937">
        <f t="shared" si="26"/>
        <v>141730.92699240509</v>
      </c>
      <c r="K59" s="937">
        <f t="shared" si="27"/>
        <v>142403.6119145831</v>
      </c>
      <c r="L59" s="937">
        <f t="shared" si="28"/>
        <v>142808.85547442542</v>
      </c>
      <c r="M59" s="938">
        <f t="shared" si="29"/>
        <v>143517.75712069013</v>
      </c>
      <c r="O59" s="314">
        <v>0</v>
      </c>
      <c r="P59" s="315">
        <v>0</v>
      </c>
      <c r="Q59" s="315">
        <v>140352.05965656566</v>
      </c>
      <c r="R59" s="315">
        <v>141730.92699240509</v>
      </c>
      <c r="S59" s="315">
        <v>142403.6119145831</v>
      </c>
      <c r="T59" s="315">
        <v>142808.85547442542</v>
      </c>
      <c r="U59" s="316">
        <v>143517.75712069013</v>
      </c>
      <c r="W59" s="314">
        <v>0</v>
      </c>
      <c r="X59" s="315">
        <v>0</v>
      </c>
      <c r="Y59" s="315">
        <v>0</v>
      </c>
      <c r="Z59" s="315">
        <v>0</v>
      </c>
      <c r="AA59" s="315">
        <v>0</v>
      </c>
      <c r="AB59" s="315">
        <v>0</v>
      </c>
      <c r="AC59" s="316">
        <v>0</v>
      </c>
      <c r="AE59" s="314">
        <v>0</v>
      </c>
      <c r="AF59" s="315">
        <v>0</v>
      </c>
      <c r="AG59" s="315">
        <v>0</v>
      </c>
      <c r="AH59" s="315">
        <v>0</v>
      </c>
      <c r="AI59" s="315">
        <v>0</v>
      </c>
      <c r="AJ59" s="315">
        <v>0</v>
      </c>
      <c r="AK59" s="316">
        <v>0</v>
      </c>
      <c r="AM59" s="760"/>
      <c r="AN59" s="759"/>
      <c r="AO59" s="759"/>
      <c r="AP59" s="759"/>
      <c r="AQ59" s="759"/>
      <c r="AR59" s="759"/>
      <c r="AS59" s="900"/>
    </row>
    <row r="60" spans="4:45" ht="14.25" x14ac:dyDescent="0.45">
      <c r="D60" s="500" t="s">
        <v>444</v>
      </c>
      <c r="E60" s="501" t="s">
        <v>433</v>
      </c>
      <c r="F60" s="502"/>
      <c r="G60" s="945">
        <f t="shared" si="30"/>
        <v>0</v>
      </c>
      <c r="H60" s="946">
        <f t="shared" si="24"/>
        <v>0</v>
      </c>
      <c r="I60" s="946">
        <f t="shared" si="25"/>
        <v>0</v>
      </c>
      <c r="J60" s="946">
        <f t="shared" si="26"/>
        <v>0</v>
      </c>
      <c r="K60" s="946">
        <f t="shared" si="27"/>
        <v>0</v>
      </c>
      <c r="L60" s="946">
        <f t="shared" si="28"/>
        <v>0</v>
      </c>
      <c r="M60" s="947">
        <f t="shared" si="29"/>
        <v>0</v>
      </c>
      <c r="O60" s="503">
        <v>0</v>
      </c>
      <c r="P60" s="504">
        <v>0</v>
      </c>
      <c r="Q60" s="504">
        <v>0</v>
      </c>
      <c r="R60" s="504">
        <v>0</v>
      </c>
      <c r="S60" s="504">
        <v>0</v>
      </c>
      <c r="T60" s="504">
        <v>0</v>
      </c>
      <c r="U60" s="505">
        <v>0</v>
      </c>
      <c r="W60" s="503">
        <v>0</v>
      </c>
      <c r="X60" s="504">
        <v>0</v>
      </c>
      <c r="Y60" s="504">
        <v>0</v>
      </c>
      <c r="Z60" s="504">
        <v>0</v>
      </c>
      <c r="AA60" s="504">
        <v>0</v>
      </c>
      <c r="AB60" s="504">
        <v>0</v>
      </c>
      <c r="AC60" s="505">
        <v>0</v>
      </c>
      <c r="AE60" s="503">
        <v>0</v>
      </c>
      <c r="AF60" s="504">
        <v>0</v>
      </c>
      <c r="AG60" s="504">
        <v>0</v>
      </c>
      <c r="AH60" s="504">
        <v>0</v>
      </c>
      <c r="AI60" s="504">
        <v>0</v>
      </c>
      <c r="AJ60" s="504">
        <v>0</v>
      </c>
      <c r="AK60" s="505">
        <v>0</v>
      </c>
      <c r="AM60" s="952"/>
      <c r="AN60" s="953"/>
      <c r="AO60" s="953"/>
      <c r="AP60" s="953"/>
      <c r="AQ60" s="953"/>
      <c r="AR60" s="953"/>
      <c r="AS60" s="954"/>
    </row>
    <row r="61" spans="4:45" ht="14.25" x14ac:dyDescent="0.45">
      <c r="D61" s="500"/>
      <c r="E61" s="495" t="s">
        <v>445</v>
      </c>
      <c r="F61" s="496"/>
      <c r="G61" s="945">
        <f t="shared" si="30"/>
        <v>0</v>
      </c>
      <c r="H61" s="946">
        <f t="shared" si="24"/>
        <v>0</v>
      </c>
      <c r="I61" s="946">
        <f t="shared" si="25"/>
        <v>0</v>
      </c>
      <c r="J61" s="946">
        <f t="shared" si="26"/>
        <v>0</v>
      </c>
      <c r="K61" s="946">
        <f t="shared" si="27"/>
        <v>0</v>
      </c>
      <c r="L61" s="946">
        <f t="shared" si="28"/>
        <v>0</v>
      </c>
      <c r="M61" s="947">
        <f t="shared" si="29"/>
        <v>0</v>
      </c>
      <c r="O61" s="503">
        <v>0</v>
      </c>
      <c r="P61" s="504">
        <v>0</v>
      </c>
      <c r="Q61" s="504">
        <v>0</v>
      </c>
      <c r="R61" s="504">
        <v>0</v>
      </c>
      <c r="S61" s="504">
        <v>0</v>
      </c>
      <c r="T61" s="504">
        <v>0</v>
      </c>
      <c r="U61" s="505">
        <v>0</v>
      </c>
      <c r="W61" s="503">
        <v>0</v>
      </c>
      <c r="X61" s="504">
        <v>0</v>
      </c>
      <c r="Y61" s="504">
        <v>0</v>
      </c>
      <c r="Z61" s="504">
        <v>0</v>
      </c>
      <c r="AA61" s="504">
        <v>0</v>
      </c>
      <c r="AB61" s="504">
        <v>0</v>
      </c>
      <c r="AC61" s="505">
        <v>0</v>
      </c>
      <c r="AE61" s="503">
        <v>0</v>
      </c>
      <c r="AF61" s="504">
        <v>0</v>
      </c>
      <c r="AG61" s="504">
        <v>0</v>
      </c>
      <c r="AH61" s="504">
        <v>0</v>
      </c>
      <c r="AI61" s="504">
        <v>0</v>
      </c>
      <c r="AJ61" s="504">
        <v>0</v>
      </c>
      <c r="AK61" s="505">
        <v>0</v>
      </c>
      <c r="AM61" s="952"/>
      <c r="AN61" s="953"/>
      <c r="AO61" s="953"/>
      <c r="AP61" s="953"/>
      <c r="AQ61" s="953"/>
      <c r="AR61" s="953"/>
      <c r="AS61" s="954"/>
    </row>
    <row r="62" spans="4:45" ht="14.65" thickBot="1" x14ac:dyDescent="0.5">
      <c r="D62" s="507"/>
      <c r="E62" s="508" t="s">
        <v>446</v>
      </c>
      <c r="F62" s="509"/>
      <c r="G62" s="948">
        <f t="shared" si="30"/>
        <v>0</v>
      </c>
      <c r="H62" s="949">
        <f t="shared" si="24"/>
        <v>0</v>
      </c>
      <c r="I62" s="949">
        <f t="shared" si="25"/>
        <v>0</v>
      </c>
      <c r="J62" s="949">
        <f t="shared" si="26"/>
        <v>0</v>
      </c>
      <c r="K62" s="949">
        <f t="shared" si="27"/>
        <v>0</v>
      </c>
      <c r="L62" s="949">
        <f t="shared" si="28"/>
        <v>0</v>
      </c>
      <c r="M62" s="950">
        <f t="shared" si="29"/>
        <v>0</v>
      </c>
      <c r="O62" s="510">
        <v>0</v>
      </c>
      <c r="P62" s="511">
        <v>0</v>
      </c>
      <c r="Q62" s="511">
        <v>0</v>
      </c>
      <c r="R62" s="511">
        <v>0</v>
      </c>
      <c r="S62" s="511">
        <v>0</v>
      </c>
      <c r="T62" s="511">
        <v>0</v>
      </c>
      <c r="U62" s="512">
        <v>0</v>
      </c>
      <c r="W62" s="510">
        <v>0</v>
      </c>
      <c r="X62" s="511">
        <v>0</v>
      </c>
      <c r="Y62" s="511">
        <v>0</v>
      </c>
      <c r="Z62" s="511">
        <v>0</v>
      </c>
      <c r="AA62" s="511">
        <v>0</v>
      </c>
      <c r="AB62" s="511">
        <v>0</v>
      </c>
      <c r="AC62" s="512">
        <v>0</v>
      </c>
      <c r="AE62" s="510">
        <v>0</v>
      </c>
      <c r="AF62" s="511">
        <v>0</v>
      </c>
      <c r="AG62" s="511">
        <v>0</v>
      </c>
      <c r="AH62" s="511">
        <v>0</v>
      </c>
      <c r="AI62" s="511">
        <v>0</v>
      </c>
      <c r="AJ62" s="511">
        <v>0</v>
      </c>
      <c r="AK62" s="512">
        <v>0</v>
      </c>
      <c r="AM62" s="955"/>
      <c r="AN62" s="956"/>
      <c r="AO62" s="956"/>
      <c r="AP62" s="956"/>
      <c r="AQ62" s="956"/>
      <c r="AR62" s="956"/>
      <c r="AS62" s="957"/>
    </row>
    <row r="63" spans="4:45" ht="11.25" customHeight="1" x14ac:dyDescent="0.3"/>
    <row r="64" spans="4:45" ht="12.75" x14ac:dyDescent="0.3">
      <c r="D64" s="6" t="s">
        <v>396</v>
      </c>
      <c r="G64" s="118">
        <f>SUM(G49:G62)</f>
        <v>0</v>
      </c>
      <c r="H64" s="119">
        <f t="shared" ref="H64:M64" si="31">SUM(H49:H62)</f>
        <v>0</v>
      </c>
      <c r="I64" s="120">
        <f t="shared" si="31"/>
        <v>2750950.4413506696</v>
      </c>
      <c r="J64" s="118">
        <f t="shared" si="31"/>
        <v>2827734.211732632</v>
      </c>
      <c r="K64" s="118">
        <f t="shared" si="31"/>
        <v>2891126.2084218236</v>
      </c>
      <c r="L64" s="118">
        <f t="shared" si="31"/>
        <v>2949443.4406717028</v>
      </c>
      <c r="M64" s="118">
        <f t="shared" si="31"/>
        <v>3014398.8545747832</v>
      </c>
      <c r="O64" s="118">
        <f>SUM(O49:O62)</f>
        <v>0</v>
      </c>
      <c r="P64" s="119">
        <f t="shared" ref="P64:U64" si="32">SUM(P49:P62)</f>
        <v>0</v>
      </c>
      <c r="Q64" s="120">
        <f t="shared" si="32"/>
        <v>2750950.4413506696</v>
      </c>
      <c r="R64" s="118">
        <f t="shared" si="32"/>
        <v>2827734.211732632</v>
      </c>
      <c r="S64" s="118">
        <f t="shared" si="32"/>
        <v>2891126.2084218236</v>
      </c>
      <c r="T64" s="118">
        <f t="shared" si="32"/>
        <v>2949443.4406717028</v>
      </c>
      <c r="U64" s="118">
        <f t="shared" si="32"/>
        <v>3014398.8545747832</v>
      </c>
      <c r="W64" s="118">
        <f>SUM(W49:W62)</f>
        <v>0</v>
      </c>
      <c r="X64" s="119">
        <f t="shared" ref="X64:AC64" si="33">SUM(X49:X62)</f>
        <v>0</v>
      </c>
      <c r="Y64" s="120">
        <f t="shared" si="33"/>
        <v>0</v>
      </c>
      <c r="Z64" s="118">
        <f t="shared" si="33"/>
        <v>0</v>
      </c>
      <c r="AA64" s="118">
        <f t="shared" si="33"/>
        <v>0</v>
      </c>
      <c r="AB64" s="118">
        <f t="shared" si="33"/>
        <v>0</v>
      </c>
      <c r="AC64" s="118">
        <f t="shared" si="33"/>
        <v>0</v>
      </c>
      <c r="AE64" s="118">
        <f>SUM(AE49:AE62)</f>
        <v>0</v>
      </c>
      <c r="AF64" s="119">
        <f t="shared" ref="AF64:AK64" si="34">SUM(AF49:AF62)</f>
        <v>0</v>
      </c>
      <c r="AG64" s="120">
        <f t="shared" si="34"/>
        <v>0</v>
      </c>
      <c r="AH64" s="118">
        <f t="shared" si="34"/>
        <v>0</v>
      </c>
      <c r="AI64" s="118">
        <f t="shared" si="34"/>
        <v>0</v>
      </c>
      <c r="AJ64" s="118">
        <f t="shared" si="34"/>
        <v>0</v>
      </c>
      <c r="AK64" s="118">
        <f t="shared" si="34"/>
        <v>0</v>
      </c>
      <c r="AM64" s="118">
        <f>SUM(AM49:AM62)</f>
        <v>0</v>
      </c>
      <c r="AN64" s="119">
        <f t="shared" ref="AN64:AS64" si="35">SUM(AN49:AN62)</f>
        <v>0</v>
      </c>
      <c r="AO64" s="120">
        <f t="shared" si="35"/>
        <v>0</v>
      </c>
      <c r="AP64" s="118">
        <f t="shared" si="35"/>
        <v>0</v>
      </c>
      <c r="AQ64" s="118">
        <f t="shared" si="35"/>
        <v>0</v>
      </c>
      <c r="AR64" s="118">
        <f t="shared" si="35"/>
        <v>0</v>
      </c>
      <c r="AS64" s="118">
        <f t="shared" si="35"/>
        <v>0</v>
      </c>
    </row>
    <row r="65" spans="1:45" ht="12.75" x14ac:dyDescent="0.3">
      <c r="D65" s="6" t="s">
        <v>700</v>
      </c>
      <c r="G65" s="118">
        <f>'WkB_1_2.1.3'!E49</f>
        <v>0</v>
      </c>
      <c r="H65" s="119">
        <f>'WkB_1_2.1.3'!F49</f>
        <v>0</v>
      </c>
      <c r="I65" s="120">
        <f>'WkB_1_2.1.3'!G49</f>
        <v>2750950.4413506691</v>
      </c>
      <c r="J65" s="118">
        <f>'WkB_1_2.1.3'!H49</f>
        <v>2827734.211732632</v>
      </c>
      <c r="K65" s="118">
        <f>'WkB_1_2.1.3'!I49</f>
        <v>2891126.2084218226</v>
      </c>
      <c r="L65" s="118">
        <f>'WkB_1_2.1.3'!J49</f>
        <v>2949443.4406717028</v>
      </c>
      <c r="M65" s="118">
        <f>'WkB_1_2.1.3'!K49</f>
        <v>3014398.8545747837</v>
      </c>
      <c r="O65" s="175"/>
      <c r="P65" s="175"/>
      <c r="Q65" s="175"/>
      <c r="R65" s="175"/>
      <c r="S65" s="175"/>
      <c r="T65" s="175"/>
      <c r="U65" s="175"/>
      <c r="W65" s="175"/>
      <c r="X65" s="175"/>
      <c r="Y65" s="175"/>
      <c r="Z65" s="175"/>
      <c r="AA65" s="175"/>
      <c r="AB65" s="175"/>
      <c r="AC65" s="175"/>
      <c r="AE65" s="175"/>
      <c r="AF65" s="175"/>
      <c r="AG65" s="175"/>
      <c r="AH65" s="175"/>
      <c r="AI65" s="175"/>
      <c r="AJ65" s="175"/>
      <c r="AK65" s="175"/>
      <c r="AM65" s="175"/>
      <c r="AN65" s="175"/>
      <c r="AO65" s="175"/>
      <c r="AP65" s="175"/>
      <c r="AQ65" s="175"/>
      <c r="AR65" s="175"/>
      <c r="AS65" s="175"/>
    </row>
    <row r="66" spans="1:45" ht="12.75" x14ac:dyDescent="0.3">
      <c r="A66" s="41">
        <f>IF(SUM($G66:$M66)&gt;0,1,0)</f>
        <v>0</v>
      </c>
      <c r="D66" s="6" t="s">
        <v>84</v>
      </c>
      <c r="G66" s="62">
        <f>IF(OR(ROUND(G65-G64,3)&lt;&gt;0),1,0)</f>
        <v>0</v>
      </c>
      <c r="H66" s="62">
        <f t="shared" ref="H66:M66" si="36">IF(OR(ROUND(H65-H64,3)&lt;&gt;0),1,0)</f>
        <v>0</v>
      </c>
      <c r="I66" s="62">
        <f t="shared" si="36"/>
        <v>0</v>
      </c>
      <c r="J66" s="62">
        <f t="shared" si="36"/>
        <v>0</v>
      </c>
      <c r="K66" s="62">
        <f t="shared" si="36"/>
        <v>0</v>
      </c>
      <c r="L66" s="62">
        <f t="shared" si="36"/>
        <v>0</v>
      </c>
      <c r="M66" s="62">
        <f t="shared" si="36"/>
        <v>0</v>
      </c>
    </row>
    <row r="67" spans="1:45" ht="11.25" customHeight="1" x14ac:dyDescent="0.3"/>
    <row r="68" spans="1:45" s="7" customFormat="1" ht="13.9" x14ac:dyDescent="0.3">
      <c r="C68" s="7" t="s">
        <v>836</v>
      </c>
    </row>
    <row r="69" spans="1:45" ht="11.25" customHeight="1" thickBot="1" x14ac:dyDescent="0.35"/>
    <row r="70" spans="1:45" ht="15.4" thickBot="1" x14ac:dyDescent="0.35">
      <c r="D70" s="325" t="s">
        <v>427</v>
      </c>
      <c r="E70" s="325"/>
      <c r="F70" s="325"/>
      <c r="G70" s="325"/>
      <c r="H70" s="325"/>
      <c r="I70" s="325"/>
      <c r="J70" s="325"/>
      <c r="K70" s="325"/>
      <c r="L70" s="325"/>
      <c r="M70" s="325"/>
      <c r="O70" s="325"/>
      <c r="P70" s="325"/>
      <c r="Q70" s="325"/>
      <c r="R70" s="325"/>
      <c r="S70" s="325"/>
      <c r="T70" s="325"/>
      <c r="U70" s="941"/>
      <c r="W70" s="325"/>
      <c r="X70" s="325"/>
      <c r="Y70" s="325"/>
      <c r="Z70" s="325"/>
      <c r="AA70" s="325"/>
      <c r="AB70" s="325"/>
      <c r="AC70" s="941"/>
      <c r="AE70" s="325"/>
      <c r="AF70" s="325"/>
      <c r="AG70" s="325"/>
      <c r="AH70" s="325"/>
      <c r="AI70" s="325"/>
      <c r="AJ70" s="325"/>
      <c r="AK70" s="941"/>
      <c r="AM70" s="325"/>
      <c r="AN70" s="325"/>
      <c r="AO70" s="325"/>
      <c r="AP70" s="325"/>
      <c r="AQ70" s="325"/>
      <c r="AR70" s="325"/>
      <c r="AS70" s="941"/>
    </row>
    <row r="71" spans="1:45" ht="28.15" customHeight="1" thickBot="1" x14ac:dyDescent="0.35">
      <c r="D71" s="426" t="s">
        <v>837</v>
      </c>
      <c r="E71" s="427"/>
      <c r="F71" s="427"/>
      <c r="G71" s="939" t="s">
        <v>835</v>
      </c>
      <c r="H71" s="939"/>
      <c r="I71" s="939"/>
      <c r="J71" s="939"/>
      <c r="K71" s="939"/>
      <c r="L71" s="939"/>
      <c r="M71" s="940"/>
      <c r="O71" s="942" t="s">
        <v>834</v>
      </c>
      <c r="P71" s="939"/>
      <c r="Q71" s="939"/>
      <c r="R71" s="939"/>
      <c r="S71" s="939"/>
      <c r="T71" s="939"/>
      <c r="U71" s="940"/>
      <c r="W71" s="942" t="s">
        <v>829</v>
      </c>
      <c r="X71" s="939"/>
      <c r="Y71" s="939"/>
      <c r="Z71" s="939"/>
      <c r="AA71" s="939"/>
      <c r="AB71" s="939"/>
      <c r="AC71" s="940"/>
      <c r="AE71" s="942" t="s">
        <v>830</v>
      </c>
      <c r="AF71" s="939"/>
      <c r="AG71" s="939"/>
      <c r="AH71" s="939"/>
      <c r="AI71" s="939"/>
      <c r="AJ71" s="939"/>
      <c r="AK71" s="940"/>
      <c r="AM71" s="942" t="s">
        <v>831</v>
      </c>
      <c r="AN71" s="939"/>
      <c r="AO71" s="939"/>
      <c r="AP71" s="939"/>
      <c r="AQ71" s="939"/>
      <c r="AR71" s="939"/>
      <c r="AS71" s="940"/>
    </row>
    <row r="72" spans="1:45" ht="28.15" thickBot="1" x14ac:dyDescent="0.35">
      <c r="D72" s="1065" t="s">
        <v>429</v>
      </c>
      <c r="E72" s="1065" t="s">
        <v>430</v>
      </c>
      <c r="F72" s="1067"/>
      <c r="G72" s="513" t="s">
        <v>431</v>
      </c>
      <c r="H72" s="513"/>
      <c r="I72" s="513"/>
      <c r="J72" s="513"/>
      <c r="K72" s="513"/>
      <c r="L72" s="513"/>
      <c r="M72" s="514"/>
      <c r="O72" s="548" t="str">
        <f>$G$47</f>
        <v>EXPENDITURE 
($'0s,  real June 2024)</v>
      </c>
      <c r="P72" s="513"/>
      <c r="Q72" s="513"/>
      <c r="R72" s="513"/>
      <c r="S72" s="513"/>
      <c r="T72" s="513"/>
      <c r="U72" s="514"/>
      <c r="W72" s="548" t="str">
        <f>$G$47</f>
        <v>EXPENDITURE 
($'0s,  real June 2024)</v>
      </c>
      <c r="X72" s="513"/>
      <c r="Y72" s="513"/>
      <c r="Z72" s="513"/>
      <c r="AA72" s="513"/>
      <c r="AB72" s="513"/>
      <c r="AC72" s="514"/>
      <c r="AE72" s="548" t="str">
        <f>$G$47</f>
        <v>EXPENDITURE 
($'0s,  real June 2024)</v>
      </c>
      <c r="AF72" s="513"/>
      <c r="AG72" s="513"/>
      <c r="AH72" s="513"/>
      <c r="AI72" s="513"/>
      <c r="AJ72" s="513"/>
      <c r="AK72" s="514"/>
      <c r="AM72" s="548" t="str">
        <f>$G$47</f>
        <v>EXPENDITURE 
($'0s,  real June 2024)</v>
      </c>
      <c r="AN72" s="513"/>
      <c r="AO72" s="513"/>
      <c r="AP72" s="513"/>
      <c r="AQ72" s="513"/>
      <c r="AR72" s="513"/>
      <c r="AS72" s="514"/>
    </row>
    <row r="73" spans="1:45" ht="14.65" thickBot="1" x14ac:dyDescent="0.35">
      <c r="D73" s="1066"/>
      <c r="E73" s="1066"/>
      <c r="F73" s="1068"/>
      <c r="G73" s="515" t="s">
        <v>70</v>
      </c>
      <c r="H73" s="515" t="s">
        <v>71</v>
      </c>
      <c r="I73" s="516" t="s">
        <v>72</v>
      </c>
      <c r="J73" s="516" t="s">
        <v>73</v>
      </c>
      <c r="K73" s="516" t="s">
        <v>74</v>
      </c>
      <c r="L73" s="516" t="s">
        <v>82</v>
      </c>
      <c r="M73" s="516" t="s">
        <v>243</v>
      </c>
      <c r="O73" s="611" t="str">
        <f>$G$48</f>
        <v>2022-23</v>
      </c>
      <c r="P73" s="515" t="str">
        <f>$H$48</f>
        <v>2023-24</v>
      </c>
      <c r="Q73" s="516" t="str">
        <f>$I$48</f>
        <v>2024-25</v>
      </c>
      <c r="R73" s="516" t="str">
        <f>$J$48</f>
        <v>2025-26</v>
      </c>
      <c r="S73" s="516" t="str">
        <f>$K$48</f>
        <v>2026-27</v>
      </c>
      <c r="T73" s="516" t="str">
        <f>$L$48</f>
        <v>2027-28</v>
      </c>
      <c r="U73" s="612" t="str">
        <f>$M$48</f>
        <v>2028-29</v>
      </c>
      <c r="W73" s="611" t="str">
        <f>$G$48</f>
        <v>2022-23</v>
      </c>
      <c r="X73" s="515" t="str">
        <f>$H$48</f>
        <v>2023-24</v>
      </c>
      <c r="Y73" s="516" t="str">
        <f>$I$48</f>
        <v>2024-25</v>
      </c>
      <c r="Z73" s="516" t="str">
        <f>$J$48</f>
        <v>2025-26</v>
      </c>
      <c r="AA73" s="516" t="str">
        <f>$K$48</f>
        <v>2026-27</v>
      </c>
      <c r="AB73" s="516" t="str">
        <f>$L$48</f>
        <v>2027-28</v>
      </c>
      <c r="AC73" s="612" t="str">
        <f>$M$48</f>
        <v>2028-29</v>
      </c>
      <c r="AE73" s="611" t="str">
        <f>$G$48</f>
        <v>2022-23</v>
      </c>
      <c r="AF73" s="515" t="str">
        <f>$H$48</f>
        <v>2023-24</v>
      </c>
      <c r="AG73" s="516" t="str">
        <f>$I$48</f>
        <v>2024-25</v>
      </c>
      <c r="AH73" s="516" t="str">
        <f>$J$48</f>
        <v>2025-26</v>
      </c>
      <c r="AI73" s="516" t="str">
        <f>$K$48</f>
        <v>2026-27</v>
      </c>
      <c r="AJ73" s="516" t="str">
        <f>$L$48</f>
        <v>2027-28</v>
      </c>
      <c r="AK73" s="612" t="str">
        <f>$M$48</f>
        <v>2028-29</v>
      </c>
      <c r="AM73" s="611" t="str">
        <f>$G$48</f>
        <v>2022-23</v>
      </c>
      <c r="AN73" s="515" t="str">
        <f>$H$48</f>
        <v>2023-24</v>
      </c>
      <c r="AO73" s="516" t="str">
        <f>$I$48</f>
        <v>2024-25</v>
      </c>
      <c r="AP73" s="516" t="str">
        <f>$J$48</f>
        <v>2025-26</v>
      </c>
      <c r="AQ73" s="516" t="str">
        <f>$K$48</f>
        <v>2026-27</v>
      </c>
      <c r="AR73" s="516" t="str">
        <f>$L$48</f>
        <v>2027-28</v>
      </c>
      <c r="AS73" s="612" t="str">
        <f>$M$48</f>
        <v>2028-29</v>
      </c>
    </row>
    <row r="74" spans="1:45" ht="14.25" x14ac:dyDescent="0.45">
      <c r="D74" s="491" t="s">
        <v>432</v>
      </c>
      <c r="E74" s="492" t="s">
        <v>433</v>
      </c>
      <c r="F74" s="493"/>
      <c r="G74" s="943">
        <f>O74+W74+AE74+AM74</f>
        <v>646911.81824752677</v>
      </c>
      <c r="H74" s="816">
        <f t="shared" ref="H74:H87" si="37">P74+X74+AF74+AN74</f>
        <v>647279.21387235867</v>
      </c>
      <c r="I74" s="816">
        <f t="shared" ref="I74:I87" si="38">Q74+Y74+AG74+AO74</f>
        <v>246118.34257615238</v>
      </c>
      <c r="J74" s="816">
        <f t="shared" ref="J74:J87" si="39">R74+Z74+AH74+AP74</f>
        <v>250910.82997267912</v>
      </c>
      <c r="K74" s="816">
        <f t="shared" ref="K74:K87" si="40">S74+AA74+AI74+AQ74</f>
        <v>254487.51122353366</v>
      </c>
      <c r="L74" s="816">
        <f t="shared" ref="L74:L87" si="41">T74+AB74+AJ74+AR74</f>
        <v>257604.3111681584</v>
      </c>
      <c r="M74" s="944">
        <f t="shared" ref="M74:M87" si="42">U74+AC74+AK74+AS74</f>
        <v>261287.52787992108</v>
      </c>
      <c r="O74" s="311">
        <v>239133.71333417553</v>
      </c>
      <c r="P74" s="312">
        <v>241092.07124301797</v>
      </c>
      <c r="Q74" s="312">
        <v>246118.34257615238</v>
      </c>
      <c r="R74" s="312">
        <v>250910.82997267912</v>
      </c>
      <c r="S74" s="312">
        <v>254487.51122353366</v>
      </c>
      <c r="T74" s="312">
        <v>257604.3111681584</v>
      </c>
      <c r="U74" s="313">
        <v>261287.52787992108</v>
      </c>
      <c r="W74" s="311">
        <v>228347.39988847845</v>
      </c>
      <c r="X74" s="312">
        <v>227607.2013141996</v>
      </c>
      <c r="Y74" s="312">
        <v>0</v>
      </c>
      <c r="Z74" s="312">
        <v>0</v>
      </c>
      <c r="AA74" s="312">
        <v>0</v>
      </c>
      <c r="AB74" s="312">
        <v>0</v>
      </c>
      <c r="AC74" s="313">
        <v>0</v>
      </c>
      <c r="AE74" s="311">
        <v>179430.70502487282</v>
      </c>
      <c r="AF74" s="312">
        <v>178579.94131514116</v>
      </c>
      <c r="AG74" s="312">
        <v>0</v>
      </c>
      <c r="AH74" s="312">
        <v>0</v>
      </c>
      <c r="AI74" s="312">
        <v>0</v>
      </c>
      <c r="AJ74" s="312">
        <v>0</v>
      </c>
      <c r="AK74" s="313">
        <v>0</v>
      </c>
      <c r="AM74" s="758"/>
      <c r="AN74" s="784"/>
      <c r="AO74" s="784"/>
      <c r="AP74" s="784"/>
      <c r="AQ74" s="784"/>
      <c r="AR74" s="784"/>
      <c r="AS74" s="951"/>
    </row>
    <row r="75" spans="1:45" ht="14.25" x14ac:dyDescent="0.45">
      <c r="D75" s="494"/>
      <c r="E75" s="495" t="s">
        <v>434</v>
      </c>
      <c r="F75" s="496"/>
      <c r="G75" s="936">
        <f t="shared" ref="G75:G87" si="43">O75+W75+AE75+AM75</f>
        <v>250574.9513369858</v>
      </c>
      <c r="H75" s="937">
        <f t="shared" si="37"/>
        <v>248962.83905563381</v>
      </c>
      <c r="I75" s="937">
        <f t="shared" si="38"/>
        <v>112812.10832335358</v>
      </c>
      <c r="J75" s="937">
        <f t="shared" si="39"/>
        <v>114223.46561118843</v>
      </c>
      <c r="K75" s="937">
        <f t="shared" si="40"/>
        <v>115070.08464925773</v>
      </c>
      <c r="L75" s="937">
        <f t="shared" si="41"/>
        <v>115702.90095448565</v>
      </c>
      <c r="M75" s="938">
        <f t="shared" si="42"/>
        <v>116584.12155675748</v>
      </c>
      <c r="O75" s="314">
        <v>92626.09971181002</v>
      </c>
      <c r="P75" s="315">
        <v>92731.181913561624</v>
      </c>
      <c r="Q75" s="315">
        <v>94010.090269461318</v>
      </c>
      <c r="R75" s="315">
        <v>95186.221342657023</v>
      </c>
      <c r="S75" s="315">
        <v>95891.737207714774</v>
      </c>
      <c r="T75" s="315">
        <v>96419.084128738046</v>
      </c>
      <c r="U75" s="316">
        <v>97153.434630631236</v>
      </c>
      <c r="W75" s="314">
        <v>88448.126933259147</v>
      </c>
      <c r="X75" s="315">
        <v>87544.499829813198</v>
      </c>
      <c r="Y75" s="315">
        <v>18802.018053892261</v>
      </c>
      <c r="Z75" s="315">
        <v>19037.244268531405</v>
      </c>
      <c r="AA75" s="315">
        <v>19178.347441542955</v>
      </c>
      <c r="AB75" s="315">
        <v>19283.81682574761</v>
      </c>
      <c r="AC75" s="316">
        <v>19430.686926126247</v>
      </c>
      <c r="AE75" s="314">
        <v>69500.724691916621</v>
      </c>
      <c r="AF75" s="315">
        <v>68687.157312258976</v>
      </c>
      <c r="AG75" s="315">
        <v>0</v>
      </c>
      <c r="AH75" s="315">
        <v>0</v>
      </c>
      <c r="AI75" s="315">
        <v>0</v>
      </c>
      <c r="AJ75" s="315">
        <v>0</v>
      </c>
      <c r="AK75" s="316">
        <v>0</v>
      </c>
      <c r="AM75" s="760"/>
      <c r="AN75" s="759"/>
      <c r="AO75" s="759"/>
      <c r="AP75" s="759"/>
      <c r="AQ75" s="759"/>
      <c r="AR75" s="759"/>
      <c r="AS75" s="900"/>
    </row>
    <row r="76" spans="1:45" ht="14.25" x14ac:dyDescent="0.45">
      <c r="D76" s="497"/>
      <c r="E76" s="498" t="s">
        <v>435</v>
      </c>
      <c r="F76" s="499"/>
      <c r="G76" s="936">
        <f t="shared" si="43"/>
        <v>813759.49415093532</v>
      </c>
      <c r="H76" s="937">
        <f t="shared" si="37"/>
        <v>806367.46890944813</v>
      </c>
      <c r="I76" s="937">
        <f t="shared" si="38"/>
        <v>364415.91347656265</v>
      </c>
      <c r="J76" s="937">
        <f t="shared" si="39"/>
        <v>367996.06186186225</v>
      </c>
      <c r="K76" s="937">
        <f t="shared" si="40"/>
        <v>369742.64891585521</v>
      </c>
      <c r="L76" s="937">
        <f t="shared" si="41"/>
        <v>370794.84011562669</v>
      </c>
      <c r="M76" s="938">
        <f t="shared" si="42"/>
        <v>372635.46177533525</v>
      </c>
      <c r="O76" s="314">
        <v>300809.66850229178</v>
      </c>
      <c r="P76" s="315">
        <v>300347.66928373132</v>
      </c>
      <c r="Q76" s="315">
        <v>303679.92789713555</v>
      </c>
      <c r="R76" s="315">
        <v>306663.38488488522</v>
      </c>
      <c r="S76" s="315">
        <v>308118.87409654597</v>
      </c>
      <c r="T76" s="315">
        <v>308995.70009635558</v>
      </c>
      <c r="U76" s="316">
        <v>310529.551479446</v>
      </c>
      <c r="W76" s="314">
        <v>287241.41278994177</v>
      </c>
      <c r="X76" s="315">
        <v>283548.48865189549</v>
      </c>
      <c r="Y76" s="315">
        <v>60735.985579427121</v>
      </c>
      <c r="Z76" s="315">
        <v>61332.67697697704</v>
      </c>
      <c r="AA76" s="315">
        <v>61623.774819309212</v>
      </c>
      <c r="AB76" s="315">
        <v>61799.140019271123</v>
      </c>
      <c r="AC76" s="316">
        <v>62105.910295889225</v>
      </c>
      <c r="AE76" s="314">
        <v>225708.41285870178</v>
      </c>
      <c r="AF76" s="315">
        <v>222471.31097382135</v>
      </c>
      <c r="AG76" s="315">
        <v>0</v>
      </c>
      <c r="AH76" s="315">
        <v>0</v>
      </c>
      <c r="AI76" s="315">
        <v>0</v>
      </c>
      <c r="AJ76" s="315">
        <v>0</v>
      </c>
      <c r="AK76" s="316">
        <v>0</v>
      </c>
      <c r="AM76" s="760"/>
      <c r="AN76" s="759"/>
      <c r="AO76" s="759"/>
      <c r="AP76" s="759"/>
      <c r="AQ76" s="759"/>
      <c r="AR76" s="759"/>
      <c r="AS76" s="900"/>
    </row>
    <row r="77" spans="1:45" ht="14.25" x14ac:dyDescent="0.45">
      <c r="D77" s="500" t="s">
        <v>436</v>
      </c>
      <c r="E77" s="501" t="s">
        <v>433</v>
      </c>
      <c r="F77" s="502"/>
      <c r="G77" s="945">
        <f t="shared" si="43"/>
        <v>314709.64313360647</v>
      </c>
      <c r="H77" s="946">
        <f t="shared" si="37"/>
        <v>321017.14121983654</v>
      </c>
      <c r="I77" s="946">
        <f t="shared" si="38"/>
        <v>149325.88486703273</v>
      </c>
      <c r="J77" s="946">
        <f t="shared" si="39"/>
        <v>155198.00461221856</v>
      </c>
      <c r="K77" s="946">
        <f t="shared" si="40"/>
        <v>160476.58774627361</v>
      </c>
      <c r="L77" s="946">
        <f t="shared" si="41"/>
        <v>165607.58423323548</v>
      </c>
      <c r="M77" s="947">
        <f t="shared" si="42"/>
        <v>171250.39576184683</v>
      </c>
      <c r="O77" s="503">
        <v>116333.762132348</v>
      </c>
      <c r="P77" s="504">
        <v>119569.24588723894</v>
      </c>
      <c r="Q77" s="504">
        <v>124438.23738919394</v>
      </c>
      <c r="R77" s="504">
        <v>129331.67051018213</v>
      </c>
      <c r="S77" s="504">
        <v>133730.48978856133</v>
      </c>
      <c r="T77" s="504">
        <v>138006.3201943629</v>
      </c>
      <c r="U77" s="505">
        <v>142708.66313487236</v>
      </c>
      <c r="W77" s="503">
        <v>111086.43667086805</v>
      </c>
      <c r="X77" s="504">
        <v>112881.44516462184</v>
      </c>
      <c r="Y77" s="504">
        <v>24887.647477838789</v>
      </c>
      <c r="Z77" s="504">
        <v>25866.334102036428</v>
      </c>
      <c r="AA77" s="504">
        <v>26746.097957712274</v>
      </c>
      <c r="AB77" s="504">
        <v>27601.264038872578</v>
      </c>
      <c r="AC77" s="505">
        <v>28541.732626974474</v>
      </c>
      <c r="AE77" s="503">
        <v>87289.444330390426</v>
      </c>
      <c r="AF77" s="504">
        <v>88566.450167975781</v>
      </c>
      <c r="AG77" s="504">
        <v>0</v>
      </c>
      <c r="AH77" s="504">
        <v>0</v>
      </c>
      <c r="AI77" s="504">
        <v>0</v>
      </c>
      <c r="AJ77" s="504">
        <v>0</v>
      </c>
      <c r="AK77" s="505">
        <v>0</v>
      </c>
      <c r="AM77" s="952"/>
      <c r="AN77" s="953"/>
      <c r="AO77" s="953"/>
      <c r="AP77" s="953"/>
      <c r="AQ77" s="953"/>
      <c r="AR77" s="953"/>
      <c r="AS77" s="954"/>
    </row>
    <row r="78" spans="1:45" ht="14.25" x14ac:dyDescent="0.45">
      <c r="D78" s="500"/>
      <c r="E78" s="495" t="s">
        <v>437</v>
      </c>
      <c r="F78" s="496"/>
      <c r="G78" s="945">
        <f t="shared" si="43"/>
        <v>3895069.6114017367</v>
      </c>
      <c r="H78" s="946">
        <f t="shared" si="37"/>
        <v>3736074.7828885969</v>
      </c>
      <c r="I78" s="946">
        <f t="shared" si="38"/>
        <v>0</v>
      </c>
      <c r="J78" s="946">
        <f t="shared" si="39"/>
        <v>0</v>
      </c>
      <c r="K78" s="946">
        <f t="shared" si="40"/>
        <v>0</v>
      </c>
      <c r="L78" s="946">
        <f t="shared" si="41"/>
        <v>0</v>
      </c>
      <c r="M78" s="947">
        <f t="shared" si="42"/>
        <v>0</v>
      </c>
      <c r="O78" s="503">
        <v>1439829.0981804342</v>
      </c>
      <c r="P78" s="504">
        <v>1391575.673095912</v>
      </c>
      <c r="Q78" s="504">
        <v>0</v>
      </c>
      <c r="R78" s="504">
        <v>0</v>
      </c>
      <c r="S78" s="504">
        <v>0</v>
      </c>
      <c r="T78" s="504">
        <v>0</v>
      </c>
      <c r="U78" s="505">
        <v>0</v>
      </c>
      <c r="W78" s="503">
        <v>1374884.4789351057</v>
      </c>
      <c r="X78" s="504">
        <v>1313741.4380210841</v>
      </c>
      <c r="Y78" s="504">
        <v>0</v>
      </c>
      <c r="Z78" s="504">
        <v>0</v>
      </c>
      <c r="AA78" s="504">
        <v>0</v>
      </c>
      <c r="AB78" s="504">
        <v>0</v>
      </c>
      <c r="AC78" s="505">
        <v>0</v>
      </c>
      <c r="AE78" s="503">
        <v>1080356.0342861968</v>
      </c>
      <c r="AF78" s="504">
        <v>1030757.6717716006</v>
      </c>
      <c r="AG78" s="504">
        <v>0</v>
      </c>
      <c r="AH78" s="504">
        <v>0</v>
      </c>
      <c r="AI78" s="504">
        <v>0</v>
      </c>
      <c r="AJ78" s="504">
        <v>0</v>
      </c>
      <c r="AK78" s="505">
        <v>0</v>
      </c>
      <c r="AM78" s="952"/>
      <c r="AN78" s="953"/>
      <c r="AO78" s="953"/>
      <c r="AP78" s="953"/>
      <c r="AQ78" s="953"/>
      <c r="AR78" s="953"/>
      <c r="AS78" s="954"/>
    </row>
    <row r="79" spans="1:45" ht="14.25" x14ac:dyDescent="0.45">
      <c r="D79" s="500"/>
      <c r="E79" s="495" t="s">
        <v>438</v>
      </c>
      <c r="F79" s="496"/>
      <c r="G79" s="945">
        <f t="shared" si="43"/>
        <v>814471.54863794439</v>
      </c>
      <c r="H79" s="946">
        <f t="shared" si="37"/>
        <v>804878.66417021456</v>
      </c>
      <c r="I79" s="946">
        <f t="shared" si="38"/>
        <v>0</v>
      </c>
      <c r="J79" s="946">
        <f t="shared" si="39"/>
        <v>0</v>
      </c>
      <c r="K79" s="946">
        <f t="shared" si="40"/>
        <v>0</v>
      </c>
      <c r="L79" s="946">
        <f t="shared" si="41"/>
        <v>0</v>
      </c>
      <c r="M79" s="947">
        <f t="shared" si="42"/>
        <v>0</v>
      </c>
      <c r="O79" s="503">
        <v>301072.88248103164</v>
      </c>
      <c r="P79" s="504">
        <v>299793.13422287104</v>
      </c>
      <c r="Q79" s="504">
        <v>0</v>
      </c>
      <c r="R79" s="504">
        <v>0</v>
      </c>
      <c r="S79" s="504">
        <v>0</v>
      </c>
      <c r="T79" s="504">
        <v>0</v>
      </c>
      <c r="U79" s="505">
        <v>0</v>
      </c>
      <c r="W79" s="503">
        <v>287492.75429600343</v>
      </c>
      <c r="X79" s="504">
        <v>283024.97009492991</v>
      </c>
      <c r="Y79" s="504">
        <v>0</v>
      </c>
      <c r="Z79" s="504">
        <v>0</v>
      </c>
      <c r="AA79" s="504">
        <v>0</v>
      </c>
      <c r="AB79" s="504">
        <v>0</v>
      </c>
      <c r="AC79" s="505">
        <v>0</v>
      </c>
      <c r="AE79" s="503">
        <v>225905.91186090931</v>
      </c>
      <c r="AF79" s="504">
        <v>222060.5598524136</v>
      </c>
      <c r="AG79" s="504">
        <v>0</v>
      </c>
      <c r="AH79" s="504">
        <v>0</v>
      </c>
      <c r="AI79" s="504">
        <v>0</v>
      </c>
      <c r="AJ79" s="504">
        <v>0</v>
      </c>
      <c r="AK79" s="505">
        <v>0</v>
      </c>
      <c r="AM79" s="952"/>
      <c r="AN79" s="953"/>
      <c r="AO79" s="953"/>
      <c r="AP79" s="953"/>
      <c r="AQ79" s="953"/>
      <c r="AR79" s="953"/>
      <c r="AS79" s="954"/>
    </row>
    <row r="80" spans="1:45" ht="14.25" x14ac:dyDescent="0.45">
      <c r="D80" s="500"/>
      <c r="E80" s="495" t="s">
        <v>439</v>
      </c>
      <c r="F80" s="496"/>
      <c r="G80" s="945">
        <f t="shared" si="43"/>
        <v>1753950.0005630832</v>
      </c>
      <c r="H80" s="946">
        <f t="shared" si="37"/>
        <v>1997508.0246679503</v>
      </c>
      <c r="I80" s="946">
        <f t="shared" si="38"/>
        <v>0</v>
      </c>
      <c r="J80" s="946">
        <f t="shared" si="39"/>
        <v>0</v>
      </c>
      <c r="K80" s="946">
        <f t="shared" si="40"/>
        <v>0</v>
      </c>
      <c r="L80" s="946">
        <f t="shared" si="41"/>
        <v>0</v>
      </c>
      <c r="M80" s="947">
        <f t="shared" si="42"/>
        <v>0</v>
      </c>
      <c r="O80" s="503">
        <v>648355.1000403025</v>
      </c>
      <c r="P80" s="504">
        <v>744011.75979476457</v>
      </c>
      <c r="Q80" s="504">
        <v>0</v>
      </c>
      <c r="R80" s="504">
        <v>0</v>
      </c>
      <c r="S80" s="504">
        <v>0</v>
      </c>
      <c r="T80" s="504">
        <v>0</v>
      </c>
      <c r="U80" s="505">
        <v>0</v>
      </c>
      <c r="W80" s="503">
        <v>619110.53541725373</v>
      </c>
      <c r="X80" s="504">
        <v>702397.36013982736</v>
      </c>
      <c r="Y80" s="504">
        <v>0</v>
      </c>
      <c r="Z80" s="504">
        <v>0</v>
      </c>
      <c r="AA80" s="504">
        <v>0</v>
      </c>
      <c r="AB80" s="504">
        <v>0</v>
      </c>
      <c r="AC80" s="505">
        <v>0</v>
      </c>
      <c r="AE80" s="503">
        <v>486484.36510552693</v>
      </c>
      <c r="AF80" s="504">
        <v>551098.90473335853</v>
      </c>
      <c r="AG80" s="504">
        <v>0</v>
      </c>
      <c r="AH80" s="504">
        <v>0</v>
      </c>
      <c r="AI80" s="504">
        <v>0</v>
      </c>
      <c r="AJ80" s="504">
        <v>0</v>
      </c>
      <c r="AK80" s="505">
        <v>0</v>
      </c>
      <c r="AM80" s="952"/>
      <c r="AN80" s="953"/>
      <c r="AO80" s="953"/>
      <c r="AP80" s="953"/>
      <c r="AQ80" s="953"/>
      <c r="AR80" s="953"/>
      <c r="AS80" s="954"/>
    </row>
    <row r="81" spans="1:45" ht="14.25" x14ac:dyDescent="0.45">
      <c r="D81" s="506"/>
      <c r="E81" s="498" t="s">
        <v>440</v>
      </c>
      <c r="F81" s="499"/>
      <c r="G81" s="945">
        <f t="shared" si="43"/>
        <v>0</v>
      </c>
      <c r="H81" s="946">
        <f t="shared" si="37"/>
        <v>0</v>
      </c>
      <c r="I81" s="946">
        <f t="shared" si="38"/>
        <v>0</v>
      </c>
      <c r="J81" s="946">
        <f t="shared" si="39"/>
        <v>0</v>
      </c>
      <c r="K81" s="946">
        <f t="shared" si="40"/>
        <v>0</v>
      </c>
      <c r="L81" s="946">
        <f t="shared" si="41"/>
        <v>0</v>
      </c>
      <c r="M81" s="947">
        <f t="shared" si="42"/>
        <v>0</v>
      </c>
      <c r="O81" s="503">
        <v>0</v>
      </c>
      <c r="P81" s="504">
        <v>0</v>
      </c>
      <c r="Q81" s="504">
        <v>0</v>
      </c>
      <c r="R81" s="504">
        <v>0</v>
      </c>
      <c r="S81" s="504">
        <v>0</v>
      </c>
      <c r="T81" s="504">
        <v>0</v>
      </c>
      <c r="U81" s="505">
        <v>0</v>
      </c>
      <c r="W81" s="503">
        <v>0</v>
      </c>
      <c r="X81" s="504">
        <v>0</v>
      </c>
      <c r="Y81" s="504">
        <v>0</v>
      </c>
      <c r="Z81" s="504">
        <v>0</v>
      </c>
      <c r="AA81" s="504">
        <v>0</v>
      </c>
      <c r="AB81" s="504">
        <v>0</v>
      </c>
      <c r="AC81" s="505">
        <v>0</v>
      </c>
      <c r="AE81" s="503">
        <v>0</v>
      </c>
      <c r="AF81" s="504">
        <v>0</v>
      </c>
      <c r="AG81" s="504">
        <v>0</v>
      </c>
      <c r="AH81" s="504">
        <v>0</v>
      </c>
      <c r="AI81" s="504">
        <v>0</v>
      </c>
      <c r="AJ81" s="504">
        <v>0</v>
      </c>
      <c r="AK81" s="505">
        <v>0</v>
      </c>
      <c r="AM81" s="952"/>
      <c r="AN81" s="953"/>
      <c r="AO81" s="953"/>
      <c r="AP81" s="953"/>
      <c r="AQ81" s="953"/>
      <c r="AR81" s="953"/>
      <c r="AS81" s="954"/>
    </row>
    <row r="82" spans="1:45" ht="14.25" x14ac:dyDescent="0.45">
      <c r="D82" s="500" t="s">
        <v>441</v>
      </c>
      <c r="E82" s="501" t="s">
        <v>434</v>
      </c>
      <c r="F82" s="502"/>
      <c r="G82" s="936">
        <f t="shared" si="43"/>
        <v>1104858.3203787073</v>
      </c>
      <c r="H82" s="937">
        <f t="shared" si="37"/>
        <v>1094822.0127826547</v>
      </c>
      <c r="I82" s="937">
        <f t="shared" si="38"/>
        <v>494775.12333430076</v>
      </c>
      <c r="J82" s="937">
        <f t="shared" si="39"/>
        <v>499635.96583152504</v>
      </c>
      <c r="K82" s="937">
        <f t="shared" si="40"/>
        <v>502007.34368055809</v>
      </c>
      <c r="L82" s="937">
        <f t="shared" si="41"/>
        <v>503435.92572482629</v>
      </c>
      <c r="M82" s="938">
        <f t="shared" si="42"/>
        <v>505934.97632886277</v>
      </c>
      <c r="O82" s="314">
        <v>408415.59144190286</v>
      </c>
      <c r="P82" s="315">
        <v>407788.32542005705</v>
      </c>
      <c r="Q82" s="315">
        <v>412312.60277858394</v>
      </c>
      <c r="R82" s="315">
        <v>416363.30485960416</v>
      </c>
      <c r="S82" s="315">
        <v>418339.45306713169</v>
      </c>
      <c r="T82" s="315">
        <v>419529.93810402189</v>
      </c>
      <c r="U82" s="316">
        <v>421612.4802740523</v>
      </c>
      <c r="W82" s="314">
        <v>389993.68629109726</v>
      </c>
      <c r="X82" s="315">
        <v>384979.72579075932</v>
      </c>
      <c r="Y82" s="315">
        <v>82462.520555716808</v>
      </c>
      <c r="Z82" s="315">
        <v>83272.660971920865</v>
      </c>
      <c r="AA82" s="315">
        <v>83667.890613426382</v>
      </c>
      <c r="AB82" s="315">
        <v>83905.987620804401</v>
      </c>
      <c r="AC82" s="316">
        <v>84322.496054810472</v>
      </c>
      <c r="AE82" s="314">
        <v>306449.04264570709</v>
      </c>
      <c r="AF82" s="315">
        <v>302053.96157183836</v>
      </c>
      <c r="AG82" s="315">
        <v>0</v>
      </c>
      <c r="AH82" s="315">
        <v>0</v>
      </c>
      <c r="AI82" s="315">
        <v>0</v>
      </c>
      <c r="AJ82" s="315">
        <v>0</v>
      </c>
      <c r="AK82" s="316">
        <v>0</v>
      </c>
      <c r="AM82" s="760"/>
      <c r="AN82" s="759"/>
      <c r="AO82" s="759"/>
      <c r="AP82" s="759"/>
      <c r="AQ82" s="759"/>
      <c r="AR82" s="759"/>
      <c r="AS82" s="900"/>
    </row>
    <row r="83" spans="1:45" ht="14.25" x14ac:dyDescent="0.45">
      <c r="D83" s="500"/>
      <c r="E83" s="495" t="s">
        <v>442</v>
      </c>
      <c r="F83" s="496"/>
      <c r="G83" s="936">
        <f t="shared" si="43"/>
        <v>408250.11707518273</v>
      </c>
      <c r="H83" s="937">
        <f t="shared" si="37"/>
        <v>404541.65629291104</v>
      </c>
      <c r="I83" s="937">
        <f t="shared" si="38"/>
        <v>0</v>
      </c>
      <c r="J83" s="937">
        <f t="shared" si="39"/>
        <v>0</v>
      </c>
      <c r="K83" s="937">
        <f t="shared" si="40"/>
        <v>0</v>
      </c>
      <c r="L83" s="937">
        <f t="shared" si="41"/>
        <v>0</v>
      </c>
      <c r="M83" s="938">
        <f t="shared" si="42"/>
        <v>0</v>
      </c>
      <c r="O83" s="314">
        <v>150911.39736752457</v>
      </c>
      <c r="P83" s="315">
        <v>150679.61975212122</v>
      </c>
      <c r="Q83" s="315">
        <v>0</v>
      </c>
      <c r="R83" s="315">
        <v>0</v>
      </c>
      <c r="S83" s="315">
        <v>0</v>
      </c>
      <c r="T83" s="315">
        <v>0</v>
      </c>
      <c r="U83" s="316">
        <v>0</v>
      </c>
      <c r="W83" s="314">
        <v>144104.42058521055</v>
      </c>
      <c r="X83" s="315">
        <v>142251.73963642458</v>
      </c>
      <c r="Y83" s="315">
        <v>0</v>
      </c>
      <c r="Z83" s="315">
        <v>0</v>
      </c>
      <c r="AA83" s="315">
        <v>0</v>
      </c>
      <c r="AB83" s="315">
        <v>0</v>
      </c>
      <c r="AC83" s="316">
        <v>0</v>
      </c>
      <c r="AE83" s="314">
        <v>113234.29912244758</v>
      </c>
      <c r="AF83" s="315">
        <v>111610.29690436521</v>
      </c>
      <c r="AG83" s="315">
        <v>0</v>
      </c>
      <c r="AH83" s="315">
        <v>0</v>
      </c>
      <c r="AI83" s="315">
        <v>0</v>
      </c>
      <c r="AJ83" s="315">
        <v>0</v>
      </c>
      <c r="AK83" s="316">
        <v>0</v>
      </c>
      <c r="AM83" s="760"/>
      <c r="AN83" s="759"/>
      <c r="AO83" s="759"/>
      <c r="AP83" s="759"/>
      <c r="AQ83" s="759"/>
      <c r="AR83" s="759"/>
      <c r="AS83" s="900"/>
    </row>
    <row r="84" spans="1:45" ht="14.25" x14ac:dyDescent="0.45">
      <c r="D84" s="506"/>
      <c r="E84" s="498" t="s">
        <v>443</v>
      </c>
      <c r="F84" s="499"/>
      <c r="G84" s="936">
        <f t="shared" si="43"/>
        <v>383944.30031411821</v>
      </c>
      <c r="H84" s="937">
        <f t="shared" si="37"/>
        <v>380456.62861302367</v>
      </c>
      <c r="I84" s="937">
        <f t="shared" si="38"/>
        <v>0</v>
      </c>
      <c r="J84" s="937">
        <f t="shared" si="39"/>
        <v>0</v>
      </c>
      <c r="K84" s="937">
        <f t="shared" si="40"/>
        <v>0</v>
      </c>
      <c r="L84" s="937">
        <f t="shared" si="41"/>
        <v>0</v>
      </c>
      <c r="M84" s="938">
        <f t="shared" si="42"/>
        <v>0</v>
      </c>
      <c r="O84" s="314">
        <v>141926.64851343972</v>
      </c>
      <c r="P84" s="315">
        <v>141708.67014514911</v>
      </c>
      <c r="Q84" s="315">
        <v>0</v>
      </c>
      <c r="R84" s="315">
        <v>0</v>
      </c>
      <c r="S84" s="315">
        <v>0</v>
      </c>
      <c r="T84" s="315">
        <v>0</v>
      </c>
      <c r="U84" s="316">
        <v>0</v>
      </c>
      <c r="W84" s="314">
        <v>135524.93586565452</v>
      </c>
      <c r="X84" s="315">
        <v>133782.55720895488</v>
      </c>
      <c r="Y84" s="315">
        <v>0</v>
      </c>
      <c r="Z84" s="315">
        <v>0</v>
      </c>
      <c r="AA84" s="315">
        <v>0</v>
      </c>
      <c r="AB84" s="315">
        <v>0</v>
      </c>
      <c r="AC84" s="316">
        <v>0</v>
      </c>
      <c r="AE84" s="314">
        <v>106492.71593502397</v>
      </c>
      <c r="AF84" s="315">
        <v>104965.40125891971</v>
      </c>
      <c r="AG84" s="315">
        <v>0</v>
      </c>
      <c r="AH84" s="315">
        <v>0</v>
      </c>
      <c r="AI84" s="315">
        <v>0</v>
      </c>
      <c r="AJ84" s="315">
        <v>0</v>
      </c>
      <c r="AK84" s="316">
        <v>0</v>
      </c>
      <c r="AM84" s="760"/>
      <c r="AN84" s="759"/>
      <c r="AO84" s="759"/>
      <c r="AP84" s="759"/>
      <c r="AQ84" s="759"/>
      <c r="AR84" s="759"/>
      <c r="AS84" s="900"/>
    </row>
    <row r="85" spans="1:45" ht="14.25" x14ac:dyDescent="0.45">
      <c r="D85" s="500" t="s">
        <v>444</v>
      </c>
      <c r="E85" s="501" t="s">
        <v>433</v>
      </c>
      <c r="F85" s="502"/>
      <c r="G85" s="945">
        <f t="shared" si="43"/>
        <v>0</v>
      </c>
      <c r="H85" s="946">
        <f t="shared" si="37"/>
        <v>0</v>
      </c>
      <c r="I85" s="946">
        <f t="shared" si="38"/>
        <v>0</v>
      </c>
      <c r="J85" s="946">
        <f t="shared" si="39"/>
        <v>0</v>
      </c>
      <c r="K85" s="946">
        <f t="shared" si="40"/>
        <v>0</v>
      </c>
      <c r="L85" s="946">
        <f t="shared" si="41"/>
        <v>0</v>
      </c>
      <c r="M85" s="947">
        <f t="shared" si="42"/>
        <v>0</v>
      </c>
      <c r="O85" s="503">
        <v>0</v>
      </c>
      <c r="P85" s="504">
        <v>0</v>
      </c>
      <c r="Q85" s="504">
        <v>0</v>
      </c>
      <c r="R85" s="504">
        <v>0</v>
      </c>
      <c r="S85" s="504">
        <v>0</v>
      </c>
      <c r="T85" s="504">
        <v>0</v>
      </c>
      <c r="U85" s="505">
        <v>0</v>
      </c>
      <c r="W85" s="503">
        <v>0</v>
      </c>
      <c r="X85" s="504">
        <v>0</v>
      </c>
      <c r="Y85" s="504">
        <v>0</v>
      </c>
      <c r="Z85" s="504">
        <v>0</v>
      </c>
      <c r="AA85" s="504">
        <v>0</v>
      </c>
      <c r="AB85" s="504">
        <v>0</v>
      </c>
      <c r="AC85" s="505">
        <v>0</v>
      </c>
      <c r="AE85" s="503">
        <v>0</v>
      </c>
      <c r="AF85" s="504">
        <v>0</v>
      </c>
      <c r="AG85" s="504">
        <v>0</v>
      </c>
      <c r="AH85" s="504">
        <v>0</v>
      </c>
      <c r="AI85" s="504">
        <v>0</v>
      </c>
      <c r="AJ85" s="504">
        <v>0</v>
      </c>
      <c r="AK85" s="505">
        <v>0</v>
      </c>
      <c r="AM85" s="952"/>
      <c r="AN85" s="953"/>
      <c r="AO85" s="953"/>
      <c r="AP85" s="953"/>
      <c r="AQ85" s="953"/>
      <c r="AR85" s="953"/>
      <c r="AS85" s="954"/>
    </row>
    <row r="86" spans="1:45" ht="14.25" x14ac:dyDescent="0.45">
      <c r="D86" s="500"/>
      <c r="E86" s="495" t="s">
        <v>445</v>
      </c>
      <c r="F86" s="496"/>
      <c r="G86" s="945">
        <f t="shared" si="43"/>
        <v>0</v>
      </c>
      <c r="H86" s="946">
        <f t="shared" si="37"/>
        <v>0</v>
      </c>
      <c r="I86" s="946">
        <f t="shared" si="38"/>
        <v>0</v>
      </c>
      <c r="J86" s="946">
        <f t="shared" si="39"/>
        <v>0</v>
      </c>
      <c r="K86" s="946">
        <f t="shared" si="40"/>
        <v>0</v>
      </c>
      <c r="L86" s="946">
        <f t="shared" si="41"/>
        <v>0</v>
      </c>
      <c r="M86" s="947">
        <f t="shared" si="42"/>
        <v>0</v>
      </c>
      <c r="O86" s="503">
        <v>0</v>
      </c>
      <c r="P86" s="504">
        <v>0</v>
      </c>
      <c r="Q86" s="504">
        <v>0</v>
      </c>
      <c r="R86" s="504">
        <v>0</v>
      </c>
      <c r="S86" s="504">
        <v>0</v>
      </c>
      <c r="T86" s="504">
        <v>0</v>
      </c>
      <c r="U86" s="505">
        <v>0</v>
      </c>
      <c r="W86" s="503">
        <v>0</v>
      </c>
      <c r="X86" s="504">
        <v>0</v>
      </c>
      <c r="Y86" s="504">
        <v>0</v>
      </c>
      <c r="Z86" s="504">
        <v>0</v>
      </c>
      <c r="AA86" s="504">
        <v>0</v>
      </c>
      <c r="AB86" s="504">
        <v>0</v>
      </c>
      <c r="AC86" s="505">
        <v>0</v>
      </c>
      <c r="AE86" s="503">
        <v>0</v>
      </c>
      <c r="AF86" s="504">
        <v>0</v>
      </c>
      <c r="AG86" s="504">
        <v>0</v>
      </c>
      <c r="AH86" s="504">
        <v>0</v>
      </c>
      <c r="AI86" s="504">
        <v>0</v>
      </c>
      <c r="AJ86" s="504">
        <v>0</v>
      </c>
      <c r="AK86" s="505">
        <v>0</v>
      </c>
      <c r="AM86" s="952"/>
      <c r="AN86" s="953"/>
      <c r="AO86" s="953"/>
      <c r="AP86" s="953"/>
      <c r="AQ86" s="953"/>
      <c r="AR86" s="953"/>
      <c r="AS86" s="954"/>
    </row>
    <row r="87" spans="1:45" ht="14.65" thickBot="1" x14ac:dyDescent="0.5">
      <c r="D87" s="507"/>
      <c r="E87" s="508" t="s">
        <v>446</v>
      </c>
      <c r="F87" s="509"/>
      <c r="G87" s="948">
        <f t="shared" si="43"/>
        <v>0</v>
      </c>
      <c r="H87" s="949">
        <f t="shared" si="37"/>
        <v>0</v>
      </c>
      <c r="I87" s="949">
        <f t="shared" si="38"/>
        <v>0</v>
      </c>
      <c r="J87" s="949">
        <f t="shared" si="39"/>
        <v>0</v>
      </c>
      <c r="K87" s="949">
        <f t="shared" si="40"/>
        <v>0</v>
      </c>
      <c r="L87" s="949">
        <f t="shared" si="41"/>
        <v>0</v>
      </c>
      <c r="M87" s="950">
        <f t="shared" si="42"/>
        <v>0</v>
      </c>
      <c r="O87" s="510">
        <v>0</v>
      </c>
      <c r="P87" s="511">
        <v>0</v>
      </c>
      <c r="Q87" s="511">
        <v>0</v>
      </c>
      <c r="R87" s="511">
        <v>0</v>
      </c>
      <c r="S87" s="511">
        <v>0</v>
      </c>
      <c r="T87" s="511">
        <v>0</v>
      </c>
      <c r="U87" s="512">
        <v>0</v>
      </c>
      <c r="W87" s="510">
        <v>0</v>
      </c>
      <c r="X87" s="511">
        <v>0</v>
      </c>
      <c r="Y87" s="511">
        <v>0</v>
      </c>
      <c r="Z87" s="511">
        <v>0</v>
      </c>
      <c r="AA87" s="511">
        <v>0</v>
      </c>
      <c r="AB87" s="511">
        <v>0</v>
      </c>
      <c r="AC87" s="512">
        <v>0</v>
      </c>
      <c r="AE87" s="510">
        <v>0</v>
      </c>
      <c r="AF87" s="511">
        <v>0</v>
      </c>
      <c r="AG87" s="511">
        <v>0</v>
      </c>
      <c r="AH87" s="511">
        <v>0</v>
      </c>
      <c r="AI87" s="511">
        <v>0</v>
      </c>
      <c r="AJ87" s="511">
        <v>0</v>
      </c>
      <c r="AK87" s="512">
        <v>0</v>
      </c>
      <c r="AM87" s="955"/>
      <c r="AN87" s="956"/>
      <c r="AO87" s="956"/>
      <c r="AP87" s="956"/>
      <c r="AQ87" s="956"/>
      <c r="AR87" s="956"/>
      <c r="AS87" s="957"/>
    </row>
    <row r="88" spans="1:45" ht="11.25" customHeight="1" x14ac:dyDescent="0.3"/>
    <row r="89" spans="1:45" ht="12.75" x14ac:dyDescent="0.3">
      <c r="D89" s="6" t="s">
        <v>396</v>
      </c>
      <c r="G89" s="118">
        <f>SUM(G74:G87)</f>
        <v>10386499.805239828</v>
      </c>
      <c r="H89" s="119">
        <f t="shared" ref="H89:M89" si="44">SUM(H74:H87)</f>
        <v>10441908.432472629</v>
      </c>
      <c r="I89" s="120">
        <f t="shared" si="44"/>
        <v>1367447.372577402</v>
      </c>
      <c r="J89" s="118">
        <f t="shared" si="44"/>
        <v>1387964.3278894734</v>
      </c>
      <c r="K89" s="118">
        <f t="shared" si="44"/>
        <v>1401784.1762154782</v>
      </c>
      <c r="L89" s="118">
        <f t="shared" si="44"/>
        <v>1413145.5621963325</v>
      </c>
      <c r="M89" s="118">
        <f t="shared" si="44"/>
        <v>1427692.4833027234</v>
      </c>
      <c r="O89" s="118">
        <f>SUM(O74:O87)</f>
        <v>3839413.9617052604</v>
      </c>
      <c r="P89" s="119">
        <f t="shared" ref="P89:U89" si="45">SUM(P74:P87)</f>
        <v>3889297.350758425</v>
      </c>
      <c r="Q89" s="120">
        <f t="shared" si="45"/>
        <v>1180559.200910527</v>
      </c>
      <c r="R89" s="118">
        <f t="shared" si="45"/>
        <v>1198455.4115700077</v>
      </c>
      <c r="S89" s="118">
        <f t="shared" si="45"/>
        <v>1210568.0653834874</v>
      </c>
      <c r="T89" s="118">
        <f t="shared" si="45"/>
        <v>1220555.3536916368</v>
      </c>
      <c r="U89" s="118">
        <f t="shared" si="45"/>
        <v>1233291.6573989228</v>
      </c>
      <c r="W89" s="118">
        <f>SUM(W74:W87)</f>
        <v>3666234.1876728726</v>
      </c>
      <c r="X89" s="119">
        <f t="shared" ref="X89:AC89" si="46">SUM(X74:X87)</f>
        <v>3671759.4258525101</v>
      </c>
      <c r="Y89" s="120">
        <f t="shared" si="46"/>
        <v>186888.17166687499</v>
      </c>
      <c r="Z89" s="118">
        <f t="shared" si="46"/>
        <v>189508.91631946573</v>
      </c>
      <c r="AA89" s="118">
        <f t="shared" si="46"/>
        <v>191216.11083199084</v>
      </c>
      <c r="AB89" s="118">
        <f t="shared" si="46"/>
        <v>192590.20850469571</v>
      </c>
      <c r="AC89" s="118">
        <f t="shared" si="46"/>
        <v>194400.8259038004</v>
      </c>
      <c r="AE89" s="118">
        <f>SUM(AE74:AE87)</f>
        <v>2880851.6558616934</v>
      </c>
      <c r="AF89" s="119">
        <f t="shared" ref="AF89:AK89" si="47">SUM(AF74:AF87)</f>
        <v>2880851.655861693</v>
      </c>
      <c r="AG89" s="120">
        <f t="shared" si="47"/>
        <v>0</v>
      </c>
      <c r="AH89" s="118">
        <f t="shared" si="47"/>
        <v>0</v>
      </c>
      <c r="AI89" s="118">
        <f t="shared" si="47"/>
        <v>0</v>
      </c>
      <c r="AJ89" s="118">
        <f t="shared" si="47"/>
        <v>0</v>
      </c>
      <c r="AK89" s="118">
        <f t="shared" si="47"/>
        <v>0</v>
      </c>
      <c r="AM89" s="118">
        <f>SUM(AM74:AM87)</f>
        <v>0</v>
      </c>
      <c r="AN89" s="119">
        <f t="shared" ref="AN89:AS89" si="48">SUM(AN74:AN87)</f>
        <v>0</v>
      </c>
      <c r="AO89" s="120">
        <f t="shared" si="48"/>
        <v>0</v>
      </c>
      <c r="AP89" s="118">
        <f t="shared" si="48"/>
        <v>0</v>
      </c>
      <c r="AQ89" s="118">
        <f t="shared" si="48"/>
        <v>0</v>
      </c>
      <c r="AR89" s="118">
        <f t="shared" si="48"/>
        <v>0</v>
      </c>
      <c r="AS89" s="118">
        <f t="shared" si="48"/>
        <v>0</v>
      </c>
    </row>
    <row r="90" spans="1:45" ht="12.75" x14ac:dyDescent="0.3">
      <c r="D90" s="6" t="s">
        <v>700</v>
      </c>
      <c r="G90" s="118">
        <f>'WkB_1_2.1.1'!E12</f>
        <v>7505648.149378133</v>
      </c>
      <c r="H90" s="119">
        <f>'WkB_1_2.1.1'!F12</f>
        <v>7561056.7766109342</v>
      </c>
      <c r="I90" s="120">
        <f>'WkB_1_2.1.1'!G12</f>
        <v>1367447.372577402</v>
      </c>
      <c r="J90" s="118">
        <f>'WkB_1_2.1.1'!H12</f>
        <v>1387964.3278894734</v>
      </c>
      <c r="K90" s="118">
        <f>'WkB_1_2.1.1'!I12</f>
        <v>1401784.1762154782</v>
      </c>
      <c r="L90" s="118">
        <f>'WkB_1_2.1.1'!J12</f>
        <v>1413145.5621963325</v>
      </c>
      <c r="M90" s="118">
        <f>'WkB_1_2.1.1'!K12</f>
        <v>1427692.4833027234</v>
      </c>
      <c r="O90" s="175"/>
      <c r="P90" s="175"/>
      <c r="Q90" s="175"/>
      <c r="R90" s="175"/>
      <c r="S90" s="175"/>
      <c r="T90" s="175"/>
      <c r="U90" s="175"/>
      <c r="W90" s="175"/>
      <c r="X90" s="175"/>
      <c r="Y90" s="175"/>
      <c r="Z90" s="175"/>
      <c r="AA90" s="175"/>
      <c r="AB90" s="175"/>
      <c r="AC90" s="175"/>
      <c r="AE90" s="175"/>
      <c r="AF90" s="175"/>
      <c r="AG90" s="175"/>
      <c r="AH90" s="175"/>
      <c r="AI90" s="175"/>
      <c r="AJ90" s="175"/>
      <c r="AK90" s="175"/>
      <c r="AM90" s="175"/>
      <c r="AN90" s="175"/>
      <c r="AO90" s="175"/>
      <c r="AP90" s="175"/>
      <c r="AQ90" s="175"/>
      <c r="AR90" s="175"/>
      <c r="AS90" s="175"/>
    </row>
    <row r="91" spans="1:45" ht="12.75" x14ac:dyDescent="0.3">
      <c r="A91" s="41">
        <f>IF(SUM($G91:$M91)&gt;0,1,0)</f>
        <v>0</v>
      </c>
      <c r="D91" s="6" t="s">
        <v>84</v>
      </c>
      <c r="G91" s="62">
        <f>IF(OR(ROUND(G90-(G89-AE89),3)&lt;&gt;0),1,0)</f>
        <v>0</v>
      </c>
      <c r="H91" s="62">
        <f t="shared" ref="H91:M91" si="49">IF(OR(ROUND(H90-(H89-AF89),3)&lt;&gt;0),1,0)</f>
        <v>0</v>
      </c>
      <c r="I91" s="62">
        <f t="shared" si="49"/>
        <v>0</v>
      </c>
      <c r="J91" s="62">
        <f t="shared" si="49"/>
        <v>0</v>
      </c>
      <c r="K91" s="62">
        <f t="shared" si="49"/>
        <v>0</v>
      </c>
      <c r="L91" s="62">
        <f t="shared" si="49"/>
        <v>0</v>
      </c>
      <c r="M91" s="62">
        <f t="shared" si="49"/>
        <v>0</v>
      </c>
    </row>
    <row r="92" spans="1:45" ht="11.25" customHeight="1" x14ac:dyDescent="0.3"/>
    <row r="93" spans="1:45" s="46" customFormat="1" ht="15" x14ac:dyDescent="0.3">
      <c r="B93" s="46" t="s">
        <v>16</v>
      </c>
    </row>
  </sheetData>
  <mergeCells count="6">
    <mergeCell ref="D10:D11"/>
    <mergeCell ref="E10:F11"/>
    <mergeCell ref="D47:D48"/>
    <mergeCell ref="E47:F48"/>
    <mergeCell ref="D72:D73"/>
    <mergeCell ref="E72:F73"/>
  </mergeCells>
  <conditionalFormatting sqref="B3">
    <cfRule type="cellIs" dxfId="614" priority="46" operator="notEqual">
      <formula>"No Errors Found"</formula>
    </cfRule>
  </conditionalFormatting>
  <conditionalFormatting sqref="K12:K25">
    <cfRule type="expression" dxfId="613" priority="42">
      <formula>(dms_FRCPlength_Num)&lt;3</formula>
    </cfRule>
  </conditionalFormatting>
  <conditionalFormatting sqref="L12:L25">
    <cfRule type="expression" dxfId="612" priority="41">
      <formula>(dms_FRCPlength_Num)&lt;4</formula>
    </cfRule>
  </conditionalFormatting>
  <conditionalFormatting sqref="M12:M25">
    <cfRule type="expression" dxfId="611" priority="40">
      <formula>(dms_FRCPlength_Num)&lt;5</formula>
    </cfRule>
  </conditionalFormatting>
  <conditionalFormatting sqref="K49:K62">
    <cfRule type="expression" dxfId="610" priority="39">
      <formula>(dms_FRCPlength_Num)&lt;3</formula>
    </cfRule>
  </conditionalFormatting>
  <conditionalFormatting sqref="L49:L62">
    <cfRule type="expression" dxfId="609" priority="38">
      <formula>(dms_FRCPlength_Num)&lt;4</formula>
    </cfRule>
  </conditionalFormatting>
  <conditionalFormatting sqref="M49:M62">
    <cfRule type="expression" dxfId="608" priority="37">
      <formula>(dms_FRCPlength_Num)&lt;5</formula>
    </cfRule>
  </conditionalFormatting>
  <conditionalFormatting sqref="S49:S62">
    <cfRule type="expression" dxfId="607" priority="36">
      <formula>(dms_FRCPlength_Num)&lt;3</formula>
    </cfRule>
  </conditionalFormatting>
  <conditionalFormatting sqref="T49:T62">
    <cfRule type="expression" dxfId="606" priority="35">
      <formula>(dms_FRCPlength_Num)&lt;4</formula>
    </cfRule>
  </conditionalFormatting>
  <conditionalFormatting sqref="U49:U62">
    <cfRule type="expression" dxfId="605" priority="34">
      <formula>(dms_FRCPlength_Num)&lt;5</formula>
    </cfRule>
  </conditionalFormatting>
  <conditionalFormatting sqref="AI49:AI62">
    <cfRule type="expression" dxfId="604" priority="30">
      <formula>(dms_FRCPlength_Num)&lt;3</formula>
    </cfRule>
  </conditionalFormatting>
  <conditionalFormatting sqref="AJ49:AJ62">
    <cfRule type="expression" dxfId="603" priority="29">
      <formula>(dms_FRCPlength_Num)&lt;4</formula>
    </cfRule>
  </conditionalFormatting>
  <conditionalFormatting sqref="AK49:AK62">
    <cfRule type="expression" dxfId="602" priority="28">
      <formula>(dms_FRCPlength_Num)&lt;5</formula>
    </cfRule>
  </conditionalFormatting>
  <conditionalFormatting sqref="AI49:AI62">
    <cfRule type="expression" dxfId="601" priority="27">
      <formula>(dms_FRCPlength_Num)&lt;3</formula>
    </cfRule>
  </conditionalFormatting>
  <conditionalFormatting sqref="AJ49:AJ62">
    <cfRule type="expression" dxfId="600" priority="26">
      <formula>(dms_FRCPlength_Num)&lt;4</formula>
    </cfRule>
  </conditionalFormatting>
  <conditionalFormatting sqref="AK49:AK62">
    <cfRule type="expression" dxfId="599" priority="25">
      <formula>(dms_FRCPlength_Num)&lt;5</formula>
    </cfRule>
  </conditionalFormatting>
  <conditionalFormatting sqref="AQ49:AQ62">
    <cfRule type="expression" dxfId="598" priority="24">
      <formula>(dms_FRCPlength_Num)&lt;3</formula>
    </cfRule>
  </conditionalFormatting>
  <conditionalFormatting sqref="AR49:AR62">
    <cfRule type="expression" dxfId="597" priority="23">
      <formula>(dms_FRCPlength_Num)&lt;4</formula>
    </cfRule>
  </conditionalFormatting>
  <conditionalFormatting sqref="AS49:AS62">
    <cfRule type="expression" dxfId="596" priority="22">
      <formula>(dms_FRCPlength_Num)&lt;5</formula>
    </cfRule>
  </conditionalFormatting>
  <conditionalFormatting sqref="AA49:AA62">
    <cfRule type="expression" dxfId="595" priority="21">
      <formula>(dms_FRCPlength_Num)&lt;3</formula>
    </cfRule>
  </conditionalFormatting>
  <conditionalFormatting sqref="AB49:AB62">
    <cfRule type="expression" dxfId="594" priority="20">
      <formula>(dms_FRCPlength_Num)&lt;4</formula>
    </cfRule>
  </conditionalFormatting>
  <conditionalFormatting sqref="AC49:AC62">
    <cfRule type="expression" dxfId="593" priority="19">
      <formula>(dms_FRCPlength_Num)&lt;5</formula>
    </cfRule>
  </conditionalFormatting>
  <conditionalFormatting sqref="K74:K87">
    <cfRule type="expression" dxfId="592" priority="18">
      <formula>(dms_FRCPlength_Num)&lt;3</formula>
    </cfRule>
  </conditionalFormatting>
  <conditionalFormatting sqref="L74:L87">
    <cfRule type="expression" dxfId="591" priority="17">
      <formula>(dms_FRCPlength_Num)&lt;4</formula>
    </cfRule>
  </conditionalFormatting>
  <conditionalFormatting sqref="M74:M87">
    <cfRule type="expression" dxfId="590" priority="16">
      <formula>(dms_FRCPlength_Num)&lt;5</formula>
    </cfRule>
  </conditionalFormatting>
  <conditionalFormatting sqref="S74:S87">
    <cfRule type="expression" dxfId="589" priority="15">
      <formula>(dms_FRCPlength_Num)&lt;3</formula>
    </cfRule>
  </conditionalFormatting>
  <conditionalFormatting sqref="T74:T87">
    <cfRule type="expression" dxfId="588" priority="14">
      <formula>(dms_FRCPlength_Num)&lt;4</formula>
    </cfRule>
  </conditionalFormatting>
  <conditionalFormatting sqref="U74:U87">
    <cfRule type="expression" dxfId="587" priority="13">
      <formula>(dms_FRCPlength_Num)&lt;5</formula>
    </cfRule>
  </conditionalFormatting>
  <conditionalFormatting sqref="AI74:AI87">
    <cfRule type="expression" dxfId="586" priority="12">
      <formula>(dms_FRCPlength_Num)&lt;3</formula>
    </cfRule>
  </conditionalFormatting>
  <conditionalFormatting sqref="AJ74:AJ87">
    <cfRule type="expression" dxfId="585" priority="11">
      <formula>(dms_FRCPlength_Num)&lt;4</formula>
    </cfRule>
  </conditionalFormatting>
  <conditionalFormatting sqref="AK74:AK87">
    <cfRule type="expression" dxfId="584" priority="10">
      <formula>(dms_FRCPlength_Num)&lt;5</formula>
    </cfRule>
  </conditionalFormatting>
  <conditionalFormatting sqref="AI74:AI87">
    <cfRule type="expression" dxfId="583" priority="9">
      <formula>(dms_FRCPlength_Num)&lt;3</formula>
    </cfRule>
  </conditionalFormatting>
  <conditionalFormatting sqref="AJ74:AJ87">
    <cfRule type="expression" dxfId="582" priority="8">
      <formula>(dms_FRCPlength_Num)&lt;4</formula>
    </cfRule>
  </conditionalFormatting>
  <conditionalFormatting sqref="AK74:AK87">
    <cfRule type="expression" dxfId="581" priority="7">
      <formula>(dms_FRCPlength_Num)&lt;5</formula>
    </cfRule>
  </conditionalFormatting>
  <conditionalFormatting sqref="AQ74:AQ87">
    <cfRule type="expression" dxfId="580" priority="6">
      <formula>(dms_FRCPlength_Num)&lt;3</formula>
    </cfRule>
  </conditionalFormatting>
  <conditionalFormatting sqref="AR74:AR87">
    <cfRule type="expression" dxfId="579" priority="5">
      <formula>(dms_FRCPlength_Num)&lt;4</formula>
    </cfRule>
  </conditionalFormatting>
  <conditionalFormatting sqref="AS74:AS87">
    <cfRule type="expression" dxfId="578" priority="4">
      <formula>(dms_FRCPlength_Num)&lt;5</formula>
    </cfRule>
  </conditionalFormatting>
  <conditionalFormatting sqref="AA74:AA87">
    <cfRule type="expression" dxfId="577" priority="3">
      <formula>(dms_FRCPlength_Num)&lt;3</formula>
    </cfRule>
  </conditionalFormatting>
  <conditionalFormatting sqref="AB74:AB87">
    <cfRule type="expression" dxfId="576" priority="2">
      <formula>(dms_FRCPlength_Num)&lt;4</formula>
    </cfRule>
  </conditionalFormatting>
  <conditionalFormatting sqref="AC74:AC87">
    <cfRule type="expression" dxfId="575" priority="1">
      <formula>(dms_FRCPlength_Num)&lt;5</formula>
    </cfRule>
  </conditionalFormatting>
  <hyperlinks>
    <hyperlink ref="B2:E2" location="TOC!A1" display="TOC!A1" xr:uid="{2CBB2BE8-2ED2-41F3-A692-0165CA2E4233}"/>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D0D0-752D-47C3-BDE4-2F3DE11E0B0A}">
  <sheetPr codeName="Sheet19">
    <tabColor theme="4" tint="0.79998168889431442"/>
  </sheetPr>
  <dimension ref="A1:O34"/>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8.6640625" style="45" customWidth="1"/>
    <col min="5" max="5" width="65.5" style="45" customWidth="1"/>
    <col min="6" max="6" width="15.6640625" style="45" customWidth="1"/>
    <col min="7" max="13" width="15.83203125" style="45" customWidth="1"/>
    <col min="14" max="31" width="10.6640625" style="45" customWidth="1"/>
    <col min="32" max="16384" width="9.33203125" style="45"/>
  </cols>
  <sheetData>
    <row r="1" spans="1:13" ht="18.75" x14ac:dyDescent="0.3">
      <c r="A1" s="41">
        <f>IF(SUM($A3:$A34)&gt;0,1,0)</f>
        <v>0</v>
      </c>
      <c r="B1" s="3" t="s">
        <v>1092</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thickBot="1" x14ac:dyDescent="0.35"/>
    <row r="8" spans="1:13" ht="15.4" thickBot="1" x14ac:dyDescent="0.35">
      <c r="D8" s="325" t="s">
        <v>427</v>
      </c>
      <c r="E8" s="325"/>
      <c r="F8" s="325"/>
      <c r="G8" s="325"/>
      <c r="H8" s="325"/>
      <c r="I8" s="325"/>
      <c r="J8" s="325"/>
      <c r="K8" s="325"/>
      <c r="L8" s="325"/>
      <c r="M8" s="325"/>
    </row>
    <row r="9" spans="1:13" ht="28.15" customHeight="1" thickBot="1" x14ac:dyDescent="0.35">
      <c r="D9" s="426" t="s">
        <v>447</v>
      </c>
      <c r="E9" s="427"/>
      <c r="F9" s="427"/>
      <c r="G9" s="427"/>
      <c r="H9" s="427"/>
      <c r="I9" s="427"/>
      <c r="J9" s="427"/>
      <c r="K9" s="427"/>
      <c r="L9" s="427"/>
      <c r="M9" s="428"/>
    </row>
    <row r="10" spans="1:13" ht="28.15" thickBot="1" x14ac:dyDescent="0.35">
      <c r="D10" s="1065" t="s">
        <v>429</v>
      </c>
      <c r="E10" s="1065" t="s">
        <v>430</v>
      </c>
      <c r="F10" s="1067"/>
      <c r="G10" s="513" t="s">
        <v>431</v>
      </c>
      <c r="H10" s="513"/>
      <c r="I10" s="513"/>
      <c r="J10" s="513"/>
      <c r="K10" s="513"/>
      <c r="L10" s="513"/>
      <c r="M10" s="514"/>
    </row>
    <row r="11" spans="1:13" ht="14.65" thickBot="1" x14ac:dyDescent="0.35">
      <c r="D11" s="1066"/>
      <c r="E11" s="1066"/>
      <c r="F11" s="1068"/>
      <c r="G11" s="515" t="s">
        <v>70</v>
      </c>
      <c r="H11" s="515" t="s">
        <v>71</v>
      </c>
      <c r="I11" s="516" t="s">
        <v>72</v>
      </c>
      <c r="J11" s="516" t="s">
        <v>73</v>
      </c>
      <c r="K11" s="516" t="s">
        <v>74</v>
      </c>
      <c r="L11" s="516" t="s">
        <v>82</v>
      </c>
      <c r="M11" s="516" t="s">
        <v>243</v>
      </c>
    </row>
    <row r="12" spans="1:13" ht="14.25" x14ac:dyDescent="0.45">
      <c r="D12" s="491" t="s">
        <v>432</v>
      </c>
      <c r="E12" s="492" t="s">
        <v>433</v>
      </c>
      <c r="F12" s="493"/>
      <c r="G12" s="311">
        <f>'WkB_1_2.5.2a'!O74</f>
        <v>239133.71333417553</v>
      </c>
      <c r="H12" s="312">
        <f>'WkB_1_2.5.2a'!P74</f>
        <v>241092.07124301797</v>
      </c>
      <c r="I12" s="312">
        <f>'WkB_1_2.5.2a'!Q74</f>
        <v>246118.34257615238</v>
      </c>
      <c r="J12" s="312">
        <f>'WkB_1_2.5.2a'!R74</f>
        <v>250910.82997267912</v>
      </c>
      <c r="K12" s="312">
        <f>'WkB_1_2.5.2a'!S74</f>
        <v>254487.51122353366</v>
      </c>
      <c r="L12" s="312">
        <f>'WkB_1_2.5.2a'!T74</f>
        <v>257604.3111681584</v>
      </c>
      <c r="M12" s="313">
        <f>'WkB_1_2.5.2a'!U74</f>
        <v>261287.52787992108</v>
      </c>
    </row>
    <row r="13" spans="1:13" ht="14.25" x14ac:dyDescent="0.45">
      <c r="D13" s="494"/>
      <c r="E13" s="495" t="s">
        <v>434</v>
      </c>
      <c r="F13" s="496"/>
      <c r="G13" s="314">
        <f>'WkB_1_2.5.2a'!O75</f>
        <v>92626.09971181002</v>
      </c>
      <c r="H13" s="315">
        <f>'WkB_1_2.5.2a'!P75</f>
        <v>92731.181913561624</v>
      </c>
      <c r="I13" s="315">
        <f>'WkB_1_2.5.2a'!Q75</f>
        <v>94010.090269461318</v>
      </c>
      <c r="J13" s="315">
        <f>'WkB_1_2.5.2a'!R75</f>
        <v>95186.221342657023</v>
      </c>
      <c r="K13" s="315">
        <f>'WkB_1_2.5.2a'!S75</f>
        <v>95891.737207714774</v>
      </c>
      <c r="L13" s="315">
        <f>'WkB_1_2.5.2a'!T75</f>
        <v>96419.084128738046</v>
      </c>
      <c r="M13" s="316">
        <f>'WkB_1_2.5.2a'!U75</f>
        <v>97153.434630631236</v>
      </c>
    </row>
    <row r="14" spans="1:13" ht="14.25" x14ac:dyDescent="0.45">
      <c r="D14" s="497"/>
      <c r="E14" s="498" t="s">
        <v>435</v>
      </c>
      <c r="F14" s="499"/>
      <c r="G14" s="314">
        <f>'WkB_1_2.5.2a'!O76</f>
        <v>300809.66850229178</v>
      </c>
      <c r="H14" s="315">
        <f>'WkB_1_2.5.2a'!P76</f>
        <v>300347.66928373132</v>
      </c>
      <c r="I14" s="315">
        <f>'WkB_1_2.5.2a'!Q76</f>
        <v>303679.92789713555</v>
      </c>
      <c r="J14" s="315">
        <f>'WkB_1_2.5.2a'!R76</f>
        <v>306663.38488488522</v>
      </c>
      <c r="K14" s="315">
        <f>'WkB_1_2.5.2a'!S76</f>
        <v>308118.87409654597</v>
      </c>
      <c r="L14" s="315">
        <f>'WkB_1_2.5.2a'!T76</f>
        <v>308995.70009635558</v>
      </c>
      <c r="M14" s="316">
        <f>'WkB_1_2.5.2a'!U76</f>
        <v>310529.551479446</v>
      </c>
    </row>
    <row r="15" spans="1:13" ht="14.25" x14ac:dyDescent="0.45">
      <c r="D15" s="500" t="s">
        <v>436</v>
      </c>
      <c r="E15" s="501" t="s">
        <v>433</v>
      </c>
      <c r="F15" s="502"/>
      <c r="G15" s="503">
        <f>'WkB_1_2.5.2a'!O77</f>
        <v>116333.762132348</v>
      </c>
      <c r="H15" s="504">
        <f>'WkB_1_2.5.2a'!P77</f>
        <v>119569.24588723894</v>
      </c>
      <c r="I15" s="504">
        <f>'WkB_1_2.5.2a'!Q77</f>
        <v>124438.23738919394</v>
      </c>
      <c r="J15" s="504">
        <f>'WkB_1_2.5.2a'!R77</f>
        <v>129331.67051018213</v>
      </c>
      <c r="K15" s="504">
        <f>'WkB_1_2.5.2a'!S77</f>
        <v>133730.48978856133</v>
      </c>
      <c r="L15" s="504">
        <f>'WkB_1_2.5.2a'!T77</f>
        <v>138006.3201943629</v>
      </c>
      <c r="M15" s="505">
        <f>'WkB_1_2.5.2a'!U77</f>
        <v>142708.66313487236</v>
      </c>
    </row>
    <row r="16" spans="1:13" ht="14.25" x14ac:dyDescent="0.45">
      <c r="D16" s="500"/>
      <c r="E16" s="495" t="s">
        <v>437</v>
      </c>
      <c r="F16" s="496"/>
      <c r="G16" s="503">
        <f>'WkB_1_2.5.2a'!O78</f>
        <v>1439829.0981804342</v>
      </c>
      <c r="H16" s="504">
        <f>'WkB_1_2.5.2a'!P78</f>
        <v>1391575.673095912</v>
      </c>
      <c r="I16" s="504">
        <f>'WkB_1_2.5.2a'!Q78</f>
        <v>0</v>
      </c>
      <c r="J16" s="504">
        <f>'WkB_1_2.5.2a'!R78</f>
        <v>0</v>
      </c>
      <c r="K16" s="504">
        <f>'WkB_1_2.5.2a'!S78</f>
        <v>0</v>
      </c>
      <c r="L16" s="504">
        <f>'WkB_1_2.5.2a'!T78</f>
        <v>0</v>
      </c>
      <c r="M16" s="505">
        <f>'WkB_1_2.5.2a'!U78</f>
        <v>0</v>
      </c>
    </row>
    <row r="17" spans="1:15" ht="14.25" x14ac:dyDescent="0.45">
      <c r="D17" s="500"/>
      <c r="E17" s="495" t="s">
        <v>438</v>
      </c>
      <c r="F17" s="496"/>
      <c r="G17" s="503">
        <f>'WkB_1_2.5.2a'!O79</f>
        <v>301072.88248103164</v>
      </c>
      <c r="H17" s="504">
        <f>'WkB_1_2.5.2a'!P79</f>
        <v>299793.13422287104</v>
      </c>
      <c r="I17" s="504">
        <f>'WkB_1_2.5.2a'!Q79</f>
        <v>0</v>
      </c>
      <c r="J17" s="504">
        <f>'WkB_1_2.5.2a'!R79</f>
        <v>0</v>
      </c>
      <c r="K17" s="504">
        <f>'WkB_1_2.5.2a'!S79</f>
        <v>0</v>
      </c>
      <c r="L17" s="504">
        <f>'WkB_1_2.5.2a'!T79</f>
        <v>0</v>
      </c>
      <c r="M17" s="505">
        <f>'WkB_1_2.5.2a'!U79</f>
        <v>0</v>
      </c>
    </row>
    <row r="18" spans="1:15" ht="14.25" x14ac:dyDescent="0.45">
      <c r="D18" s="500"/>
      <c r="E18" s="495" t="s">
        <v>439</v>
      </c>
      <c r="F18" s="496"/>
      <c r="G18" s="503">
        <f>'WkB_1_2.5.2a'!O80</f>
        <v>648355.1000403025</v>
      </c>
      <c r="H18" s="504">
        <f>'WkB_1_2.5.2a'!P80</f>
        <v>744011.75979476457</v>
      </c>
      <c r="I18" s="504">
        <f>'WkB_1_2.5.2a'!Q80</f>
        <v>0</v>
      </c>
      <c r="J18" s="504">
        <f>'WkB_1_2.5.2a'!R80</f>
        <v>0</v>
      </c>
      <c r="K18" s="504">
        <f>'WkB_1_2.5.2a'!S80</f>
        <v>0</v>
      </c>
      <c r="L18" s="504">
        <f>'WkB_1_2.5.2a'!T80</f>
        <v>0</v>
      </c>
      <c r="M18" s="505">
        <f>'WkB_1_2.5.2a'!U80</f>
        <v>0</v>
      </c>
    </row>
    <row r="19" spans="1:15" ht="14.25" x14ac:dyDescent="0.45">
      <c r="D19" s="506"/>
      <c r="E19" s="498" t="s">
        <v>440</v>
      </c>
      <c r="F19" s="499"/>
      <c r="G19" s="503">
        <f>'WkB_1_2.5.2a'!O81</f>
        <v>0</v>
      </c>
      <c r="H19" s="504">
        <f>'WkB_1_2.5.2a'!P81</f>
        <v>0</v>
      </c>
      <c r="I19" s="504">
        <f>'WkB_1_2.5.2a'!Q81</f>
        <v>0</v>
      </c>
      <c r="J19" s="504">
        <f>'WkB_1_2.5.2a'!R81</f>
        <v>0</v>
      </c>
      <c r="K19" s="504">
        <f>'WkB_1_2.5.2a'!S81</f>
        <v>0</v>
      </c>
      <c r="L19" s="504">
        <f>'WkB_1_2.5.2a'!T81</f>
        <v>0</v>
      </c>
      <c r="M19" s="505">
        <f>'WkB_1_2.5.2a'!U81</f>
        <v>0</v>
      </c>
    </row>
    <row r="20" spans="1:15" ht="14.25" x14ac:dyDescent="0.45">
      <c r="D20" s="500" t="s">
        <v>441</v>
      </c>
      <c r="E20" s="501" t="s">
        <v>434</v>
      </c>
      <c r="F20" s="502"/>
      <c r="G20" s="314">
        <f>'WkB_1_2.5.2a'!O82</f>
        <v>408415.59144190286</v>
      </c>
      <c r="H20" s="315">
        <f>'WkB_1_2.5.2a'!P82</f>
        <v>407788.32542005705</v>
      </c>
      <c r="I20" s="315">
        <f>'WkB_1_2.5.2a'!Q82</f>
        <v>412312.60277858394</v>
      </c>
      <c r="J20" s="315">
        <f>'WkB_1_2.5.2a'!R82</f>
        <v>416363.30485960416</v>
      </c>
      <c r="K20" s="315">
        <f>'WkB_1_2.5.2a'!S82</f>
        <v>418339.45306713169</v>
      </c>
      <c r="L20" s="315">
        <f>'WkB_1_2.5.2a'!T82</f>
        <v>419529.93810402189</v>
      </c>
      <c r="M20" s="316">
        <f>'WkB_1_2.5.2a'!U82</f>
        <v>421612.4802740523</v>
      </c>
    </row>
    <row r="21" spans="1:15" ht="14.25" x14ac:dyDescent="0.45">
      <c r="D21" s="500"/>
      <c r="E21" s="495" t="s">
        <v>442</v>
      </c>
      <c r="F21" s="496"/>
      <c r="G21" s="314">
        <f>'WkB_1_2.5.2a'!O83</f>
        <v>150911.39736752457</v>
      </c>
      <c r="H21" s="315">
        <f>'WkB_1_2.5.2a'!P83</f>
        <v>150679.61975212122</v>
      </c>
      <c r="I21" s="315">
        <f>'WkB_1_2.5.2a'!Q83</f>
        <v>0</v>
      </c>
      <c r="J21" s="315">
        <f>'WkB_1_2.5.2a'!R83</f>
        <v>0</v>
      </c>
      <c r="K21" s="315">
        <f>'WkB_1_2.5.2a'!S83</f>
        <v>0</v>
      </c>
      <c r="L21" s="315">
        <f>'WkB_1_2.5.2a'!T83</f>
        <v>0</v>
      </c>
      <c r="M21" s="316">
        <f>'WkB_1_2.5.2a'!U83</f>
        <v>0</v>
      </c>
    </row>
    <row r="22" spans="1:15" ht="14.25" x14ac:dyDescent="0.45">
      <c r="D22" s="506"/>
      <c r="E22" s="498" t="s">
        <v>443</v>
      </c>
      <c r="F22" s="499"/>
      <c r="G22" s="314">
        <f>'WkB_1_2.5.2a'!O84</f>
        <v>141926.64851343972</v>
      </c>
      <c r="H22" s="315">
        <f>'WkB_1_2.5.2a'!P84</f>
        <v>141708.67014514911</v>
      </c>
      <c r="I22" s="315">
        <f>'WkB_1_2.5.2a'!Q84</f>
        <v>0</v>
      </c>
      <c r="J22" s="315">
        <f>'WkB_1_2.5.2a'!R84</f>
        <v>0</v>
      </c>
      <c r="K22" s="315">
        <f>'WkB_1_2.5.2a'!S84</f>
        <v>0</v>
      </c>
      <c r="L22" s="315">
        <f>'WkB_1_2.5.2a'!T84</f>
        <v>0</v>
      </c>
      <c r="M22" s="316">
        <f>'WkB_1_2.5.2a'!U84</f>
        <v>0</v>
      </c>
    </row>
    <row r="23" spans="1:15" ht="14.25" x14ac:dyDescent="0.45">
      <c r="D23" s="500" t="s">
        <v>444</v>
      </c>
      <c r="E23" s="501" t="s">
        <v>433</v>
      </c>
      <c r="F23" s="502"/>
      <c r="G23" s="503">
        <f>'WkB_1_2.5.2a'!O85</f>
        <v>0</v>
      </c>
      <c r="H23" s="504">
        <f>'WkB_1_2.5.2a'!P85</f>
        <v>0</v>
      </c>
      <c r="I23" s="504">
        <f>'WkB_1_2.5.2a'!Q85</f>
        <v>0</v>
      </c>
      <c r="J23" s="504">
        <f>'WkB_1_2.5.2a'!R85</f>
        <v>0</v>
      </c>
      <c r="K23" s="504">
        <f>'WkB_1_2.5.2a'!S85</f>
        <v>0</v>
      </c>
      <c r="L23" s="504">
        <f>'WkB_1_2.5.2a'!T85</f>
        <v>0</v>
      </c>
      <c r="M23" s="505">
        <f>'WkB_1_2.5.2a'!U85</f>
        <v>0</v>
      </c>
    </row>
    <row r="24" spans="1:15" ht="14.25" x14ac:dyDescent="0.45">
      <c r="D24" s="500"/>
      <c r="E24" s="495" t="s">
        <v>445</v>
      </c>
      <c r="F24" s="496"/>
      <c r="G24" s="503">
        <f>'WkB_1_2.5.2a'!O86</f>
        <v>0</v>
      </c>
      <c r="H24" s="504">
        <f>'WkB_1_2.5.2a'!P86</f>
        <v>0</v>
      </c>
      <c r="I24" s="504">
        <f>'WkB_1_2.5.2a'!Q86</f>
        <v>0</v>
      </c>
      <c r="J24" s="504">
        <f>'WkB_1_2.5.2a'!R86</f>
        <v>0</v>
      </c>
      <c r="K24" s="504">
        <f>'WkB_1_2.5.2a'!S86</f>
        <v>0</v>
      </c>
      <c r="L24" s="504">
        <f>'WkB_1_2.5.2a'!T86</f>
        <v>0</v>
      </c>
      <c r="M24" s="505">
        <f>'WkB_1_2.5.2a'!U86</f>
        <v>0</v>
      </c>
    </row>
    <row r="25" spans="1:15" ht="14.65" thickBot="1" x14ac:dyDescent="0.5">
      <c r="D25" s="507"/>
      <c r="E25" s="508" t="s">
        <v>446</v>
      </c>
      <c r="F25" s="509"/>
      <c r="G25" s="510">
        <f>'WkB_1_2.5.2a'!O87</f>
        <v>0</v>
      </c>
      <c r="H25" s="511">
        <f>'WkB_1_2.5.2a'!P87</f>
        <v>0</v>
      </c>
      <c r="I25" s="511">
        <f>'WkB_1_2.5.2a'!Q87</f>
        <v>0</v>
      </c>
      <c r="J25" s="511">
        <f>'WkB_1_2.5.2a'!R87</f>
        <v>0</v>
      </c>
      <c r="K25" s="511">
        <f>'WkB_1_2.5.2a'!S87</f>
        <v>0</v>
      </c>
      <c r="L25" s="511">
        <f>'WkB_1_2.5.2a'!T87</f>
        <v>0</v>
      </c>
      <c r="M25" s="512">
        <f>'WkB_1_2.5.2a'!U87</f>
        <v>0</v>
      </c>
    </row>
    <row r="26" spans="1:15" ht="11.25" customHeight="1" x14ac:dyDescent="0.3"/>
    <row r="27" spans="1:15" ht="12.75" x14ac:dyDescent="0.3">
      <c r="D27" s="6" t="s">
        <v>396</v>
      </c>
      <c r="G27" s="118">
        <f>SUM(G12:G25)</f>
        <v>3839413.9617052604</v>
      </c>
      <c r="H27" s="119">
        <f t="shared" ref="H27:M27" si="0">SUM(H12:H25)</f>
        <v>3889297.350758425</v>
      </c>
      <c r="I27" s="120">
        <f t="shared" si="0"/>
        <v>1180559.200910527</v>
      </c>
      <c r="J27" s="118">
        <f t="shared" si="0"/>
        <v>1198455.4115700077</v>
      </c>
      <c r="K27" s="118">
        <f t="shared" si="0"/>
        <v>1210568.0653834874</v>
      </c>
      <c r="L27" s="118">
        <f t="shared" si="0"/>
        <v>1220555.3536916368</v>
      </c>
      <c r="M27" s="118">
        <f t="shared" si="0"/>
        <v>1233291.6573989228</v>
      </c>
      <c r="O27" s="6"/>
    </row>
    <row r="29" spans="1:15" ht="12.75" x14ac:dyDescent="0.3">
      <c r="D29" s="6" t="s">
        <v>749</v>
      </c>
      <c r="G29" s="118">
        <f>'WkB_1_2.5.2a'!O89</f>
        <v>3839413.9617052604</v>
      </c>
      <c r="H29" s="119">
        <f>'WkB_1_2.5.2a'!P89</f>
        <v>3889297.350758425</v>
      </c>
      <c r="I29" s="120">
        <f>'WkB_1_2.5.2a'!Q89</f>
        <v>1180559.200910527</v>
      </c>
      <c r="J29" s="118">
        <f>'WkB_1_2.5.2a'!R89</f>
        <v>1198455.4115700077</v>
      </c>
      <c r="K29" s="118">
        <f>'WkB_1_2.5.2a'!S89</f>
        <v>1210568.0653834874</v>
      </c>
      <c r="L29" s="118">
        <f>'WkB_1_2.5.2a'!T89</f>
        <v>1220555.3536916368</v>
      </c>
      <c r="M29" s="118">
        <f>'WkB_1_2.5.2a'!U89</f>
        <v>1233291.6573989228</v>
      </c>
    </row>
    <row r="31" spans="1:15" ht="12.75" x14ac:dyDescent="0.3">
      <c r="D31" s="6" t="s">
        <v>695</v>
      </c>
      <c r="G31" s="115">
        <v>3839413.9617052604</v>
      </c>
      <c r="H31" s="116">
        <v>3889297.350758425</v>
      </c>
      <c r="I31" s="117">
        <v>1180559.200910527</v>
      </c>
      <c r="J31" s="115">
        <v>1198455.4115700077</v>
      </c>
      <c r="K31" s="115">
        <v>1210568.0653834874</v>
      </c>
      <c r="L31" s="115">
        <v>1220555.3536916368</v>
      </c>
      <c r="M31" s="115">
        <v>1233291.6573989228</v>
      </c>
    </row>
    <row r="32" spans="1:15" ht="12.75" x14ac:dyDescent="0.3">
      <c r="A32" s="41">
        <f>IF(SUM($G32:$M32)&gt;0,1,0)</f>
        <v>0</v>
      </c>
      <c r="D32" s="6" t="s">
        <v>84</v>
      </c>
      <c r="G32" s="62">
        <f>IF(OR(ROUND(G27-G29,3)&lt;&gt;0,ROUND(G27-G31,3)&lt;&gt;0),1,0)</f>
        <v>0</v>
      </c>
      <c r="H32" s="62">
        <f t="shared" ref="H32:M32" si="1">IF(OR(ROUND(H27-H29,3)&lt;&gt;0,ROUND(H27-H31,3)&lt;&gt;0),1,0)</f>
        <v>0</v>
      </c>
      <c r="I32" s="62">
        <f t="shared" si="1"/>
        <v>0</v>
      </c>
      <c r="J32" s="62">
        <f t="shared" si="1"/>
        <v>0</v>
      </c>
      <c r="K32" s="62">
        <f t="shared" si="1"/>
        <v>0</v>
      </c>
      <c r="L32" s="62">
        <f t="shared" si="1"/>
        <v>0</v>
      </c>
      <c r="M32" s="62">
        <f t="shared" si="1"/>
        <v>0</v>
      </c>
    </row>
    <row r="33" spans="2:2" ht="11.25" customHeight="1" x14ac:dyDescent="0.3"/>
    <row r="34" spans="2:2" s="46" customFormat="1" ht="15" x14ac:dyDescent="0.3">
      <c r="B34" s="46" t="s">
        <v>16</v>
      </c>
    </row>
  </sheetData>
  <mergeCells count="2">
    <mergeCell ref="D10:D11"/>
    <mergeCell ref="E10:F11"/>
  </mergeCells>
  <conditionalFormatting sqref="B3">
    <cfRule type="cellIs" dxfId="574" priority="4" operator="notEqual">
      <formula>"No Errors Found"</formula>
    </cfRule>
  </conditionalFormatting>
  <conditionalFormatting sqref="K12:K25">
    <cfRule type="expression" dxfId="573" priority="3">
      <formula>(dms_FRCPlength_Num)&lt;3</formula>
    </cfRule>
  </conditionalFormatting>
  <conditionalFormatting sqref="L12:L25">
    <cfRule type="expression" dxfId="572" priority="2">
      <formula>(dms_FRCPlength_Num)&lt;4</formula>
    </cfRule>
  </conditionalFormatting>
  <conditionalFormatting sqref="M12:M25">
    <cfRule type="expression" dxfId="571" priority="1">
      <formula>(dms_FRCPlength_Num)&lt;5</formula>
    </cfRule>
  </conditionalFormatting>
  <hyperlinks>
    <hyperlink ref="B2:E2" location="TOC!A1" display="TOC!A1" xr:uid="{BC768E87-37B3-4A62-B878-AAEE98C8EB92}"/>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36F3-5461-4043-B0B8-98114FAC88EC}">
  <sheetPr codeName="Sheet20">
    <tabColor theme="4" tint="0.79998168889431442"/>
  </sheetPr>
  <dimension ref="A1:O43"/>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8.6640625" style="45" customWidth="1"/>
    <col min="5" max="5" width="61.83203125" style="45" customWidth="1"/>
    <col min="6" max="6" width="15.6640625" style="45" customWidth="1"/>
    <col min="7" max="13" width="15.83203125" style="45" customWidth="1"/>
    <col min="14" max="14" width="3" style="45" customWidth="1"/>
    <col min="15" max="31" width="10.6640625" style="45" customWidth="1"/>
    <col min="32" max="16384" width="9.33203125" style="45"/>
  </cols>
  <sheetData>
    <row r="1" spans="1:13" ht="18.75" x14ac:dyDescent="0.3">
      <c r="A1" s="41">
        <f>IF(SUM($A3:$A43)&gt;0,1,0)</f>
        <v>0</v>
      </c>
      <c r="B1" s="3" t="s">
        <v>1093</v>
      </c>
      <c r="M1"/>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thickBot="1" x14ac:dyDescent="0.35"/>
    <row r="8" spans="1:13" ht="15.4" thickBot="1" x14ac:dyDescent="0.35">
      <c r="D8" s="325" t="s">
        <v>427</v>
      </c>
      <c r="E8" s="325"/>
      <c r="F8" s="325"/>
      <c r="G8" s="325"/>
      <c r="H8" s="325"/>
      <c r="I8" s="325"/>
      <c r="J8" s="325"/>
      <c r="K8" s="325"/>
      <c r="L8" s="325"/>
      <c r="M8" s="325"/>
    </row>
    <row r="9" spans="1:13" ht="28.15" customHeight="1" thickBot="1" x14ac:dyDescent="0.35">
      <c r="D9" s="426" t="s">
        <v>448</v>
      </c>
      <c r="E9" s="427"/>
      <c r="F9" s="427"/>
      <c r="G9" s="427"/>
      <c r="H9" s="427"/>
      <c r="I9" s="427"/>
      <c r="J9" s="427"/>
      <c r="K9" s="427"/>
      <c r="L9" s="427"/>
      <c r="M9" s="428"/>
    </row>
    <row r="10" spans="1:13" ht="28.15" thickBot="1" x14ac:dyDescent="0.35">
      <c r="D10" s="1065" t="s">
        <v>429</v>
      </c>
      <c r="E10" s="1065" t="s">
        <v>430</v>
      </c>
      <c r="F10" s="1067"/>
      <c r="G10" s="513" t="s">
        <v>431</v>
      </c>
      <c r="H10" s="513"/>
      <c r="I10" s="513"/>
      <c r="J10" s="513"/>
      <c r="K10" s="513"/>
      <c r="L10" s="513"/>
      <c r="M10" s="514"/>
    </row>
    <row r="11" spans="1:13" ht="14.65" thickBot="1" x14ac:dyDescent="0.35">
      <c r="D11" s="1066"/>
      <c r="E11" s="1066"/>
      <c r="F11" s="1068"/>
      <c r="G11" s="515" t="s">
        <v>70</v>
      </c>
      <c r="H11" s="515" t="s">
        <v>71</v>
      </c>
      <c r="I11" s="516" t="s">
        <v>72</v>
      </c>
      <c r="J11" s="516" t="s">
        <v>73</v>
      </c>
      <c r="K11" s="516" t="s">
        <v>74</v>
      </c>
      <c r="L11" s="516" t="s">
        <v>82</v>
      </c>
      <c r="M11" s="516" t="s">
        <v>243</v>
      </c>
    </row>
    <row r="12" spans="1:13" ht="14.25" x14ac:dyDescent="0.45">
      <c r="D12" s="491" t="s">
        <v>432</v>
      </c>
      <c r="E12" s="492" t="s">
        <v>433</v>
      </c>
      <c r="F12" s="493"/>
      <c r="G12" s="311">
        <f>'WkB_1_2.5.2a'!W74+'WkB_1_2.5.2a'!AE74+'WkB_1_2.5.2a'!AM74</f>
        <v>407778.10491335124</v>
      </c>
      <c r="H12" s="312">
        <f>'WkB_1_2.5.2a'!X74+'WkB_1_2.5.2a'!AF74+'WkB_1_2.5.2a'!AN74</f>
        <v>406187.14262934076</v>
      </c>
      <c r="I12" s="312">
        <f>'WkB_1_2.5.2a'!Y74+'WkB_1_2.5.2a'!AG74+'WkB_1_2.5.2a'!AO74</f>
        <v>0</v>
      </c>
      <c r="J12" s="312">
        <f>'WkB_1_2.5.2a'!Z74+'WkB_1_2.5.2a'!AH74+'WkB_1_2.5.2a'!AP74</f>
        <v>0</v>
      </c>
      <c r="K12" s="312">
        <f>'WkB_1_2.5.2a'!AA74+'WkB_1_2.5.2a'!AI74+'WkB_1_2.5.2a'!AQ74</f>
        <v>0</v>
      </c>
      <c r="L12" s="312">
        <f>'WkB_1_2.5.2a'!AB74+'WkB_1_2.5.2a'!AJ74+'WkB_1_2.5.2a'!AR74</f>
        <v>0</v>
      </c>
      <c r="M12" s="313">
        <f>'WkB_1_2.5.2a'!AC74+'WkB_1_2.5.2a'!AK74+'WkB_1_2.5.2a'!AS74</f>
        <v>0</v>
      </c>
    </row>
    <row r="13" spans="1:13" ht="14.25" x14ac:dyDescent="0.45">
      <c r="D13" s="494"/>
      <c r="E13" s="495" t="s">
        <v>434</v>
      </c>
      <c r="F13" s="496"/>
      <c r="G13" s="314">
        <f>'WkB_1_2.5.2a'!W75+'WkB_1_2.5.2a'!AE75+'WkB_1_2.5.2a'!AM75</f>
        <v>157948.85162517577</v>
      </c>
      <c r="H13" s="315">
        <f>'WkB_1_2.5.2a'!X75+'WkB_1_2.5.2a'!AF75+'WkB_1_2.5.2a'!AN75</f>
        <v>156231.65714207216</v>
      </c>
      <c r="I13" s="315">
        <f>'WkB_1_2.5.2a'!Y75+'WkB_1_2.5.2a'!AG75+'WkB_1_2.5.2a'!AO75</f>
        <v>18802.018053892261</v>
      </c>
      <c r="J13" s="315">
        <f>'WkB_1_2.5.2a'!Z75+'WkB_1_2.5.2a'!AH75+'WkB_1_2.5.2a'!AP75</f>
        <v>19037.244268531405</v>
      </c>
      <c r="K13" s="315">
        <f>'WkB_1_2.5.2a'!AA75+'WkB_1_2.5.2a'!AI75+'WkB_1_2.5.2a'!AQ75</f>
        <v>19178.347441542955</v>
      </c>
      <c r="L13" s="315">
        <f>'WkB_1_2.5.2a'!AB75+'WkB_1_2.5.2a'!AJ75+'WkB_1_2.5.2a'!AR75</f>
        <v>19283.81682574761</v>
      </c>
      <c r="M13" s="316">
        <f>'WkB_1_2.5.2a'!AC75+'WkB_1_2.5.2a'!AK75+'WkB_1_2.5.2a'!AS75</f>
        <v>19430.686926126247</v>
      </c>
    </row>
    <row r="14" spans="1:13" ht="14.25" x14ac:dyDescent="0.45">
      <c r="D14" s="497"/>
      <c r="E14" s="498" t="s">
        <v>435</v>
      </c>
      <c r="F14" s="499"/>
      <c r="G14" s="314">
        <f>'WkB_1_2.5.2a'!W76+'WkB_1_2.5.2a'!AE76+'WkB_1_2.5.2a'!AM76</f>
        <v>512949.82564864354</v>
      </c>
      <c r="H14" s="315">
        <f>'WkB_1_2.5.2a'!X76+'WkB_1_2.5.2a'!AF76+'WkB_1_2.5.2a'!AN76</f>
        <v>506019.79962571687</v>
      </c>
      <c r="I14" s="315">
        <f>'WkB_1_2.5.2a'!Y76+'WkB_1_2.5.2a'!AG76+'WkB_1_2.5.2a'!AO76</f>
        <v>60735.985579427121</v>
      </c>
      <c r="J14" s="315">
        <f>'WkB_1_2.5.2a'!Z76+'WkB_1_2.5.2a'!AH76+'WkB_1_2.5.2a'!AP76</f>
        <v>61332.67697697704</v>
      </c>
      <c r="K14" s="315">
        <f>'WkB_1_2.5.2a'!AA76+'WkB_1_2.5.2a'!AI76+'WkB_1_2.5.2a'!AQ76</f>
        <v>61623.774819309212</v>
      </c>
      <c r="L14" s="315">
        <f>'WkB_1_2.5.2a'!AB76+'WkB_1_2.5.2a'!AJ76+'WkB_1_2.5.2a'!AR76</f>
        <v>61799.140019271123</v>
      </c>
      <c r="M14" s="316">
        <f>'WkB_1_2.5.2a'!AC76+'WkB_1_2.5.2a'!AK76+'WkB_1_2.5.2a'!AS76</f>
        <v>62105.910295889225</v>
      </c>
    </row>
    <row r="15" spans="1:13" ht="14.25" x14ac:dyDescent="0.45">
      <c r="D15" s="500" t="s">
        <v>436</v>
      </c>
      <c r="E15" s="501" t="s">
        <v>433</v>
      </c>
      <c r="F15" s="502"/>
      <c r="G15" s="503">
        <f>'WkB_1_2.5.2a'!W77+'WkB_1_2.5.2a'!AE77+'WkB_1_2.5.2a'!AM77</f>
        <v>198375.88100125847</v>
      </c>
      <c r="H15" s="504">
        <f>'WkB_1_2.5.2a'!X77+'WkB_1_2.5.2a'!AF77+'WkB_1_2.5.2a'!AN77</f>
        <v>201447.8953325976</v>
      </c>
      <c r="I15" s="504">
        <f>'WkB_1_2.5.2a'!Y77+'WkB_1_2.5.2a'!AG77+'WkB_1_2.5.2a'!AO77</f>
        <v>24887.647477838789</v>
      </c>
      <c r="J15" s="504">
        <f>'WkB_1_2.5.2a'!Z77+'WkB_1_2.5.2a'!AH77+'WkB_1_2.5.2a'!AP77</f>
        <v>25866.334102036428</v>
      </c>
      <c r="K15" s="504">
        <f>'WkB_1_2.5.2a'!AA77+'WkB_1_2.5.2a'!AI77+'WkB_1_2.5.2a'!AQ77</f>
        <v>26746.097957712274</v>
      </c>
      <c r="L15" s="504">
        <f>'WkB_1_2.5.2a'!AB77+'WkB_1_2.5.2a'!AJ77+'WkB_1_2.5.2a'!AR77</f>
        <v>27601.264038872578</v>
      </c>
      <c r="M15" s="505">
        <f>'WkB_1_2.5.2a'!AC77+'WkB_1_2.5.2a'!AK77+'WkB_1_2.5.2a'!AS77</f>
        <v>28541.732626974474</v>
      </c>
    </row>
    <row r="16" spans="1:13" ht="14.25" x14ac:dyDescent="0.45">
      <c r="D16" s="500"/>
      <c r="E16" s="495" t="s">
        <v>437</v>
      </c>
      <c r="F16" s="496"/>
      <c r="G16" s="503">
        <f>'WkB_1_2.5.2a'!W78+'WkB_1_2.5.2a'!AE78+'WkB_1_2.5.2a'!AM78</f>
        <v>2455240.5132213025</v>
      </c>
      <c r="H16" s="504">
        <f>'WkB_1_2.5.2a'!X78+'WkB_1_2.5.2a'!AF78+'WkB_1_2.5.2a'!AN78</f>
        <v>2344499.1097926847</v>
      </c>
      <c r="I16" s="504">
        <f>'WkB_1_2.5.2a'!Y78+'WkB_1_2.5.2a'!AG78+'WkB_1_2.5.2a'!AO78</f>
        <v>0</v>
      </c>
      <c r="J16" s="504">
        <f>'WkB_1_2.5.2a'!Z78+'WkB_1_2.5.2a'!AH78+'WkB_1_2.5.2a'!AP78</f>
        <v>0</v>
      </c>
      <c r="K16" s="504">
        <f>'WkB_1_2.5.2a'!AA78+'WkB_1_2.5.2a'!AI78+'WkB_1_2.5.2a'!AQ78</f>
        <v>0</v>
      </c>
      <c r="L16" s="504">
        <f>'WkB_1_2.5.2a'!AB78+'WkB_1_2.5.2a'!AJ78+'WkB_1_2.5.2a'!AR78</f>
        <v>0</v>
      </c>
      <c r="M16" s="505">
        <f>'WkB_1_2.5.2a'!AC78+'WkB_1_2.5.2a'!AK78+'WkB_1_2.5.2a'!AS78</f>
        <v>0</v>
      </c>
    </row>
    <row r="17" spans="4:15" ht="14.25" x14ac:dyDescent="0.45">
      <c r="D17" s="500"/>
      <c r="E17" s="495" t="s">
        <v>438</v>
      </c>
      <c r="F17" s="496"/>
      <c r="G17" s="503">
        <f>'WkB_1_2.5.2a'!W79+'WkB_1_2.5.2a'!AE79+'WkB_1_2.5.2a'!AM79</f>
        <v>513398.66615691275</v>
      </c>
      <c r="H17" s="504">
        <f>'WkB_1_2.5.2a'!X79+'WkB_1_2.5.2a'!AF79+'WkB_1_2.5.2a'!AN79</f>
        <v>505085.52994734352</v>
      </c>
      <c r="I17" s="504">
        <f>'WkB_1_2.5.2a'!Y79+'WkB_1_2.5.2a'!AG79+'WkB_1_2.5.2a'!AO79</f>
        <v>0</v>
      </c>
      <c r="J17" s="504">
        <f>'WkB_1_2.5.2a'!Z79+'WkB_1_2.5.2a'!AH79+'WkB_1_2.5.2a'!AP79</f>
        <v>0</v>
      </c>
      <c r="K17" s="504">
        <f>'WkB_1_2.5.2a'!AA79+'WkB_1_2.5.2a'!AI79+'WkB_1_2.5.2a'!AQ79</f>
        <v>0</v>
      </c>
      <c r="L17" s="504">
        <f>'WkB_1_2.5.2a'!AB79+'WkB_1_2.5.2a'!AJ79+'WkB_1_2.5.2a'!AR79</f>
        <v>0</v>
      </c>
      <c r="M17" s="505">
        <f>'WkB_1_2.5.2a'!AC79+'WkB_1_2.5.2a'!AK79+'WkB_1_2.5.2a'!AS79</f>
        <v>0</v>
      </c>
    </row>
    <row r="18" spans="4:15" ht="14.25" x14ac:dyDescent="0.45">
      <c r="D18" s="500"/>
      <c r="E18" s="495" t="s">
        <v>439</v>
      </c>
      <c r="F18" s="496"/>
      <c r="G18" s="503">
        <f>'WkB_1_2.5.2a'!W80+'WkB_1_2.5.2a'!AE80+'WkB_1_2.5.2a'!AM80</f>
        <v>1105594.9005227806</v>
      </c>
      <c r="H18" s="504">
        <f>'WkB_1_2.5.2a'!X80+'WkB_1_2.5.2a'!AF80+'WkB_1_2.5.2a'!AN80</f>
        <v>1253496.2648731859</v>
      </c>
      <c r="I18" s="504">
        <f>'WkB_1_2.5.2a'!Y80+'WkB_1_2.5.2a'!AG80+'WkB_1_2.5.2a'!AO80</f>
        <v>0</v>
      </c>
      <c r="J18" s="504">
        <f>'WkB_1_2.5.2a'!Z80+'WkB_1_2.5.2a'!AH80+'WkB_1_2.5.2a'!AP80</f>
        <v>0</v>
      </c>
      <c r="K18" s="504">
        <f>'WkB_1_2.5.2a'!AA80+'WkB_1_2.5.2a'!AI80+'WkB_1_2.5.2a'!AQ80</f>
        <v>0</v>
      </c>
      <c r="L18" s="504">
        <f>'WkB_1_2.5.2a'!AB80+'WkB_1_2.5.2a'!AJ80+'WkB_1_2.5.2a'!AR80</f>
        <v>0</v>
      </c>
      <c r="M18" s="505">
        <f>'WkB_1_2.5.2a'!AC80+'WkB_1_2.5.2a'!AK80+'WkB_1_2.5.2a'!AS80</f>
        <v>0</v>
      </c>
    </row>
    <row r="19" spans="4:15" ht="14.25" x14ac:dyDescent="0.45">
      <c r="D19" s="506"/>
      <c r="E19" s="498" t="s">
        <v>440</v>
      </c>
      <c r="F19" s="499"/>
      <c r="G19" s="503">
        <f>'WkB_1_2.5.2a'!W81+'WkB_1_2.5.2a'!AE81+'WkB_1_2.5.2a'!AM81</f>
        <v>0</v>
      </c>
      <c r="H19" s="504">
        <f>'WkB_1_2.5.2a'!X81+'WkB_1_2.5.2a'!AF81+'WkB_1_2.5.2a'!AN81</f>
        <v>0</v>
      </c>
      <c r="I19" s="504">
        <f>'WkB_1_2.5.2a'!Y81+'WkB_1_2.5.2a'!AG81+'WkB_1_2.5.2a'!AO81</f>
        <v>0</v>
      </c>
      <c r="J19" s="504">
        <f>'WkB_1_2.5.2a'!Z81+'WkB_1_2.5.2a'!AH81+'WkB_1_2.5.2a'!AP81</f>
        <v>0</v>
      </c>
      <c r="K19" s="504">
        <f>'WkB_1_2.5.2a'!AA81+'WkB_1_2.5.2a'!AI81+'WkB_1_2.5.2a'!AQ81</f>
        <v>0</v>
      </c>
      <c r="L19" s="504">
        <f>'WkB_1_2.5.2a'!AB81+'WkB_1_2.5.2a'!AJ81+'WkB_1_2.5.2a'!AR81</f>
        <v>0</v>
      </c>
      <c r="M19" s="505">
        <f>'WkB_1_2.5.2a'!AC81+'WkB_1_2.5.2a'!AK81+'WkB_1_2.5.2a'!AS81</f>
        <v>0</v>
      </c>
    </row>
    <row r="20" spans="4:15" ht="14.25" x14ac:dyDescent="0.45">
      <c r="D20" s="500" t="s">
        <v>441</v>
      </c>
      <c r="E20" s="501" t="s">
        <v>434</v>
      </c>
      <c r="F20" s="502"/>
      <c r="G20" s="314">
        <f>'WkB_1_2.5.2a'!W82+'WkB_1_2.5.2a'!AE82+'WkB_1_2.5.2a'!AM82</f>
        <v>696442.72893680434</v>
      </c>
      <c r="H20" s="315">
        <f>'WkB_1_2.5.2a'!X82+'WkB_1_2.5.2a'!AF82+'WkB_1_2.5.2a'!AN82</f>
        <v>687033.68736259767</v>
      </c>
      <c r="I20" s="315">
        <f>'WkB_1_2.5.2a'!Y82+'WkB_1_2.5.2a'!AG82+'WkB_1_2.5.2a'!AO82</f>
        <v>82462.520555716808</v>
      </c>
      <c r="J20" s="315">
        <f>'WkB_1_2.5.2a'!Z82+'WkB_1_2.5.2a'!AH82+'WkB_1_2.5.2a'!AP82</f>
        <v>83272.660971920865</v>
      </c>
      <c r="K20" s="315">
        <f>'WkB_1_2.5.2a'!AA82+'WkB_1_2.5.2a'!AI82+'WkB_1_2.5.2a'!AQ82</f>
        <v>83667.890613426382</v>
      </c>
      <c r="L20" s="315">
        <f>'WkB_1_2.5.2a'!AB82+'WkB_1_2.5.2a'!AJ82+'WkB_1_2.5.2a'!AR82</f>
        <v>83905.987620804401</v>
      </c>
      <c r="M20" s="316">
        <f>'WkB_1_2.5.2a'!AC82+'WkB_1_2.5.2a'!AK82+'WkB_1_2.5.2a'!AS82</f>
        <v>84322.496054810472</v>
      </c>
    </row>
    <row r="21" spans="4:15" ht="14.25" x14ac:dyDescent="0.45">
      <c r="D21" s="500"/>
      <c r="E21" s="495" t="s">
        <v>442</v>
      </c>
      <c r="F21" s="496"/>
      <c r="G21" s="314">
        <f>'WkB_1_2.5.2a'!W83+'WkB_1_2.5.2a'!AE83+'WkB_1_2.5.2a'!AM83</f>
        <v>257338.71970765814</v>
      </c>
      <c r="H21" s="315">
        <f>'WkB_1_2.5.2a'!X83+'WkB_1_2.5.2a'!AF83+'WkB_1_2.5.2a'!AN83</f>
        <v>253862.03654078979</v>
      </c>
      <c r="I21" s="315">
        <f>'WkB_1_2.5.2a'!Y83+'WkB_1_2.5.2a'!AG83+'WkB_1_2.5.2a'!AO83</f>
        <v>0</v>
      </c>
      <c r="J21" s="315">
        <f>'WkB_1_2.5.2a'!Z83+'WkB_1_2.5.2a'!AH83+'WkB_1_2.5.2a'!AP83</f>
        <v>0</v>
      </c>
      <c r="K21" s="315">
        <f>'WkB_1_2.5.2a'!AA83+'WkB_1_2.5.2a'!AI83+'WkB_1_2.5.2a'!AQ83</f>
        <v>0</v>
      </c>
      <c r="L21" s="315">
        <f>'WkB_1_2.5.2a'!AB83+'WkB_1_2.5.2a'!AJ83+'WkB_1_2.5.2a'!AR83</f>
        <v>0</v>
      </c>
      <c r="M21" s="316">
        <f>'WkB_1_2.5.2a'!AC83+'WkB_1_2.5.2a'!AK83+'WkB_1_2.5.2a'!AS83</f>
        <v>0</v>
      </c>
    </row>
    <row r="22" spans="4:15" ht="14.25" x14ac:dyDescent="0.45">
      <c r="D22" s="506"/>
      <c r="E22" s="498" t="s">
        <v>443</v>
      </c>
      <c r="F22" s="499"/>
      <c r="G22" s="314">
        <f>'WkB_1_2.5.2a'!W84+'WkB_1_2.5.2a'!AE84+'WkB_1_2.5.2a'!AM84</f>
        <v>242017.65180067849</v>
      </c>
      <c r="H22" s="315">
        <f>'WkB_1_2.5.2a'!X84+'WkB_1_2.5.2a'!AF84+'WkB_1_2.5.2a'!AN84</f>
        <v>238747.95846787459</v>
      </c>
      <c r="I22" s="315">
        <f>'WkB_1_2.5.2a'!Y84+'WkB_1_2.5.2a'!AG84+'WkB_1_2.5.2a'!AO84</f>
        <v>0</v>
      </c>
      <c r="J22" s="315">
        <f>'WkB_1_2.5.2a'!Z84+'WkB_1_2.5.2a'!AH84+'WkB_1_2.5.2a'!AP84</f>
        <v>0</v>
      </c>
      <c r="K22" s="315">
        <f>'WkB_1_2.5.2a'!AA84+'WkB_1_2.5.2a'!AI84+'WkB_1_2.5.2a'!AQ84</f>
        <v>0</v>
      </c>
      <c r="L22" s="315">
        <f>'WkB_1_2.5.2a'!AB84+'WkB_1_2.5.2a'!AJ84+'WkB_1_2.5.2a'!AR84</f>
        <v>0</v>
      </c>
      <c r="M22" s="316">
        <f>'WkB_1_2.5.2a'!AC84+'WkB_1_2.5.2a'!AK84+'WkB_1_2.5.2a'!AS84</f>
        <v>0</v>
      </c>
    </row>
    <row r="23" spans="4:15" ht="14.25" x14ac:dyDescent="0.45">
      <c r="D23" s="500" t="s">
        <v>444</v>
      </c>
      <c r="E23" s="501" t="s">
        <v>433</v>
      </c>
      <c r="F23" s="502"/>
      <c r="G23" s="503">
        <f>'WkB_1_2.5.2a'!W85+'WkB_1_2.5.2a'!AE85+'WkB_1_2.5.2a'!AM85</f>
        <v>0</v>
      </c>
      <c r="H23" s="504">
        <f>'WkB_1_2.5.2a'!X85+'WkB_1_2.5.2a'!AF85+'WkB_1_2.5.2a'!AN85</f>
        <v>0</v>
      </c>
      <c r="I23" s="504">
        <f>'WkB_1_2.5.2a'!Y85+'WkB_1_2.5.2a'!AG85+'WkB_1_2.5.2a'!AO85</f>
        <v>0</v>
      </c>
      <c r="J23" s="504">
        <f>'WkB_1_2.5.2a'!Z85+'WkB_1_2.5.2a'!AH85+'WkB_1_2.5.2a'!AP85</f>
        <v>0</v>
      </c>
      <c r="K23" s="504">
        <f>'WkB_1_2.5.2a'!AA85+'WkB_1_2.5.2a'!AI85+'WkB_1_2.5.2a'!AQ85</f>
        <v>0</v>
      </c>
      <c r="L23" s="504">
        <f>'WkB_1_2.5.2a'!AB85+'WkB_1_2.5.2a'!AJ85+'WkB_1_2.5.2a'!AR85</f>
        <v>0</v>
      </c>
      <c r="M23" s="505">
        <f>'WkB_1_2.5.2a'!AC85+'WkB_1_2.5.2a'!AK85+'WkB_1_2.5.2a'!AS85</f>
        <v>0</v>
      </c>
    </row>
    <row r="24" spans="4:15" ht="14.25" x14ac:dyDescent="0.45">
      <c r="D24" s="500"/>
      <c r="E24" s="495" t="s">
        <v>445</v>
      </c>
      <c r="F24" s="496"/>
      <c r="G24" s="503">
        <f>'WkB_1_2.5.2a'!W86+'WkB_1_2.5.2a'!AE86+'WkB_1_2.5.2a'!AM86</f>
        <v>0</v>
      </c>
      <c r="H24" s="504">
        <f>'WkB_1_2.5.2a'!X86+'WkB_1_2.5.2a'!AF86+'WkB_1_2.5.2a'!AN86</f>
        <v>0</v>
      </c>
      <c r="I24" s="504">
        <f>'WkB_1_2.5.2a'!Y86+'WkB_1_2.5.2a'!AG86+'WkB_1_2.5.2a'!AO86</f>
        <v>0</v>
      </c>
      <c r="J24" s="504">
        <f>'WkB_1_2.5.2a'!Z86+'WkB_1_2.5.2a'!AH86+'WkB_1_2.5.2a'!AP86</f>
        <v>0</v>
      </c>
      <c r="K24" s="504">
        <f>'WkB_1_2.5.2a'!AA86+'WkB_1_2.5.2a'!AI86+'WkB_1_2.5.2a'!AQ86</f>
        <v>0</v>
      </c>
      <c r="L24" s="504">
        <f>'WkB_1_2.5.2a'!AB86+'WkB_1_2.5.2a'!AJ86+'WkB_1_2.5.2a'!AR86</f>
        <v>0</v>
      </c>
      <c r="M24" s="505">
        <f>'WkB_1_2.5.2a'!AC86+'WkB_1_2.5.2a'!AK86+'WkB_1_2.5.2a'!AS86</f>
        <v>0</v>
      </c>
    </row>
    <row r="25" spans="4:15" ht="14.65" thickBot="1" x14ac:dyDescent="0.5">
      <c r="D25" s="507"/>
      <c r="E25" s="508" t="s">
        <v>446</v>
      </c>
      <c r="F25" s="509"/>
      <c r="G25" s="510">
        <f>'WkB_1_2.5.2a'!W87+'WkB_1_2.5.2a'!AE87+'WkB_1_2.5.2a'!AM87</f>
        <v>0</v>
      </c>
      <c r="H25" s="511">
        <f>'WkB_1_2.5.2a'!X87+'WkB_1_2.5.2a'!AF87+'WkB_1_2.5.2a'!AN87</f>
        <v>0</v>
      </c>
      <c r="I25" s="511">
        <f>'WkB_1_2.5.2a'!Y87+'WkB_1_2.5.2a'!AG87+'WkB_1_2.5.2a'!AO87</f>
        <v>0</v>
      </c>
      <c r="J25" s="511">
        <f>'WkB_1_2.5.2a'!Z87+'WkB_1_2.5.2a'!AH87+'WkB_1_2.5.2a'!AP87</f>
        <v>0</v>
      </c>
      <c r="K25" s="511">
        <f>'WkB_1_2.5.2a'!AA87+'WkB_1_2.5.2a'!AI87+'WkB_1_2.5.2a'!AQ87</f>
        <v>0</v>
      </c>
      <c r="L25" s="511">
        <f>'WkB_1_2.5.2a'!AB87+'WkB_1_2.5.2a'!AJ87+'WkB_1_2.5.2a'!AR87</f>
        <v>0</v>
      </c>
      <c r="M25" s="512">
        <f>'WkB_1_2.5.2a'!AC87+'WkB_1_2.5.2a'!AK87+'WkB_1_2.5.2a'!AS87</f>
        <v>0</v>
      </c>
    </row>
    <row r="26" spans="4:15" ht="11.25" customHeight="1" x14ac:dyDescent="0.3"/>
    <row r="27" spans="4:15" ht="12.75" x14ac:dyDescent="0.3">
      <c r="D27" s="6" t="s">
        <v>396</v>
      </c>
      <c r="G27" s="118">
        <f>SUM(G12:G25)</f>
        <v>6547085.8435345665</v>
      </c>
      <c r="H27" s="119">
        <f t="shared" ref="H27:M27" si="0">SUM(H12:H25)</f>
        <v>6552611.0817142036</v>
      </c>
      <c r="I27" s="120">
        <f t="shared" si="0"/>
        <v>186888.17166687499</v>
      </c>
      <c r="J27" s="118">
        <f t="shared" si="0"/>
        <v>189508.91631946573</v>
      </c>
      <c r="K27" s="118">
        <f t="shared" si="0"/>
        <v>191216.11083199084</v>
      </c>
      <c r="L27" s="118">
        <f t="shared" si="0"/>
        <v>192590.20850469571</v>
      </c>
      <c r="M27" s="118">
        <f t="shared" si="0"/>
        <v>194400.8259038004</v>
      </c>
      <c r="O27" s="6" t="s">
        <v>750</v>
      </c>
    </row>
    <row r="28" spans="4:15" ht="11.25" customHeight="1" x14ac:dyDescent="0.3"/>
    <row r="29" spans="4:15" ht="12.75" x14ac:dyDescent="0.3">
      <c r="D29" s="351" t="s">
        <v>744</v>
      </c>
      <c r="G29" s="118">
        <f>SUM('WkB_1_2.5.2a'!W74:W87)</f>
        <v>3666234.1876728726</v>
      </c>
      <c r="H29" s="119">
        <f>SUM('WkB_1_2.5.2a'!X74:X87)</f>
        <v>3671759.4258525101</v>
      </c>
      <c r="I29" s="120">
        <f>SUM('WkB_1_2.5.2a'!Y74:Y87)</f>
        <v>186888.17166687499</v>
      </c>
      <c r="J29" s="118">
        <f>SUM('WkB_1_2.5.2a'!Z74:Z87)</f>
        <v>189508.91631946573</v>
      </c>
      <c r="K29" s="118">
        <f>SUM('WkB_1_2.5.2a'!AA74:AA87)</f>
        <v>191216.11083199084</v>
      </c>
      <c r="L29" s="118">
        <f>SUM('WkB_1_2.5.2a'!AB74:AB87)</f>
        <v>192590.20850469571</v>
      </c>
      <c r="M29" s="118">
        <f>SUM('WkB_1_2.5.2a'!AC74:AC87)</f>
        <v>194400.8259038004</v>
      </c>
      <c r="O29" s="6"/>
    </row>
    <row r="30" spans="4:15" ht="12.75" x14ac:dyDescent="0.3">
      <c r="D30" s="351" t="s">
        <v>745</v>
      </c>
      <c r="G30" s="118">
        <f>SUM('WkB_1_2.5.2a'!AE74:AE87)</f>
        <v>2880851.6558616934</v>
      </c>
      <c r="H30" s="119">
        <f>SUM('WkB_1_2.5.2a'!AF74:AF87)</f>
        <v>2880851.655861693</v>
      </c>
      <c r="I30" s="120">
        <f>SUM('WkB_1_2.5.2a'!AG74:AG87)</f>
        <v>0</v>
      </c>
      <c r="J30" s="118">
        <f>SUM('WkB_1_2.5.2a'!AH74:AH87)</f>
        <v>0</v>
      </c>
      <c r="K30" s="118">
        <f>SUM('WkB_1_2.5.2a'!AI74:AI87)</f>
        <v>0</v>
      </c>
      <c r="L30" s="118">
        <f>SUM('WkB_1_2.5.2a'!AJ74:AJ87)</f>
        <v>0</v>
      </c>
      <c r="M30" s="118">
        <f>SUM('WkB_1_2.5.2a'!AK74:AK87)</f>
        <v>0</v>
      </c>
      <c r="O30" s="6"/>
    </row>
    <row r="31" spans="4:15" ht="12.75" x14ac:dyDescent="0.3">
      <c r="D31" s="6" t="s">
        <v>700</v>
      </c>
      <c r="G31" s="118">
        <f>SUM(G29:G30)</f>
        <v>6547085.8435345665</v>
      </c>
      <c r="H31" s="119">
        <f t="shared" ref="H31:M31" si="1">SUM(H29:H30)</f>
        <v>6552611.0817142036</v>
      </c>
      <c r="I31" s="120">
        <f t="shared" si="1"/>
        <v>186888.17166687499</v>
      </c>
      <c r="J31" s="118">
        <f t="shared" si="1"/>
        <v>189508.91631946573</v>
      </c>
      <c r="K31" s="118">
        <f t="shared" si="1"/>
        <v>191216.11083199084</v>
      </c>
      <c r="L31" s="118">
        <f t="shared" si="1"/>
        <v>192590.20850469571</v>
      </c>
      <c r="M31" s="118">
        <f t="shared" si="1"/>
        <v>194400.8259038004</v>
      </c>
    </row>
    <row r="32" spans="4:15" ht="11.25" customHeight="1" x14ac:dyDescent="0.3"/>
    <row r="33" spans="1:13" ht="12.75" x14ac:dyDescent="0.3">
      <c r="D33" s="6" t="s">
        <v>695</v>
      </c>
      <c r="G33" s="115">
        <v>6547085.8435345665</v>
      </c>
      <c r="H33" s="116">
        <v>6552611.0817142036</v>
      </c>
      <c r="I33" s="117">
        <v>186888.17166687499</v>
      </c>
      <c r="J33" s="115">
        <v>189508.91631946573</v>
      </c>
      <c r="K33" s="115">
        <v>191216.11083199084</v>
      </c>
      <c r="L33" s="115">
        <v>192590.20850469571</v>
      </c>
      <c r="M33" s="115">
        <v>194400.8259038004</v>
      </c>
    </row>
    <row r="34" spans="1:13" ht="12.75" x14ac:dyDescent="0.3">
      <c r="A34" s="41">
        <f>IF(SUM($G34:$M34)&gt;0,1,0)</f>
        <v>0</v>
      </c>
      <c r="D34" s="6" t="s">
        <v>84</v>
      </c>
      <c r="G34" s="62">
        <f>IF(OR(ROUND(G27-G31,3)&lt;&gt;0,ROUND(G27-G33,3)&lt;&gt;0),1,0)</f>
        <v>0</v>
      </c>
      <c r="H34" s="62">
        <f t="shared" ref="H34:M34" si="2">IF(OR(ROUND(H27-H31,3)&lt;&gt;0,ROUND(H27-H33,3)&lt;&gt;0),1,0)</f>
        <v>0</v>
      </c>
      <c r="I34" s="62">
        <f t="shared" si="2"/>
        <v>0</v>
      </c>
      <c r="J34" s="62">
        <f t="shared" si="2"/>
        <v>0</v>
      </c>
      <c r="K34" s="62">
        <f t="shared" si="2"/>
        <v>0</v>
      </c>
      <c r="L34" s="62">
        <f t="shared" si="2"/>
        <v>0</v>
      </c>
      <c r="M34" s="62">
        <f t="shared" si="2"/>
        <v>0</v>
      </c>
    </row>
    <row r="35" spans="1:13" ht="11.25" customHeight="1" x14ac:dyDescent="0.3"/>
    <row r="36" spans="1:13" ht="12.75" x14ac:dyDescent="0.3">
      <c r="D36" s="6" t="s">
        <v>840</v>
      </c>
      <c r="G36" s="115">
        <v>6346986.6178648416</v>
      </c>
      <c r="H36" s="116">
        <v>13874355.138733221</v>
      </c>
      <c r="I36" s="117">
        <v>4906626.2866652757</v>
      </c>
      <c r="J36" s="115">
        <v>254594.94609887485</v>
      </c>
      <c r="K36" s="115">
        <v>256888.46929207337</v>
      </c>
      <c r="L36" s="115">
        <v>258734.49495519919</v>
      </c>
      <c r="M36" s="115">
        <v>261166.96118467019</v>
      </c>
    </row>
    <row r="37" spans="1:13" ht="12.75" x14ac:dyDescent="0.3">
      <c r="D37" s="6" t="s">
        <v>843</v>
      </c>
      <c r="G37" s="115">
        <v>-1542235.4899002656</v>
      </c>
      <c r="H37" s="116">
        <v>-2810198.7604839164</v>
      </c>
      <c r="I37" s="117">
        <v>-1254356.4964808975</v>
      </c>
      <c r="J37" s="115">
        <v>-65086.029779409073</v>
      </c>
      <c r="K37" s="115">
        <v>-65672.358460082542</v>
      </c>
      <c r="L37" s="115">
        <v>-66144.286450503438</v>
      </c>
      <c r="M37" s="115">
        <v>-66766.135280869741</v>
      </c>
    </row>
    <row r="38" spans="1:13" ht="12.75" x14ac:dyDescent="0.3">
      <c r="D38" s="6" t="s">
        <v>841</v>
      </c>
      <c r="G38" s="115">
        <v>-1138516.9402917016</v>
      </c>
      <c r="H38" s="116">
        <v>-7392396.9523967924</v>
      </c>
      <c r="I38" s="117">
        <v>-3465381.6185175036</v>
      </c>
      <c r="J38" s="115">
        <v>0</v>
      </c>
      <c r="K38" s="115">
        <v>0</v>
      </c>
      <c r="L38" s="115">
        <v>0</v>
      </c>
      <c r="M38" s="115">
        <v>0</v>
      </c>
    </row>
    <row r="39" spans="1:13" ht="12.75" x14ac:dyDescent="0.3">
      <c r="D39" s="6" t="s">
        <v>842</v>
      </c>
      <c r="G39" s="118">
        <f>SUM(G36:G38)</f>
        <v>3666234.187672874</v>
      </c>
      <c r="H39" s="119">
        <f t="shared" ref="H39:M39" si="3">SUM(H36:H38)</f>
        <v>3671759.425852512</v>
      </c>
      <c r="I39" s="120">
        <f t="shared" si="3"/>
        <v>186888.17166687455</v>
      </c>
      <c r="J39" s="118">
        <f t="shared" si="3"/>
        <v>189508.91631946579</v>
      </c>
      <c r="K39" s="118">
        <f t="shared" si="3"/>
        <v>191216.11083199084</v>
      </c>
      <c r="L39" s="118">
        <f t="shared" si="3"/>
        <v>192590.20850469574</v>
      </c>
      <c r="M39" s="118">
        <f t="shared" si="3"/>
        <v>194400.82590380043</v>
      </c>
    </row>
    <row r="40" spans="1:13" ht="11.25" customHeight="1" x14ac:dyDescent="0.3"/>
    <row r="41" spans="1:13" ht="11.25" customHeight="1" x14ac:dyDescent="0.3">
      <c r="A41" s="41">
        <f>IF(SUM($G41:$M41)&gt;0,1,0)</f>
        <v>0</v>
      </c>
      <c r="D41" s="6" t="s">
        <v>84</v>
      </c>
      <c r="G41" s="62">
        <f>IF(ROUND(G29-G39,3)&lt;&gt;0,1,0)</f>
        <v>0</v>
      </c>
      <c r="H41" s="62">
        <f t="shared" ref="H41:M41" si="4">IF(ROUND(H29-H39,3)&lt;&gt;0,1,0)</f>
        <v>0</v>
      </c>
      <c r="I41" s="62">
        <f t="shared" si="4"/>
        <v>0</v>
      </c>
      <c r="J41" s="62">
        <f t="shared" si="4"/>
        <v>0</v>
      </c>
      <c r="K41" s="62">
        <f t="shared" si="4"/>
        <v>0</v>
      </c>
      <c r="L41" s="62">
        <f t="shared" si="4"/>
        <v>0</v>
      </c>
      <c r="M41" s="62">
        <f t="shared" si="4"/>
        <v>0</v>
      </c>
    </row>
    <row r="42" spans="1:13" ht="11.25" customHeight="1" x14ac:dyDescent="0.3"/>
    <row r="43" spans="1:13" s="46" customFormat="1" ht="15" x14ac:dyDescent="0.3">
      <c r="B43" s="46" t="s">
        <v>16</v>
      </c>
    </row>
  </sheetData>
  <mergeCells count="2">
    <mergeCell ref="D10:D11"/>
    <mergeCell ref="E10:F11"/>
  </mergeCells>
  <conditionalFormatting sqref="B3">
    <cfRule type="cellIs" dxfId="570" priority="4" operator="notEqual">
      <formula>"No Errors Found"</formula>
    </cfRule>
  </conditionalFormatting>
  <conditionalFormatting sqref="K12:K25">
    <cfRule type="expression" dxfId="569" priority="3">
      <formula>(dms_FRCPlength_Num)&lt;3</formula>
    </cfRule>
  </conditionalFormatting>
  <conditionalFormatting sqref="L12:L25">
    <cfRule type="expression" dxfId="568" priority="2">
      <formula>(dms_FRCPlength_Num)&lt;4</formula>
    </cfRule>
  </conditionalFormatting>
  <conditionalFormatting sqref="M12:M25">
    <cfRule type="expression" dxfId="567" priority="1">
      <formula>(dms_FRCPlength_Num)&lt;5</formula>
    </cfRule>
  </conditionalFormatting>
  <hyperlinks>
    <hyperlink ref="B2:E2" location="TOC!A1" display="TOC!A1" xr:uid="{5F28DF8B-7C81-48B2-A0E2-AC7FBDFB997D}"/>
  </hyperlink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CD7E-16BB-428E-8411-4420FC94E15B}">
  <sheetPr codeName="Sheet21">
    <tabColor theme="4" tint="0.79998168889431442"/>
  </sheetPr>
  <dimension ref="A1:L7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2" x14ac:dyDescent="0.3"/>
  <cols>
    <col min="1" max="1" width="4" style="45" customWidth="1"/>
    <col min="2" max="2" width="7.58203125" style="45" customWidth="1"/>
    <col min="3" max="3" width="41" style="45" customWidth="1"/>
    <col min="4" max="4" width="61.25" style="45" customWidth="1"/>
    <col min="5" max="11" width="17.6640625" style="45" customWidth="1"/>
    <col min="12" max="13" width="15.83203125" style="45" customWidth="1"/>
    <col min="14" max="31" width="10.6640625" style="45" customWidth="1"/>
    <col min="32" max="16384" width="9.33203125" style="45"/>
  </cols>
  <sheetData>
    <row r="1" spans="1:12" ht="18.75" x14ac:dyDescent="0.3">
      <c r="A1" s="41">
        <f>IF(SUM($A3:$A72)&gt;0,1,0)</f>
        <v>0</v>
      </c>
      <c r="B1" s="3" t="s">
        <v>1094</v>
      </c>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tr">
        <f>'WkB_1_2.1.1'!$C$6</f>
        <v>Output - RIN template</v>
      </c>
    </row>
    <row r="7" spans="1:12" ht="11.25" customHeight="1" thickBot="1" x14ac:dyDescent="0.35"/>
    <row r="8" spans="1:12" s="724" customFormat="1" ht="25.5" customHeight="1" thickBot="1" x14ac:dyDescent="0.4">
      <c r="A8" s="723"/>
      <c r="C8" s="325" t="s">
        <v>556</v>
      </c>
      <c r="D8" s="325"/>
      <c r="E8" s="325"/>
      <c r="F8" s="325"/>
      <c r="G8" s="325"/>
      <c r="H8" s="325"/>
      <c r="I8" s="325"/>
      <c r="J8" s="325"/>
      <c r="K8" s="325"/>
      <c r="L8" s="325"/>
    </row>
    <row r="9" spans="1:12" customFormat="1" ht="15.4" outlineLevel="1" thickBot="1" x14ac:dyDescent="0.35">
      <c r="B9" s="45"/>
      <c r="C9" s="426" t="s">
        <v>581</v>
      </c>
      <c r="D9" s="427"/>
      <c r="E9" s="427"/>
      <c r="F9" s="427"/>
      <c r="G9" s="427"/>
      <c r="H9" s="427"/>
      <c r="I9" s="427"/>
      <c r="J9" s="427"/>
      <c r="K9" s="427"/>
      <c r="L9" s="428"/>
    </row>
    <row r="10" spans="1:12" customFormat="1" ht="14.25" outlineLevel="2" thickBot="1" x14ac:dyDescent="0.35">
      <c r="B10" s="45"/>
      <c r="E10" s="271"/>
      <c r="F10" s="782" t="s">
        <v>582</v>
      </c>
      <c r="G10" s="782"/>
      <c r="H10" s="782"/>
      <c r="I10" s="782"/>
      <c r="J10" s="782"/>
      <c r="K10" s="782"/>
      <c r="L10" s="783"/>
    </row>
    <row r="11" spans="1:12" customFormat="1" ht="13.5" outlineLevel="2" thickBot="1" x14ac:dyDescent="0.35">
      <c r="B11" s="45"/>
      <c r="C11" s="198"/>
      <c r="D11" s="198"/>
      <c r="E11" s="199"/>
      <c r="F11" s="766" t="s">
        <v>70</v>
      </c>
      <c r="G11" s="767" t="s">
        <v>71</v>
      </c>
      <c r="H11" s="768" t="s">
        <v>72</v>
      </c>
      <c r="I11" s="768" t="s">
        <v>73</v>
      </c>
      <c r="J11" s="768" t="s">
        <v>74</v>
      </c>
      <c r="K11" s="768" t="s">
        <v>82</v>
      </c>
      <c r="L11" s="769" t="s">
        <v>243</v>
      </c>
    </row>
    <row r="12" spans="1:12" customFormat="1" ht="14.25" outlineLevel="2" x14ac:dyDescent="0.45">
      <c r="A12" s="723"/>
      <c r="B12" s="45"/>
      <c r="C12" s="491" t="s">
        <v>432</v>
      </c>
      <c r="D12" s="492" t="s">
        <v>433</v>
      </c>
      <c r="E12" s="493"/>
      <c r="F12" s="311">
        <v>196.64567955596092</v>
      </c>
      <c r="G12" s="312">
        <v>198.56104706154454</v>
      </c>
      <c r="H12" s="312">
        <v>200.47641456712816</v>
      </c>
      <c r="I12" s="312">
        <v>202.39178207271226</v>
      </c>
      <c r="J12" s="312">
        <v>204.30714957829588</v>
      </c>
      <c r="K12" s="312">
        <v>206.2225170838795</v>
      </c>
      <c r="L12" s="313">
        <v>208.13788458946311</v>
      </c>
    </row>
    <row r="13" spans="1:12" customFormat="1" ht="14.25" outlineLevel="2" x14ac:dyDescent="0.45">
      <c r="A13" s="723"/>
      <c r="B13" s="45"/>
      <c r="C13" s="494"/>
      <c r="D13" s="495" t="s">
        <v>434</v>
      </c>
      <c r="E13" s="496"/>
      <c r="F13" s="314">
        <v>4.4226786326337448</v>
      </c>
      <c r="G13" s="315">
        <v>4.4345068083142296</v>
      </c>
      <c r="H13" s="315">
        <v>4.4463349839947144</v>
      </c>
      <c r="I13" s="315">
        <v>4.4581631596752018</v>
      </c>
      <c r="J13" s="315">
        <v>4.4699913353556866</v>
      </c>
      <c r="K13" s="315">
        <v>4.4818195110361749</v>
      </c>
      <c r="L13" s="316">
        <v>4.4936476867166597</v>
      </c>
    </row>
    <row r="14" spans="1:12" customFormat="1" ht="14.25" outlineLevel="2" x14ac:dyDescent="0.45">
      <c r="A14" s="723"/>
      <c r="B14" s="45"/>
      <c r="C14" s="497"/>
      <c r="D14" s="498" t="s">
        <v>435</v>
      </c>
      <c r="E14" s="499"/>
      <c r="F14" s="314">
        <v>12</v>
      </c>
      <c r="G14" s="315">
        <v>12</v>
      </c>
      <c r="H14" s="315">
        <v>12</v>
      </c>
      <c r="I14" s="315">
        <v>12</v>
      </c>
      <c r="J14" s="315">
        <v>12</v>
      </c>
      <c r="K14" s="315">
        <v>12</v>
      </c>
      <c r="L14" s="316">
        <v>12</v>
      </c>
    </row>
    <row r="15" spans="1:12" customFormat="1" ht="14.25" outlineLevel="2" x14ac:dyDescent="0.45">
      <c r="A15" s="723"/>
      <c r="B15" s="45"/>
      <c r="C15" s="500" t="s">
        <v>436</v>
      </c>
      <c r="D15" s="501" t="s">
        <v>433</v>
      </c>
      <c r="E15" s="502"/>
      <c r="F15" s="503">
        <v>26.325850089187895</v>
      </c>
      <c r="G15" s="504">
        <v>27.099647761399581</v>
      </c>
      <c r="H15" s="504">
        <v>27.893703821736892</v>
      </c>
      <c r="I15" s="504">
        <v>28.708558343369077</v>
      </c>
      <c r="J15" s="504">
        <v>29.544766019906433</v>
      </c>
      <c r="K15" s="504">
        <v>30.40289656620655</v>
      </c>
      <c r="L15" s="505">
        <v>31.283535130279233</v>
      </c>
    </row>
    <row r="16" spans="1:12" customFormat="1" ht="14.25" outlineLevel="2" x14ac:dyDescent="0.45">
      <c r="A16" s="723"/>
      <c r="B16" s="45"/>
      <c r="C16" s="500"/>
      <c r="D16" s="495" t="s">
        <v>437</v>
      </c>
      <c r="E16" s="496"/>
      <c r="F16" s="503">
        <v>30.047525102874356</v>
      </c>
      <c r="G16" s="504">
        <v>29.085203945097682</v>
      </c>
      <c r="H16" s="504">
        <v>28.122882787321011</v>
      </c>
      <c r="I16" s="504">
        <v>27.160561629543942</v>
      </c>
      <c r="J16" s="504">
        <v>26.198240471767271</v>
      </c>
      <c r="K16" s="504">
        <v>25.235919313990593</v>
      </c>
      <c r="L16" s="505">
        <v>24.273598156213922</v>
      </c>
    </row>
    <row r="17" spans="1:12" customFormat="1" ht="14.25" outlineLevel="2" x14ac:dyDescent="0.45">
      <c r="A17" s="723"/>
      <c r="B17" s="45"/>
      <c r="C17" s="500"/>
      <c r="D17" s="495" t="s">
        <v>438</v>
      </c>
      <c r="E17" s="496"/>
      <c r="F17" s="503">
        <v>2.654563330894244</v>
      </c>
      <c r="G17" s="504">
        <v>2.6473457066328807</v>
      </c>
      <c r="H17" s="504">
        <v>2.6399391215631769</v>
      </c>
      <c r="I17" s="504">
        <v>2.6323385381341722</v>
      </c>
      <c r="J17" s="504">
        <v>2.624538782422237</v>
      </c>
      <c r="K17" s="504">
        <v>2.6165345403925455</v>
      </c>
      <c r="L17" s="505">
        <v>2.6083203540570183</v>
      </c>
    </row>
    <row r="18" spans="1:12" customFormat="1" ht="14.25" outlineLevel="2" x14ac:dyDescent="0.45">
      <c r="A18" s="723"/>
      <c r="B18" s="45"/>
      <c r="C18" s="500"/>
      <c r="D18" s="495" t="s">
        <v>439</v>
      </c>
      <c r="E18" s="496"/>
      <c r="F18" s="503">
        <v>3.022035422932686</v>
      </c>
      <c r="G18" s="504">
        <v>3.4732332036731339</v>
      </c>
      <c r="H18" s="504">
        <v>3.9244309844134726</v>
      </c>
      <c r="I18" s="504">
        <v>4.3756287651539196</v>
      </c>
      <c r="J18" s="504">
        <v>4.8268265458942583</v>
      </c>
      <c r="K18" s="504">
        <v>5.2780243266347071</v>
      </c>
      <c r="L18" s="505">
        <v>5.7292221073751541</v>
      </c>
    </row>
    <row r="19" spans="1:12" customFormat="1" ht="14.25" outlineLevel="2" x14ac:dyDescent="0.45">
      <c r="A19" s="723"/>
      <c r="B19" s="45"/>
      <c r="C19" s="506"/>
      <c r="D19" s="498" t="s">
        <v>440</v>
      </c>
      <c r="E19" s="499"/>
      <c r="F19" s="503">
        <v>0</v>
      </c>
      <c r="G19" s="504">
        <v>0</v>
      </c>
      <c r="H19" s="504">
        <v>0</v>
      </c>
      <c r="I19" s="504">
        <v>0</v>
      </c>
      <c r="J19" s="504">
        <v>0</v>
      </c>
      <c r="K19" s="504">
        <v>0</v>
      </c>
      <c r="L19" s="505">
        <v>0</v>
      </c>
    </row>
    <row r="20" spans="1:12" customFormat="1" ht="14.25" outlineLevel="2" x14ac:dyDescent="0.45">
      <c r="A20" s="723"/>
      <c r="B20" s="45"/>
      <c r="C20" s="500" t="s">
        <v>441</v>
      </c>
      <c r="D20" s="501" t="s">
        <v>434</v>
      </c>
      <c r="E20" s="502"/>
      <c r="F20" s="314">
        <v>290</v>
      </c>
      <c r="G20" s="315">
        <v>290</v>
      </c>
      <c r="H20" s="315">
        <v>290</v>
      </c>
      <c r="I20" s="315">
        <v>290</v>
      </c>
      <c r="J20" s="315">
        <v>290</v>
      </c>
      <c r="K20" s="315">
        <v>290</v>
      </c>
      <c r="L20" s="316">
        <v>290</v>
      </c>
    </row>
    <row r="21" spans="1:12" customFormat="1" ht="14.25" outlineLevel="2" x14ac:dyDescent="0.45">
      <c r="A21" s="723"/>
      <c r="B21" s="45"/>
      <c r="C21" s="500"/>
      <c r="D21" s="495" t="s">
        <v>442</v>
      </c>
      <c r="E21" s="496"/>
      <c r="F21" s="314">
        <v>3</v>
      </c>
      <c r="G21" s="315">
        <v>3</v>
      </c>
      <c r="H21" s="315">
        <v>3</v>
      </c>
      <c r="I21" s="315">
        <v>3</v>
      </c>
      <c r="J21" s="315">
        <v>3</v>
      </c>
      <c r="K21" s="315">
        <v>3</v>
      </c>
      <c r="L21" s="316">
        <v>3</v>
      </c>
    </row>
    <row r="22" spans="1:12" customFormat="1" ht="14.25" outlineLevel="2" x14ac:dyDescent="0.45">
      <c r="A22" s="723"/>
      <c r="B22" s="45"/>
      <c r="C22" s="506"/>
      <c r="D22" s="498" t="s">
        <v>443</v>
      </c>
      <c r="E22" s="499"/>
      <c r="F22" s="314">
        <v>3</v>
      </c>
      <c r="G22" s="315">
        <v>3</v>
      </c>
      <c r="H22" s="315">
        <v>3</v>
      </c>
      <c r="I22" s="315">
        <v>3</v>
      </c>
      <c r="J22" s="315">
        <v>3</v>
      </c>
      <c r="K22" s="315">
        <v>3</v>
      </c>
      <c r="L22" s="316">
        <v>3</v>
      </c>
    </row>
    <row r="23" spans="1:12" customFormat="1" ht="14.25" outlineLevel="2" x14ac:dyDescent="0.45">
      <c r="A23" s="723"/>
      <c r="B23" s="45"/>
      <c r="C23" s="500" t="s">
        <v>444</v>
      </c>
      <c r="D23" s="501" t="s">
        <v>433</v>
      </c>
      <c r="E23" s="502"/>
      <c r="F23" s="503">
        <v>2774.5576281753874</v>
      </c>
      <c r="G23" s="504">
        <v>2915.8927909858803</v>
      </c>
      <c r="H23" s="504">
        <v>3063.1994682198401</v>
      </c>
      <c r="I23" s="504">
        <v>3215.7992451267346</v>
      </c>
      <c r="J23" s="504">
        <v>3372.9335446245177</v>
      </c>
      <c r="K23" s="504">
        <v>3533.226134246876</v>
      </c>
      <c r="L23" s="505">
        <v>3695.5127317620963</v>
      </c>
    </row>
    <row r="24" spans="1:12" customFormat="1" ht="14.25" outlineLevel="2" x14ac:dyDescent="0.45">
      <c r="A24" s="723"/>
      <c r="B24" s="45"/>
      <c r="C24" s="500"/>
      <c r="D24" s="495" t="s">
        <v>445</v>
      </c>
      <c r="E24" s="496"/>
      <c r="F24" s="503">
        <v>0</v>
      </c>
      <c r="G24" s="504">
        <v>0</v>
      </c>
      <c r="H24" s="504">
        <v>0</v>
      </c>
      <c r="I24" s="504">
        <v>0</v>
      </c>
      <c r="J24" s="504">
        <v>0</v>
      </c>
      <c r="K24" s="504">
        <v>0</v>
      </c>
      <c r="L24" s="505">
        <v>0</v>
      </c>
    </row>
    <row r="25" spans="1:12" customFormat="1" ht="14.65" outlineLevel="2" thickBot="1" x14ac:dyDescent="0.5">
      <c r="A25" s="723"/>
      <c r="B25" s="45"/>
      <c r="C25" s="507"/>
      <c r="D25" s="508" t="s">
        <v>446</v>
      </c>
      <c r="E25" s="509"/>
      <c r="F25" s="510">
        <v>0</v>
      </c>
      <c r="G25" s="511">
        <v>0</v>
      </c>
      <c r="H25" s="511">
        <v>0</v>
      </c>
      <c r="I25" s="511">
        <v>0</v>
      </c>
      <c r="J25" s="511">
        <v>0</v>
      </c>
      <c r="K25" s="511">
        <v>0</v>
      </c>
      <c r="L25" s="512">
        <v>0</v>
      </c>
    </row>
    <row r="26" spans="1:12" customFormat="1" ht="13.5" outlineLevel="1" x14ac:dyDescent="0.35">
      <c r="A26" s="723"/>
      <c r="B26" s="45"/>
      <c r="L26" s="732"/>
    </row>
    <row r="27" spans="1:12" ht="12.75" x14ac:dyDescent="0.3">
      <c r="C27" s="6" t="s">
        <v>695</v>
      </c>
      <c r="F27" s="115">
        <v>3345.6759603098712</v>
      </c>
      <c r="G27" s="116">
        <v>3489.1937754725423</v>
      </c>
      <c r="H27" s="117">
        <v>3638.7031744859978</v>
      </c>
      <c r="I27" s="115">
        <v>3793.5262776353229</v>
      </c>
      <c r="J27" s="115">
        <v>3952.9050573581594</v>
      </c>
      <c r="K27" s="115">
        <v>4115.4638455890163</v>
      </c>
      <c r="L27" s="115">
        <v>4280.0389397862018</v>
      </c>
    </row>
    <row r="28" spans="1:12" ht="12.75" x14ac:dyDescent="0.3">
      <c r="A28" s="41">
        <f>IF(SUM($F28:$L28)&gt;0,1,0)</f>
        <v>0</v>
      </c>
      <c r="C28" s="6" t="s">
        <v>822</v>
      </c>
      <c r="F28" s="62">
        <f>IF(ROUND(SUM(F12:F25)-F27,3)&lt;&gt;0,1,0)</f>
        <v>0</v>
      </c>
      <c r="G28" s="62">
        <f t="shared" ref="G28:L28" si="0">IF(ROUND(SUM(G12:G25)-G27,3)&lt;&gt;0,1,0)</f>
        <v>0</v>
      </c>
      <c r="H28" s="62">
        <f t="shared" si="0"/>
        <v>0</v>
      </c>
      <c r="I28" s="62">
        <f t="shared" si="0"/>
        <v>0</v>
      </c>
      <c r="J28" s="62">
        <f t="shared" si="0"/>
        <v>0</v>
      </c>
      <c r="K28" s="62">
        <f t="shared" si="0"/>
        <v>0</v>
      </c>
      <c r="L28" s="62">
        <f t="shared" si="0"/>
        <v>0</v>
      </c>
    </row>
    <row r="29" spans="1:12" customFormat="1" ht="13.9" outlineLevel="1" thickBot="1" x14ac:dyDescent="0.4">
      <c r="A29" s="723"/>
      <c r="B29" s="45"/>
      <c r="L29" s="732"/>
    </row>
    <row r="30" spans="1:12" customFormat="1" ht="15.4" outlineLevel="1" thickBot="1" x14ac:dyDescent="0.35">
      <c r="B30" s="45"/>
      <c r="C30" s="426" t="s">
        <v>583</v>
      </c>
      <c r="D30" s="427"/>
      <c r="E30" s="427"/>
      <c r="F30" s="427"/>
      <c r="G30" s="427"/>
      <c r="H30" s="427"/>
      <c r="I30" s="427"/>
      <c r="J30" s="427"/>
      <c r="K30" s="427"/>
      <c r="L30" s="428"/>
    </row>
    <row r="31" spans="1:12" customFormat="1" ht="14.25" outlineLevel="2" thickBot="1" x14ac:dyDescent="0.35">
      <c r="B31" s="45"/>
      <c r="E31" s="271"/>
      <c r="F31" s="782" t="s">
        <v>582</v>
      </c>
      <c r="G31" s="782"/>
      <c r="H31" s="782"/>
      <c r="I31" s="782"/>
      <c r="J31" s="782"/>
      <c r="K31" s="782"/>
      <c r="L31" s="783"/>
    </row>
    <row r="32" spans="1:12" customFormat="1" ht="13.5" outlineLevel="2" thickBot="1" x14ac:dyDescent="0.35">
      <c r="B32" s="45"/>
      <c r="C32" s="198"/>
      <c r="D32" s="198"/>
      <c r="E32" s="199"/>
      <c r="F32" s="766" t="s">
        <v>70</v>
      </c>
      <c r="G32" s="767" t="s">
        <v>71</v>
      </c>
      <c r="H32" s="768" t="s">
        <v>72</v>
      </c>
      <c r="I32" s="768" t="s">
        <v>73</v>
      </c>
      <c r="J32" s="768" t="s">
        <v>74</v>
      </c>
      <c r="K32" s="768" t="s">
        <v>82</v>
      </c>
      <c r="L32" s="769" t="s">
        <v>243</v>
      </c>
    </row>
    <row r="33" spans="1:12" customFormat="1" ht="14.25" outlineLevel="2" x14ac:dyDescent="0.45">
      <c r="A33" s="723"/>
      <c r="B33" s="45"/>
      <c r="C33" s="491" t="s">
        <v>432</v>
      </c>
      <c r="D33" s="492" t="s">
        <v>433</v>
      </c>
      <c r="E33" s="493"/>
      <c r="F33" s="311">
        <v>196.64567955596092</v>
      </c>
      <c r="G33" s="312">
        <v>198.56104706154454</v>
      </c>
      <c r="H33" s="312">
        <v>200.47641456712816</v>
      </c>
      <c r="I33" s="312">
        <v>202.39178207271226</v>
      </c>
      <c r="J33" s="312">
        <v>204.30714957829588</v>
      </c>
      <c r="K33" s="312">
        <v>206.2225170838795</v>
      </c>
      <c r="L33" s="313">
        <v>208.13788458946311</v>
      </c>
    </row>
    <row r="34" spans="1:12" customFormat="1" ht="14.25" outlineLevel="2" x14ac:dyDescent="0.45">
      <c r="A34" s="723"/>
      <c r="B34" s="45"/>
      <c r="C34" s="494"/>
      <c r="D34" s="495" t="s">
        <v>434</v>
      </c>
      <c r="E34" s="496"/>
      <c r="F34" s="314">
        <v>4.4226786326337448</v>
      </c>
      <c r="G34" s="315">
        <v>4.4345068083142296</v>
      </c>
      <c r="H34" s="315">
        <v>4.4463349839947144</v>
      </c>
      <c r="I34" s="315">
        <v>4.4581631596752018</v>
      </c>
      <c r="J34" s="315">
        <v>4.4699913353556866</v>
      </c>
      <c r="K34" s="315">
        <v>4.4818195110361749</v>
      </c>
      <c r="L34" s="316">
        <v>4.4936476867166597</v>
      </c>
    </row>
    <row r="35" spans="1:12" customFormat="1" ht="14.25" outlineLevel="2" x14ac:dyDescent="0.45">
      <c r="A35" s="723"/>
      <c r="B35" s="45"/>
      <c r="C35" s="497"/>
      <c r="D35" s="498" t="s">
        <v>435</v>
      </c>
      <c r="E35" s="499"/>
      <c r="F35" s="314">
        <v>12</v>
      </c>
      <c r="G35" s="315">
        <v>12</v>
      </c>
      <c r="H35" s="315">
        <v>12</v>
      </c>
      <c r="I35" s="315">
        <v>12</v>
      </c>
      <c r="J35" s="315">
        <v>12</v>
      </c>
      <c r="K35" s="315">
        <v>12</v>
      </c>
      <c r="L35" s="316">
        <v>12</v>
      </c>
    </row>
    <row r="36" spans="1:12" customFormat="1" ht="14.25" outlineLevel="2" x14ac:dyDescent="0.45">
      <c r="A36" s="723"/>
      <c r="B36" s="45"/>
      <c r="C36" s="500" t="s">
        <v>436</v>
      </c>
      <c r="D36" s="501" t="s">
        <v>433</v>
      </c>
      <c r="E36" s="502"/>
      <c r="F36" s="503">
        <v>26.325850089187895</v>
      </c>
      <c r="G36" s="504">
        <v>27.099647761399581</v>
      </c>
      <c r="H36" s="504">
        <v>27.893703821736892</v>
      </c>
      <c r="I36" s="504">
        <v>28.708558343369077</v>
      </c>
      <c r="J36" s="504">
        <v>29.544766019906433</v>
      </c>
      <c r="K36" s="504">
        <v>30.40289656620655</v>
      </c>
      <c r="L36" s="505">
        <v>31.283535130279233</v>
      </c>
    </row>
    <row r="37" spans="1:12" customFormat="1" ht="14.25" outlineLevel="2" x14ac:dyDescent="0.45">
      <c r="A37" s="723"/>
      <c r="B37" s="45"/>
      <c r="C37" s="500"/>
      <c r="D37" s="495" t="s">
        <v>437</v>
      </c>
      <c r="E37" s="496"/>
      <c r="F37" s="503">
        <v>30.047525102874356</v>
      </c>
      <c r="G37" s="504">
        <v>29.085203945097682</v>
      </c>
      <c r="H37" s="504">
        <v>0</v>
      </c>
      <c r="I37" s="504">
        <v>0</v>
      </c>
      <c r="J37" s="504">
        <v>0</v>
      </c>
      <c r="K37" s="504">
        <v>0</v>
      </c>
      <c r="L37" s="505">
        <v>0</v>
      </c>
    </row>
    <row r="38" spans="1:12" customFormat="1" ht="14.25" outlineLevel="2" x14ac:dyDescent="0.45">
      <c r="A38" s="723"/>
      <c r="B38" s="45"/>
      <c r="C38" s="500"/>
      <c r="D38" s="495" t="s">
        <v>438</v>
      </c>
      <c r="E38" s="496"/>
      <c r="F38" s="503">
        <v>2.654563330894244</v>
      </c>
      <c r="G38" s="504">
        <v>2.6473457066328807</v>
      </c>
      <c r="H38" s="504">
        <v>0</v>
      </c>
      <c r="I38" s="504">
        <v>0</v>
      </c>
      <c r="J38" s="504">
        <v>0</v>
      </c>
      <c r="K38" s="504">
        <v>0</v>
      </c>
      <c r="L38" s="505">
        <v>0</v>
      </c>
    </row>
    <row r="39" spans="1:12" customFormat="1" ht="14.25" outlineLevel="2" x14ac:dyDescent="0.45">
      <c r="A39" s="723"/>
      <c r="B39" s="45"/>
      <c r="C39" s="500"/>
      <c r="D39" s="495" t="s">
        <v>439</v>
      </c>
      <c r="E39" s="496"/>
      <c r="F39" s="503">
        <v>3.022035422932686</v>
      </c>
      <c r="G39" s="504">
        <v>3.4732332036731339</v>
      </c>
      <c r="H39" s="504">
        <v>0</v>
      </c>
      <c r="I39" s="504">
        <v>0</v>
      </c>
      <c r="J39" s="504">
        <v>0</v>
      </c>
      <c r="K39" s="504">
        <v>0</v>
      </c>
      <c r="L39" s="505">
        <v>0</v>
      </c>
    </row>
    <row r="40" spans="1:12" customFormat="1" ht="14.25" outlineLevel="2" x14ac:dyDescent="0.45">
      <c r="A40" s="723"/>
      <c r="B40" s="45"/>
      <c r="C40" s="506"/>
      <c r="D40" s="498" t="s">
        <v>440</v>
      </c>
      <c r="E40" s="499"/>
      <c r="F40" s="503">
        <v>0</v>
      </c>
      <c r="G40" s="504">
        <v>0</v>
      </c>
      <c r="H40" s="504">
        <v>0</v>
      </c>
      <c r="I40" s="504">
        <v>0</v>
      </c>
      <c r="J40" s="504">
        <v>0</v>
      </c>
      <c r="K40" s="504">
        <v>0</v>
      </c>
      <c r="L40" s="505">
        <v>0</v>
      </c>
    </row>
    <row r="41" spans="1:12" customFormat="1" ht="14.25" outlineLevel="2" x14ac:dyDescent="0.45">
      <c r="A41" s="723"/>
      <c r="B41" s="45"/>
      <c r="C41" s="500" t="s">
        <v>441</v>
      </c>
      <c r="D41" s="501" t="s">
        <v>434</v>
      </c>
      <c r="E41" s="502"/>
      <c r="F41" s="314">
        <v>290</v>
      </c>
      <c r="G41" s="315">
        <v>290</v>
      </c>
      <c r="H41" s="315">
        <v>290</v>
      </c>
      <c r="I41" s="315">
        <v>290</v>
      </c>
      <c r="J41" s="315">
        <v>290</v>
      </c>
      <c r="K41" s="315">
        <v>290</v>
      </c>
      <c r="L41" s="316">
        <v>290</v>
      </c>
    </row>
    <row r="42" spans="1:12" customFormat="1" ht="14.25" outlineLevel="2" x14ac:dyDescent="0.45">
      <c r="A42" s="723"/>
      <c r="B42" s="45"/>
      <c r="C42" s="500"/>
      <c r="D42" s="495" t="s">
        <v>442</v>
      </c>
      <c r="E42" s="496"/>
      <c r="F42" s="314">
        <v>3</v>
      </c>
      <c r="G42" s="315">
        <v>3</v>
      </c>
      <c r="H42" s="315">
        <v>0</v>
      </c>
      <c r="I42" s="315">
        <v>0</v>
      </c>
      <c r="J42" s="315">
        <v>0</v>
      </c>
      <c r="K42" s="315">
        <v>0</v>
      </c>
      <c r="L42" s="316">
        <v>0</v>
      </c>
    </row>
    <row r="43" spans="1:12" customFormat="1" ht="14.25" outlineLevel="2" x14ac:dyDescent="0.45">
      <c r="A43" s="723"/>
      <c r="B43" s="45"/>
      <c r="C43" s="506"/>
      <c r="D43" s="498" t="s">
        <v>443</v>
      </c>
      <c r="E43" s="499"/>
      <c r="F43" s="314">
        <v>3</v>
      </c>
      <c r="G43" s="315">
        <v>3</v>
      </c>
      <c r="H43" s="315">
        <v>0</v>
      </c>
      <c r="I43" s="315">
        <v>0</v>
      </c>
      <c r="J43" s="315">
        <v>0</v>
      </c>
      <c r="K43" s="315">
        <v>0</v>
      </c>
      <c r="L43" s="316">
        <v>0</v>
      </c>
    </row>
    <row r="44" spans="1:12" customFormat="1" ht="14.25" outlineLevel="2" x14ac:dyDescent="0.45">
      <c r="A44" s="723"/>
      <c r="B44" s="45"/>
      <c r="C44" s="500" t="s">
        <v>444</v>
      </c>
      <c r="D44" s="501" t="s">
        <v>433</v>
      </c>
      <c r="E44" s="502"/>
      <c r="F44" s="503">
        <v>2774.5576281753874</v>
      </c>
      <c r="G44" s="504">
        <v>2915.8927909858803</v>
      </c>
      <c r="H44" s="504">
        <v>3063.1994682198401</v>
      </c>
      <c r="I44" s="504">
        <v>3215.7992451267346</v>
      </c>
      <c r="J44" s="504">
        <v>3372.9335446245177</v>
      </c>
      <c r="K44" s="504">
        <v>3533.226134246876</v>
      </c>
      <c r="L44" s="505">
        <v>3695.5127317620963</v>
      </c>
    </row>
    <row r="45" spans="1:12" customFormat="1" ht="14.25" outlineLevel="2" x14ac:dyDescent="0.45">
      <c r="A45" s="723"/>
      <c r="B45" s="45"/>
      <c r="C45" s="500"/>
      <c r="D45" s="495" t="s">
        <v>445</v>
      </c>
      <c r="E45" s="496"/>
      <c r="F45" s="503">
        <v>0</v>
      </c>
      <c r="G45" s="504">
        <v>0</v>
      </c>
      <c r="H45" s="504">
        <v>0</v>
      </c>
      <c r="I45" s="504">
        <v>0</v>
      </c>
      <c r="J45" s="504">
        <v>0</v>
      </c>
      <c r="K45" s="504">
        <v>0</v>
      </c>
      <c r="L45" s="505">
        <v>0</v>
      </c>
    </row>
    <row r="46" spans="1:12" customFormat="1" ht="14.65" outlineLevel="2" thickBot="1" x14ac:dyDescent="0.5">
      <c r="A46" s="723"/>
      <c r="B46" s="45"/>
      <c r="C46" s="507"/>
      <c r="D46" s="508" t="s">
        <v>446</v>
      </c>
      <c r="E46" s="509"/>
      <c r="F46" s="510">
        <v>0</v>
      </c>
      <c r="G46" s="511">
        <v>0</v>
      </c>
      <c r="H46" s="511">
        <v>0</v>
      </c>
      <c r="I46" s="511">
        <v>0</v>
      </c>
      <c r="J46" s="511">
        <v>0</v>
      </c>
      <c r="K46" s="511">
        <v>0</v>
      </c>
      <c r="L46" s="512">
        <v>0</v>
      </c>
    </row>
    <row r="47" spans="1:12" customFormat="1" ht="13.5" outlineLevel="1" x14ac:dyDescent="0.35">
      <c r="A47" s="723"/>
      <c r="B47" s="45"/>
      <c r="L47" s="732"/>
    </row>
    <row r="48" spans="1:12" ht="12.75" x14ac:dyDescent="0.3">
      <c r="C48" s="6" t="s">
        <v>695</v>
      </c>
      <c r="F48" s="115">
        <v>3345.6759603098712</v>
      </c>
      <c r="G48" s="116">
        <v>3489.1937754725423</v>
      </c>
      <c r="H48" s="117">
        <v>3598.0159215926997</v>
      </c>
      <c r="I48" s="115">
        <v>3753.3577487024913</v>
      </c>
      <c r="J48" s="115">
        <v>3913.2554515580759</v>
      </c>
      <c r="K48" s="115">
        <v>4076.3333674079981</v>
      </c>
      <c r="L48" s="115">
        <v>4241.4277991685558</v>
      </c>
    </row>
    <row r="49" spans="1:12" ht="12.75" x14ac:dyDescent="0.3">
      <c r="A49" s="41">
        <f>IF(SUM($F49:$L49)&gt;0,1,0)</f>
        <v>0</v>
      </c>
      <c r="C49" s="6" t="s">
        <v>821</v>
      </c>
      <c r="F49" s="62">
        <f>IF(ROUND(SUM(F33:F46)-F48,3)&lt;&gt;0,1,0)</f>
        <v>0</v>
      </c>
      <c r="G49" s="62">
        <f t="shared" ref="G49" si="1">IF(ROUND(SUM(G33:G46)-G48,3)&lt;&gt;0,1,0)</f>
        <v>0</v>
      </c>
      <c r="H49" s="62">
        <f t="shared" ref="H49" si="2">IF(ROUND(SUM(H33:H46)-H48,3)&lt;&gt;0,1,0)</f>
        <v>0</v>
      </c>
      <c r="I49" s="62">
        <f t="shared" ref="I49" si="3">IF(ROUND(SUM(I33:I46)-I48,3)&lt;&gt;0,1,0)</f>
        <v>0</v>
      </c>
      <c r="J49" s="62">
        <f t="shared" ref="J49" si="4">IF(ROUND(SUM(J33:J46)-J48,3)&lt;&gt;0,1,0)</f>
        <v>0</v>
      </c>
      <c r="K49" s="62">
        <f t="shared" ref="K49" si="5">IF(ROUND(SUM(K33:K46)-K48,3)&lt;&gt;0,1,0)</f>
        <v>0</v>
      </c>
      <c r="L49" s="62">
        <f t="shared" ref="L49" si="6">IF(ROUND(SUM(L33:L46)-L48,3)&lt;&gt;0,1,0)</f>
        <v>0</v>
      </c>
    </row>
    <row r="50" spans="1:12" customFormat="1" ht="13.9" outlineLevel="1" thickBot="1" x14ac:dyDescent="0.4">
      <c r="A50" s="723"/>
      <c r="B50" s="45"/>
      <c r="L50" s="732"/>
    </row>
    <row r="51" spans="1:12" customFormat="1" ht="15.4" outlineLevel="1" thickBot="1" x14ac:dyDescent="0.35">
      <c r="B51" s="45"/>
      <c r="C51" s="426" t="s">
        <v>584</v>
      </c>
      <c r="D51" s="427"/>
      <c r="E51" s="427"/>
      <c r="F51" s="427"/>
      <c r="G51" s="427"/>
      <c r="H51" s="427"/>
      <c r="I51" s="427"/>
      <c r="J51" s="427"/>
      <c r="K51" s="427"/>
      <c r="L51" s="428"/>
    </row>
    <row r="52" spans="1:12" customFormat="1" ht="30.75" customHeight="1" outlineLevel="2" thickBot="1" x14ac:dyDescent="0.4">
      <c r="B52" s="45"/>
      <c r="C52" s="770"/>
      <c r="D52" s="771"/>
      <c r="E52" s="772"/>
      <c r="F52" s="782" t="s">
        <v>582</v>
      </c>
      <c r="G52" s="782"/>
      <c r="H52" s="782"/>
      <c r="I52" s="782"/>
      <c r="J52" s="782"/>
      <c r="K52" s="782"/>
      <c r="L52" s="783"/>
    </row>
    <row r="53" spans="1:12" customFormat="1" ht="13.5" outlineLevel="2" thickBot="1" x14ac:dyDescent="0.35">
      <c r="B53" s="45"/>
      <c r="C53" s="198"/>
      <c r="D53" s="198"/>
      <c r="E53" s="773"/>
      <c r="F53" s="766" t="s">
        <v>70</v>
      </c>
      <c r="G53" s="767" t="s">
        <v>71</v>
      </c>
      <c r="H53" s="768" t="s">
        <v>72</v>
      </c>
      <c r="I53" s="768" t="s">
        <v>73</v>
      </c>
      <c r="J53" s="768" t="s">
        <v>74</v>
      </c>
      <c r="K53" s="768" t="s">
        <v>82</v>
      </c>
      <c r="L53" s="769" t="s">
        <v>243</v>
      </c>
    </row>
    <row r="54" spans="1:12" customFormat="1" ht="14.25" outlineLevel="2" x14ac:dyDescent="0.45">
      <c r="B54" s="45"/>
      <c r="C54" s="500" t="s">
        <v>432</v>
      </c>
      <c r="D54" s="774" t="s">
        <v>433</v>
      </c>
      <c r="E54" s="502"/>
      <c r="F54" s="311">
        <v>59536.463081762311</v>
      </c>
      <c r="G54" s="312">
        <v>59999.926163524506</v>
      </c>
      <c r="H54" s="312">
        <v>60463.3892452867</v>
      </c>
      <c r="I54" s="312">
        <v>60926.852327049011</v>
      </c>
      <c r="J54" s="312">
        <v>61390.315408811206</v>
      </c>
      <c r="K54" s="312">
        <v>61853.778490573401</v>
      </c>
      <c r="L54" s="313">
        <v>62317.241572335595</v>
      </c>
    </row>
    <row r="55" spans="1:12" customFormat="1" ht="14.25" outlineLevel="2" x14ac:dyDescent="0.45">
      <c r="B55" s="45"/>
      <c r="C55" s="500"/>
      <c r="D55" s="775" t="s">
        <v>434</v>
      </c>
      <c r="E55" s="496"/>
      <c r="F55" s="314">
        <v>205.74417364819828</v>
      </c>
      <c r="G55" s="315">
        <v>207.48834729639611</v>
      </c>
      <c r="H55" s="315">
        <v>209.23252094459394</v>
      </c>
      <c r="I55" s="315">
        <v>210.97669459279223</v>
      </c>
      <c r="J55" s="315">
        <v>212.72086824099006</v>
      </c>
      <c r="K55" s="315">
        <v>214.46504188918834</v>
      </c>
      <c r="L55" s="316">
        <v>216.20921553738617</v>
      </c>
    </row>
    <row r="56" spans="1:12" customFormat="1" ht="14.65" outlineLevel="2" thickBot="1" x14ac:dyDescent="0.5">
      <c r="B56" s="45"/>
      <c r="C56" s="507"/>
      <c r="D56" s="776" t="s">
        <v>435</v>
      </c>
      <c r="E56" s="777"/>
      <c r="F56" s="314">
        <v>0</v>
      </c>
      <c r="G56" s="315">
        <v>0</v>
      </c>
      <c r="H56" s="315">
        <v>0</v>
      </c>
      <c r="I56" s="315">
        <v>0</v>
      </c>
      <c r="J56" s="315">
        <v>0</v>
      </c>
      <c r="K56" s="315">
        <v>0</v>
      </c>
      <c r="L56" s="316">
        <v>0</v>
      </c>
    </row>
    <row r="57" spans="1:12" customFormat="1" ht="14.25" outlineLevel="2" x14ac:dyDescent="0.45">
      <c r="B57" s="45"/>
      <c r="C57" s="778" t="s">
        <v>436</v>
      </c>
      <c r="D57" s="779" t="s">
        <v>433</v>
      </c>
      <c r="E57" s="780"/>
      <c r="F57" s="503">
        <v>9892.694618634916</v>
      </c>
      <c r="G57" s="504">
        <v>9914.6358811057089</v>
      </c>
      <c r="H57" s="504">
        <v>9937.1515761795745</v>
      </c>
      <c r="I57" s="504">
        <v>9960.2570177913876</v>
      </c>
      <c r="J57" s="504">
        <v>9983.9679344429696</v>
      </c>
      <c r="K57" s="504">
        <v>10008.300480568058</v>
      </c>
      <c r="L57" s="505">
        <v>10033.271248211999</v>
      </c>
    </row>
    <row r="58" spans="1:12" customFormat="1" ht="14.25" outlineLevel="2" x14ac:dyDescent="0.45">
      <c r="B58" s="45"/>
      <c r="C58" s="500"/>
      <c r="D58" s="775" t="s">
        <v>437</v>
      </c>
      <c r="E58" s="496"/>
      <c r="F58" s="503">
        <v>1161.6999999999971</v>
      </c>
      <c r="G58" s="504">
        <v>1197.3999999999942</v>
      </c>
      <c r="H58" s="504">
        <v>1233.0999999999913</v>
      </c>
      <c r="I58" s="504">
        <v>1268.8000000000029</v>
      </c>
      <c r="J58" s="504">
        <v>1304.5</v>
      </c>
      <c r="K58" s="504">
        <v>1340.1999999999971</v>
      </c>
      <c r="L58" s="505">
        <v>1375.8999999999942</v>
      </c>
    </row>
    <row r="59" spans="1:12" customFormat="1" ht="14.25" outlineLevel="2" x14ac:dyDescent="0.45">
      <c r="B59" s="45"/>
      <c r="C59" s="500"/>
      <c r="D59" s="775" t="s">
        <v>438</v>
      </c>
      <c r="E59" s="496"/>
      <c r="F59" s="503">
        <v>532.36772126325127</v>
      </c>
      <c r="G59" s="504">
        <v>533.37832630225955</v>
      </c>
      <c r="H59" s="504">
        <v>534.4153894579789</v>
      </c>
      <c r="I59" s="504">
        <v>535.47961608361152</v>
      </c>
      <c r="J59" s="504">
        <v>536.57173062713389</v>
      </c>
      <c r="K59" s="504">
        <v>537.69247715476206</v>
      </c>
      <c r="L59" s="505">
        <v>538.84261988891274</v>
      </c>
    </row>
    <row r="60" spans="1:12" customFormat="1" ht="14.25" outlineLevel="2" x14ac:dyDescent="0.45">
      <c r="B60" s="45"/>
      <c r="C60" s="500"/>
      <c r="D60" s="775" t="s">
        <v>439</v>
      </c>
      <c r="E60" s="496"/>
      <c r="F60" s="503">
        <v>66.793984817181808</v>
      </c>
      <c r="G60" s="504">
        <v>70.587969634364526</v>
      </c>
      <c r="H60" s="504">
        <v>74.381954451546335</v>
      </c>
      <c r="I60" s="504">
        <v>78.175939268729053</v>
      </c>
      <c r="J60" s="504">
        <v>81.969924085910861</v>
      </c>
      <c r="K60" s="504">
        <v>85.763908903093579</v>
      </c>
      <c r="L60" s="505">
        <v>89.557893720276297</v>
      </c>
    </row>
    <row r="61" spans="1:12" customFormat="1" ht="14.65" outlineLevel="2" thickBot="1" x14ac:dyDescent="0.5">
      <c r="B61" s="45"/>
      <c r="C61" s="507"/>
      <c r="D61" s="781" t="s">
        <v>440</v>
      </c>
      <c r="E61" s="509"/>
      <c r="F61" s="503">
        <v>0</v>
      </c>
      <c r="G61" s="504">
        <v>0</v>
      </c>
      <c r="H61" s="504">
        <v>0</v>
      </c>
      <c r="I61" s="504">
        <v>0</v>
      </c>
      <c r="J61" s="504">
        <v>0</v>
      </c>
      <c r="K61" s="504">
        <v>0</v>
      </c>
      <c r="L61" s="505">
        <v>0</v>
      </c>
    </row>
    <row r="62" spans="1:12" customFormat="1" ht="14.25" outlineLevel="2" x14ac:dyDescent="0.45">
      <c r="B62" s="45"/>
      <c r="C62" s="778" t="s">
        <v>441</v>
      </c>
      <c r="D62" s="774" t="s">
        <v>434</v>
      </c>
      <c r="E62" s="502"/>
      <c r="F62" s="314">
        <v>0</v>
      </c>
      <c r="G62" s="315">
        <v>0</v>
      </c>
      <c r="H62" s="315">
        <v>0</v>
      </c>
      <c r="I62" s="315">
        <v>0</v>
      </c>
      <c r="J62" s="315">
        <v>0</v>
      </c>
      <c r="K62" s="315">
        <v>0</v>
      </c>
      <c r="L62" s="316">
        <v>0</v>
      </c>
    </row>
    <row r="63" spans="1:12" customFormat="1" ht="14.25" outlineLevel="2" x14ac:dyDescent="0.45">
      <c r="B63" s="45"/>
      <c r="C63" s="500"/>
      <c r="D63" s="775" t="s">
        <v>442</v>
      </c>
      <c r="E63" s="496"/>
      <c r="F63" s="314">
        <v>0</v>
      </c>
      <c r="G63" s="315">
        <v>0</v>
      </c>
      <c r="H63" s="315">
        <v>0</v>
      </c>
      <c r="I63" s="315">
        <v>0</v>
      </c>
      <c r="J63" s="315">
        <v>0</v>
      </c>
      <c r="K63" s="315">
        <v>0</v>
      </c>
      <c r="L63" s="316">
        <v>0</v>
      </c>
    </row>
    <row r="64" spans="1:12" customFormat="1" ht="14.65" outlineLevel="2" thickBot="1" x14ac:dyDescent="0.5">
      <c r="B64" s="45"/>
      <c r="C64" s="507"/>
      <c r="D64" s="781" t="s">
        <v>443</v>
      </c>
      <c r="E64" s="509"/>
      <c r="F64" s="314">
        <v>0</v>
      </c>
      <c r="G64" s="315">
        <v>0</v>
      </c>
      <c r="H64" s="315">
        <v>0</v>
      </c>
      <c r="I64" s="315">
        <v>0</v>
      </c>
      <c r="J64" s="315">
        <v>0</v>
      </c>
      <c r="K64" s="315">
        <v>0</v>
      </c>
      <c r="L64" s="316">
        <v>0</v>
      </c>
    </row>
    <row r="65" spans="1:12" customFormat="1" ht="14.25" outlineLevel="2" x14ac:dyDescent="0.45">
      <c r="B65" s="45"/>
      <c r="C65" s="778" t="s">
        <v>444</v>
      </c>
      <c r="D65" s="774" t="s">
        <v>433</v>
      </c>
      <c r="E65" s="502"/>
      <c r="F65" s="503">
        <v>19678.531375911356</v>
      </c>
      <c r="G65" s="504">
        <v>21780.690949799387</v>
      </c>
      <c r="H65" s="504">
        <v>23971.66830948311</v>
      </c>
      <c r="I65" s="504">
        <v>26241.373000226853</v>
      </c>
      <c r="J65" s="504">
        <v>28578.522266601281</v>
      </c>
      <c r="K65" s="504">
        <v>30962.646607617218</v>
      </c>
      <c r="L65" s="505">
        <v>33376.428980640434</v>
      </c>
    </row>
    <row r="66" spans="1:12" customFormat="1" ht="14.25" outlineLevel="2" x14ac:dyDescent="0.45">
      <c r="B66" s="45"/>
      <c r="C66" s="500"/>
      <c r="D66" s="775" t="s">
        <v>445</v>
      </c>
      <c r="E66" s="496"/>
      <c r="F66" s="503">
        <v>8</v>
      </c>
      <c r="G66" s="504">
        <v>8</v>
      </c>
      <c r="H66" s="504">
        <v>8</v>
      </c>
      <c r="I66" s="504">
        <v>8</v>
      </c>
      <c r="J66" s="504">
        <v>8</v>
      </c>
      <c r="K66" s="504">
        <v>8</v>
      </c>
      <c r="L66" s="505">
        <v>8</v>
      </c>
    </row>
    <row r="67" spans="1:12" customFormat="1" ht="14.65" outlineLevel="2" thickBot="1" x14ac:dyDescent="0.5">
      <c r="B67" s="45"/>
      <c r="C67" s="507"/>
      <c r="D67" s="781" t="s">
        <v>446</v>
      </c>
      <c r="E67" s="509"/>
      <c r="F67" s="510">
        <v>0</v>
      </c>
      <c r="G67" s="511">
        <v>0</v>
      </c>
      <c r="H67" s="511">
        <v>0</v>
      </c>
      <c r="I67" s="511">
        <v>0</v>
      </c>
      <c r="J67" s="511">
        <v>0</v>
      </c>
      <c r="K67" s="511">
        <v>0</v>
      </c>
      <c r="L67" s="512">
        <v>0</v>
      </c>
    </row>
    <row r="68" spans="1:12" ht="11.25" customHeight="1" x14ac:dyDescent="0.3"/>
    <row r="69" spans="1:12" ht="12.75" x14ac:dyDescent="0.3">
      <c r="C69" s="6" t="s">
        <v>695</v>
      </c>
      <c r="F69" s="115">
        <v>91082.294956037222</v>
      </c>
      <c r="G69" s="116">
        <v>93712.10763766263</v>
      </c>
      <c r="H69" s="115">
        <v>96431.338995803482</v>
      </c>
      <c r="I69" s="115">
        <v>99229.914595012393</v>
      </c>
      <c r="J69" s="115">
        <v>102096.56813280949</v>
      </c>
      <c r="K69" s="115">
        <v>105010.84700670574</v>
      </c>
      <c r="L69" s="115">
        <v>107955.4515303346</v>
      </c>
    </row>
    <row r="70" spans="1:12" ht="12.75" x14ac:dyDescent="0.3">
      <c r="A70" s="41">
        <f>IF(SUM($F70:$L70)&gt;0,1,0)</f>
        <v>0</v>
      </c>
      <c r="C70" s="6" t="s">
        <v>820</v>
      </c>
      <c r="F70" s="62">
        <f>IF(ROUND(SUM(F54:F67)-F69,3)&lt;&gt;0,1,0)</f>
        <v>0</v>
      </c>
      <c r="G70" s="62">
        <f t="shared" ref="G70:L70" si="7">IF(ROUND(SUM(G54:G67)-G69,3)&lt;&gt;0,1,0)</f>
        <v>0</v>
      </c>
      <c r="H70" s="62">
        <f t="shared" si="7"/>
        <v>0</v>
      </c>
      <c r="I70" s="62">
        <f t="shared" si="7"/>
        <v>0</v>
      </c>
      <c r="J70" s="62">
        <f t="shared" si="7"/>
        <v>0</v>
      </c>
      <c r="K70" s="62">
        <f t="shared" si="7"/>
        <v>0</v>
      </c>
      <c r="L70" s="62">
        <f t="shared" si="7"/>
        <v>0</v>
      </c>
    </row>
    <row r="71" spans="1:12" ht="12.75" x14ac:dyDescent="0.3">
      <c r="A71" s="41"/>
      <c r="B71" s="6"/>
      <c r="E71" s="62"/>
      <c r="F71" s="62"/>
      <c r="G71" s="62"/>
      <c r="H71" s="62"/>
      <c r="I71" s="62"/>
      <c r="J71" s="62"/>
      <c r="K71" s="62"/>
    </row>
    <row r="72" spans="1:12" s="46" customFormat="1" ht="15" x14ac:dyDescent="0.3">
      <c r="B72" s="46" t="s">
        <v>16</v>
      </c>
    </row>
  </sheetData>
  <conditionalFormatting sqref="B3">
    <cfRule type="cellIs" dxfId="566" priority="285" operator="notEqual">
      <formula>"No Errors Found"</formula>
    </cfRule>
  </conditionalFormatting>
  <conditionalFormatting sqref="J12:J25">
    <cfRule type="expression" dxfId="565" priority="18">
      <formula>(dms_FRCPlength_Num)&lt;3</formula>
    </cfRule>
  </conditionalFormatting>
  <conditionalFormatting sqref="K12:K25">
    <cfRule type="expression" dxfId="564" priority="17">
      <formula>(dms_FRCPlength_Num)&lt;4</formula>
    </cfRule>
  </conditionalFormatting>
  <conditionalFormatting sqref="L12:L25">
    <cfRule type="expression" dxfId="563" priority="16">
      <formula>(dms_FRCPlength_Num)&lt;5</formula>
    </cfRule>
  </conditionalFormatting>
  <conditionalFormatting sqref="J33:J46">
    <cfRule type="expression" dxfId="562" priority="15">
      <formula>(dms_FRCPlength_Num)&lt;3</formula>
    </cfRule>
  </conditionalFormatting>
  <conditionalFormatting sqref="K33:K46">
    <cfRule type="expression" dxfId="561" priority="14">
      <formula>(dms_FRCPlength_Num)&lt;4</formula>
    </cfRule>
  </conditionalFormatting>
  <conditionalFormatting sqref="L33:L46">
    <cfRule type="expression" dxfId="560" priority="13">
      <formula>(dms_FRCPlength_Num)&lt;5</formula>
    </cfRule>
  </conditionalFormatting>
  <conditionalFormatting sqref="J54:J67">
    <cfRule type="expression" dxfId="559" priority="3">
      <formula>(dms_FRCPlength_Num)&lt;3</formula>
    </cfRule>
  </conditionalFormatting>
  <conditionalFormatting sqref="K54:K67">
    <cfRule type="expression" dxfId="558" priority="2">
      <formula>(dms_FRCPlength_Num)&lt;4</formula>
    </cfRule>
  </conditionalFormatting>
  <conditionalFormatting sqref="L54:L67">
    <cfRule type="expression" dxfId="557" priority="1">
      <formula>(dms_FRCPlength_Num)&lt;5</formula>
    </cfRule>
  </conditionalFormatting>
  <hyperlinks>
    <hyperlink ref="B2:E2" location="TOC!A1" display="TOC!A1" xr:uid="{5E72F54C-900B-4379-8C59-BB59BD4FBD86}"/>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073B2-8E96-4019-A61A-3EC313690298}">
  <sheetPr codeName="Sheet22">
    <tabColor theme="4" tint="0.79998168889431442"/>
  </sheetPr>
  <dimension ref="A1:M8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38.1640625" style="45" customWidth="1"/>
    <col min="5" max="5" width="45.6640625" style="45" customWidth="1"/>
    <col min="6" max="6" width="12.6640625" style="45" customWidth="1"/>
    <col min="7" max="13" width="22.6640625" style="45" customWidth="1"/>
    <col min="14" max="32" width="10.6640625" style="45" customWidth="1"/>
    <col min="33" max="16384" width="9.33203125" style="45"/>
  </cols>
  <sheetData>
    <row r="1" spans="1:13" ht="18.75" x14ac:dyDescent="0.3">
      <c r="A1" s="41">
        <f>IF(SUM($A4:$A82)&gt;0,1,0)</f>
        <v>0</v>
      </c>
      <c r="B1" s="3" t="s">
        <v>1095</v>
      </c>
    </row>
    <row r="2" spans="1:13" customFormat="1" x14ac:dyDescent="0.3">
      <c r="B2" s="34" t="str">
        <f>TOC!$B$1</f>
        <v>Table of contents</v>
      </c>
      <c r="C2" s="34"/>
      <c r="D2" s="34"/>
      <c r="E2" s="34"/>
      <c r="G2" s="45"/>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thickBot="1" x14ac:dyDescent="0.35"/>
    <row r="8" spans="1:13" ht="15.4" thickBot="1" x14ac:dyDescent="0.35">
      <c r="D8" s="325" t="s">
        <v>185</v>
      </c>
      <c r="E8" s="325"/>
      <c r="F8" s="325"/>
      <c r="G8" s="325"/>
      <c r="H8" s="325"/>
      <c r="I8" s="325"/>
      <c r="J8" s="325"/>
      <c r="K8" s="325"/>
      <c r="L8" s="325"/>
      <c r="M8" s="325"/>
    </row>
    <row r="9" spans="1:13" ht="28.15" customHeight="1" thickBot="1" x14ac:dyDescent="0.35">
      <c r="D9"/>
      <c r="E9"/>
      <c r="F9" s="271"/>
      <c r="G9" s="548" t="s">
        <v>449</v>
      </c>
      <c r="H9" s="513"/>
      <c r="I9" s="513"/>
      <c r="J9" s="513"/>
      <c r="K9" s="513"/>
      <c r="L9" s="513"/>
      <c r="M9" s="514"/>
    </row>
    <row r="10" spans="1:13" ht="18.600000000000001" customHeight="1" thickBot="1" x14ac:dyDescent="0.45">
      <c r="D10" s="327" t="s">
        <v>186</v>
      </c>
      <c r="E10" s="327" t="s">
        <v>115</v>
      </c>
      <c r="F10" s="517"/>
      <c r="G10" s="515" t="s">
        <v>70</v>
      </c>
      <c r="H10" s="515" t="s">
        <v>71</v>
      </c>
      <c r="I10" s="516" t="s">
        <v>72</v>
      </c>
      <c r="J10" s="516" t="s">
        <v>73</v>
      </c>
      <c r="K10" s="516" t="s">
        <v>74</v>
      </c>
      <c r="L10" s="516" t="s">
        <v>82</v>
      </c>
      <c r="M10" s="516" t="s">
        <v>243</v>
      </c>
    </row>
    <row r="11" spans="1:13" ht="13.5" thickBot="1" x14ac:dyDescent="0.35">
      <c r="D11" s="308" t="s">
        <v>85</v>
      </c>
      <c r="E11" s="518"/>
      <c r="F11" s="518"/>
      <c r="G11" s="309"/>
      <c r="H11" s="309"/>
      <c r="I11" s="309"/>
      <c r="J11" s="309"/>
      <c r="K11" s="309"/>
      <c r="L11" s="309"/>
      <c r="M11" s="310"/>
    </row>
    <row r="12" spans="1:13" ht="14.25" x14ac:dyDescent="0.45">
      <c r="D12" s="519" t="s">
        <v>187</v>
      </c>
      <c r="E12" s="549" t="s">
        <v>118</v>
      </c>
      <c r="F12" s="520"/>
      <c r="G12" s="521">
        <f>G$53*$K69</f>
        <v>1837591.4518855391</v>
      </c>
      <c r="H12" s="522">
        <f t="shared" ref="H12:M12" si="0">H$53*$K69</f>
        <v>1844123.6254410108</v>
      </c>
      <c r="I12" s="521">
        <f t="shared" si="0"/>
        <v>1833868.2978900454</v>
      </c>
      <c r="J12" s="523">
        <f t="shared" si="0"/>
        <v>1848046.2913166545</v>
      </c>
      <c r="K12" s="523">
        <f t="shared" si="0"/>
        <v>1853986.1135087528</v>
      </c>
      <c r="L12" s="523">
        <f t="shared" si="0"/>
        <v>1856433.9229116766</v>
      </c>
      <c r="M12" s="522">
        <f t="shared" si="0"/>
        <v>1862599.6165540309</v>
      </c>
    </row>
    <row r="13" spans="1:13" ht="14.25" x14ac:dyDescent="0.45">
      <c r="D13" s="1069" t="s">
        <v>116</v>
      </c>
      <c r="E13" s="550" t="s">
        <v>119</v>
      </c>
      <c r="F13" s="524"/>
      <c r="G13" s="525">
        <f t="shared" ref="G13:M13" si="1">G$53*$K70</f>
        <v>271200.27954879851</v>
      </c>
      <c r="H13" s="526">
        <f t="shared" si="1"/>
        <v>272164.32805505785</v>
      </c>
      <c r="I13" s="525">
        <f t="shared" si="1"/>
        <v>270650.79919322493</v>
      </c>
      <c r="J13" s="527">
        <f t="shared" si="1"/>
        <v>272743.25330036174</v>
      </c>
      <c r="K13" s="527">
        <f t="shared" si="1"/>
        <v>273619.87984175875</v>
      </c>
      <c r="L13" s="527">
        <f t="shared" si="1"/>
        <v>273981.13892014313</v>
      </c>
      <c r="M13" s="526">
        <f t="shared" si="1"/>
        <v>274891.10061903053</v>
      </c>
    </row>
    <row r="14" spans="1:13" ht="14.25" x14ac:dyDescent="0.45">
      <c r="D14" s="1070"/>
      <c r="E14" s="551" t="s">
        <v>120</v>
      </c>
      <c r="F14" s="528"/>
      <c r="G14" s="529">
        <f t="shared" ref="G14:M14" si="2">G$53*$K71</f>
        <v>775066.66898290801</v>
      </c>
      <c r="H14" s="530">
        <f t="shared" si="2"/>
        <v>777821.83525975514</v>
      </c>
      <c r="I14" s="529">
        <f t="shared" si="2"/>
        <v>773496.30220609449</v>
      </c>
      <c r="J14" s="504">
        <f t="shared" si="2"/>
        <v>779476.35295499617</v>
      </c>
      <c r="K14" s="504">
        <f t="shared" si="2"/>
        <v>781981.67490567046</v>
      </c>
      <c r="L14" s="504">
        <f t="shared" si="2"/>
        <v>783014.1217415994</v>
      </c>
      <c r="M14" s="530">
        <f t="shared" si="2"/>
        <v>785614.71265556186</v>
      </c>
    </row>
    <row r="15" spans="1:13" ht="14.25" x14ac:dyDescent="0.45">
      <c r="D15" s="1070"/>
      <c r="E15" s="551" t="s">
        <v>188</v>
      </c>
      <c r="F15" s="528"/>
      <c r="G15" s="529">
        <f t="shared" ref="G15:M15" si="3">G$53*$K72</f>
        <v>0</v>
      </c>
      <c r="H15" s="530">
        <f t="shared" si="3"/>
        <v>0</v>
      </c>
      <c r="I15" s="529">
        <f t="shared" si="3"/>
        <v>0</v>
      </c>
      <c r="J15" s="504">
        <f t="shared" si="3"/>
        <v>0</v>
      </c>
      <c r="K15" s="504">
        <f t="shared" si="3"/>
        <v>0</v>
      </c>
      <c r="L15" s="504">
        <f t="shared" si="3"/>
        <v>0</v>
      </c>
      <c r="M15" s="530">
        <f t="shared" si="3"/>
        <v>0</v>
      </c>
    </row>
    <row r="16" spans="1:13" ht="14.25" x14ac:dyDescent="0.45">
      <c r="D16" s="1070"/>
      <c r="E16" s="551" t="s">
        <v>121</v>
      </c>
      <c r="F16" s="528"/>
      <c r="G16" s="529">
        <f t="shared" ref="G16:M16" si="4">G$53*$K73</f>
        <v>491439.63654393016</v>
      </c>
      <c r="H16" s="530">
        <f t="shared" si="4"/>
        <v>493186.58034618228</v>
      </c>
      <c r="I16" s="529">
        <f t="shared" si="4"/>
        <v>490443.92803404079</v>
      </c>
      <c r="J16" s="504">
        <f t="shared" si="4"/>
        <v>494235.64568126079</v>
      </c>
      <c r="K16" s="504">
        <f t="shared" si="4"/>
        <v>495824.17291141581</v>
      </c>
      <c r="L16" s="504">
        <f t="shared" si="4"/>
        <v>496478.80730366189</v>
      </c>
      <c r="M16" s="530">
        <f t="shared" si="4"/>
        <v>498127.74087893008</v>
      </c>
    </row>
    <row r="17" spans="4:13" ht="14.25" x14ac:dyDescent="0.45">
      <c r="D17" s="1070"/>
      <c r="E17" s="552" t="s">
        <v>122</v>
      </c>
      <c r="F17" s="531"/>
      <c r="G17" s="532">
        <f t="shared" ref="G17:M17" si="5">G$53*$K74</f>
        <v>391249.35255180072</v>
      </c>
      <c r="H17" s="533">
        <f t="shared" si="5"/>
        <v>392640.1451960046</v>
      </c>
      <c r="I17" s="532">
        <f t="shared" si="5"/>
        <v>390456.640119071</v>
      </c>
      <c r="J17" s="534">
        <f t="shared" si="5"/>
        <v>393475.33654528297</v>
      </c>
      <c r="K17" s="534">
        <f t="shared" si="5"/>
        <v>394740.00916037738</v>
      </c>
      <c r="L17" s="534">
        <f t="shared" si="5"/>
        <v>395261.18259263376</v>
      </c>
      <c r="M17" s="533">
        <f t="shared" si="5"/>
        <v>396573.94645161269</v>
      </c>
    </row>
    <row r="18" spans="4:13" ht="14.25" x14ac:dyDescent="0.45">
      <c r="D18" s="535" t="s">
        <v>117</v>
      </c>
      <c r="E18" s="552" t="s">
        <v>123</v>
      </c>
      <c r="F18" s="531"/>
      <c r="G18" s="443">
        <f t="shared" ref="G18:M18" si="6">G$53*$K75</f>
        <v>838528.65529753128</v>
      </c>
      <c r="H18" s="442">
        <f t="shared" si="6"/>
        <v>841509.41290936037</v>
      </c>
      <c r="I18" s="443">
        <f t="shared" si="6"/>
        <v>836829.70784645155</v>
      </c>
      <c r="J18" s="444">
        <f t="shared" si="6"/>
        <v>843299.4015047634</v>
      </c>
      <c r="K18" s="444">
        <f t="shared" si="6"/>
        <v>846009.8576893172</v>
      </c>
      <c r="L18" s="444">
        <f t="shared" si="6"/>
        <v>847126.84064271103</v>
      </c>
      <c r="M18" s="442">
        <f t="shared" si="6"/>
        <v>849940.36635518377</v>
      </c>
    </row>
    <row r="19" spans="4:13" ht="14.25" x14ac:dyDescent="0.45">
      <c r="D19" s="536" t="s">
        <v>125</v>
      </c>
      <c r="E19" s="552" t="s">
        <v>124</v>
      </c>
      <c r="F19" s="531"/>
      <c r="G19" s="532">
        <f t="shared" ref="G19:M19" si="7">G$53*$K76</f>
        <v>0</v>
      </c>
      <c r="H19" s="533">
        <f t="shared" si="7"/>
        <v>0</v>
      </c>
      <c r="I19" s="532">
        <f t="shared" si="7"/>
        <v>0</v>
      </c>
      <c r="J19" s="534">
        <f t="shared" si="7"/>
        <v>0</v>
      </c>
      <c r="K19" s="534">
        <f t="shared" si="7"/>
        <v>0</v>
      </c>
      <c r="L19" s="534">
        <f t="shared" si="7"/>
        <v>0</v>
      </c>
      <c r="M19" s="533">
        <f t="shared" si="7"/>
        <v>0</v>
      </c>
    </row>
    <row r="20" spans="4:13" ht="14.65" thickBot="1" x14ac:dyDescent="0.5">
      <c r="D20" s="1071" t="s">
        <v>450</v>
      </c>
      <c r="E20" s="538" t="s">
        <v>525</v>
      </c>
      <c r="F20" s="539"/>
      <c r="G20" s="540">
        <f t="shared" ref="G20:M20" si="8">G$53*$K77</f>
        <v>57921.340605039331</v>
      </c>
      <c r="H20" s="448">
        <f t="shared" si="8"/>
        <v>58127.236343730045</v>
      </c>
      <c r="I20" s="449">
        <f t="shared" si="8"/>
        <v>57803.985863060792</v>
      </c>
      <c r="J20" s="437">
        <f t="shared" si="8"/>
        <v>58250.879749901636</v>
      </c>
      <c r="K20" s="437">
        <f t="shared" si="8"/>
        <v>58438.104425968166</v>
      </c>
      <c r="L20" s="437">
        <f t="shared" si="8"/>
        <v>58515.259988494035</v>
      </c>
      <c r="M20" s="448">
        <f t="shared" si="8"/>
        <v>58709.604188973797</v>
      </c>
    </row>
    <row r="21" spans="4:13" ht="14.25" hidden="1" outlineLevel="1" x14ac:dyDescent="0.45">
      <c r="D21" s="1072"/>
      <c r="E21" s="542"/>
      <c r="F21" s="543"/>
      <c r="G21" s="314"/>
      <c r="H21" s="435"/>
      <c r="I21" s="436"/>
      <c r="J21" s="315"/>
      <c r="K21" s="315"/>
      <c r="L21" s="315"/>
      <c r="M21" s="435"/>
    </row>
    <row r="22" spans="4:13" ht="14.25" hidden="1" outlineLevel="1" x14ac:dyDescent="0.45">
      <c r="D22" s="1072"/>
      <c r="E22" s="542"/>
      <c r="F22" s="543"/>
      <c r="G22" s="314"/>
      <c r="H22" s="435"/>
      <c r="I22" s="436"/>
      <c r="J22" s="315"/>
      <c r="K22" s="315"/>
      <c r="L22" s="315"/>
      <c r="M22" s="435"/>
    </row>
    <row r="23" spans="4:13" ht="14.25" hidden="1" outlineLevel="1" x14ac:dyDescent="0.45">
      <c r="D23" s="1072"/>
      <c r="E23" s="542"/>
      <c r="F23" s="543"/>
      <c r="G23" s="314"/>
      <c r="H23" s="435"/>
      <c r="I23" s="436"/>
      <c r="J23" s="315"/>
      <c r="K23" s="315"/>
      <c r="L23" s="315"/>
      <c r="M23" s="435"/>
    </row>
    <row r="24" spans="4:13" ht="14.25" hidden="1" outlineLevel="1" x14ac:dyDescent="0.45">
      <c r="D24" s="1072"/>
      <c r="E24" s="542"/>
      <c r="F24" s="543"/>
      <c r="G24" s="314"/>
      <c r="H24" s="435"/>
      <c r="I24" s="436"/>
      <c r="J24" s="315"/>
      <c r="K24" s="315"/>
      <c r="L24" s="315"/>
      <c r="M24" s="435"/>
    </row>
    <row r="25" spans="4:13" ht="14.25" hidden="1" outlineLevel="1" x14ac:dyDescent="0.45">
      <c r="D25" s="1072"/>
      <c r="E25" s="542"/>
      <c r="F25" s="543"/>
      <c r="G25" s="314"/>
      <c r="H25" s="435"/>
      <c r="I25" s="436"/>
      <c r="J25" s="315"/>
      <c r="K25" s="315"/>
      <c r="L25" s="315"/>
      <c r="M25" s="435"/>
    </row>
    <row r="26" spans="4:13" ht="14.25" hidden="1" outlineLevel="1" x14ac:dyDescent="0.45">
      <c r="D26" s="1072"/>
      <c r="E26" s="542"/>
      <c r="F26" s="543"/>
      <c r="G26" s="314"/>
      <c r="H26" s="435"/>
      <c r="I26" s="436"/>
      <c r="J26" s="315"/>
      <c r="K26" s="315"/>
      <c r="L26" s="315"/>
      <c r="M26" s="435"/>
    </row>
    <row r="27" spans="4:13" ht="14.25" hidden="1" outlineLevel="1" x14ac:dyDescent="0.45">
      <c r="D27" s="1072"/>
      <c r="E27" s="542"/>
      <c r="F27" s="543"/>
      <c r="G27" s="314"/>
      <c r="H27" s="435"/>
      <c r="I27" s="436"/>
      <c r="J27" s="315"/>
      <c r="K27" s="315"/>
      <c r="L27" s="315"/>
      <c r="M27" s="435"/>
    </row>
    <row r="28" spans="4:13" ht="14.25" hidden="1" outlineLevel="1" x14ac:dyDescent="0.45">
      <c r="D28" s="1072"/>
      <c r="E28" s="544"/>
      <c r="F28" s="543"/>
      <c r="G28" s="314"/>
      <c r="H28" s="435"/>
      <c r="I28" s="436"/>
      <c r="J28" s="315"/>
      <c r="K28" s="315"/>
      <c r="L28" s="315"/>
      <c r="M28" s="435"/>
    </row>
    <row r="29" spans="4:13" ht="14.25" hidden="1" outlineLevel="1" x14ac:dyDescent="0.45">
      <c r="D29" s="1072"/>
      <c r="E29" s="544"/>
      <c r="F29" s="543"/>
      <c r="G29" s="314"/>
      <c r="H29" s="435"/>
      <c r="I29" s="436"/>
      <c r="J29" s="315"/>
      <c r="K29" s="315"/>
      <c r="L29" s="315"/>
      <c r="M29" s="435"/>
    </row>
    <row r="30" spans="4:13" ht="14.65" hidden="1" outlineLevel="1" thickBot="1" x14ac:dyDescent="0.5">
      <c r="D30" s="1073"/>
      <c r="E30" s="546"/>
      <c r="F30" s="547"/>
      <c r="G30" s="317"/>
      <c r="H30" s="467"/>
      <c r="I30" s="468"/>
      <c r="J30" s="318"/>
      <c r="K30" s="318"/>
      <c r="L30" s="318"/>
      <c r="M30" s="467"/>
    </row>
    <row r="31" spans="4:13" ht="13.5" collapsed="1" thickBot="1" x14ac:dyDescent="0.35">
      <c r="D31" s="308" t="s">
        <v>86</v>
      </c>
      <c r="E31" s="518"/>
      <c r="F31" s="518"/>
      <c r="G31" s="309"/>
      <c r="H31" s="309"/>
      <c r="I31" s="309"/>
      <c r="J31" s="309"/>
      <c r="K31" s="309"/>
      <c r="L31" s="309"/>
      <c r="M31" s="310"/>
    </row>
    <row r="32" spans="4:13" ht="14.25" x14ac:dyDescent="0.45">
      <c r="D32" s="519" t="s">
        <v>187</v>
      </c>
      <c r="E32" s="549" t="s">
        <v>118</v>
      </c>
      <c r="F32" s="520"/>
      <c r="G32" s="521">
        <v>17677483.700782172</v>
      </c>
      <c r="H32" s="522">
        <v>19558509.036888577</v>
      </c>
      <c r="I32" s="521">
        <v>16967968.277827863</v>
      </c>
      <c r="J32" s="523">
        <v>19835191.583408829</v>
      </c>
      <c r="K32" s="523">
        <v>11293498.636348113</v>
      </c>
      <c r="L32" s="523">
        <v>10963570.416846979</v>
      </c>
      <c r="M32" s="522">
        <v>11590727.242323047</v>
      </c>
    </row>
    <row r="33" spans="4:13" ht="14.25" x14ac:dyDescent="0.45">
      <c r="D33" s="1069" t="s">
        <v>116</v>
      </c>
      <c r="E33" s="550" t="s">
        <v>119</v>
      </c>
      <c r="F33" s="524"/>
      <c r="G33" s="525">
        <v>205904.28799428756</v>
      </c>
      <c r="H33" s="526">
        <v>152371.23163350098</v>
      </c>
      <c r="I33" s="525">
        <v>333519.31186681212</v>
      </c>
      <c r="J33" s="527">
        <v>287456.43532624049</v>
      </c>
      <c r="K33" s="527">
        <v>206395.04333343997</v>
      </c>
      <c r="L33" s="527">
        <v>156346.743919614</v>
      </c>
      <c r="M33" s="526">
        <v>329487.53559910838</v>
      </c>
    </row>
    <row r="34" spans="4:13" ht="14.25" x14ac:dyDescent="0.45">
      <c r="D34" s="1070"/>
      <c r="E34" s="551" t="s">
        <v>120</v>
      </c>
      <c r="F34" s="528"/>
      <c r="G34" s="529">
        <v>690542.45136299205</v>
      </c>
      <c r="H34" s="530">
        <v>907916.97780466103</v>
      </c>
      <c r="I34" s="529">
        <v>893036.80173328752</v>
      </c>
      <c r="J34" s="504">
        <v>2031462.9950249842</v>
      </c>
      <c r="K34" s="504">
        <v>1442944.0617916172</v>
      </c>
      <c r="L34" s="504">
        <v>574544.42518108722</v>
      </c>
      <c r="M34" s="530">
        <v>1065511.4278024551</v>
      </c>
    </row>
    <row r="35" spans="4:13" ht="14.25" x14ac:dyDescent="0.45">
      <c r="D35" s="1070"/>
      <c r="E35" s="551" t="s">
        <v>188</v>
      </c>
      <c r="F35" s="528"/>
      <c r="G35" s="529">
        <v>0</v>
      </c>
      <c r="H35" s="530">
        <v>0</v>
      </c>
      <c r="I35" s="529">
        <v>0</v>
      </c>
      <c r="J35" s="504">
        <v>0</v>
      </c>
      <c r="K35" s="504">
        <v>0</v>
      </c>
      <c r="L35" s="504">
        <v>0</v>
      </c>
      <c r="M35" s="530">
        <v>0</v>
      </c>
    </row>
    <row r="36" spans="4:13" ht="14.25" x14ac:dyDescent="0.45">
      <c r="D36" s="1070"/>
      <c r="E36" s="551" t="s">
        <v>121</v>
      </c>
      <c r="F36" s="528"/>
      <c r="G36" s="529">
        <v>1791173.9122296451</v>
      </c>
      <c r="H36" s="530">
        <v>731033.27737376187</v>
      </c>
      <c r="I36" s="529">
        <v>0</v>
      </c>
      <c r="J36" s="504">
        <v>383709.24707888794</v>
      </c>
      <c r="K36" s="504">
        <v>1554818.690107133</v>
      </c>
      <c r="L36" s="504">
        <v>2110416.1851395285</v>
      </c>
      <c r="M36" s="530">
        <v>1021900.7194006069</v>
      </c>
    </row>
    <row r="37" spans="4:13" ht="14.25" x14ac:dyDescent="0.45">
      <c r="D37" s="1070"/>
      <c r="E37" s="552" t="s">
        <v>122</v>
      </c>
      <c r="F37" s="531"/>
      <c r="G37" s="532">
        <v>155298.80558566141</v>
      </c>
      <c r="H37" s="533">
        <v>8441.2579329468899</v>
      </c>
      <c r="I37" s="532">
        <v>431095.66044411022</v>
      </c>
      <c r="J37" s="534">
        <v>709305.52770450013</v>
      </c>
      <c r="K37" s="534">
        <v>213046.96347697053</v>
      </c>
      <c r="L37" s="534">
        <v>254153.05511366596</v>
      </c>
      <c r="M37" s="533">
        <v>0</v>
      </c>
    </row>
    <row r="38" spans="4:13" ht="14.25" x14ac:dyDescent="0.45">
      <c r="D38" s="535" t="s">
        <v>117</v>
      </c>
      <c r="E38" s="552" t="s">
        <v>123</v>
      </c>
      <c r="F38" s="531"/>
      <c r="G38" s="443">
        <v>2104425.6424640412</v>
      </c>
      <c r="H38" s="442">
        <v>5455089.3184040599</v>
      </c>
      <c r="I38" s="443">
        <v>1054023.6480942804</v>
      </c>
      <c r="J38" s="444">
        <v>816075.68478807632</v>
      </c>
      <c r="K38" s="444">
        <v>8447037.7676402684</v>
      </c>
      <c r="L38" s="444">
        <v>38689605.978530198</v>
      </c>
      <c r="M38" s="442">
        <v>57651979.844545618</v>
      </c>
    </row>
    <row r="39" spans="4:13" ht="14.25" x14ac:dyDescent="0.45">
      <c r="D39" s="536" t="s">
        <v>125</v>
      </c>
      <c r="E39" s="552" t="s">
        <v>124</v>
      </c>
      <c r="F39" s="531"/>
      <c r="G39" s="532">
        <v>1356391.0729420208</v>
      </c>
      <c r="H39" s="533">
        <v>1256550.0802228728</v>
      </c>
      <c r="I39" s="532">
        <v>1821407.9809878385</v>
      </c>
      <c r="J39" s="534">
        <v>2090842.2568571263</v>
      </c>
      <c r="K39" s="534">
        <v>1696206.1160026954</v>
      </c>
      <c r="L39" s="534">
        <v>1509696.0344617569</v>
      </c>
      <c r="M39" s="533">
        <v>1592410.203750964</v>
      </c>
    </row>
    <row r="40" spans="4:13" ht="14.25" x14ac:dyDescent="0.45">
      <c r="D40" s="1071" t="s">
        <v>450</v>
      </c>
      <c r="E40" s="538"/>
      <c r="F40" s="539"/>
      <c r="G40" s="540"/>
      <c r="H40" s="448"/>
      <c r="I40" s="449"/>
      <c r="J40" s="437"/>
      <c r="K40" s="437"/>
      <c r="L40" s="437"/>
      <c r="M40" s="448"/>
    </row>
    <row r="41" spans="4:13" ht="14.25" hidden="1" outlineLevel="1" x14ac:dyDescent="0.45">
      <c r="D41" s="1072"/>
      <c r="E41" s="542"/>
      <c r="F41" s="543"/>
      <c r="G41" s="314"/>
      <c r="H41" s="435"/>
      <c r="I41" s="436"/>
      <c r="J41" s="315"/>
      <c r="K41" s="315"/>
      <c r="L41" s="315"/>
      <c r="M41" s="435"/>
    </row>
    <row r="42" spans="4:13" ht="14.25" hidden="1" outlineLevel="1" x14ac:dyDescent="0.45">
      <c r="D42" s="1072"/>
      <c r="E42" s="542"/>
      <c r="F42" s="543"/>
      <c r="G42" s="314"/>
      <c r="H42" s="435"/>
      <c r="I42" s="436"/>
      <c r="J42" s="315"/>
      <c r="K42" s="315"/>
      <c r="L42" s="315"/>
      <c r="M42" s="435"/>
    </row>
    <row r="43" spans="4:13" ht="14.25" hidden="1" outlineLevel="1" x14ac:dyDescent="0.45">
      <c r="D43" s="1072"/>
      <c r="E43" s="542"/>
      <c r="F43" s="543"/>
      <c r="G43" s="314"/>
      <c r="H43" s="435"/>
      <c r="I43" s="436"/>
      <c r="J43" s="315"/>
      <c r="K43" s="315"/>
      <c r="L43" s="315"/>
      <c r="M43" s="435"/>
    </row>
    <row r="44" spans="4:13" ht="14.25" hidden="1" outlineLevel="1" x14ac:dyDescent="0.45">
      <c r="D44" s="1072"/>
      <c r="E44" s="542"/>
      <c r="F44" s="543"/>
      <c r="G44" s="314"/>
      <c r="H44" s="435"/>
      <c r="I44" s="436"/>
      <c r="J44" s="315"/>
      <c r="K44" s="315"/>
      <c r="L44" s="315"/>
      <c r="M44" s="435"/>
    </row>
    <row r="45" spans="4:13" ht="11.25" hidden="1" customHeight="1" outlineLevel="1" x14ac:dyDescent="0.45">
      <c r="D45" s="1072"/>
      <c r="E45" s="542"/>
      <c r="F45" s="543"/>
      <c r="G45" s="314"/>
      <c r="H45" s="435"/>
      <c r="I45" s="436"/>
      <c r="J45" s="315"/>
      <c r="K45" s="315"/>
      <c r="L45" s="315"/>
      <c r="M45" s="435"/>
    </row>
    <row r="46" spans="4:13" ht="11.25" hidden="1" customHeight="1" outlineLevel="1" x14ac:dyDescent="0.45">
      <c r="D46" s="1072"/>
      <c r="E46" s="542"/>
      <c r="F46" s="543"/>
      <c r="G46" s="314"/>
      <c r="H46" s="435"/>
      <c r="I46" s="436"/>
      <c r="J46" s="315"/>
      <c r="K46" s="315"/>
      <c r="L46" s="315"/>
      <c r="M46" s="435"/>
    </row>
    <row r="47" spans="4:13" ht="11.25" hidden="1" customHeight="1" outlineLevel="1" x14ac:dyDescent="0.45">
      <c r="D47" s="1072"/>
      <c r="E47" s="542"/>
      <c r="F47" s="543"/>
      <c r="G47" s="314"/>
      <c r="H47" s="435"/>
      <c r="I47" s="436"/>
      <c r="J47" s="315"/>
      <c r="K47" s="315"/>
      <c r="L47" s="315"/>
      <c r="M47" s="435"/>
    </row>
    <row r="48" spans="4:13" ht="11.25" hidden="1" customHeight="1" outlineLevel="1" x14ac:dyDescent="0.45">
      <c r="D48" s="1072"/>
      <c r="E48" s="544"/>
      <c r="F48" s="543"/>
      <c r="G48" s="314"/>
      <c r="H48" s="435"/>
      <c r="I48" s="436"/>
      <c r="J48" s="315"/>
      <c r="K48" s="315"/>
      <c r="L48" s="315"/>
      <c r="M48" s="435"/>
    </row>
    <row r="49" spans="1:13" ht="11.1" hidden="1" customHeight="1" outlineLevel="1" x14ac:dyDescent="0.45">
      <c r="D49" s="1072"/>
      <c r="E49" s="544"/>
      <c r="F49" s="543"/>
      <c r="G49" s="314"/>
      <c r="H49" s="435"/>
      <c r="I49" s="436"/>
      <c r="J49" s="315"/>
      <c r="K49" s="315"/>
      <c r="L49" s="315"/>
      <c r="M49" s="435"/>
    </row>
    <row r="50" spans="1:13" ht="11.25" customHeight="1" collapsed="1" thickBot="1" x14ac:dyDescent="0.5">
      <c r="D50" s="1073"/>
      <c r="E50" s="546"/>
      <c r="F50" s="547"/>
      <c r="G50" s="317"/>
      <c r="H50" s="467"/>
      <c r="I50" s="468"/>
      <c r="J50" s="318"/>
      <c r="K50" s="318"/>
      <c r="L50" s="318"/>
      <c r="M50" s="467"/>
    </row>
    <row r="51" spans="1:13" ht="11.25" customHeight="1" x14ac:dyDescent="0.3">
      <c r="D51" s="6"/>
      <c r="E51" s="6"/>
      <c r="F51" s="175"/>
      <c r="G51" s="175"/>
      <c r="H51" s="175"/>
      <c r="I51" s="175"/>
      <c r="J51" s="175"/>
      <c r="K51" s="175"/>
      <c r="L51" s="175"/>
    </row>
    <row r="52" spans="1:13" ht="12.75" x14ac:dyDescent="0.3">
      <c r="A52" s="41"/>
      <c r="D52" s="6" t="s">
        <v>698</v>
      </c>
      <c r="E52" s="6"/>
      <c r="F52" s="347"/>
      <c r="G52" s="118">
        <f>SUM(G12:G30)</f>
        <v>4662997.3854155466</v>
      </c>
      <c r="H52" s="118">
        <f t="shared" ref="H52:M52" si="9">SUM(H12:H30)</f>
        <v>4679573.1635511015</v>
      </c>
      <c r="I52" s="118">
        <f t="shared" si="9"/>
        <v>4653549.6611519894</v>
      </c>
      <c r="J52" s="118">
        <f t="shared" si="9"/>
        <v>4689527.1610532217</v>
      </c>
      <c r="K52" s="118">
        <f t="shared" si="9"/>
        <v>4704599.812443261</v>
      </c>
      <c r="L52" s="118">
        <f t="shared" si="9"/>
        <v>4710811.2741009202</v>
      </c>
      <c r="M52" s="118">
        <f t="shared" si="9"/>
        <v>4726457.0877033239</v>
      </c>
    </row>
    <row r="53" spans="1:13" ht="12.75" x14ac:dyDescent="0.3">
      <c r="A53" s="41"/>
      <c r="D53" s="6" t="s">
        <v>740</v>
      </c>
      <c r="E53" s="6"/>
      <c r="F53" s="347"/>
      <c r="G53" s="118">
        <f>'WkB_1_2.1.2'!E51</f>
        <v>4662997.3854155466</v>
      </c>
      <c r="H53" s="118">
        <f>'WkB_1_2.1.2'!F51</f>
        <v>4679573.1635511005</v>
      </c>
      <c r="I53" s="118">
        <f>'WkB_1_2.1.2'!G51</f>
        <v>4653549.6611519884</v>
      </c>
      <c r="J53" s="118">
        <f>'WkB_1_2.1.2'!H51</f>
        <v>4689527.1610532207</v>
      </c>
      <c r="K53" s="118">
        <f>'WkB_1_2.1.2'!I51</f>
        <v>4704599.8124432601</v>
      </c>
      <c r="L53" s="118">
        <f>'WkB_1_2.1.2'!J51</f>
        <v>4710811.2741009193</v>
      </c>
      <c r="M53" s="118">
        <f>'WkB_1_2.1.2'!K51</f>
        <v>4726457.087703323</v>
      </c>
    </row>
    <row r="54" spans="1:13" ht="12.75" x14ac:dyDescent="0.3">
      <c r="D54" s="6" t="s">
        <v>695</v>
      </c>
      <c r="G54" s="115">
        <v>4662997.3854155466</v>
      </c>
      <c r="H54" s="116">
        <v>4679573.1635511015</v>
      </c>
      <c r="I54" s="117">
        <v>4653549.6611519894</v>
      </c>
      <c r="J54" s="115">
        <v>4689527.1610532217</v>
      </c>
      <c r="K54" s="115">
        <v>4704599.812443261</v>
      </c>
      <c r="L54" s="115">
        <v>4710811.2741009202</v>
      </c>
      <c r="M54" s="115">
        <v>4726457.0877033239</v>
      </c>
    </row>
    <row r="55" spans="1:13" ht="12.75" x14ac:dyDescent="0.3">
      <c r="A55" s="41">
        <f>IF(SUM($G55:$M55)&gt;0,1,0)</f>
        <v>0</v>
      </c>
      <c r="D55" s="6" t="s">
        <v>126</v>
      </c>
      <c r="E55" s="6"/>
      <c r="G55" s="62">
        <f>IF(OR(ROUND(G52-G53,1)&lt;&gt;0,ROUND(G54-G53,1)&lt;&gt;0),1,0)</f>
        <v>0</v>
      </c>
      <c r="H55" s="62">
        <f t="shared" ref="H55:M55" si="10">IF(OR(ROUND(H52-H53,1)&lt;&gt;0,ROUND(H54-H53,1)&lt;&gt;0),1,0)</f>
        <v>0</v>
      </c>
      <c r="I55" s="62">
        <f t="shared" si="10"/>
        <v>0</v>
      </c>
      <c r="J55" s="62">
        <f t="shared" si="10"/>
        <v>0</v>
      </c>
      <c r="K55" s="62">
        <f t="shared" si="10"/>
        <v>0</v>
      </c>
      <c r="L55" s="62">
        <f t="shared" si="10"/>
        <v>0</v>
      </c>
      <c r="M55" s="62">
        <f t="shared" si="10"/>
        <v>0</v>
      </c>
    </row>
    <row r="56" spans="1:13" ht="11.25" customHeight="1" x14ac:dyDescent="0.3"/>
    <row r="57" spans="1:13" ht="12.75" x14ac:dyDescent="0.3">
      <c r="A57" s="41"/>
      <c r="D57" s="6" t="s">
        <v>699</v>
      </c>
      <c r="F57" s="347"/>
      <c r="G57" s="118">
        <f>SUM(G32:G50)</f>
        <v>23981219.873360824</v>
      </c>
      <c r="H57" s="118">
        <f t="shared" ref="H57:M57" si="11">SUM(H32:H50)</f>
        <v>28069911.180260375</v>
      </c>
      <c r="I57" s="118">
        <f t="shared" si="11"/>
        <v>21501051.680954196</v>
      </c>
      <c r="J57" s="118">
        <f t="shared" si="11"/>
        <v>26154043.730188645</v>
      </c>
      <c r="K57" s="118">
        <f t="shared" si="11"/>
        <v>24853947.278700236</v>
      </c>
      <c r="L57" s="118">
        <f t="shared" si="11"/>
        <v>54258332.83919283</v>
      </c>
      <c r="M57" s="118">
        <f t="shared" si="11"/>
        <v>73252016.973421797</v>
      </c>
    </row>
    <row r="58" spans="1:13" ht="12.75" x14ac:dyDescent="0.3">
      <c r="A58" s="41"/>
      <c r="D58" s="6" t="s">
        <v>741</v>
      </c>
      <c r="E58" s="6"/>
      <c r="F58" s="347"/>
      <c r="G58" s="118">
        <f>'WkB_1_2.1.1'!E14</f>
        <v>23981219.87336082</v>
      </c>
      <c r="H58" s="118">
        <f>'WkB_1_2.1.1'!F14</f>
        <v>28069911.180260383</v>
      </c>
      <c r="I58" s="118">
        <f>'WkB_1_2.1.1'!G14</f>
        <v>21501051.680954188</v>
      </c>
      <c r="J58" s="118">
        <f>'WkB_1_2.1.1'!H14</f>
        <v>26154043.730188645</v>
      </c>
      <c r="K58" s="118">
        <f>'WkB_1_2.1.1'!I14</f>
        <v>24853947.278700236</v>
      </c>
      <c r="L58" s="118">
        <f>'WkB_1_2.1.1'!J14</f>
        <v>54258332.83919283</v>
      </c>
      <c r="M58" s="118">
        <f>'WkB_1_2.1.1'!K14</f>
        <v>73252016.973421812</v>
      </c>
    </row>
    <row r="59" spans="1:13" ht="12.75" x14ac:dyDescent="0.3">
      <c r="D59" s="6" t="s">
        <v>695</v>
      </c>
      <c r="G59" s="115">
        <v>23981219.873360824</v>
      </c>
      <c r="H59" s="116">
        <v>28069911.180260375</v>
      </c>
      <c r="I59" s="117">
        <v>21501051.680954196</v>
      </c>
      <c r="J59" s="115">
        <v>26154043.730188645</v>
      </c>
      <c r="K59" s="115">
        <v>24853947.278700236</v>
      </c>
      <c r="L59" s="115">
        <v>54258332.83919283</v>
      </c>
      <c r="M59" s="115">
        <v>73252016.973421797</v>
      </c>
    </row>
    <row r="60" spans="1:13" ht="12.75" x14ac:dyDescent="0.3">
      <c r="A60" s="41">
        <f>IF(SUM($G60:$M60)&gt;0,1,0)</f>
        <v>0</v>
      </c>
      <c r="D60" s="6" t="s">
        <v>452</v>
      </c>
      <c r="E60" s="6"/>
      <c r="G60" s="62">
        <f>IF(OR(ROUND(G57-G58,1)&lt;&gt;0,ROUND(G59-G58,1)&lt;&gt;0),1,0)</f>
        <v>0</v>
      </c>
      <c r="H60" s="62">
        <f t="shared" ref="H60" si="12">IF(OR(ROUND(H57-H58,1)&lt;&gt;0,ROUND(H59-H58,1)&lt;&gt;0),1,0)</f>
        <v>0</v>
      </c>
      <c r="I60" s="62">
        <f t="shared" ref="I60" si="13">IF(OR(ROUND(I57-I58,1)&lt;&gt;0,ROUND(I59-I58,1)&lt;&gt;0),1,0)</f>
        <v>0</v>
      </c>
      <c r="J60" s="62">
        <f t="shared" ref="J60" si="14">IF(OR(ROUND(J57-J58,1)&lt;&gt;0,ROUND(J59-J58,1)&lt;&gt;0),1,0)</f>
        <v>0</v>
      </c>
      <c r="K60" s="62">
        <f t="shared" ref="K60" si="15">IF(OR(ROUND(K57-K58,1)&lt;&gt;0,ROUND(K59-K58,1)&lt;&gt;0),1,0)</f>
        <v>0</v>
      </c>
      <c r="L60" s="62">
        <f t="shared" ref="L60" si="16">IF(OR(ROUND(L57-L58,1)&lt;&gt;0,ROUND(L59-L58,1)&lt;&gt;0),1,0)</f>
        <v>0</v>
      </c>
      <c r="M60" s="62">
        <f t="shared" ref="M60" si="17">IF(OR(ROUND(M57-M58,1)&lt;&gt;0,ROUND(M59-M58,1)&lt;&gt;0),1,0)</f>
        <v>0</v>
      </c>
    </row>
    <row r="61" spans="1:13" ht="11.25" customHeight="1" x14ac:dyDescent="0.3"/>
    <row r="62" spans="1:13" ht="11.25" customHeight="1" x14ac:dyDescent="0.3">
      <c r="D62" s="6" t="s">
        <v>817</v>
      </c>
    </row>
    <row r="63" spans="1:13" ht="11.25" customHeight="1" x14ac:dyDescent="0.3">
      <c r="D63" s="401" t="s">
        <v>218</v>
      </c>
    </row>
    <row r="64" spans="1:13" s="7" customFormat="1" ht="13.9" x14ac:dyDescent="0.3">
      <c r="C64" s="7" t="s">
        <v>526</v>
      </c>
    </row>
    <row r="65" spans="4:11" ht="11.25" customHeight="1" thickBot="1" x14ac:dyDescent="0.35">
      <c r="F65" s="47"/>
      <c r="G65" s="47"/>
    </row>
    <row r="66" spans="4:11" ht="28.15" thickBot="1" x14ac:dyDescent="0.35">
      <c r="D66"/>
      <c r="E66"/>
      <c r="F66" s="271"/>
      <c r="G66" s="548" t="s">
        <v>527</v>
      </c>
      <c r="H66" s="513"/>
      <c r="I66" s="514"/>
    </row>
    <row r="67" spans="4:11" ht="26.65" thickBot="1" x14ac:dyDescent="0.45">
      <c r="D67" s="327" t="s">
        <v>186</v>
      </c>
      <c r="E67" s="327" t="s">
        <v>115</v>
      </c>
      <c r="F67" s="517"/>
      <c r="G67" s="515" t="s">
        <v>170</v>
      </c>
      <c r="H67" s="515" t="s">
        <v>172</v>
      </c>
      <c r="I67" s="516" t="s">
        <v>69</v>
      </c>
      <c r="J67" s="420" t="s">
        <v>81</v>
      </c>
      <c r="K67" s="418" t="s">
        <v>697</v>
      </c>
    </row>
    <row r="68" spans="4:11" ht="13.5" thickBot="1" x14ac:dyDescent="0.35">
      <c r="D68" s="308" t="s">
        <v>85</v>
      </c>
      <c r="E68" s="518"/>
      <c r="F68" s="518"/>
      <c r="G68" s="309"/>
      <c r="H68" s="309"/>
      <c r="I68" s="309"/>
      <c r="J68" s="390"/>
      <c r="K68" s="155"/>
    </row>
    <row r="69" spans="4:11" ht="14.25" x14ac:dyDescent="0.45">
      <c r="D69" s="519" t="s">
        <v>187</v>
      </c>
      <c r="E69" s="549" t="s">
        <v>118</v>
      </c>
      <c r="F69" s="520"/>
      <c r="G69" s="621">
        <v>1847175.29</v>
      </c>
      <c r="H69" s="522">
        <v>1468360</v>
      </c>
      <c r="I69" s="622">
        <v>1254032</v>
      </c>
      <c r="J69" s="391">
        <f t="shared" ref="J69:J79" si="18">SUM(G69:I69)</f>
        <v>4569567.29</v>
      </c>
      <c r="K69" s="155">
        <f>IF($J$80=0,0,J69/$J$80)</f>
        <v>0.39407945147749224</v>
      </c>
    </row>
    <row r="70" spans="4:11" ht="14.25" x14ac:dyDescent="0.45">
      <c r="D70" s="1069" t="s">
        <v>116</v>
      </c>
      <c r="E70" s="550" t="s">
        <v>119</v>
      </c>
      <c r="F70" s="524"/>
      <c r="G70" s="623">
        <v>213488.96</v>
      </c>
      <c r="H70" s="526">
        <v>143404</v>
      </c>
      <c r="I70" s="624">
        <v>317505</v>
      </c>
      <c r="J70" s="391">
        <f t="shared" si="18"/>
        <v>674397.96</v>
      </c>
      <c r="K70" s="155">
        <f t="shared" ref="K70:K79" si="19">IF($J$80=0,0,J70/$J$80)</f>
        <v>5.8160075404938338E-2</v>
      </c>
    </row>
    <row r="71" spans="4:11" ht="14.25" x14ac:dyDescent="0.45">
      <c r="D71" s="1070"/>
      <c r="E71" s="551" t="s">
        <v>120</v>
      </c>
      <c r="F71" s="528"/>
      <c r="G71" s="503">
        <v>608358.36</v>
      </c>
      <c r="H71" s="530">
        <v>387782</v>
      </c>
      <c r="I71" s="625">
        <v>931230</v>
      </c>
      <c r="J71" s="391">
        <f t="shared" si="18"/>
        <v>1927370.3599999999</v>
      </c>
      <c r="K71" s="155">
        <f t="shared" si="19"/>
        <v>0.1662164065129188</v>
      </c>
    </row>
    <row r="72" spans="4:11" ht="14.25" x14ac:dyDescent="0.45">
      <c r="D72" s="1070"/>
      <c r="E72" s="551" t="s">
        <v>188</v>
      </c>
      <c r="F72" s="528"/>
      <c r="G72" s="503">
        <v>0</v>
      </c>
      <c r="H72" s="530">
        <v>0</v>
      </c>
      <c r="I72" s="625">
        <v>0</v>
      </c>
      <c r="J72" s="391">
        <f t="shared" si="18"/>
        <v>0</v>
      </c>
      <c r="K72" s="155">
        <f t="shared" si="19"/>
        <v>0</v>
      </c>
    </row>
    <row r="73" spans="4:11" ht="14.25" x14ac:dyDescent="0.45">
      <c r="D73" s="1070"/>
      <c r="E73" s="551" t="s">
        <v>121</v>
      </c>
      <c r="F73" s="528"/>
      <c r="G73" s="503">
        <v>387789.6</v>
      </c>
      <c r="H73" s="530">
        <v>247697</v>
      </c>
      <c r="I73" s="625">
        <v>586584</v>
      </c>
      <c r="J73" s="391">
        <f t="shared" si="18"/>
        <v>1222070.6000000001</v>
      </c>
      <c r="K73" s="155">
        <f t="shared" si="19"/>
        <v>0.10539136008975805</v>
      </c>
    </row>
    <row r="74" spans="4:11" ht="14.25" x14ac:dyDescent="0.45">
      <c r="D74" s="1070"/>
      <c r="E74" s="552" t="s">
        <v>122</v>
      </c>
      <c r="F74" s="531"/>
      <c r="G74" s="626">
        <v>311660.86</v>
      </c>
      <c r="H74" s="533">
        <v>198085</v>
      </c>
      <c r="I74" s="627">
        <v>463180</v>
      </c>
      <c r="J74" s="391">
        <f t="shared" si="18"/>
        <v>972925.86</v>
      </c>
      <c r="K74" s="155">
        <f t="shared" si="19"/>
        <v>8.39051194357327E-2</v>
      </c>
    </row>
    <row r="75" spans="4:11" ht="14.25" x14ac:dyDescent="0.45">
      <c r="D75" s="535" t="s">
        <v>117</v>
      </c>
      <c r="E75" s="552" t="s">
        <v>123</v>
      </c>
      <c r="F75" s="531"/>
      <c r="G75" s="628">
        <v>549528.27</v>
      </c>
      <c r="H75" s="442">
        <v>618930</v>
      </c>
      <c r="I75" s="629">
        <v>916724</v>
      </c>
      <c r="J75" s="391">
        <f t="shared" si="18"/>
        <v>2085182.27</v>
      </c>
      <c r="K75" s="155">
        <f t="shared" si="19"/>
        <v>0.1798261045395815</v>
      </c>
    </row>
    <row r="76" spans="4:11" ht="14.25" x14ac:dyDescent="0.45">
      <c r="D76" s="536" t="s">
        <v>125</v>
      </c>
      <c r="E76" s="552" t="s">
        <v>124</v>
      </c>
      <c r="F76" s="531"/>
      <c r="G76" s="626">
        <v>0</v>
      </c>
      <c r="H76" s="533">
        <v>0</v>
      </c>
      <c r="I76" s="627">
        <v>0</v>
      </c>
      <c r="J76" s="391">
        <f t="shared" si="18"/>
        <v>0</v>
      </c>
      <c r="K76" s="155">
        <f t="shared" si="19"/>
        <v>0</v>
      </c>
    </row>
    <row r="77" spans="4:11" ht="14.25" x14ac:dyDescent="0.45">
      <c r="D77" s="537" t="s">
        <v>450</v>
      </c>
      <c r="E77" s="538" t="s">
        <v>525</v>
      </c>
      <c r="F77" s="539"/>
      <c r="G77" s="540">
        <v>44729.9</v>
      </c>
      <c r="H77" s="448">
        <v>29688</v>
      </c>
      <c r="I77" s="630">
        <v>69616</v>
      </c>
      <c r="J77" s="391">
        <f t="shared" si="18"/>
        <v>144033.9</v>
      </c>
      <c r="K77" s="155">
        <f t="shared" si="19"/>
        <v>1.2421482539578484E-2</v>
      </c>
    </row>
    <row r="78" spans="4:11" ht="14.25" x14ac:dyDescent="0.45">
      <c r="D78" s="541"/>
      <c r="E78" s="542"/>
      <c r="F78" s="543"/>
      <c r="G78" s="314"/>
      <c r="H78" s="435"/>
      <c r="I78" s="631"/>
      <c r="J78" s="391">
        <f t="shared" si="18"/>
        <v>0</v>
      </c>
      <c r="K78" s="155">
        <f t="shared" si="19"/>
        <v>0</v>
      </c>
    </row>
    <row r="79" spans="4:11" ht="14.65" thickBot="1" x14ac:dyDescent="0.5">
      <c r="D79" s="545"/>
      <c r="E79" s="635"/>
      <c r="F79" s="547"/>
      <c r="G79" s="317"/>
      <c r="H79" s="467"/>
      <c r="I79" s="632"/>
      <c r="J79" s="392">
        <f t="shared" si="18"/>
        <v>0</v>
      </c>
      <c r="K79" s="156">
        <f t="shared" si="19"/>
        <v>0</v>
      </c>
    </row>
    <row r="80" spans="4:11" ht="13.5" x14ac:dyDescent="0.3">
      <c r="D80" s="633" t="s">
        <v>696</v>
      </c>
      <c r="E80" s="634"/>
      <c r="G80" s="118">
        <f>SUM(G69:G79)</f>
        <v>3962731.2399999998</v>
      </c>
      <c r="H80" s="118">
        <f t="shared" ref="H80:J80" si="20">SUM(H69:H79)</f>
        <v>3093946</v>
      </c>
      <c r="I80" s="118">
        <f t="shared" si="20"/>
        <v>4538871</v>
      </c>
      <c r="J80" s="118">
        <f t="shared" si="20"/>
        <v>11595548.239999998</v>
      </c>
    </row>
    <row r="81" spans="2:2" ht="11.25" customHeight="1" x14ac:dyDescent="0.3"/>
    <row r="82" spans="2:2" s="46" customFormat="1" ht="15" x14ac:dyDescent="0.3">
      <c r="B82" s="46" t="s">
        <v>16</v>
      </c>
    </row>
  </sheetData>
  <mergeCells count="5">
    <mergeCell ref="D13:D17"/>
    <mergeCell ref="D20:D30"/>
    <mergeCell ref="D33:D37"/>
    <mergeCell ref="D40:D50"/>
    <mergeCell ref="D70:D74"/>
  </mergeCells>
  <conditionalFormatting sqref="B3">
    <cfRule type="cellIs" dxfId="556" priority="11" operator="notEqual">
      <formula>"No Errors Found"</formula>
    </cfRule>
  </conditionalFormatting>
  <conditionalFormatting sqref="K12:K30">
    <cfRule type="expression" dxfId="555" priority="6">
      <formula>(dms_FRCPlength_Num)&lt;3</formula>
    </cfRule>
  </conditionalFormatting>
  <conditionalFormatting sqref="L12:L30">
    <cfRule type="expression" dxfId="554" priority="5">
      <formula>(dms_FRCPlength_Num)&lt;4</formula>
    </cfRule>
  </conditionalFormatting>
  <conditionalFormatting sqref="M12:M30">
    <cfRule type="expression" dxfId="553" priority="4">
      <formula>(dms_FRCPlength_Num)&lt;5</formula>
    </cfRule>
  </conditionalFormatting>
  <conditionalFormatting sqref="K32:K50">
    <cfRule type="expression" dxfId="552" priority="3">
      <formula>(dms_FRCPlength_Num)&lt;3</formula>
    </cfRule>
  </conditionalFormatting>
  <conditionalFormatting sqref="L32:L50">
    <cfRule type="expression" dxfId="551" priority="2">
      <formula>(dms_FRCPlength_Num)&lt;4</formula>
    </cfRule>
  </conditionalFormatting>
  <conditionalFormatting sqref="M32:M50">
    <cfRule type="expression" dxfId="550" priority="1">
      <formula>(dms_FRCPlength_Num)&lt;5</formula>
    </cfRule>
  </conditionalFormatting>
  <hyperlinks>
    <hyperlink ref="B2:E2" location="TOC!A1" display="TOC!A1" xr:uid="{222042EF-5D2C-4C2F-8657-D0DCA843AD5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7652-9B20-4BE1-86BB-E3111324C35B}">
  <sheetPr codeName="Sheet23">
    <tabColor rgb="FFFFFF00"/>
  </sheetPr>
  <dimension ref="A1:P66"/>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L46" sqref="L46"/>
    </sheetView>
  </sheetViews>
  <sheetFormatPr defaultColWidth="9.33203125" defaultRowHeight="10.15" outlineLevelRow="1" x14ac:dyDescent="0.3"/>
  <cols>
    <col min="1" max="3" width="3.6640625" style="45" customWidth="1"/>
    <col min="4" max="4" width="53.5" style="45" customWidth="1"/>
    <col min="5" max="13" width="15.6640625" style="45" customWidth="1"/>
    <col min="14" max="31" width="10.6640625" style="45" customWidth="1"/>
    <col min="32" max="16384" width="9.33203125" style="45"/>
  </cols>
  <sheetData>
    <row r="1" spans="1:15" ht="18.75" x14ac:dyDescent="0.3">
      <c r="A1" s="41">
        <f>IF(SUM($A3:$A66)&gt;0,1,0)</f>
        <v>0</v>
      </c>
      <c r="B1" s="3" t="s">
        <v>1096</v>
      </c>
      <c r="K1"/>
    </row>
    <row r="2" spans="1:15" customFormat="1" x14ac:dyDescent="0.3">
      <c r="B2" s="34" t="str">
        <f>TOC!$B$1</f>
        <v>Table of contents</v>
      </c>
      <c r="C2" s="34"/>
      <c r="D2" s="34"/>
      <c r="E2" s="34"/>
      <c r="L2" s="45"/>
      <c r="M2" s="45"/>
      <c r="N2" s="45"/>
      <c r="O2" s="45"/>
    </row>
    <row r="3" spans="1:15" x14ac:dyDescent="0.3">
      <c r="B3" s="9" t="str">
        <f>Title_Msg</f>
        <v>No Errors Found</v>
      </c>
      <c r="K3"/>
    </row>
    <row r="4" spans="1:15" s="46" customFormat="1" ht="15" x14ac:dyDescent="0.3">
      <c r="B4" s="46" t="str">
        <f>'WkB_1_2.1.1'!$B$4</f>
        <v>Data required to populate Power and Water Corporation 2024-29 regulatory submission</v>
      </c>
    </row>
    <row r="5" spans="1:15" ht="4.5" customHeight="1" x14ac:dyDescent="0.3"/>
    <row r="6" spans="1:15" s="7" customFormat="1" ht="13.9" x14ac:dyDescent="0.3">
      <c r="C6" s="7" t="str">
        <f>'WkB_1_2.1.1'!$C$6</f>
        <v>Output - RIN template</v>
      </c>
    </row>
    <row r="7" spans="1:15" ht="11.25" customHeight="1" thickBot="1" x14ac:dyDescent="0.35"/>
    <row r="8" spans="1:15" ht="15.4" thickBot="1" x14ac:dyDescent="0.35">
      <c r="D8" s="325" t="s">
        <v>453</v>
      </c>
      <c r="E8" s="325"/>
      <c r="F8" s="325"/>
      <c r="G8" s="325"/>
      <c r="H8" s="325"/>
      <c r="I8" s="325"/>
      <c r="J8" s="325"/>
      <c r="K8" s="325"/>
      <c r="L8" s="325"/>
      <c r="M8" s="325"/>
    </row>
    <row r="9" spans="1:15" ht="28.15" thickBot="1" x14ac:dyDescent="0.35">
      <c r="D9"/>
      <c r="E9"/>
      <c r="F9" s="271"/>
      <c r="G9" s="555" t="s">
        <v>449</v>
      </c>
      <c r="H9" s="556"/>
      <c r="I9" s="556"/>
      <c r="J9" s="556"/>
      <c r="K9" s="556"/>
      <c r="L9" s="556"/>
      <c r="M9" s="557"/>
    </row>
    <row r="10" spans="1:15" ht="14.65" thickBot="1" x14ac:dyDescent="0.45">
      <c r="D10" s="306"/>
      <c r="E10" s="306"/>
      <c r="F10" s="307"/>
      <c r="G10" s="515" t="s">
        <v>70</v>
      </c>
      <c r="H10" s="515" t="s">
        <v>71</v>
      </c>
      <c r="I10" s="516" t="s">
        <v>72</v>
      </c>
      <c r="J10" s="516" t="s">
        <v>73</v>
      </c>
      <c r="K10" s="516" t="s">
        <v>74</v>
      </c>
      <c r="L10" s="516" t="s">
        <v>82</v>
      </c>
      <c r="M10" s="516" t="s">
        <v>243</v>
      </c>
    </row>
    <row r="11" spans="1:15" ht="13.5" thickBot="1" x14ac:dyDescent="0.35">
      <c r="D11" s="308" t="s">
        <v>189</v>
      </c>
      <c r="E11" s="309"/>
      <c r="F11" s="309"/>
      <c r="G11" s="309"/>
      <c r="H11" s="309"/>
      <c r="I11" s="309"/>
      <c r="J11" s="309"/>
      <c r="K11" s="309"/>
      <c r="L11" s="309"/>
      <c r="M11" s="310"/>
    </row>
    <row r="12" spans="1:15" ht="14.65" thickBot="1" x14ac:dyDescent="0.5">
      <c r="D12" s="704" t="s">
        <v>1003</v>
      </c>
      <c r="E12" s="553"/>
      <c r="F12" s="554"/>
      <c r="G12" s="311">
        <v>4061005.2796401596</v>
      </c>
      <c r="H12" s="312">
        <v>6419429.6177145764</v>
      </c>
      <c r="I12" s="312">
        <v>2408559.7913616518</v>
      </c>
      <c r="J12" s="312">
        <v>4236879.8681914415</v>
      </c>
      <c r="K12" s="312">
        <v>2300989.29858009</v>
      </c>
      <c r="L12" s="312">
        <v>3229843.4659512709</v>
      </c>
      <c r="M12" s="313">
        <v>5474554.3195811715</v>
      </c>
    </row>
    <row r="13" spans="1:15" ht="14.25" hidden="1" outlineLevel="1" x14ac:dyDescent="0.45">
      <c r="D13" s="705"/>
      <c r="E13" s="553"/>
      <c r="F13" s="554"/>
      <c r="G13" s="314"/>
      <c r="H13" s="315"/>
      <c r="I13" s="315"/>
      <c r="J13" s="315"/>
      <c r="K13" s="315"/>
      <c r="L13" s="315"/>
      <c r="M13" s="316"/>
    </row>
    <row r="14" spans="1:15" ht="14.25" hidden="1" outlineLevel="1" x14ac:dyDescent="0.45">
      <c r="D14" s="705"/>
      <c r="E14" s="553"/>
      <c r="F14" s="554"/>
      <c r="G14" s="314"/>
      <c r="H14" s="315"/>
      <c r="I14" s="315"/>
      <c r="J14" s="315"/>
      <c r="K14" s="315"/>
      <c r="L14" s="315"/>
      <c r="M14" s="316"/>
    </row>
    <row r="15" spans="1:15" ht="14.25" hidden="1" outlineLevel="1" x14ac:dyDescent="0.45">
      <c r="D15" s="705"/>
      <c r="E15" s="553"/>
      <c r="F15" s="554"/>
      <c r="G15" s="314"/>
      <c r="H15" s="315"/>
      <c r="I15" s="315"/>
      <c r="J15" s="315"/>
      <c r="K15" s="315"/>
      <c r="L15" s="315"/>
      <c r="M15" s="316"/>
    </row>
    <row r="16" spans="1:15" ht="14.25" hidden="1" outlineLevel="1" x14ac:dyDescent="0.45">
      <c r="D16" s="705"/>
      <c r="E16" s="553"/>
      <c r="F16" s="554"/>
      <c r="G16" s="314"/>
      <c r="H16" s="315"/>
      <c r="I16" s="315"/>
      <c r="J16" s="315"/>
      <c r="K16" s="315"/>
      <c r="L16" s="315"/>
      <c r="M16" s="316"/>
    </row>
    <row r="17" spans="4:13" ht="14.25" hidden="1" outlineLevel="1" x14ac:dyDescent="0.45">
      <c r="D17" s="705"/>
      <c r="E17" s="553"/>
      <c r="F17" s="554"/>
      <c r="G17" s="314"/>
      <c r="H17" s="315"/>
      <c r="I17" s="315"/>
      <c r="J17" s="315"/>
      <c r="K17" s="315"/>
      <c r="L17" s="315"/>
      <c r="M17" s="316"/>
    </row>
    <row r="18" spans="4:13" ht="14.25" hidden="1" outlineLevel="1" x14ac:dyDescent="0.45">
      <c r="D18" s="705"/>
      <c r="E18" s="553"/>
      <c r="F18" s="554"/>
      <c r="G18" s="314"/>
      <c r="H18" s="315"/>
      <c r="I18" s="315"/>
      <c r="J18" s="315"/>
      <c r="K18" s="315"/>
      <c r="L18" s="315"/>
      <c r="M18" s="316"/>
    </row>
    <row r="19" spans="4:13" ht="14.25" hidden="1" outlineLevel="1" x14ac:dyDescent="0.45">
      <c r="D19" s="705"/>
      <c r="E19" s="553"/>
      <c r="F19" s="554"/>
      <c r="G19" s="314"/>
      <c r="H19" s="315"/>
      <c r="I19" s="315"/>
      <c r="J19" s="315"/>
      <c r="K19" s="315"/>
      <c r="L19" s="315"/>
      <c r="M19" s="316"/>
    </row>
    <row r="20" spans="4:13" ht="14.25" hidden="1" outlineLevel="1" x14ac:dyDescent="0.45">
      <c r="D20" s="705"/>
      <c r="E20" s="553"/>
      <c r="F20" s="554"/>
      <c r="G20" s="314"/>
      <c r="H20" s="315"/>
      <c r="I20" s="315"/>
      <c r="J20" s="315"/>
      <c r="K20" s="315"/>
      <c r="L20" s="315"/>
      <c r="M20" s="316"/>
    </row>
    <row r="21" spans="4:13" ht="14.65" hidden="1" outlineLevel="1" thickBot="1" x14ac:dyDescent="0.5">
      <c r="D21" s="705"/>
      <c r="E21" s="553"/>
      <c r="F21" s="554"/>
      <c r="G21" s="317"/>
      <c r="H21" s="318"/>
      <c r="I21" s="318"/>
      <c r="J21" s="318"/>
      <c r="K21" s="318"/>
      <c r="L21" s="318"/>
      <c r="M21" s="319"/>
    </row>
    <row r="22" spans="4:13" ht="13.5" collapsed="1" thickBot="1" x14ac:dyDescent="0.35">
      <c r="D22" s="308" t="s">
        <v>190</v>
      </c>
      <c r="E22" s="309"/>
      <c r="F22" s="309"/>
      <c r="G22" s="320"/>
      <c r="H22" s="320"/>
      <c r="I22" s="320"/>
      <c r="J22" s="320"/>
      <c r="K22" s="320"/>
      <c r="L22" s="320"/>
      <c r="M22" s="321"/>
    </row>
    <row r="23" spans="4:13" ht="14.25" x14ac:dyDescent="0.45">
      <c r="D23" s="706" t="s">
        <v>1003</v>
      </c>
      <c r="E23" s="707"/>
      <c r="F23" s="708"/>
      <c r="G23" s="311">
        <v>13616478.421142012</v>
      </c>
      <c r="H23" s="312">
        <v>13139079.419174001</v>
      </c>
      <c r="I23" s="312">
        <v>14559408.48646621</v>
      </c>
      <c r="J23" s="312">
        <v>15598311.715217385</v>
      </c>
      <c r="K23" s="312">
        <v>8992509.3377680238</v>
      </c>
      <c r="L23" s="312">
        <v>7733726.9508957081</v>
      </c>
      <c r="M23" s="313">
        <v>6116172.9227418723</v>
      </c>
    </row>
    <row r="24" spans="4:13" ht="14.65" hidden="1" customHeight="1" outlineLevel="1" x14ac:dyDescent="0.45">
      <c r="D24" s="705"/>
      <c r="E24" s="553"/>
      <c r="F24" s="709"/>
      <c r="G24" s="314"/>
      <c r="H24" s="315"/>
      <c r="I24" s="315"/>
      <c r="J24" s="315"/>
      <c r="K24" s="315"/>
      <c r="L24" s="315"/>
      <c r="M24" s="316"/>
    </row>
    <row r="25" spans="4:13" ht="14.65" hidden="1" customHeight="1" outlineLevel="1" x14ac:dyDescent="0.45">
      <c r="D25" s="705"/>
      <c r="E25" s="553"/>
      <c r="F25" s="709"/>
      <c r="G25" s="314"/>
      <c r="H25" s="315"/>
      <c r="I25" s="315"/>
      <c r="J25" s="315"/>
      <c r="K25" s="315"/>
      <c r="L25" s="315"/>
      <c r="M25" s="316"/>
    </row>
    <row r="26" spans="4:13" ht="14.65" hidden="1" customHeight="1" outlineLevel="1" x14ac:dyDescent="0.45">
      <c r="D26" s="705"/>
      <c r="E26" s="553"/>
      <c r="F26" s="709"/>
      <c r="G26" s="314"/>
      <c r="H26" s="315"/>
      <c r="I26" s="315"/>
      <c r="J26" s="315"/>
      <c r="K26" s="315"/>
      <c r="L26" s="315"/>
      <c r="M26" s="316"/>
    </row>
    <row r="27" spans="4:13" ht="11.25" hidden="1" customHeight="1" outlineLevel="1" x14ac:dyDescent="0.45">
      <c r="D27" s="705"/>
      <c r="E27" s="553"/>
      <c r="F27" s="709"/>
      <c r="G27" s="314"/>
      <c r="H27" s="315"/>
      <c r="I27" s="315"/>
      <c r="J27" s="315"/>
      <c r="K27" s="315"/>
      <c r="L27" s="315"/>
      <c r="M27" s="316"/>
    </row>
    <row r="28" spans="4:13" ht="11.25" hidden="1" customHeight="1" outlineLevel="1" x14ac:dyDescent="0.45">
      <c r="D28" s="704"/>
      <c r="E28" s="553"/>
      <c r="F28" s="709"/>
      <c r="G28" s="314"/>
      <c r="H28" s="315"/>
      <c r="I28" s="315"/>
      <c r="J28" s="315"/>
      <c r="K28" s="315"/>
      <c r="L28" s="315"/>
      <c r="M28" s="316"/>
    </row>
    <row r="29" spans="4:13" ht="11.25" hidden="1" customHeight="1" outlineLevel="1" x14ac:dyDescent="0.45">
      <c r="D29" s="704"/>
      <c r="E29" s="553"/>
      <c r="F29" s="709"/>
      <c r="G29" s="314"/>
      <c r="H29" s="315"/>
      <c r="I29" s="315"/>
      <c r="J29" s="315"/>
      <c r="K29" s="315"/>
      <c r="L29" s="315"/>
      <c r="M29" s="316"/>
    </row>
    <row r="30" spans="4:13" ht="11.25" hidden="1" customHeight="1" outlineLevel="1" x14ac:dyDescent="0.45">
      <c r="D30" s="704"/>
      <c r="E30" s="553"/>
      <c r="F30" s="709"/>
      <c r="G30" s="314"/>
      <c r="H30" s="315"/>
      <c r="I30" s="315"/>
      <c r="J30" s="315"/>
      <c r="K30" s="315"/>
      <c r="L30" s="315"/>
      <c r="M30" s="316"/>
    </row>
    <row r="31" spans="4:13" ht="11.25" hidden="1" customHeight="1" outlineLevel="1" x14ac:dyDescent="0.45">
      <c r="D31" s="704"/>
      <c r="E31" s="553"/>
      <c r="F31" s="709"/>
      <c r="G31" s="314"/>
      <c r="H31" s="315"/>
      <c r="I31" s="315"/>
      <c r="J31" s="315"/>
      <c r="K31" s="315"/>
      <c r="L31" s="315"/>
      <c r="M31" s="316"/>
    </row>
    <row r="32" spans="4:13" ht="11.25" customHeight="1" collapsed="1" thickBot="1" x14ac:dyDescent="0.5">
      <c r="D32" s="916"/>
      <c r="E32" s="558"/>
      <c r="F32" s="710"/>
      <c r="G32" s="317"/>
      <c r="H32" s="318"/>
      <c r="I32" s="318"/>
      <c r="J32" s="318"/>
      <c r="K32" s="318"/>
      <c r="L32" s="318"/>
      <c r="M32" s="319"/>
    </row>
    <row r="33" spans="1:16" ht="11.25" customHeight="1" x14ac:dyDescent="0.3"/>
    <row r="34" spans="1:16" ht="12.75" x14ac:dyDescent="0.3">
      <c r="D34" s="6" t="s">
        <v>32</v>
      </c>
      <c r="G34" s="118">
        <f>'WkB_1_2.6.1'!G32</f>
        <v>17677483.700782172</v>
      </c>
      <c r="H34" s="118">
        <f>'WkB_1_2.6.1'!H32</f>
        <v>19558509.036888577</v>
      </c>
      <c r="I34" s="118">
        <f>'WkB_1_2.6.1'!I32</f>
        <v>16967968.277827863</v>
      </c>
      <c r="J34" s="118">
        <f>'WkB_1_2.6.1'!J32</f>
        <v>19835191.583408829</v>
      </c>
      <c r="K34" s="118">
        <f>'WkB_1_2.6.1'!K32</f>
        <v>11293498.636348113</v>
      </c>
      <c r="L34" s="118">
        <f>'WkB_1_2.6.1'!L32</f>
        <v>10963570.416846979</v>
      </c>
      <c r="M34" s="118">
        <f>'WkB_1_2.6.1'!M32</f>
        <v>11590727.242323047</v>
      </c>
    </row>
    <row r="35" spans="1:16" ht="12.75" x14ac:dyDescent="0.3">
      <c r="D35" s="6" t="s">
        <v>695</v>
      </c>
      <c r="G35" s="115">
        <v>17677483.700782172</v>
      </c>
      <c r="H35" s="116">
        <v>19558509.036888577</v>
      </c>
      <c r="I35" s="117">
        <v>16967968.277827863</v>
      </c>
      <c r="J35" s="115">
        <v>19835191.583408825</v>
      </c>
      <c r="K35" s="115">
        <v>11293498.636348113</v>
      </c>
      <c r="L35" s="115">
        <v>10963570.416846979</v>
      </c>
      <c r="M35" s="115">
        <v>11590727.242323045</v>
      </c>
    </row>
    <row r="36" spans="1:16" ht="12.75" x14ac:dyDescent="0.3">
      <c r="A36" s="41">
        <f>IF(SUM($G36:$M36)&gt;0,1,0)</f>
        <v>0</v>
      </c>
      <c r="D36" s="6" t="s">
        <v>84</v>
      </c>
      <c r="G36" s="62">
        <f>IF(OR(ROUND(SUM(G12:G32)-G34,3)&lt;&gt;0,ROUND(SUM(G12:G32)-G35,3)&lt;&gt;0),1,0)</f>
        <v>0</v>
      </c>
      <c r="H36" s="62">
        <f t="shared" ref="H36:M36" si="0">IF(OR(ROUND(SUM(H12:H32)-H34,3)&lt;&gt;0,ROUND(SUM(H12:H32)-H35,3)&lt;&gt;0),1,0)</f>
        <v>0</v>
      </c>
      <c r="I36" s="62">
        <f t="shared" si="0"/>
        <v>0</v>
      </c>
      <c r="J36" s="62">
        <f t="shared" si="0"/>
        <v>0</v>
      </c>
      <c r="K36" s="62">
        <f t="shared" si="0"/>
        <v>0</v>
      </c>
      <c r="L36" s="62">
        <f t="shared" si="0"/>
        <v>0</v>
      </c>
      <c r="M36" s="62">
        <f t="shared" si="0"/>
        <v>0</v>
      </c>
    </row>
    <row r="37" spans="1:16" ht="11.25" customHeight="1" x14ac:dyDescent="0.3"/>
    <row r="38" spans="1:16" s="7" customFormat="1" ht="13.9" x14ac:dyDescent="0.3">
      <c r="C38" s="7" t="s">
        <v>1097</v>
      </c>
    </row>
    <row r="39" spans="1:16" ht="11.25" customHeight="1" thickBot="1" x14ac:dyDescent="0.35"/>
    <row r="40" spans="1:16" ht="11.25" customHeight="1" thickBot="1" x14ac:dyDescent="0.35">
      <c r="O40" s="1074" t="s">
        <v>979</v>
      </c>
      <c r="P40" s="1075"/>
    </row>
    <row r="41" spans="1:16" ht="14.65" thickBot="1" x14ac:dyDescent="0.35">
      <c r="D41" s="1008" t="s">
        <v>701</v>
      </c>
      <c r="E41" s="1032" t="s">
        <v>205</v>
      </c>
      <c r="F41" s="1009" t="s">
        <v>1004</v>
      </c>
      <c r="G41" s="826" t="s">
        <v>70</v>
      </c>
      <c r="H41" s="827" t="s">
        <v>71</v>
      </c>
      <c r="I41" s="828" t="s">
        <v>72</v>
      </c>
      <c r="J41" s="828" t="s">
        <v>73</v>
      </c>
      <c r="K41" s="828" t="s">
        <v>74</v>
      </c>
      <c r="L41" s="828" t="s">
        <v>82</v>
      </c>
      <c r="M41" s="829" t="s">
        <v>243</v>
      </c>
      <c r="O41" s="994" t="s">
        <v>8</v>
      </c>
      <c r="P41" s="995" t="s">
        <v>9</v>
      </c>
    </row>
    <row r="42" spans="1:16" ht="14.25" x14ac:dyDescent="0.45">
      <c r="D42" s="1003" t="s">
        <v>956</v>
      </c>
      <c r="E42" s="1033" t="s">
        <v>980</v>
      </c>
      <c r="F42" s="1004">
        <v>87</v>
      </c>
      <c r="G42" s="1002">
        <v>227016.42721311795</v>
      </c>
      <c r="H42" s="312">
        <v>0</v>
      </c>
      <c r="I42" s="312">
        <v>0</v>
      </c>
      <c r="J42" s="312">
        <v>0</v>
      </c>
      <c r="K42" s="312">
        <v>0</v>
      </c>
      <c r="L42" s="312">
        <v>0</v>
      </c>
      <c r="M42" s="313">
        <v>0</v>
      </c>
      <c r="O42" s="996">
        <v>1</v>
      </c>
      <c r="P42" s="997">
        <v>0</v>
      </c>
    </row>
    <row r="43" spans="1:16" ht="14.25" x14ac:dyDescent="0.45">
      <c r="D43" s="705" t="s">
        <v>957</v>
      </c>
      <c r="E43" s="1034" t="s">
        <v>981</v>
      </c>
      <c r="F43" s="1005">
        <v>88</v>
      </c>
      <c r="G43" s="314">
        <v>175287.88192464819</v>
      </c>
      <c r="H43" s="315">
        <v>175166.7908015596</v>
      </c>
      <c r="I43" s="315">
        <v>0</v>
      </c>
      <c r="J43" s="315">
        <v>0</v>
      </c>
      <c r="K43" s="315">
        <v>0</v>
      </c>
      <c r="L43" s="315">
        <v>0</v>
      </c>
      <c r="M43" s="316">
        <v>0</v>
      </c>
      <c r="O43" s="998">
        <v>0</v>
      </c>
      <c r="P43" s="999">
        <v>1</v>
      </c>
    </row>
    <row r="44" spans="1:16" ht="14.25" x14ac:dyDescent="0.45">
      <c r="D44" s="705" t="s">
        <v>958</v>
      </c>
      <c r="E44" s="1034" t="s">
        <v>982</v>
      </c>
      <c r="F44" s="1005">
        <v>89</v>
      </c>
      <c r="G44" s="1021" t="s">
        <v>1172</v>
      </c>
      <c r="H44" s="1022" t="s">
        <v>1172</v>
      </c>
      <c r="I44" s="1022" t="s">
        <v>1172</v>
      </c>
      <c r="J44" s="1022" t="s">
        <v>1172</v>
      </c>
      <c r="K44" s="1022" t="s">
        <v>1172</v>
      </c>
      <c r="L44" s="1022" t="s">
        <v>1172</v>
      </c>
      <c r="M44" s="1023" t="s">
        <v>1172</v>
      </c>
      <c r="O44" s="998">
        <v>0.5</v>
      </c>
      <c r="P44" s="999">
        <v>0.5</v>
      </c>
    </row>
    <row r="45" spans="1:16" ht="14.25" x14ac:dyDescent="0.45">
      <c r="D45" s="705" t="s">
        <v>959</v>
      </c>
      <c r="E45" s="1034" t="s">
        <v>983</v>
      </c>
      <c r="F45" s="1005">
        <v>90</v>
      </c>
      <c r="G45" s="1021" t="s">
        <v>1172</v>
      </c>
      <c r="H45" s="1022" t="s">
        <v>1172</v>
      </c>
      <c r="I45" s="1022" t="s">
        <v>1172</v>
      </c>
      <c r="J45" s="1022" t="s">
        <v>1172</v>
      </c>
      <c r="K45" s="1022" t="s">
        <v>1172</v>
      </c>
      <c r="L45" s="1022" t="s">
        <v>1172</v>
      </c>
      <c r="M45" s="1023" t="s">
        <v>1172</v>
      </c>
      <c r="O45" s="998">
        <v>0.5</v>
      </c>
      <c r="P45" s="999">
        <v>0.5</v>
      </c>
    </row>
    <row r="46" spans="1:16" ht="14.25" x14ac:dyDescent="0.45">
      <c r="D46" s="705" t="s">
        <v>960</v>
      </c>
      <c r="E46" s="1034" t="s">
        <v>984</v>
      </c>
      <c r="F46" s="1005">
        <v>91</v>
      </c>
      <c r="G46" s="314">
        <v>262931.82288697228</v>
      </c>
      <c r="H46" s="315">
        <v>262750.18620233936</v>
      </c>
      <c r="I46" s="315">
        <v>0</v>
      </c>
      <c r="J46" s="315">
        <v>0</v>
      </c>
      <c r="K46" s="315">
        <v>0</v>
      </c>
      <c r="L46" s="315">
        <v>0</v>
      </c>
      <c r="M46" s="316">
        <v>0</v>
      </c>
      <c r="O46" s="998">
        <v>0</v>
      </c>
      <c r="P46" s="999">
        <v>1</v>
      </c>
    </row>
    <row r="47" spans="1:16" ht="14.25" x14ac:dyDescent="0.45">
      <c r="D47" s="705" t="s">
        <v>961</v>
      </c>
      <c r="E47" s="1034" t="s">
        <v>985</v>
      </c>
      <c r="F47" s="1005">
        <v>92</v>
      </c>
      <c r="G47" s="314">
        <v>438219.70481162035</v>
      </c>
      <c r="H47" s="315">
        <v>437916.97700389894</v>
      </c>
      <c r="I47" s="315">
        <v>0</v>
      </c>
      <c r="J47" s="315">
        <v>0</v>
      </c>
      <c r="K47" s="315">
        <v>0</v>
      </c>
      <c r="L47" s="315">
        <v>0</v>
      </c>
      <c r="M47" s="316">
        <v>0</v>
      </c>
      <c r="O47" s="998">
        <v>1</v>
      </c>
      <c r="P47" s="999">
        <v>0</v>
      </c>
    </row>
    <row r="48" spans="1:16" ht="14.25" x14ac:dyDescent="0.45">
      <c r="D48" s="705" t="s">
        <v>962</v>
      </c>
      <c r="E48" s="1034" t="s">
        <v>986</v>
      </c>
      <c r="F48" s="1005">
        <v>93</v>
      </c>
      <c r="G48" s="1021" t="s">
        <v>1172</v>
      </c>
      <c r="H48" s="1022" t="s">
        <v>1172</v>
      </c>
      <c r="I48" s="1022" t="s">
        <v>1172</v>
      </c>
      <c r="J48" s="1022" t="s">
        <v>1172</v>
      </c>
      <c r="K48" s="1022" t="s">
        <v>1172</v>
      </c>
      <c r="L48" s="1022" t="s">
        <v>1172</v>
      </c>
      <c r="M48" s="1023" t="s">
        <v>1172</v>
      </c>
      <c r="O48" s="998">
        <v>1</v>
      </c>
      <c r="P48" s="999">
        <v>0</v>
      </c>
    </row>
    <row r="49" spans="4:16" ht="14.25" x14ac:dyDescent="0.45">
      <c r="D49" s="705" t="s">
        <v>963</v>
      </c>
      <c r="E49" s="1034" t="s">
        <v>987</v>
      </c>
      <c r="F49" s="1005">
        <v>94</v>
      </c>
      <c r="G49" s="1021" t="s">
        <v>1172</v>
      </c>
      <c r="H49" s="1022" t="s">
        <v>1172</v>
      </c>
      <c r="I49" s="1022" t="s">
        <v>1172</v>
      </c>
      <c r="J49" s="1022" t="s">
        <v>1172</v>
      </c>
      <c r="K49" s="1022" t="s">
        <v>1172</v>
      </c>
      <c r="L49" s="1022" t="s">
        <v>1172</v>
      </c>
      <c r="M49" s="1023" t="s">
        <v>1172</v>
      </c>
      <c r="O49" s="998">
        <v>1</v>
      </c>
      <c r="P49" s="999">
        <v>0</v>
      </c>
    </row>
    <row r="50" spans="4:16" ht="14.25" x14ac:dyDescent="0.45">
      <c r="D50" s="705" t="s">
        <v>964</v>
      </c>
      <c r="E50" s="1034" t="s">
        <v>988</v>
      </c>
      <c r="F50" s="1005">
        <v>95</v>
      </c>
      <c r="G50" s="314">
        <v>56754.106803279486</v>
      </c>
      <c r="H50" s="315">
        <v>56714.900336424849</v>
      </c>
      <c r="I50" s="315">
        <v>0</v>
      </c>
      <c r="J50" s="315">
        <v>0</v>
      </c>
      <c r="K50" s="315">
        <v>0</v>
      </c>
      <c r="L50" s="315">
        <v>0</v>
      </c>
      <c r="M50" s="316">
        <v>0</v>
      </c>
      <c r="O50" s="998">
        <v>1</v>
      </c>
      <c r="P50" s="999">
        <v>0</v>
      </c>
    </row>
    <row r="51" spans="4:16" ht="14.25" x14ac:dyDescent="0.45">
      <c r="D51" s="705" t="s">
        <v>965</v>
      </c>
      <c r="E51" s="1034" t="s">
        <v>989</v>
      </c>
      <c r="F51" s="1005">
        <v>96</v>
      </c>
      <c r="G51" s="1021" t="s">
        <v>1172</v>
      </c>
      <c r="H51" s="1022" t="s">
        <v>1172</v>
      </c>
      <c r="I51" s="1022" t="s">
        <v>1172</v>
      </c>
      <c r="J51" s="1022" t="s">
        <v>1172</v>
      </c>
      <c r="K51" s="1022" t="s">
        <v>1172</v>
      </c>
      <c r="L51" s="1022" t="s">
        <v>1172</v>
      </c>
      <c r="M51" s="1023" t="s">
        <v>1172</v>
      </c>
      <c r="O51" s="998">
        <v>0.5</v>
      </c>
      <c r="P51" s="999">
        <v>0.5</v>
      </c>
    </row>
    <row r="52" spans="4:16" ht="14.25" x14ac:dyDescent="0.45">
      <c r="D52" s="705" t="s">
        <v>966</v>
      </c>
      <c r="E52" s="1034" t="s">
        <v>990</v>
      </c>
      <c r="F52" s="1005">
        <v>97</v>
      </c>
      <c r="G52" s="314">
        <v>0</v>
      </c>
      <c r="H52" s="315">
        <v>0</v>
      </c>
      <c r="I52" s="315">
        <v>264060.27587903535</v>
      </c>
      <c r="J52" s="315">
        <v>265233.23291928269</v>
      </c>
      <c r="K52" s="315">
        <v>0</v>
      </c>
      <c r="L52" s="315">
        <v>0</v>
      </c>
      <c r="M52" s="316">
        <v>0</v>
      </c>
      <c r="O52" s="998">
        <v>0</v>
      </c>
      <c r="P52" s="999">
        <v>1</v>
      </c>
    </row>
    <row r="53" spans="4:16" ht="14.25" x14ac:dyDescent="0.45">
      <c r="D53" s="705" t="s">
        <v>967</v>
      </c>
      <c r="E53" s="1034" t="s">
        <v>991</v>
      </c>
      <c r="F53" s="1005">
        <v>98</v>
      </c>
      <c r="G53" s="1021" t="s">
        <v>1172</v>
      </c>
      <c r="H53" s="1022" t="s">
        <v>1172</v>
      </c>
      <c r="I53" s="1022" t="s">
        <v>1172</v>
      </c>
      <c r="J53" s="1022" t="s">
        <v>1172</v>
      </c>
      <c r="K53" s="1022" t="s">
        <v>1172</v>
      </c>
      <c r="L53" s="1022" t="s">
        <v>1172</v>
      </c>
      <c r="M53" s="1023" t="s">
        <v>1172</v>
      </c>
      <c r="O53" s="998">
        <v>0</v>
      </c>
      <c r="P53" s="999">
        <v>1</v>
      </c>
    </row>
    <row r="54" spans="4:16" ht="14.25" x14ac:dyDescent="0.45">
      <c r="D54" s="705" t="s">
        <v>968</v>
      </c>
      <c r="E54" s="1034" t="s">
        <v>992</v>
      </c>
      <c r="F54" s="1005">
        <v>99</v>
      </c>
      <c r="G54" s="314">
        <v>262931.82288697228</v>
      </c>
      <c r="H54" s="315">
        <v>0</v>
      </c>
      <c r="I54" s="315">
        <v>0</v>
      </c>
      <c r="J54" s="315">
        <v>0</v>
      </c>
      <c r="K54" s="315">
        <v>0</v>
      </c>
      <c r="L54" s="315">
        <v>0</v>
      </c>
      <c r="M54" s="316">
        <v>0</v>
      </c>
      <c r="O54" s="998">
        <v>0</v>
      </c>
      <c r="P54" s="999">
        <v>1</v>
      </c>
    </row>
    <row r="55" spans="4:16" ht="14.25" x14ac:dyDescent="0.45">
      <c r="D55" s="705" t="s">
        <v>969</v>
      </c>
      <c r="E55" s="1034" t="s">
        <v>993</v>
      </c>
      <c r="F55" s="1005">
        <v>100</v>
      </c>
      <c r="G55" s="314">
        <v>1446125.0258783475</v>
      </c>
      <c r="H55" s="315">
        <v>1751667.9080155957</v>
      </c>
      <c r="I55" s="315">
        <v>2200502.2989919619</v>
      </c>
      <c r="J55" s="315">
        <v>2652332.329192827</v>
      </c>
      <c r="K55" s="315">
        <v>2658054.6383289448</v>
      </c>
      <c r="L55" s="315">
        <v>2217918.2598807006</v>
      </c>
      <c r="M55" s="316">
        <v>1778354.8698263881</v>
      </c>
      <c r="O55" s="998">
        <v>0.27</v>
      </c>
      <c r="P55" s="999">
        <v>0.73</v>
      </c>
    </row>
    <row r="56" spans="4:16" ht="14.25" x14ac:dyDescent="0.45">
      <c r="D56" s="705" t="s">
        <v>970</v>
      </c>
      <c r="E56" s="1034" t="s">
        <v>994</v>
      </c>
      <c r="F56" s="1005">
        <v>101</v>
      </c>
      <c r="G56" s="314">
        <v>0</v>
      </c>
      <c r="H56" s="315">
        <v>437916.97700389894</v>
      </c>
      <c r="I56" s="315">
        <v>0</v>
      </c>
      <c r="J56" s="315">
        <v>0</v>
      </c>
      <c r="K56" s="315">
        <v>0</v>
      </c>
      <c r="L56" s="315">
        <v>0</v>
      </c>
      <c r="M56" s="316">
        <v>0</v>
      </c>
      <c r="O56" s="998">
        <v>1</v>
      </c>
      <c r="P56" s="999">
        <v>0</v>
      </c>
    </row>
    <row r="57" spans="4:16" ht="14.25" x14ac:dyDescent="0.45">
      <c r="D57" s="705" t="s">
        <v>971</v>
      </c>
      <c r="E57" s="1034" t="s">
        <v>995</v>
      </c>
      <c r="F57" s="1005">
        <v>102</v>
      </c>
      <c r="G57" s="314">
        <v>0</v>
      </c>
      <c r="H57" s="315">
        <v>1290860.7466205154</v>
      </c>
      <c r="I57" s="315">
        <v>2594594.1260839798</v>
      </c>
      <c r="J57" s="315">
        <v>1303059.6629571861</v>
      </c>
      <c r="K57" s="315">
        <v>0</v>
      </c>
      <c r="L57" s="315">
        <v>0</v>
      </c>
      <c r="M57" s="316">
        <v>0</v>
      </c>
      <c r="O57" s="998">
        <v>0</v>
      </c>
      <c r="P57" s="999">
        <v>1</v>
      </c>
    </row>
    <row r="58" spans="4:16" ht="14.25" x14ac:dyDescent="0.45">
      <c r="D58" s="705" t="s">
        <v>972</v>
      </c>
      <c r="E58" s="1034" t="s">
        <v>996</v>
      </c>
      <c r="F58" s="1005">
        <v>103</v>
      </c>
      <c r="G58" s="314">
        <v>0</v>
      </c>
      <c r="H58" s="315">
        <v>0</v>
      </c>
      <c r="I58" s="315">
        <v>2378377.9489103151</v>
      </c>
      <c r="J58" s="315">
        <v>3909178.9888715586</v>
      </c>
      <c r="K58" s="315">
        <v>1958806.4491507919</v>
      </c>
      <c r="L58" s="315">
        <v>0</v>
      </c>
      <c r="M58" s="316">
        <v>0</v>
      </c>
      <c r="O58" s="998">
        <v>0</v>
      </c>
      <c r="P58" s="999">
        <v>1</v>
      </c>
    </row>
    <row r="59" spans="4:16" ht="14.25" x14ac:dyDescent="0.45">
      <c r="D59" s="705" t="s">
        <v>973</v>
      </c>
      <c r="E59" s="1034" t="s">
        <v>997</v>
      </c>
      <c r="F59" s="1005">
        <v>104</v>
      </c>
      <c r="G59" s="314">
        <v>508185.05375429336</v>
      </c>
      <c r="H59" s="315">
        <v>1015667.9859674937</v>
      </c>
      <c r="I59" s="315">
        <v>4593294.7794866972</v>
      </c>
      <c r="J59" s="315">
        <v>4613698.2174199289</v>
      </c>
      <c r="K59" s="315">
        <v>3082434.7340604216</v>
      </c>
      <c r="L59" s="315">
        <v>4629648.5893721199</v>
      </c>
      <c r="M59" s="316">
        <v>4640138.38078597</v>
      </c>
      <c r="O59" s="998">
        <v>0</v>
      </c>
      <c r="P59" s="999">
        <v>1</v>
      </c>
    </row>
    <row r="60" spans="4:16" ht="14.25" x14ac:dyDescent="0.45">
      <c r="D60" s="705" t="s">
        <v>974</v>
      </c>
      <c r="E60" s="1034" t="s">
        <v>998</v>
      </c>
      <c r="F60" s="1005">
        <v>105</v>
      </c>
      <c r="G60" s="314">
        <v>10305878.710528642</v>
      </c>
      <c r="H60" s="315">
        <v>7508820.4370856024</v>
      </c>
      <c r="I60" s="315">
        <v>0</v>
      </c>
      <c r="J60" s="315">
        <v>0</v>
      </c>
      <c r="K60" s="315">
        <v>0</v>
      </c>
      <c r="L60" s="315">
        <v>0</v>
      </c>
      <c r="M60" s="316">
        <v>0</v>
      </c>
      <c r="O60" s="998">
        <v>0</v>
      </c>
      <c r="P60" s="999">
        <v>1</v>
      </c>
    </row>
    <row r="61" spans="4:16" ht="14.25" x14ac:dyDescent="0.45">
      <c r="D61" s="705" t="s">
        <v>975</v>
      </c>
      <c r="E61" s="1034" t="s">
        <v>999</v>
      </c>
      <c r="F61" s="1005">
        <v>106</v>
      </c>
      <c r="G61" s="314">
        <v>129712.67721300301</v>
      </c>
      <c r="H61" s="315">
        <v>129623.07002744012</v>
      </c>
      <c r="I61" s="315">
        <v>0</v>
      </c>
      <c r="J61" s="315">
        <v>0</v>
      </c>
      <c r="K61" s="315">
        <v>0</v>
      </c>
      <c r="L61" s="315">
        <v>0</v>
      </c>
      <c r="M61" s="316">
        <v>0</v>
      </c>
      <c r="O61" s="998">
        <v>0</v>
      </c>
      <c r="P61" s="999">
        <v>1</v>
      </c>
    </row>
    <row r="62" spans="4:16" ht="14.25" x14ac:dyDescent="0.45">
      <c r="D62" s="705" t="s">
        <v>976</v>
      </c>
      <c r="E62" s="1034" t="s">
        <v>1000</v>
      </c>
      <c r="F62" s="1005">
        <v>107</v>
      </c>
      <c r="G62" s="314">
        <v>0</v>
      </c>
      <c r="H62" s="315">
        <v>645430.37331025768</v>
      </c>
      <c r="I62" s="315">
        <v>0</v>
      </c>
      <c r="J62" s="315">
        <v>0</v>
      </c>
      <c r="K62" s="315">
        <v>0</v>
      </c>
      <c r="L62" s="315">
        <v>0</v>
      </c>
      <c r="M62" s="316">
        <v>0</v>
      </c>
      <c r="O62" s="998">
        <v>0</v>
      </c>
      <c r="P62" s="999">
        <v>1</v>
      </c>
    </row>
    <row r="63" spans="4:16" ht="14.25" x14ac:dyDescent="0.45">
      <c r="D63" s="705" t="s">
        <v>977</v>
      </c>
      <c r="E63" s="1034" t="s">
        <v>1001</v>
      </c>
      <c r="F63" s="1005">
        <v>108</v>
      </c>
      <c r="G63" s="314">
        <v>0</v>
      </c>
      <c r="H63" s="315">
        <v>0</v>
      </c>
      <c r="I63" s="315">
        <v>0</v>
      </c>
      <c r="J63" s="315">
        <v>0</v>
      </c>
      <c r="K63" s="315">
        <v>1741161.2881340377</v>
      </c>
      <c r="L63" s="315">
        <v>1307564.5710202209</v>
      </c>
      <c r="M63" s="316">
        <v>0</v>
      </c>
      <c r="O63" s="998">
        <v>0</v>
      </c>
      <c r="P63" s="999">
        <v>1</v>
      </c>
    </row>
    <row r="64" spans="4:16" ht="14.65" thickBot="1" x14ac:dyDescent="0.5">
      <c r="D64" s="1006" t="s">
        <v>978</v>
      </c>
      <c r="E64" s="1035" t="s">
        <v>1002</v>
      </c>
      <c r="F64" s="1007">
        <v>109</v>
      </c>
      <c r="G64" s="317">
        <v>0</v>
      </c>
      <c r="H64" s="318">
        <v>0</v>
      </c>
      <c r="I64" s="318">
        <v>2594594.1260839798</v>
      </c>
      <c r="J64" s="318">
        <v>3040472.546900101</v>
      </c>
      <c r="K64" s="318">
        <v>0</v>
      </c>
      <c r="L64" s="318">
        <v>0</v>
      </c>
      <c r="M64" s="319">
        <v>0</v>
      </c>
      <c r="O64" s="1000">
        <v>0</v>
      </c>
      <c r="P64" s="1001">
        <v>1</v>
      </c>
    </row>
    <row r="65" spans="2:2" ht="11.25" customHeight="1" x14ac:dyDescent="0.3"/>
    <row r="66" spans="2:2" s="46" customFormat="1" ht="15" x14ac:dyDescent="0.3">
      <c r="B66" s="46" t="s">
        <v>16</v>
      </c>
    </row>
  </sheetData>
  <mergeCells count="1">
    <mergeCell ref="O40:P40"/>
  </mergeCells>
  <conditionalFormatting sqref="B3">
    <cfRule type="cellIs" dxfId="549" priority="15" operator="notEqual">
      <formula>"No Errors Found"</formula>
    </cfRule>
  </conditionalFormatting>
  <hyperlinks>
    <hyperlink ref="B2:E2" location="TOC!A1" display="TOC!A1" xr:uid="{808134BE-D2D7-488A-A01D-B557C73BBA9F}"/>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E5EC-4A71-4D97-BD82-9C1EAF20AD4A}">
  <sheetPr codeName="Sheet24">
    <tabColor theme="4" tint="0.79998168889431442"/>
  </sheetPr>
  <dimension ref="A1:M7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53.5" style="45" customWidth="1"/>
    <col min="5" max="5" width="24.33203125" style="45" customWidth="1"/>
    <col min="6" max="12" width="17.6640625" style="45" customWidth="1"/>
    <col min="13" max="13" width="24.6640625" style="45" customWidth="1"/>
    <col min="14" max="32" width="10.6640625" style="45" customWidth="1"/>
    <col min="33" max="16384" width="9.33203125" style="45"/>
  </cols>
  <sheetData>
    <row r="1" spans="1:12" ht="18.75" x14ac:dyDescent="0.3">
      <c r="A1" s="41">
        <f>IF(SUM($A3:$A72)&gt;0,1,0)</f>
        <v>0</v>
      </c>
      <c r="B1" s="3" t="s">
        <v>597</v>
      </c>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tr">
        <f>'WkB_1_2.1.1'!$C$6</f>
        <v>Output - RIN template</v>
      </c>
    </row>
    <row r="7" spans="1:12" ht="11.25" customHeight="1" x14ac:dyDescent="0.3"/>
    <row r="8" spans="1:12" ht="18.399999999999999" thickBot="1" x14ac:dyDescent="0.55000000000000004">
      <c r="D8" s="48" t="s">
        <v>66</v>
      </c>
      <c r="E8" s="48"/>
      <c r="F8" s="49"/>
      <c r="G8" s="49"/>
      <c r="H8" s="49"/>
      <c r="I8" s="49"/>
      <c r="J8" s="49"/>
      <c r="K8" s="49"/>
      <c r="L8" s="49"/>
    </row>
    <row r="9" spans="1:12" ht="26.65" thickBot="1" x14ac:dyDescent="0.35">
      <c r="D9"/>
      <c r="E9"/>
      <c r="F9" s="422" t="str">
        <f>'WkB_1_2.1.1'!$E$9</f>
        <v>Forecast 
($0's. real June 2024)</v>
      </c>
      <c r="G9" s="423"/>
      <c r="H9" s="423"/>
      <c r="I9" s="423"/>
      <c r="J9" s="423"/>
      <c r="K9" s="423"/>
      <c r="L9" s="424"/>
    </row>
    <row r="10" spans="1:12" ht="13.5" thickBot="1" x14ac:dyDescent="0.35">
      <c r="D10"/>
      <c r="E10"/>
      <c r="F10" s="417" t="str">
        <f>'WkB_1_2.1.1'!$E$10</f>
        <v>2022-23</v>
      </c>
      <c r="G10" s="418" t="str">
        <f>'WkB_1_2.1.1'!$F$10</f>
        <v>2023-24</v>
      </c>
      <c r="H10" s="419" t="str">
        <f>'WkB_1_2.1.1'!$G$10</f>
        <v>2024-25</v>
      </c>
      <c r="I10" s="420" t="str">
        <f>'WkB_1_2.1.1'!$H$10</f>
        <v>2025-26</v>
      </c>
      <c r="J10" s="420" t="str">
        <f>'WkB_1_2.1.1'!$I$10</f>
        <v>2026-27</v>
      </c>
      <c r="K10" s="420" t="str">
        <f>'WkB_1_2.1.1'!$J$10</f>
        <v>2027-28</v>
      </c>
      <c r="L10" s="421" t="str">
        <f>'WkB_1_2.1.1'!$K$10</f>
        <v>2028-29</v>
      </c>
    </row>
    <row r="11" spans="1:12" ht="18.399999999999999" thickBot="1" x14ac:dyDescent="0.35">
      <c r="D11" s="559" t="s">
        <v>85</v>
      </c>
      <c r="E11" s="560"/>
      <c r="F11" s="560"/>
      <c r="G11" s="560"/>
      <c r="H11" s="560"/>
      <c r="I11" s="560"/>
      <c r="J11" s="560"/>
      <c r="K11" s="560"/>
      <c r="L11" s="561"/>
    </row>
    <row r="12" spans="1:12" ht="14.25" x14ac:dyDescent="0.45">
      <c r="D12" s="562" t="s">
        <v>454</v>
      </c>
      <c r="E12" s="563" t="s">
        <v>455</v>
      </c>
      <c r="F12" s="311">
        <f>'WkB_1_2.1.2'!E$54</f>
        <v>18742015.646296494</v>
      </c>
      <c r="G12" s="312">
        <f>'WkB_1_2.1.2'!F$54</f>
        <v>18808638.77890595</v>
      </c>
      <c r="H12" s="312">
        <f>'WkB_1_2.1.2'!G$54</f>
        <v>26125500.808186166</v>
      </c>
      <c r="I12" s="312">
        <f>'WkB_1_2.1.2'!H$54</f>
        <v>26270105.406973317</v>
      </c>
      <c r="J12" s="312">
        <f>'WkB_1_2.1.2'!I$54</f>
        <v>26041401.999035731</v>
      </c>
      <c r="K12" s="312">
        <f>'WkB_1_2.1.2'!J$54</f>
        <v>27475027.410255156</v>
      </c>
      <c r="L12" s="564">
        <f>'WkB_1_2.1.2'!K$54</f>
        <v>27429073.673977457</v>
      </c>
    </row>
    <row r="13" spans="1:12" ht="14.65" thickBot="1" x14ac:dyDescent="0.5">
      <c r="D13" s="565" t="s">
        <v>456</v>
      </c>
      <c r="E13" s="566" t="s">
        <v>455</v>
      </c>
      <c r="F13" s="317">
        <f>'WkB_1_2.1.4'!E$15</f>
        <v>1618038.150703755</v>
      </c>
      <c r="G13" s="318">
        <f>'WkB_1_2.1.4'!F$15</f>
        <v>1614327.5330407987</v>
      </c>
      <c r="H13" s="318">
        <f>'WkB_1_2.1.4'!G$15</f>
        <v>1959906.8234940688</v>
      </c>
      <c r="I13" s="318">
        <f>'WkB_1_2.1.4'!H$15</f>
        <v>1974570.0516718873</v>
      </c>
      <c r="J13" s="318">
        <f>'WkB_1_2.1.4'!I$15</f>
        <v>1988249.9759922801</v>
      </c>
      <c r="K13" s="318">
        <f>'WkB_1_2.1.4'!J$15</f>
        <v>1997150.9108820488</v>
      </c>
      <c r="L13" s="467">
        <f>'WkB_1_2.1.4'!K$15</f>
        <v>2005716.1480738393</v>
      </c>
    </row>
    <row r="14" spans="1:12" ht="18.399999999999999" thickBot="1" x14ac:dyDescent="0.35">
      <c r="D14" s="559" t="s">
        <v>86</v>
      </c>
      <c r="E14" s="560"/>
      <c r="F14" s="567"/>
      <c r="G14" s="567"/>
      <c r="H14" s="567"/>
      <c r="I14" s="567"/>
      <c r="J14" s="567"/>
      <c r="K14" s="567"/>
      <c r="L14" s="568"/>
    </row>
    <row r="15" spans="1:12" ht="14.25" x14ac:dyDescent="0.45">
      <c r="D15" s="562" t="s">
        <v>454</v>
      </c>
      <c r="E15" s="563" t="s">
        <v>455</v>
      </c>
      <c r="F15" s="311">
        <f>'WkB_1_2.1.1'!E$18</f>
        <v>13841380.007205471</v>
      </c>
      <c r="G15" s="312">
        <f>'WkB_1_2.1.1'!F$18</f>
        <v>13841380.007205475</v>
      </c>
      <c r="H15" s="312">
        <f>'WkB_1_2.1.1'!G$18</f>
        <v>16888822.31339984</v>
      </c>
      <c r="I15" s="312">
        <f>'WkB_1_2.1.1'!H$18</f>
        <v>16344413.225556737</v>
      </c>
      <c r="J15" s="312">
        <f>'WkB_1_2.1.1'!I$18</f>
        <v>14693398.930508742</v>
      </c>
      <c r="K15" s="312">
        <f>'WkB_1_2.1.1'!J$18</f>
        <v>19543828.309158821</v>
      </c>
      <c r="L15" s="564">
        <f>'WkB_1_2.1.1'!K$18</f>
        <v>23881618.209762186</v>
      </c>
    </row>
    <row r="16" spans="1:12" ht="14.65" thickBot="1" x14ac:dyDescent="0.5">
      <c r="D16" s="565" t="s">
        <v>456</v>
      </c>
      <c r="E16" s="566" t="s">
        <v>455</v>
      </c>
      <c r="F16" s="317">
        <f>'WkB_1_2.1.3'!E$15</f>
        <v>3215525.3334072065</v>
      </c>
      <c r="G16" s="318">
        <f>'WkB_1_2.1.3'!F$15</f>
        <v>3373066.5955392458</v>
      </c>
      <c r="H16" s="318">
        <f>'WkB_1_2.1.3'!G$15</f>
        <v>4066130.7535547926</v>
      </c>
      <c r="I16" s="318">
        <f>'WkB_1_2.1.3'!H$15</f>
        <v>4078534.4002418229</v>
      </c>
      <c r="J16" s="318">
        <f>'WkB_1_2.1.3'!I$15</f>
        <v>4600710.9260838609</v>
      </c>
      <c r="K16" s="318">
        <f>'WkB_1_2.1.3'!J$15</f>
        <v>4625186.3715513926</v>
      </c>
      <c r="L16" s="467">
        <f>'WkB_1_2.1.3'!K$15</f>
        <v>4649012.10392344</v>
      </c>
    </row>
    <row r="17" spans="1:12" ht="18.399999999999999" thickBot="1" x14ac:dyDescent="0.35">
      <c r="D17" s="559" t="s">
        <v>457</v>
      </c>
      <c r="E17" s="560"/>
      <c r="F17" s="567"/>
      <c r="G17" s="567"/>
      <c r="H17" s="567"/>
      <c r="I17" s="567"/>
      <c r="J17" s="567"/>
      <c r="K17" s="567"/>
      <c r="L17" s="568"/>
    </row>
    <row r="18" spans="1:12" ht="14.25" x14ac:dyDescent="0.45">
      <c r="D18" s="562" t="s">
        <v>87</v>
      </c>
      <c r="E18" s="563" t="s">
        <v>455</v>
      </c>
      <c r="F18" s="311">
        <f>G54*Input_CPI!R$24</f>
        <v>0</v>
      </c>
      <c r="G18" s="312">
        <f>H54*Input_CPI!S$24</f>
        <v>0</v>
      </c>
      <c r="H18" s="312">
        <f>I54*Input_CPI!T$24</f>
        <v>0</v>
      </c>
      <c r="I18" s="312">
        <f>J54*Input_CPI!U$24</f>
        <v>0</v>
      </c>
      <c r="J18" s="312">
        <f>K54*Input_CPI!V$24</f>
        <v>0</v>
      </c>
      <c r="K18" s="312">
        <f>L54*Input_CPI!W$24</f>
        <v>0</v>
      </c>
      <c r="L18" s="564">
        <f>M54*Input_CPI!X$24</f>
        <v>0</v>
      </c>
    </row>
    <row r="19" spans="1:12" ht="14.65" thickBot="1" x14ac:dyDescent="0.5">
      <c r="D19" s="565" t="s">
        <v>458</v>
      </c>
      <c r="E19" s="566" t="s">
        <v>455</v>
      </c>
      <c r="F19" s="317">
        <f>G55*Input_CPI!R$24</f>
        <v>913879.68344899255</v>
      </c>
      <c r="G19" s="318">
        <f>H55*Input_CPI!S$24</f>
        <v>912205.1788302291</v>
      </c>
      <c r="H19" s="318">
        <f>I55*Input_CPI!T$24</f>
        <v>908858.62033418345</v>
      </c>
      <c r="I19" s="318">
        <f>J55*Input_CPI!U$24</f>
        <v>915735.21567650291</v>
      </c>
      <c r="J19" s="318">
        <f>K55*Input_CPI!V$24</f>
        <v>918488.98172676656</v>
      </c>
      <c r="K19" s="318">
        <f>L55*Input_CPI!W$24</f>
        <v>919587.72266764753</v>
      </c>
      <c r="L19" s="467">
        <f>M55*Input_CPI!X$24</f>
        <v>922388.12292311876</v>
      </c>
    </row>
    <row r="20" spans="1:12" ht="11.25" customHeight="1" x14ac:dyDescent="0.3"/>
    <row r="21" spans="1:12" ht="12.75" x14ac:dyDescent="0.3">
      <c r="D21" s="6" t="s">
        <v>459</v>
      </c>
      <c r="E21" s="6"/>
      <c r="F21" s="118">
        <f>'WkB_1_2.1.1'!E18</f>
        <v>13841380.007205471</v>
      </c>
      <c r="G21" s="119">
        <f>'WkB_1_2.1.1'!F18</f>
        <v>13841380.007205475</v>
      </c>
      <c r="H21" s="120">
        <f>'WkB_1_2.1.1'!G18</f>
        <v>16888822.31339984</v>
      </c>
      <c r="I21" s="118">
        <f>'WkB_1_2.1.1'!H18</f>
        <v>16344413.225556737</v>
      </c>
      <c r="J21" s="118">
        <f>'WkB_1_2.1.1'!I18</f>
        <v>14693398.930508742</v>
      </c>
      <c r="K21" s="118">
        <f>'WkB_1_2.1.1'!J18</f>
        <v>19543828.309158821</v>
      </c>
      <c r="L21" s="118">
        <f>'WkB_1_2.1.1'!K18</f>
        <v>23881618.209762186</v>
      </c>
    </row>
    <row r="22" spans="1:12" ht="12.75" x14ac:dyDescent="0.3">
      <c r="D22" s="6" t="s">
        <v>695</v>
      </c>
      <c r="F22" s="115">
        <v>38330838.821061917</v>
      </c>
      <c r="G22" s="116">
        <v>38549618.093521692</v>
      </c>
      <c r="H22" s="117">
        <v>49949219.318969049</v>
      </c>
      <c r="I22" s="115">
        <v>49583358.300120264</v>
      </c>
      <c r="J22" s="115">
        <v>48242250.813347384</v>
      </c>
      <c r="K22" s="115">
        <v>54560780.724515066</v>
      </c>
      <c r="L22" s="115">
        <v>58887808.258660048</v>
      </c>
    </row>
    <row r="23" spans="1:12" ht="12.75" x14ac:dyDescent="0.3">
      <c r="A23" s="41">
        <f>IF(SUM($F23:$L23)&gt;0,1,0)</f>
        <v>0</v>
      </c>
      <c r="D23" s="6" t="s">
        <v>84</v>
      </c>
      <c r="E23" s="6"/>
      <c r="F23" s="62">
        <f>IF(OR(ROUND(SUM(F15)-F21,3)&lt;&gt;0,ROUND(SUM(F12:F19)-F22,3)&lt;&gt;0),1,0)</f>
        <v>0</v>
      </c>
      <c r="G23" s="62">
        <f t="shared" ref="G23:L23" si="0">IF(OR(ROUND(SUM(G15)-G21,3)&lt;&gt;0,ROUND(SUM(G12:G19)-G22,3)&lt;&gt;0),1,0)</f>
        <v>0</v>
      </c>
      <c r="H23" s="62">
        <f t="shared" si="0"/>
        <v>0</v>
      </c>
      <c r="I23" s="62">
        <f t="shared" si="0"/>
        <v>0</v>
      </c>
      <c r="J23" s="62">
        <f t="shared" si="0"/>
        <v>0</v>
      </c>
      <c r="K23" s="62">
        <f t="shared" si="0"/>
        <v>0</v>
      </c>
      <c r="L23" s="62">
        <f t="shared" si="0"/>
        <v>0</v>
      </c>
    </row>
    <row r="24" spans="1:12" ht="11.25" customHeight="1" x14ac:dyDescent="0.3"/>
    <row r="25" spans="1:12" ht="18.399999999999999" thickBot="1" x14ac:dyDescent="0.55000000000000004">
      <c r="D25" s="66" t="s">
        <v>67</v>
      </c>
      <c r="E25" s="66"/>
      <c r="F25" s="49"/>
      <c r="G25" s="49"/>
      <c r="H25" s="49"/>
      <c r="I25" s="49"/>
      <c r="J25" s="49"/>
      <c r="K25" s="49"/>
      <c r="L25" s="49"/>
    </row>
    <row r="26" spans="1:12" ht="28.15" customHeight="1" thickBot="1" x14ac:dyDescent="0.35">
      <c r="D26"/>
      <c r="E26"/>
      <c r="F26" s="422" t="str">
        <f>'WkB_1_2.1.1'!$E$9</f>
        <v>Forecast 
($0's. real June 2024)</v>
      </c>
      <c r="G26" s="423"/>
      <c r="H26" s="423"/>
      <c r="I26" s="423"/>
      <c r="J26" s="423"/>
      <c r="K26" s="423"/>
      <c r="L26" s="424"/>
    </row>
    <row r="27" spans="1:12" ht="13.5" thickBot="1" x14ac:dyDescent="0.35">
      <c r="D27"/>
      <c r="E27"/>
      <c r="F27" s="417" t="str">
        <f>'WkB_1_2.1.1'!$E$10</f>
        <v>2022-23</v>
      </c>
      <c r="G27" s="418" t="str">
        <f>'WkB_1_2.1.1'!$F$10</f>
        <v>2023-24</v>
      </c>
      <c r="H27" s="419" t="str">
        <f>'WkB_1_2.1.1'!$G$10</f>
        <v>2024-25</v>
      </c>
      <c r="I27" s="420" t="str">
        <f>'WkB_1_2.1.1'!$H$10</f>
        <v>2025-26</v>
      </c>
      <c r="J27" s="420" t="str">
        <f>'WkB_1_2.1.1'!$I$10</f>
        <v>2026-27</v>
      </c>
      <c r="K27" s="420" t="str">
        <f>'WkB_1_2.1.1'!$J$10</f>
        <v>2027-28</v>
      </c>
      <c r="L27" s="421" t="str">
        <f>'WkB_1_2.1.1'!$K$10</f>
        <v>2028-29</v>
      </c>
    </row>
    <row r="28" spans="1:12" ht="18.399999999999999" thickBot="1" x14ac:dyDescent="0.35">
      <c r="D28" s="559" t="s">
        <v>85</v>
      </c>
      <c r="E28" s="560"/>
      <c r="F28" s="560"/>
      <c r="G28" s="560"/>
      <c r="H28" s="560"/>
      <c r="I28" s="560"/>
      <c r="J28" s="560"/>
      <c r="K28" s="560"/>
      <c r="L28" s="561"/>
    </row>
    <row r="29" spans="1:12" ht="14.25" x14ac:dyDescent="0.45">
      <c r="D29" s="562" t="s">
        <v>454</v>
      </c>
      <c r="E29" s="563" t="s">
        <v>455</v>
      </c>
      <c r="F29" s="311">
        <f>'WkB_1_2.1.2'!E$55</f>
        <v>20775151.933629278</v>
      </c>
      <c r="G29" s="312">
        <f>'WkB_1_2.1.2'!F$55</f>
        <v>20849002.352302324</v>
      </c>
      <c r="H29" s="312">
        <f>'WkB_1_2.1.2'!G$55</f>
        <v>22968962.272015493</v>
      </c>
      <c r="I29" s="312">
        <f>'WkB_1_2.1.2'!H$55</f>
        <v>23441853.724981967</v>
      </c>
      <c r="J29" s="312">
        <f>'WkB_1_2.1.2'!I$55</f>
        <v>23646518.243321817</v>
      </c>
      <c r="K29" s="312">
        <f>'WkB_1_2.1.2'!J$55</f>
        <v>23818304.187469143</v>
      </c>
      <c r="L29" s="564">
        <f>'WkB_1_2.1.2'!K$55</f>
        <v>24039054.119060211</v>
      </c>
    </row>
    <row r="30" spans="1:12" ht="14.65" thickBot="1" x14ac:dyDescent="0.5">
      <c r="D30" s="565" t="s">
        <v>456</v>
      </c>
      <c r="E30" s="566" t="s">
        <v>455</v>
      </c>
      <c r="F30" s="317">
        <f>'WkB_1_2.1.4'!E$16</f>
        <v>1872277.4240443846</v>
      </c>
      <c r="G30" s="318">
        <f>'WkB_1_2.1.4'!F$16</f>
        <v>1863241.5831877538</v>
      </c>
      <c r="H30" s="318">
        <f>'WkB_1_2.1.4'!G$16</f>
        <v>2369486.2218547445</v>
      </c>
      <c r="I30" s="318">
        <f>'WkB_1_2.1.4'!H$16</f>
        <v>2380823.7697724057</v>
      </c>
      <c r="J30" s="318">
        <f>'WkB_1_2.1.4'!I$16</f>
        <v>2391401.0311783934</v>
      </c>
      <c r="K30" s="318">
        <f>'WkB_1_2.1.4'!J$16</f>
        <v>2398283.1975472826</v>
      </c>
      <c r="L30" s="467">
        <f>'WkB_1_2.1.4'!K$16</f>
        <v>2404905.8038322316</v>
      </c>
    </row>
    <row r="31" spans="1:12" ht="18.399999999999999" thickBot="1" x14ac:dyDescent="0.35">
      <c r="D31" s="559" t="s">
        <v>86</v>
      </c>
      <c r="E31" s="560"/>
      <c r="F31" s="567"/>
      <c r="G31" s="567"/>
      <c r="H31" s="567"/>
      <c r="I31" s="567"/>
      <c r="J31" s="567"/>
      <c r="K31" s="567"/>
      <c r="L31" s="568"/>
    </row>
    <row r="32" spans="1:12" ht="14.25" x14ac:dyDescent="0.45">
      <c r="D32" s="562" t="s">
        <v>454</v>
      </c>
      <c r="E32" s="563" t="s">
        <v>455</v>
      </c>
      <c r="F32" s="311">
        <f>'WkB_1_2.1.1'!E$19</f>
        <v>10700855.966364648</v>
      </c>
      <c r="G32" s="312">
        <f>'WkB_1_2.1.1'!F$19</f>
        <v>10700855.96636465</v>
      </c>
      <c r="H32" s="312">
        <f>'WkB_1_2.1.1'!G$19</f>
        <v>9867722.6612343919</v>
      </c>
      <c r="I32" s="312">
        <f>'WkB_1_2.1.1'!H$19</f>
        <v>9549637.847894324</v>
      </c>
      <c r="J32" s="312">
        <f>'WkB_1_2.1.1'!I$19</f>
        <v>8584990.8837101553</v>
      </c>
      <c r="K32" s="312">
        <f>'WkB_1_2.1.1'!J$19</f>
        <v>11418977.233276244</v>
      </c>
      <c r="L32" s="564">
        <f>'WkB_1_2.1.1'!K$19</f>
        <v>13953440.969560349</v>
      </c>
    </row>
    <row r="33" spans="1:13" ht="14.65" thickBot="1" x14ac:dyDescent="0.5">
      <c r="D33" s="565" t="s">
        <v>456</v>
      </c>
      <c r="E33" s="566" t="s">
        <v>455</v>
      </c>
      <c r="F33" s="317">
        <f>'WkB_1_2.1.3'!E$16</f>
        <v>3727130.1144513972</v>
      </c>
      <c r="G33" s="318">
        <f>'WkB_1_2.1.3'!F$16</f>
        <v>3836621.9955546497</v>
      </c>
      <c r="H33" s="318">
        <f>'WkB_1_2.1.3'!G$16</f>
        <v>4388088.2162720785</v>
      </c>
      <c r="I33" s="318">
        <f>'WkB_1_2.1.3'!H$16</f>
        <v>4397678.6648317445</v>
      </c>
      <c r="J33" s="318">
        <f>'WkB_1_2.1.3'!I$16</f>
        <v>4801423.4138632091</v>
      </c>
      <c r="K33" s="318">
        <f>'WkB_1_2.1.3'!J$16</f>
        <v>4820347.7278046655</v>
      </c>
      <c r="L33" s="467">
        <f>'WkB_1_2.1.3'!K$16</f>
        <v>4838769.6862257468</v>
      </c>
    </row>
    <row r="34" spans="1:13" ht="18.399999999999999" thickBot="1" x14ac:dyDescent="0.35">
      <c r="D34" s="559" t="s">
        <v>457</v>
      </c>
      <c r="E34" s="560"/>
      <c r="F34" s="567"/>
      <c r="G34" s="567"/>
      <c r="H34" s="567"/>
      <c r="I34" s="567"/>
      <c r="J34" s="567"/>
      <c r="K34" s="567"/>
      <c r="L34" s="568"/>
    </row>
    <row r="35" spans="1:13" ht="14.25" x14ac:dyDescent="0.45">
      <c r="D35" s="562" t="s">
        <v>87</v>
      </c>
      <c r="E35" s="563" t="s">
        <v>455</v>
      </c>
      <c r="F35" s="311">
        <f>G69*Input_CPI!R$24</f>
        <v>0</v>
      </c>
      <c r="G35" s="312">
        <f>H69*Input_CPI!S$24</f>
        <v>0</v>
      </c>
      <c r="H35" s="312">
        <f>I69*Input_CPI!T$24</f>
        <v>0</v>
      </c>
      <c r="I35" s="312">
        <f>J69*Input_CPI!U$24</f>
        <v>0</v>
      </c>
      <c r="J35" s="312">
        <f>K69*Input_CPI!V$24</f>
        <v>0</v>
      </c>
      <c r="K35" s="312">
        <f>L69*Input_CPI!W$24</f>
        <v>0</v>
      </c>
      <c r="L35" s="564">
        <f>M69*Input_CPI!X$24</f>
        <v>0</v>
      </c>
    </row>
    <row r="36" spans="1:13" ht="14.65" thickBot="1" x14ac:dyDescent="0.5">
      <c r="D36" s="565" t="s">
        <v>458</v>
      </c>
      <c r="E36" s="566" t="s">
        <v>455</v>
      </c>
      <c r="F36" s="317">
        <f>G70*Input_CPI!R$24</f>
        <v>1427483.715194429</v>
      </c>
      <c r="G36" s="318">
        <f>H70*Input_CPI!S$24</f>
        <v>1424868.1322926604</v>
      </c>
      <c r="H36" s="318">
        <f>I70*Input_CPI!T$24</f>
        <v>1419640.7945571051</v>
      </c>
      <c r="I36" s="318">
        <f>J70*Input_CPI!U$24</f>
        <v>1430382.0639440075</v>
      </c>
      <c r="J36" s="318">
        <f>K70*Input_CPI!V$24</f>
        <v>1434683.4575118907</v>
      </c>
      <c r="K36" s="318">
        <f>L70*Input_CPI!W$24</f>
        <v>1436399.6952494513</v>
      </c>
      <c r="L36" s="467">
        <f>M70*Input_CPI!X$24</f>
        <v>1440773.931632106</v>
      </c>
    </row>
    <row r="38" spans="1:13" ht="12.75" x14ac:dyDescent="0.3">
      <c r="D38" s="6" t="s">
        <v>459</v>
      </c>
      <c r="E38" s="6"/>
      <c r="F38" s="118">
        <f>'WkB_1_2.1.1'!E19</f>
        <v>10700855.966364648</v>
      </c>
      <c r="G38" s="119">
        <f>'WkB_1_2.1.1'!F19</f>
        <v>10700855.96636465</v>
      </c>
      <c r="H38" s="120">
        <f>'WkB_1_2.1.1'!G19</f>
        <v>9867722.6612343919</v>
      </c>
      <c r="I38" s="118">
        <f>'WkB_1_2.1.1'!H19</f>
        <v>9549637.847894324</v>
      </c>
      <c r="J38" s="118">
        <f>'WkB_1_2.1.1'!I19</f>
        <v>8584990.8837101553</v>
      </c>
      <c r="K38" s="118">
        <f>'WkB_1_2.1.1'!J19</f>
        <v>11418977.233276244</v>
      </c>
      <c r="L38" s="118">
        <f>'WkB_1_2.1.1'!K19</f>
        <v>13953440.969560349</v>
      </c>
    </row>
    <row r="39" spans="1:13" ht="12.75" x14ac:dyDescent="0.3">
      <c r="D39" s="6" t="s">
        <v>695</v>
      </c>
      <c r="F39" s="115">
        <v>38502899.153684132</v>
      </c>
      <c r="G39" s="116">
        <v>38674590.029702038</v>
      </c>
      <c r="H39" s="117">
        <v>41013900.16593381</v>
      </c>
      <c r="I39" s="115">
        <v>41200376.071424447</v>
      </c>
      <c r="J39" s="115">
        <v>40859017.029585466</v>
      </c>
      <c r="K39" s="115">
        <v>43892312.041346796</v>
      </c>
      <c r="L39" s="115">
        <v>46676944.51031065</v>
      </c>
    </row>
    <row r="40" spans="1:13" ht="12.75" x14ac:dyDescent="0.3">
      <c r="A40" s="41">
        <f>IF(SUM($F40:$L40)&gt;0,1,0)</f>
        <v>0</v>
      </c>
      <c r="D40" s="6" t="s">
        <v>173</v>
      </c>
      <c r="E40" s="6"/>
      <c r="F40" s="62">
        <f>IF(OR(ROUND(SUM(F32)-F38,3)&lt;&gt;0,ROUND(SUM(F29:F36)-F39,3)&lt;&gt;0),1,0)</f>
        <v>0</v>
      </c>
      <c r="G40" s="62">
        <f t="shared" ref="G40:L40" si="1">IF(OR(ROUND(SUM(G32)-G38,3)&lt;&gt;0,ROUND(SUM(G29:G36)-G39,3)&lt;&gt;0),1,0)</f>
        <v>0</v>
      </c>
      <c r="H40" s="62">
        <f t="shared" si="1"/>
        <v>0</v>
      </c>
      <c r="I40" s="62">
        <f t="shared" si="1"/>
        <v>0</v>
      </c>
      <c r="J40" s="62">
        <f t="shared" si="1"/>
        <v>0</v>
      </c>
      <c r="K40" s="62">
        <f t="shared" si="1"/>
        <v>0</v>
      </c>
      <c r="L40" s="62">
        <f t="shared" si="1"/>
        <v>0</v>
      </c>
    </row>
    <row r="41" spans="1:13" ht="11.25" customHeight="1" x14ac:dyDescent="0.3"/>
    <row r="42" spans="1:13" s="7" customFormat="1" ht="13.9" x14ac:dyDescent="0.3">
      <c r="C42" s="7" t="s">
        <v>653</v>
      </c>
    </row>
    <row r="43" spans="1:13" ht="11.25" customHeight="1" x14ac:dyDescent="0.3"/>
    <row r="44" spans="1:13" ht="18.399999999999999" thickBot="1" x14ac:dyDescent="0.55000000000000004">
      <c r="D44" s="48" t="s">
        <v>66</v>
      </c>
      <c r="E44" s="48"/>
      <c r="F44" s="49"/>
      <c r="G44" s="49"/>
      <c r="H44" s="49"/>
      <c r="I44" s="49"/>
      <c r="J44" s="49"/>
      <c r="K44" s="49"/>
      <c r="L44" s="49"/>
      <c r="M44" s="49"/>
    </row>
    <row r="45" spans="1:13" ht="26.65" thickBot="1" x14ac:dyDescent="0.35">
      <c r="D45"/>
      <c r="E45"/>
      <c r="F45" s="422" t="s">
        <v>409</v>
      </c>
      <c r="G45" s="423"/>
      <c r="H45" s="423"/>
      <c r="I45" s="423"/>
      <c r="J45" s="423"/>
      <c r="K45" s="423"/>
      <c r="L45" s="423"/>
      <c r="M45" s="424"/>
    </row>
    <row r="46" spans="1:13" ht="13.5" thickBot="1" x14ac:dyDescent="0.35">
      <c r="D46"/>
      <c r="E46"/>
      <c r="F46" s="417" t="s">
        <v>69</v>
      </c>
      <c r="G46" s="418" t="s">
        <v>70</v>
      </c>
      <c r="H46" s="419" t="s">
        <v>71</v>
      </c>
      <c r="I46" s="420" t="s">
        <v>72</v>
      </c>
      <c r="J46" s="420" t="s">
        <v>73</v>
      </c>
      <c r="K46" s="420" t="s">
        <v>74</v>
      </c>
      <c r="L46" s="420" t="s">
        <v>82</v>
      </c>
      <c r="M46" s="421" t="s">
        <v>243</v>
      </c>
    </row>
    <row r="47" spans="1:13" ht="18.399999999999999" hidden="1" outlineLevel="1" thickBot="1" x14ac:dyDescent="0.35">
      <c r="D47" s="559" t="s">
        <v>85</v>
      </c>
      <c r="E47" s="560"/>
      <c r="F47" s="560"/>
      <c r="G47" s="560"/>
      <c r="H47" s="560"/>
      <c r="I47" s="560"/>
      <c r="J47" s="560"/>
      <c r="K47" s="560"/>
      <c r="L47" s="560"/>
      <c r="M47" s="561"/>
    </row>
    <row r="48" spans="1:13" ht="14.25" hidden="1" outlineLevel="1" x14ac:dyDescent="0.45">
      <c r="D48" s="562" t="s">
        <v>454</v>
      </c>
      <c r="E48" s="563" t="s">
        <v>455</v>
      </c>
      <c r="F48" s="758"/>
      <c r="G48" s="784"/>
      <c r="H48" s="784"/>
      <c r="I48" s="784"/>
      <c r="J48" s="784"/>
      <c r="K48" s="784"/>
      <c r="L48" s="784"/>
      <c r="M48" s="785"/>
    </row>
    <row r="49" spans="4:13" ht="14.65" hidden="1" outlineLevel="1" thickBot="1" x14ac:dyDescent="0.5">
      <c r="D49" s="565" t="s">
        <v>456</v>
      </c>
      <c r="E49" s="566" t="s">
        <v>455</v>
      </c>
      <c r="F49" s="786"/>
      <c r="G49" s="787"/>
      <c r="H49" s="787"/>
      <c r="I49" s="787"/>
      <c r="J49" s="787"/>
      <c r="K49" s="787"/>
      <c r="L49" s="787"/>
      <c r="M49" s="788"/>
    </row>
    <row r="50" spans="4:13" ht="18.399999999999999" hidden="1" outlineLevel="1" thickBot="1" x14ac:dyDescent="0.35">
      <c r="D50" s="559" t="s">
        <v>86</v>
      </c>
      <c r="E50" s="560"/>
      <c r="F50" s="567"/>
      <c r="G50" s="567"/>
      <c r="H50" s="567"/>
      <c r="I50" s="567"/>
      <c r="J50" s="567"/>
      <c r="K50" s="567"/>
      <c r="L50" s="567"/>
      <c r="M50" s="568"/>
    </row>
    <row r="51" spans="4:13" ht="14.25" hidden="1" outlineLevel="1" x14ac:dyDescent="0.45">
      <c r="D51" s="562" t="s">
        <v>454</v>
      </c>
      <c r="E51" s="563" t="s">
        <v>455</v>
      </c>
      <c r="F51" s="758"/>
      <c r="G51" s="784"/>
      <c r="H51" s="784"/>
      <c r="I51" s="784"/>
      <c r="J51" s="784"/>
      <c r="K51" s="784"/>
      <c r="L51" s="784"/>
      <c r="M51" s="785"/>
    </row>
    <row r="52" spans="4:13" ht="14.65" hidden="1" outlineLevel="1" thickBot="1" x14ac:dyDescent="0.5">
      <c r="D52" s="565" t="s">
        <v>456</v>
      </c>
      <c r="E52" s="566" t="s">
        <v>455</v>
      </c>
      <c r="F52" s="786"/>
      <c r="G52" s="787"/>
      <c r="H52" s="787"/>
      <c r="I52" s="787"/>
      <c r="J52" s="787"/>
      <c r="K52" s="787"/>
      <c r="L52" s="787"/>
      <c r="M52" s="788"/>
    </row>
    <row r="53" spans="4:13" ht="18.399999999999999" collapsed="1" thickBot="1" x14ac:dyDescent="0.35">
      <c r="D53" s="559" t="s">
        <v>457</v>
      </c>
      <c r="E53" s="560"/>
      <c r="F53" s="567"/>
      <c r="G53" s="567"/>
      <c r="H53" s="567"/>
      <c r="I53" s="567"/>
      <c r="J53" s="567"/>
      <c r="K53" s="567"/>
      <c r="L53" s="567"/>
      <c r="M53" s="568"/>
    </row>
    <row r="54" spans="4:13" ht="14.25" x14ac:dyDescent="0.45">
      <c r="D54" s="562" t="s">
        <v>87</v>
      </c>
      <c r="E54" s="563" t="s">
        <v>455</v>
      </c>
      <c r="F54" s="311">
        <v>0</v>
      </c>
      <c r="G54" s="816">
        <f>$F54*G$57</f>
        <v>0</v>
      </c>
      <c r="H54" s="816">
        <f t="shared" ref="H54:M55" si="2">$F54*H$57</f>
        <v>0</v>
      </c>
      <c r="I54" s="816">
        <f t="shared" si="2"/>
        <v>0</v>
      </c>
      <c r="J54" s="816">
        <f t="shared" si="2"/>
        <v>0</v>
      </c>
      <c r="K54" s="816">
        <f t="shared" si="2"/>
        <v>0</v>
      </c>
      <c r="L54" s="816">
        <f t="shared" si="2"/>
        <v>0</v>
      </c>
      <c r="M54" s="817">
        <f t="shared" si="2"/>
        <v>0</v>
      </c>
    </row>
    <row r="55" spans="4:13" ht="14.65" thickBot="1" x14ac:dyDescent="0.5">
      <c r="D55" s="565" t="s">
        <v>458</v>
      </c>
      <c r="E55" s="566" t="s">
        <v>455</v>
      </c>
      <c r="F55" s="317">
        <v>843948.77883512224</v>
      </c>
      <c r="G55" s="818">
        <f t="shared" ref="G55" si="3">$F55*G$57</f>
        <v>825064.76207108807</v>
      </c>
      <c r="H55" s="818">
        <f t="shared" si="2"/>
        <v>823552.99331214931</v>
      </c>
      <c r="I55" s="818">
        <f t="shared" si="2"/>
        <v>820531.66836171784</v>
      </c>
      <c r="J55" s="818">
        <f t="shared" si="2"/>
        <v>826739.9653648393</v>
      </c>
      <c r="K55" s="818">
        <f t="shared" si="2"/>
        <v>829226.10809479421</v>
      </c>
      <c r="L55" s="818">
        <f t="shared" si="2"/>
        <v>830218.06846921076</v>
      </c>
      <c r="M55" s="819">
        <f t="shared" si="2"/>
        <v>832746.31328341248</v>
      </c>
    </row>
    <row r="56" spans="4:13" ht="11.25" customHeight="1" x14ac:dyDescent="0.3"/>
    <row r="57" spans="4:13" ht="12.75" x14ac:dyDescent="0.3">
      <c r="D57" s="6" t="s">
        <v>659</v>
      </c>
      <c r="E57" s="6"/>
      <c r="F57" s="118"/>
      <c r="G57" s="140">
        <v>0.97762421459973059</v>
      </c>
      <c r="H57" s="140">
        <v>0.97583291067601918</v>
      </c>
      <c r="I57" s="140">
        <v>0.97225292451311285</v>
      </c>
      <c r="J57" s="140">
        <v>0.9796091730898222</v>
      </c>
      <c r="K57" s="140">
        <v>0.98255501861066818</v>
      </c>
      <c r="L57" s="140">
        <v>0.98373039844329946</v>
      </c>
      <c r="M57" s="140">
        <v>0.98672613097779205</v>
      </c>
    </row>
    <row r="58" spans="4:13" ht="11.25" customHeight="1" x14ac:dyDescent="0.3"/>
    <row r="59" spans="4:13" ht="18.399999999999999" thickBot="1" x14ac:dyDescent="0.55000000000000004">
      <c r="D59" s="66" t="s">
        <v>67</v>
      </c>
      <c r="E59" s="66"/>
      <c r="F59" s="49"/>
      <c r="G59" s="49"/>
      <c r="H59" s="49"/>
      <c r="I59" s="49"/>
      <c r="J59" s="49"/>
      <c r="K59" s="49"/>
      <c r="L59" s="49"/>
      <c r="M59" s="49"/>
    </row>
    <row r="60" spans="4:13" ht="28.15" customHeight="1" thickBot="1" x14ac:dyDescent="0.35">
      <c r="D60"/>
      <c r="E60"/>
      <c r="F60" s="422" t="s">
        <v>409</v>
      </c>
      <c r="G60" s="423"/>
      <c r="H60" s="423"/>
      <c r="I60" s="423"/>
      <c r="J60" s="423"/>
      <c r="K60" s="423"/>
      <c r="L60" s="423"/>
      <c r="M60" s="424"/>
    </row>
    <row r="61" spans="4:13" ht="13.5" thickBot="1" x14ac:dyDescent="0.35">
      <c r="D61"/>
      <c r="E61"/>
      <c r="F61" s="417" t="s">
        <v>69</v>
      </c>
      <c r="G61" s="418" t="s">
        <v>70</v>
      </c>
      <c r="H61" s="419" t="s">
        <v>71</v>
      </c>
      <c r="I61" s="420" t="s">
        <v>72</v>
      </c>
      <c r="J61" s="420" t="s">
        <v>73</v>
      </c>
      <c r="K61" s="420" t="s">
        <v>74</v>
      </c>
      <c r="L61" s="420" t="s">
        <v>82</v>
      </c>
      <c r="M61" s="421" t="s">
        <v>243</v>
      </c>
    </row>
    <row r="62" spans="4:13" ht="18.399999999999999" hidden="1" outlineLevel="1" thickBot="1" x14ac:dyDescent="0.35">
      <c r="D62" s="559" t="s">
        <v>85</v>
      </c>
      <c r="E62" s="560"/>
      <c r="F62" s="560"/>
      <c r="G62" s="560"/>
      <c r="H62" s="560"/>
      <c r="I62" s="560"/>
      <c r="J62" s="560"/>
      <c r="K62" s="560"/>
      <c r="L62" s="560"/>
      <c r="M62" s="561"/>
    </row>
    <row r="63" spans="4:13" ht="14.25" hidden="1" outlineLevel="1" x14ac:dyDescent="0.45">
      <c r="D63" s="562" t="s">
        <v>454</v>
      </c>
      <c r="E63" s="563" t="s">
        <v>455</v>
      </c>
      <c r="F63" s="758"/>
      <c r="G63" s="784"/>
      <c r="H63" s="784"/>
      <c r="I63" s="784"/>
      <c r="J63" s="784"/>
      <c r="K63" s="784"/>
      <c r="L63" s="784"/>
      <c r="M63" s="785"/>
    </row>
    <row r="64" spans="4:13" ht="14.65" hidden="1" outlineLevel="1" thickBot="1" x14ac:dyDescent="0.5">
      <c r="D64" s="565" t="s">
        <v>456</v>
      </c>
      <c r="E64" s="566" t="s">
        <v>455</v>
      </c>
      <c r="F64" s="786"/>
      <c r="G64" s="787"/>
      <c r="H64" s="787"/>
      <c r="I64" s="787"/>
      <c r="J64" s="787"/>
      <c r="K64" s="787"/>
      <c r="L64" s="787"/>
      <c r="M64" s="788"/>
    </row>
    <row r="65" spans="2:13" ht="18.399999999999999" hidden="1" outlineLevel="1" thickBot="1" x14ac:dyDescent="0.35">
      <c r="D65" s="559" t="s">
        <v>86</v>
      </c>
      <c r="E65" s="560"/>
      <c r="F65" s="567"/>
      <c r="G65" s="567"/>
      <c r="H65" s="567"/>
      <c r="I65" s="567"/>
      <c r="J65" s="567"/>
      <c r="K65" s="567"/>
      <c r="L65" s="567"/>
      <c r="M65" s="568"/>
    </row>
    <row r="66" spans="2:13" ht="14.25" hidden="1" outlineLevel="1" x14ac:dyDescent="0.45">
      <c r="D66" s="562" t="s">
        <v>454</v>
      </c>
      <c r="E66" s="563" t="s">
        <v>455</v>
      </c>
      <c r="F66" s="758"/>
      <c r="G66" s="784"/>
      <c r="H66" s="784"/>
      <c r="I66" s="784"/>
      <c r="J66" s="784"/>
      <c r="K66" s="784"/>
      <c r="L66" s="784"/>
      <c r="M66" s="785"/>
    </row>
    <row r="67" spans="2:13" ht="14.65" hidden="1" outlineLevel="1" thickBot="1" x14ac:dyDescent="0.5">
      <c r="D67" s="565" t="s">
        <v>456</v>
      </c>
      <c r="E67" s="566" t="s">
        <v>455</v>
      </c>
      <c r="F67" s="786"/>
      <c r="G67" s="787"/>
      <c r="H67" s="787"/>
      <c r="I67" s="787"/>
      <c r="J67" s="787"/>
      <c r="K67" s="787"/>
      <c r="L67" s="787"/>
      <c r="M67" s="788"/>
    </row>
    <row r="68" spans="2:13" ht="18.399999999999999" collapsed="1" thickBot="1" x14ac:dyDescent="0.35">
      <c r="D68" s="559" t="s">
        <v>457</v>
      </c>
      <c r="E68" s="560"/>
      <c r="F68" s="567"/>
      <c r="G68" s="567"/>
      <c r="H68" s="567"/>
      <c r="I68" s="567"/>
      <c r="J68" s="567"/>
      <c r="K68" s="567"/>
      <c r="L68" s="567"/>
      <c r="M68" s="568"/>
    </row>
    <row r="69" spans="2:13" ht="14.25" x14ac:dyDescent="0.45">
      <c r="D69" s="562" t="s">
        <v>87</v>
      </c>
      <c r="E69" s="563" t="s">
        <v>455</v>
      </c>
      <c r="F69" s="311">
        <v>0</v>
      </c>
      <c r="G69" s="816">
        <f>$F69*G$57</f>
        <v>0</v>
      </c>
      <c r="H69" s="816">
        <f t="shared" ref="H69:M70" si="4">$F69*H$57</f>
        <v>0</v>
      </c>
      <c r="I69" s="816">
        <f t="shared" si="4"/>
        <v>0</v>
      </c>
      <c r="J69" s="816">
        <f t="shared" si="4"/>
        <v>0</v>
      </c>
      <c r="K69" s="816">
        <f t="shared" si="4"/>
        <v>0</v>
      </c>
      <c r="L69" s="816">
        <f t="shared" si="4"/>
        <v>0</v>
      </c>
      <c r="M69" s="817">
        <f t="shared" si="4"/>
        <v>0</v>
      </c>
    </row>
    <row r="70" spans="2:13" ht="14.65" thickBot="1" x14ac:dyDescent="0.5">
      <c r="D70" s="565" t="s">
        <v>458</v>
      </c>
      <c r="E70" s="566" t="s">
        <v>455</v>
      </c>
      <c r="F70" s="317">
        <v>1318251.3629132477</v>
      </c>
      <c r="G70" s="818">
        <f t="shared" ref="G70" si="5">$F70*G$57</f>
        <v>1288754.4533130883</v>
      </c>
      <c r="H70" s="818">
        <f t="shared" si="4"/>
        <v>1286393.0644742637</v>
      </c>
      <c r="I70" s="818">
        <f t="shared" si="4"/>
        <v>1281673.742835802</v>
      </c>
      <c r="J70" s="818">
        <f t="shared" si="4"/>
        <v>1291371.1275479777</v>
      </c>
      <c r="K70" s="818">
        <f t="shared" si="4"/>
        <v>1295254.4924207649</v>
      </c>
      <c r="L70" s="818">
        <f t="shared" si="4"/>
        <v>1296803.9384870718</v>
      </c>
      <c r="M70" s="819">
        <f t="shared" si="4"/>
        <v>1300753.0669835901</v>
      </c>
    </row>
    <row r="71" spans="2:13" ht="11.25" customHeight="1" x14ac:dyDescent="0.3"/>
    <row r="72" spans="2:13" s="46" customFormat="1" ht="15" x14ac:dyDescent="0.3">
      <c r="B72" s="46" t="s">
        <v>16</v>
      </c>
    </row>
  </sheetData>
  <conditionalFormatting sqref="B3">
    <cfRule type="cellIs" dxfId="548" priority="76" operator="notEqual">
      <formula>"No Errors Found"</formula>
    </cfRule>
  </conditionalFormatting>
  <conditionalFormatting sqref="J18:J19 J15:J16">
    <cfRule type="expression" dxfId="547" priority="59">
      <formula>(dms_FRCPlength_Num)&lt;3</formula>
    </cfRule>
  </conditionalFormatting>
  <conditionalFormatting sqref="K18:K19 K15:K16">
    <cfRule type="expression" dxfId="546" priority="58">
      <formula>(dms_FRCPlength_Num)&lt;4</formula>
    </cfRule>
  </conditionalFormatting>
  <conditionalFormatting sqref="L18:L19 L15:L16">
    <cfRule type="expression" dxfId="545" priority="57">
      <formula>(dms_FRCPlength_Num)&lt;5</formula>
    </cfRule>
  </conditionalFormatting>
  <conditionalFormatting sqref="I18:I19 I15:I16">
    <cfRule type="expression" dxfId="544" priority="60">
      <formula>(dms_FRCPlength_Num)&lt;2</formula>
    </cfRule>
  </conditionalFormatting>
  <conditionalFormatting sqref="J12:J13">
    <cfRule type="expression" dxfId="543" priority="55">
      <formula>(dms_FRCPlength_Num)&lt;3</formula>
    </cfRule>
  </conditionalFormatting>
  <conditionalFormatting sqref="K12:K13">
    <cfRule type="expression" dxfId="542" priority="54">
      <formula>(dms_FRCPlength_Num)&lt;4</formula>
    </cfRule>
  </conditionalFormatting>
  <conditionalFormatting sqref="L12:L13">
    <cfRule type="expression" dxfId="541" priority="53">
      <formula>(dms_FRCPlength_Num)&lt;5</formula>
    </cfRule>
  </conditionalFormatting>
  <conditionalFormatting sqref="I12:I13">
    <cfRule type="expression" dxfId="540" priority="56">
      <formula>(dms_FRCPlength_Num)&lt;2</formula>
    </cfRule>
  </conditionalFormatting>
  <conditionalFormatting sqref="J35:J36 J32:J33">
    <cfRule type="expression" dxfId="539" priority="51">
      <formula>(dms_FRCPlength_Num)&lt;3</formula>
    </cfRule>
  </conditionalFormatting>
  <conditionalFormatting sqref="K35:K36 K32:K33">
    <cfRule type="expression" dxfId="538" priority="50">
      <formula>(dms_FRCPlength_Num)&lt;4</formula>
    </cfRule>
  </conditionalFormatting>
  <conditionalFormatting sqref="L35:L36 L32:L33">
    <cfRule type="expression" dxfId="537" priority="49">
      <formula>(dms_FRCPlength_Num)&lt;5</formula>
    </cfRule>
  </conditionalFormatting>
  <conditionalFormatting sqref="I35:I36 I32:I33">
    <cfRule type="expression" dxfId="536" priority="52">
      <formula>(dms_FRCPlength_Num)&lt;2</formula>
    </cfRule>
  </conditionalFormatting>
  <conditionalFormatting sqref="J29:J30">
    <cfRule type="expression" dxfId="535" priority="47">
      <formula>(dms_FRCPlength_Num)&lt;3</formula>
    </cfRule>
  </conditionalFormatting>
  <conditionalFormatting sqref="K29:K30">
    <cfRule type="expression" dxfId="534" priority="46">
      <formula>(dms_FRCPlength_Num)&lt;4</formula>
    </cfRule>
  </conditionalFormatting>
  <conditionalFormatting sqref="L29:L30">
    <cfRule type="expression" dxfId="533" priority="45">
      <formula>(dms_FRCPlength_Num)&lt;5</formula>
    </cfRule>
  </conditionalFormatting>
  <conditionalFormatting sqref="I29:I30">
    <cfRule type="expression" dxfId="532" priority="48">
      <formula>(dms_FRCPlength_Num)&lt;2</formula>
    </cfRule>
  </conditionalFormatting>
  <conditionalFormatting sqref="J54:J55">
    <cfRule type="expression" dxfId="531" priority="43">
      <formula>(dms_FRCPlength_Num)&lt;3</formula>
    </cfRule>
  </conditionalFormatting>
  <conditionalFormatting sqref="K54:K55">
    <cfRule type="expression" dxfId="530" priority="42">
      <formula>(dms_FRCPlength_Num)&lt;4</formula>
    </cfRule>
  </conditionalFormatting>
  <conditionalFormatting sqref="M54:M55">
    <cfRule type="expression" dxfId="529" priority="41">
      <formula>(dms_FRCPlength_Num)&lt;5</formula>
    </cfRule>
  </conditionalFormatting>
  <conditionalFormatting sqref="I54:I55">
    <cfRule type="expression" dxfId="528" priority="44">
      <formula>(dms_FRCPlength_Num)&lt;2</formula>
    </cfRule>
  </conditionalFormatting>
  <conditionalFormatting sqref="J48:J49">
    <cfRule type="expression" dxfId="527" priority="39">
      <formula>(dms_FRCPlength_Num)&lt;3</formula>
    </cfRule>
  </conditionalFormatting>
  <conditionalFormatting sqref="K48:K49">
    <cfRule type="expression" dxfId="526" priority="38">
      <formula>(dms_FRCPlength_Num)&lt;4</formula>
    </cfRule>
  </conditionalFormatting>
  <conditionalFormatting sqref="M48:M49">
    <cfRule type="expression" dxfId="525" priority="37">
      <formula>(dms_FRCPlength_Num)&lt;5</formula>
    </cfRule>
  </conditionalFormatting>
  <conditionalFormatting sqref="I48:I49">
    <cfRule type="expression" dxfId="524" priority="40">
      <formula>(dms_FRCPlength_Num)&lt;2</formula>
    </cfRule>
  </conditionalFormatting>
  <conditionalFormatting sqref="J51:J52">
    <cfRule type="expression" dxfId="523" priority="27">
      <formula>(dms_FRCPlength_Num)&lt;3</formula>
    </cfRule>
  </conditionalFormatting>
  <conditionalFormatting sqref="K51:K52">
    <cfRule type="expression" dxfId="522" priority="26">
      <formula>(dms_FRCPlength_Num)&lt;4</formula>
    </cfRule>
  </conditionalFormatting>
  <conditionalFormatting sqref="M51:M52">
    <cfRule type="expression" dxfId="521" priority="25">
      <formula>(dms_FRCPlength_Num)&lt;5</formula>
    </cfRule>
  </conditionalFormatting>
  <conditionalFormatting sqref="I51:I52">
    <cfRule type="expression" dxfId="520" priority="28">
      <formula>(dms_FRCPlength_Num)&lt;2</formula>
    </cfRule>
  </conditionalFormatting>
  <conditionalFormatting sqref="J63:J64">
    <cfRule type="expression" dxfId="519" priority="23">
      <formula>(dms_FRCPlength_Num)&lt;3</formula>
    </cfRule>
  </conditionalFormatting>
  <conditionalFormatting sqref="K63:K64">
    <cfRule type="expression" dxfId="518" priority="22">
      <formula>(dms_FRCPlength_Num)&lt;4</formula>
    </cfRule>
  </conditionalFormatting>
  <conditionalFormatting sqref="M63:M64">
    <cfRule type="expression" dxfId="517" priority="21">
      <formula>(dms_FRCPlength_Num)&lt;5</formula>
    </cfRule>
  </conditionalFormatting>
  <conditionalFormatting sqref="I63:I64">
    <cfRule type="expression" dxfId="516" priority="24">
      <formula>(dms_FRCPlength_Num)&lt;2</formula>
    </cfRule>
  </conditionalFormatting>
  <conditionalFormatting sqref="J66:J67">
    <cfRule type="expression" dxfId="515" priority="19">
      <formula>(dms_FRCPlength_Num)&lt;3</formula>
    </cfRule>
  </conditionalFormatting>
  <conditionalFormatting sqref="K66:K67">
    <cfRule type="expression" dxfId="514" priority="18">
      <formula>(dms_FRCPlength_Num)&lt;4</formula>
    </cfRule>
  </conditionalFormatting>
  <conditionalFormatting sqref="M66:M67">
    <cfRule type="expression" dxfId="513" priority="17">
      <formula>(dms_FRCPlength_Num)&lt;5</formula>
    </cfRule>
  </conditionalFormatting>
  <conditionalFormatting sqref="I66:I67">
    <cfRule type="expression" dxfId="512" priority="20">
      <formula>(dms_FRCPlength_Num)&lt;2</formula>
    </cfRule>
  </conditionalFormatting>
  <conditionalFormatting sqref="L54:L55">
    <cfRule type="expression" dxfId="511" priority="16">
      <formula>(dms_FRCPlength_Num)&lt;4</formula>
    </cfRule>
  </conditionalFormatting>
  <conditionalFormatting sqref="L48:L49">
    <cfRule type="expression" dxfId="510" priority="15">
      <formula>(dms_FRCPlength_Num)&lt;4</formula>
    </cfRule>
  </conditionalFormatting>
  <conditionalFormatting sqref="L51:L52">
    <cfRule type="expression" dxfId="509" priority="13">
      <formula>(dms_FRCPlength_Num)&lt;4</formula>
    </cfRule>
  </conditionalFormatting>
  <conditionalFormatting sqref="L63:L64">
    <cfRule type="expression" dxfId="508" priority="12">
      <formula>(dms_FRCPlength_Num)&lt;4</formula>
    </cfRule>
  </conditionalFormatting>
  <conditionalFormatting sqref="L66:L67">
    <cfRule type="expression" dxfId="507" priority="11">
      <formula>(dms_FRCPlength_Num)&lt;4</formula>
    </cfRule>
  </conditionalFormatting>
  <conditionalFormatting sqref="J69:J70">
    <cfRule type="expression" dxfId="506" priority="4">
      <formula>(dms_FRCPlength_Num)&lt;3</formula>
    </cfRule>
  </conditionalFormatting>
  <conditionalFormatting sqref="K69:K70">
    <cfRule type="expression" dxfId="505" priority="3">
      <formula>(dms_FRCPlength_Num)&lt;4</formula>
    </cfRule>
  </conditionalFormatting>
  <conditionalFormatting sqref="M69:M70">
    <cfRule type="expression" dxfId="504" priority="2">
      <formula>(dms_FRCPlength_Num)&lt;5</formula>
    </cfRule>
  </conditionalFormatting>
  <conditionalFormatting sqref="I69:I70">
    <cfRule type="expression" dxfId="503" priority="5">
      <formula>(dms_FRCPlength_Num)&lt;2</formula>
    </cfRule>
  </conditionalFormatting>
  <conditionalFormatting sqref="L69:L70">
    <cfRule type="expression" dxfId="502" priority="1">
      <formula>(dms_FRCPlength_Num)&lt;4</formula>
    </cfRule>
  </conditionalFormatting>
  <hyperlinks>
    <hyperlink ref="B2:E2" location="TOC!A1" display="TOC!A1" xr:uid="{AC8ADE66-9FF3-40A0-ACF4-B726650886FB}"/>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0381-3DEB-4069-AE41-EFBDDCE6B280}">
  <sheetPr codeName="Sheet25">
    <tabColor theme="4" tint="0.79998168889431442"/>
  </sheetPr>
  <dimension ref="A1:K50"/>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56.5" style="45" customWidth="1"/>
    <col min="5" max="11" width="15.6640625" style="45" customWidth="1"/>
    <col min="12" max="31" width="10.6640625" style="45" customWidth="1"/>
    <col min="32" max="16384" width="9.33203125" style="45"/>
  </cols>
  <sheetData>
    <row r="1" spans="1:11" ht="18.75" x14ac:dyDescent="0.3">
      <c r="A1" s="41">
        <f>IF(SUM($A3:$A50)&gt;0,1,0)</f>
        <v>0</v>
      </c>
      <c r="B1" s="3" t="s">
        <v>1098</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thickBot="1" x14ac:dyDescent="0.35"/>
    <row r="8" spans="1:11" ht="18.399999999999999" thickBot="1" x14ac:dyDescent="0.35">
      <c r="D8" s="569" t="s">
        <v>460</v>
      </c>
      <c r="E8" s="570"/>
      <c r="F8" s="570"/>
      <c r="G8" s="570"/>
      <c r="H8" s="570"/>
      <c r="I8" s="570"/>
      <c r="J8" s="570"/>
      <c r="K8" s="570"/>
    </row>
    <row r="9" spans="1:11" ht="13.15" x14ac:dyDescent="0.3">
      <c r="D9" s="271"/>
      <c r="E9" s="579" t="s">
        <v>175</v>
      </c>
      <c r="F9" s="579"/>
      <c r="G9" s="579"/>
      <c r="H9" s="579"/>
      <c r="I9" s="579"/>
      <c r="J9" s="579"/>
      <c r="K9" s="580"/>
    </row>
    <row r="10" spans="1:11" ht="13.5" thickBot="1" x14ac:dyDescent="0.35">
      <c r="D10" s="271"/>
      <c r="E10" s="581" t="s">
        <v>461</v>
      </c>
      <c r="F10" s="581"/>
      <c r="G10" s="581"/>
      <c r="H10" s="581"/>
      <c r="I10" s="581"/>
      <c r="J10" s="581"/>
      <c r="K10" s="582"/>
    </row>
    <row r="11" spans="1:11" ht="18.600000000000001" customHeight="1" thickBot="1" x14ac:dyDescent="0.35">
      <c r="D11" s="271"/>
      <c r="E11" s="515" t="s">
        <v>70</v>
      </c>
      <c r="F11" s="515" t="s">
        <v>71</v>
      </c>
      <c r="G11" s="516" t="s">
        <v>72</v>
      </c>
      <c r="H11" s="516" t="s">
        <v>73</v>
      </c>
      <c r="I11" s="516" t="s">
        <v>74</v>
      </c>
      <c r="J11" s="516" t="s">
        <v>82</v>
      </c>
      <c r="K11" s="516" t="s">
        <v>243</v>
      </c>
    </row>
    <row r="12" spans="1:11" ht="18.399999999999999" thickBot="1" x14ac:dyDescent="0.35">
      <c r="D12" s="571" t="s">
        <v>85</v>
      </c>
      <c r="E12" s="572"/>
      <c r="F12" s="572"/>
      <c r="G12" s="572"/>
      <c r="H12" s="572"/>
      <c r="I12" s="572"/>
      <c r="J12" s="572"/>
      <c r="K12" s="573"/>
    </row>
    <row r="13" spans="1:11" ht="14.25" x14ac:dyDescent="0.45">
      <c r="D13" s="415" t="s">
        <v>462</v>
      </c>
      <c r="E13" s="574">
        <f>E$27*$F43</f>
        <v>38368506.548017092</v>
      </c>
      <c r="F13" s="564">
        <f t="shared" ref="F13:K13" si="0">F$27*$F43</f>
        <v>38504896.899408162</v>
      </c>
      <c r="G13" s="575">
        <f t="shared" si="0"/>
        <v>43092013.895688683</v>
      </c>
      <c r="H13" s="312">
        <f t="shared" si="0"/>
        <v>43545530.618365392</v>
      </c>
      <c r="I13" s="312">
        <f t="shared" si="0"/>
        <v>43579751.887868769</v>
      </c>
      <c r="J13" s="312">
        <f t="shared" si="0"/>
        <v>44451993.910393029</v>
      </c>
      <c r="K13" s="313">
        <f t="shared" si="0"/>
        <v>44591394.424387299</v>
      </c>
    </row>
    <row r="14" spans="1:11" ht="14.25" x14ac:dyDescent="0.45">
      <c r="D14" s="415" t="s">
        <v>463</v>
      </c>
      <c r="E14" s="434">
        <f t="shared" ref="E14:K14" si="1">E$27*$F44</f>
        <v>0</v>
      </c>
      <c r="F14" s="435">
        <f t="shared" si="1"/>
        <v>0</v>
      </c>
      <c r="G14" s="436">
        <f t="shared" si="1"/>
        <v>0</v>
      </c>
      <c r="H14" s="315">
        <f t="shared" si="1"/>
        <v>0</v>
      </c>
      <c r="I14" s="315">
        <f t="shared" si="1"/>
        <v>0</v>
      </c>
      <c r="J14" s="315">
        <f t="shared" si="1"/>
        <v>0</v>
      </c>
      <c r="K14" s="316">
        <f t="shared" si="1"/>
        <v>0</v>
      </c>
    </row>
    <row r="15" spans="1:11" ht="14.25" x14ac:dyDescent="0.45">
      <c r="D15" s="415" t="s">
        <v>464</v>
      </c>
      <c r="E15" s="434">
        <f t="shared" ref="E15:K15" si="2">E$27*$F45</f>
        <v>16817245.999640476</v>
      </c>
      <c r="F15" s="435">
        <f t="shared" si="2"/>
        <v>16877027.062227588</v>
      </c>
      <c r="G15" s="436">
        <f t="shared" si="2"/>
        <v>18887599.844335739</v>
      </c>
      <c r="H15" s="315">
        <f t="shared" si="2"/>
        <v>19086380.119524714</v>
      </c>
      <c r="I15" s="315">
        <f t="shared" si="2"/>
        <v>19101379.595903553</v>
      </c>
      <c r="J15" s="315">
        <f t="shared" si="2"/>
        <v>19483690.766802449</v>
      </c>
      <c r="K15" s="316">
        <f t="shared" si="2"/>
        <v>19544791.209515385</v>
      </c>
    </row>
    <row r="16" spans="1:11" ht="14.25" x14ac:dyDescent="0.45">
      <c r="D16" s="415" t="s">
        <v>759</v>
      </c>
      <c r="E16" s="434">
        <f t="shared" ref="E16:K16" si="3">E$27*$F46</f>
        <v>16715711.032258477</v>
      </c>
      <c r="F16" s="435">
        <f t="shared" si="3"/>
        <v>16775131.16367767</v>
      </c>
      <c r="G16" s="436">
        <f t="shared" si="3"/>
        <v>18773565.011631269</v>
      </c>
      <c r="H16" s="315">
        <f t="shared" si="3"/>
        <v>18971145.140924901</v>
      </c>
      <c r="I16" s="315">
        <f t="shared" si="3"/>
        <v>18986054.057211742</v>
      </c>
      <c r="J16" s="315">
        <f t="shared" si="3"/>
        <v>19366057.00521446</v>
      </c>
      <c r="K16" s="316">
        <f t="shared" si="3"/>
        <v>19426788.550935701</v>
      </c>
    </row>
    <row r="17" spans="1:11" ht="14.65" thickBot="1" x14ac:dyDescent="0.5">
      <c r="D17" s="415" t="s">
        <v>760</v>
      </c>
      <c r="E17" s="434">
        <f t="shared" ref="E17:K17" si="4">E$27*$F47</f>
        <v>194840.72435667677</v>
      </c>
      <c r="F17" s="435">
        <f t="shared" si="4"/>
        <v>195533.33392768109</v>
      </c>
      <c r="G17" s="436">
        <f t="shared" si="4"/>
        <v>218827.36537885599</v>
      </c>
      <c r="H17" s="315">
        <f t="shared" si="4"/>
        <v>221130.38769335789</v>
      </c>
      <c r="I17" s="315">
        <f t="shared" si="4"/>
        <v>221304.16815911824</v>
      </c>
      <c r="J17" s="315">
        <f t="shared" si="4"/>
        <v>225733.5370028149</v>
      </c>
      <c r="K17" s="316">
        <f t="shared" si="4"/>
        <v>226441.43260694394</v>
      </c>
    </row>
    <row r="18" spans="1:11" ht="13.5" thickBot="1" x14ac:dyDescent="0.35">
      <c r="D18" s="578" t="s">
        <v>81</v>
      </c>
      <c r="E18" s="252">
        <f t="shared" ref="E18:K18" si="5">SUM(E13:E17)</f>
        <v>72096304.304272726</v>
      </c>
      <c r="F18" s="252">
        <f t="shared" si="5"/>
        <v>72352588.459241107</v>
      </c>
      <c r="G18" s="252">
        <f t="shared" si="5"/>
        <v>80972006.11703454</v>
      </c>
      <c r="H18" s="252">
        <f t="shared" si="5"/>
        <v>81824186.266508371</v>
      </c>
      <c r="I18" s="252">
        <f t="shared" si="5"/>
        <v>81888489.709143177</v>
      </c>
      <c r="J18" s="252">
        <f t="shared" si="5"/>
        <v>83527475.219412759</v>
      </c>
      <c r="K18" s="253">
        <f t="shared" si="5"/>
        <v>83789415.617445335</v>
      </c>
    </row>
    <row r="19" spans="1:11" ht="18.399999999999999" thickBot="1" x14ac:dyDescent="0.35">
      <c r="D19" s="571" t="s">
        <v>86</v>
      </c>
      <c r="E19" s="576"/>
      <c r="F19" s="576"/>
      <c r="G19" s="576"/>
      <c r="H19" s="576"/>
      <c r="I19" s="576"/>
      <c r="J19" s="576"/>
      <c r="K19" s="577"/>
    </row>
    <row r="20" spans="1:11" ht="14.25" x14ac:dyDescent="0.45">
      <c r="D20" s="415" t="s">
        <v>462</v>
      </c>
      <c r="E20" s="574">
        <v>27641162.231979832</v>
      </c>
      <c r="F20" s="564">
        <v>31634126.808121096</v>
      </c>
      <c r="G20" s="575">
        <v>27463776.75663586</v>
      </c>
      <c r="H20" s="312">
        <v>25179234.159819983</v>
      </c>
      <c r="I20" s="312">
        <v>22572404.654766254</v>
      </c>
      <c r="J20" s="312">
        <v>20850689.669115324</v>
      </c>
      <c r="K20" s="313">
        <v>21153463.361267529</v>
      </c>
    </row>
    <row r="21" spans="1:11" ht="14.25" x14ac:dyDescent="0.45">
      <c r="D21" s="415" t="s">
        <v>463</v>
      </c>
      <c r="E21" s="434">
        <v>0</v>
      </c>
      <c r="F21" s="435">
        <v>0</v>
      </c>
      <c r="G21" s="436">
        <v>0</v>
      </c>
      <c r="H21" s="315">
        <v>0</v>
      </c>
      <c r="I21" s="315">
        <v>0</v>
      </c>
      <c r="J21" s="315">
        <v>0</v>
      </c>
      <c r="K21" s="316">
        <v>0</v>
      </c>
    </row>
    <row r="22" spans="1:11" ht="14.25" x14ac:dyDescent="0.45">
      <c r="D22" s="415" t="s">
        <v>464</v>
      </c>
      <c r="E22" s="434">
        <v>33527940.458883859</v>
      </c>
      <c r="F22" s="435">
        <v>41152262.696849525</v>
      </c>
      <c r="G22" s="436">
        <v>39621125.021969222</v>
      </c>
      <c r="H22" s="315">
        <v>36447530.111451305</v>
      </c>
      <c r="I22" s="315">
        <v>28973867.523634948</v>
      </c>
      <c r="J22" s="315">
        <v>46759347.116297752</v>
      </c>
      <c r="K22" s="316">
        <v>58362482.805614054</v>
      </c>
    </row>
    <row r="23" spans="1:11" ht="14.25" x14ac:dyDescent="0.45">
      <c r="D23" s="415" t="s">
        <v>759</v>
      </c>
      <c r="E23" s="434">
        <v>39833140.038490169</v>
      </c>
      <c r="F23" s="435">
        <v>48382156.501102738</v>
      </c>
      <c r="G23" s="436">
        <v>40172415.649188526</v>
      </c>
      <c r="H23" s="315">
        <v>42702641.702206001</v>
      </c>
      <c r="I23" s="315">
        <v>41252223.842026077</v>
      </c>
      <c r="J23" s="315">
        <v>54813746.34838216</v>
      </c>
      <c r="K23" s="316">
        <v>68482247.685999289</v>
      </c>
    </row>
    <row r="24" spans="1:11" ht="14.65" thickBot="1" x14ac:dyDescent="0.5">
      <c r="D24" s="415" t="s">
        <v>760</v>
      </c>
      <c r="E24" s="434">
        <v>0</v>
      </c>
      <c r="F24" s="435">
        <v>0</v>
      </c>
      <c r="G24" s="436">
        <v>0</v>
      </c>
      <c r="H24" s="315">
        <v>0</v>
      </c>
      <c r="I24" s="315">
        <v>0</v>
      </c>
      <c r="J24" s="315">
        <v>0</v>
      </c>
      <c r="K24" s="316">
        <v>0</v>
      </c>
    </row>
    <row r="25" spans="1:11" ht="11.25" customHeight="1" thickBot="1" x14ac:dyDescent="0.35">
      <c r="D25" s="578" t="s">
        <v>81</v>
      </c>
      <c r="E25" s="252">
        <f t="shared" ref="E25:K25" si="6">SUM(E20:E24)</f>
        <v>101002242.72935386</v>
      </c>
      <c r="F25" s="252">
        <f t="shared" si="6"/>
        <v>121168546.00607336</v>
      </c>
      <c r="G25" s="252">
        <f t="shared" si="6"/>
        <v>107257317.42779361</v>
      </c>
      <c r="H25" s="252">
        <f t="shared" si="6"/>
        <v>104329405.97347729</v>
      </c>
      <c r="I25" s="252">
        <f t="shared" si="6"/>
        <v>92798496.020427287</v>
      </c>
      <c r="J25" s="252">
        <f t="shared" si="6"/>
        <v>122423783.13379523</v>
      </c>
      <c r="K25" s="253">
        <f t="shared" si="6"/>
        <v>147998193.8528809</v>
      </c>
    </row>
    <row r="26" spans="1:11" ht="11.25" customHeight="1" x14ac:dyDescent="0.3"/>
    <row r="27" spans="1:11" ht="12.75" x14ac:dyDescent="0.3">
      <c r="D27" s="6" t="s">
        <v>696</v>
      </c>
      <c r="E27" s="118">
        <f>'WkB_1_2.1.2'!E$19</f>
        <v>72096304.304272726</v>
      </c>
      <c r="F27" s="118">
        <f>'WkB_1_2.1.2'!F$19</f>
        <v>72352588.459241107</v>
      </c>
      <c r="G27" s="115">
        <v>80972006.117034554</v>
      </c>
      <c r="H27" s="115">
        <v>81824186.266508371</v>
      </c>
      <c r="I27" s="115">
        <v>81888489.709143192</v>
      </c>
      <c r="J27" s="115">
        <v>83527475.219412759</v>
      </c>
      <c r="K27" s="115">
        <v>83789415.617445335</v>
      </c>
    </row>
    <row r="28" spans="1:11" ht="12.75" x14ac:dyDescent="0.3">
      <c r="A28" s="41">
        <f>IF(SUM($E28:$K28)&gt;0,1,0)</f>
        <v>0</v>
      </c>
      <c r="D28" s="6" t="s">
        <v>126</v>
      </c>
      <c r="E28" s="62">
        <f t="shared" ref="E28:K28" si="7">IF(ROUND(E27-E18,3)&lt;&gt;0,1,0)</f>
        <v>0</v>
      </c>
      <c r="F28" s="62">
        <f t="shared" si="7"/>
        <v>0</v>
      </c>
      <c r="G28" s="62">
        <f t="shared" si="7"/>
        <v>0</v>
      </c>
      <c r="H28" s="62">
        <f t="shared" si="7"/>
        <v>0</v>
      </c>
      <c r="I28" s="62">
        <f t="shared" si="7"/>
        <v>0</v>
      </c>
      <c r="J28" s="62">
        <f t="shared" si="7"/>
        <v>0</v>
      </c>
      <c r="K28" s="62">
        <f t="shared" si="7"/>
        <v>0</v>
      </c>
    </row>
    <row r="29" spans="1:11" ht="11.25" customHeight="1" x14ac:dyDescent="0.3"/>
    <row r="30" spans="1:11" ht="12.75" x14ac:dyDescent="0.3">
      <c r="D30" s="6" t="s">
        <v>739</v>
      </c>
      <c r="E30" s="118">
        <f>'WkB_1_2.1.1'!E21</f>
        <v>101002242.72935387</v>
      </c>
      <c r="F30" s="118">
        <f>'WkB_1_2.1.1'!F21</f>
        <v>121168546.00607337</v>
      </c>
      <c r="G30" s="118">
        <f>'WkB_1_2.1.1'!G21</f>
        <v>107257317.42779356</v>
      </c>
      <c r="H30" s="118">
        <f>'WkB_1_2.1.1'!H21</f>
        <v>104329405.97347727</v>
      </c>
      <c r="I30" s="118">
        <f>'WkB_1_2.1.1'!I21</f>
        <v>92798496.020427272</v>
      </c>
      <c r="J30" s="118">
        <f>'WkB_1_2.1.1'!J21</f>
        <v>122423783.13379528</v>
      </c>
      <c r="K30" s="118">
        <f>'WkB_1_2.1.1'!K21</f>
        <v>147998193.85288087</v>
      </c>
    </row>
    <row r="31" spans="1:11" ht="12.75" x14ac:dyDescent="0.3">
      <c r="A31" s="41">
        <f>IF(SUM($E31:$K31)&gt;0,1,0)</f>
        <v>0</v>
      </c>
      <c r="D31" s="6" t="s">
        <v>452</v>
      </c>
      <c r="E31" s="62">
        <f t="shared" ref="E31:K31" si="8">IF(ROUND(E30-E25,3)&lt;&gt;0,1,0)</f>
        <v>0</v>
      </c>
      <c r="F31" s="62">
        <f t="shared" si="8"/>
        <v>0</v>
      </c>
      <c r="G31" s="62">
        <f t="shared" si="8"/>
        <v>0</v>
      </c>
      <c r="H31" s="62">
        <f t="shared" si="8"/>
        <v>0</v>
      </c>
      <c r="I31" s="62">
        <f t="shared" si="8"/>
        <v>0</v>
      </c>
      <c r="J31" s="62">
        <f t="shared" si="8"/>
        <v>0</v>
      </c>
      <c r="K31" s="62">
        <f t="shared" si="8"/>
        <v>0</v>
      </c>
    </row>
    <row r="32" spans="1:11" ht="11.25" customHeight="1" x14ac:dyDescent="0.3"/>
    <row r="33" spans="1:11" ht="12.75" x14ac:dyDescent="0.3">
      <c r="D33" s="6" t="s">
        <v>695</v>
      </c>
      <c r="E33" s="115">
        <v>173098547.03362659</v>
      </c>
      <c r="F33" s="116">
        <v>193521134.46531445</v>
      </c>
      <c r="G33" s="117">
        <v>188229323.54482815</v>
      </c>
      <c r="H33" s="115">
        <v>186153592.23998564</v>
      </c>
      <c r="I33" s="115">
        <v>174686985.72957045</v>
      </c>
      <c r="J33" s="115">
        <v>205951258.35320801</v>
      </c>
      <c r="K33" s="115">
        <v>231787609.47032624</v>
      </c>
    </row>
    <row r="34" spans="1:11" ht="12.75" x14ac:dyDescent="0.3">
      <c r="A34" s="41">
        <f>IF(SUM($E34:$K34)&gt;0,1,0)</f>
        <v>0</v>
      </c>
      <c r="D34" s="6" t="s">
        <v>84</v>
      </c>
      <c r="E34" s="62">
        <f>IF(ROUND(SUM(E18,E25)-E33,3)&lt;&gt;0,1,0)</f>
        <v>0</v>
      </c>
      <c r="F34" s="62">
        <f t="shared" ref="F34:K34" si="9">IF(ROUND(SUM(F18,F25)-F33,3)&lt;&gt;0,1,0)</f>
        <v>0</v>
      </c>
      <c r="G34" s="62">
        <f t="shared" si="9"/>
        <v>0</v>
      </c>
      <c r="H34" s="62">
        <f t="shared" si="9"/>
        <v>0</v>
      </c>
      <c r="I34" s="62">
        <f t="shared" si="9"/>
        <v>0</v>
      </c>
      <c r="J34" s="62">
        <f t="shared" si="9"/>
        <v>0</v>
      </c>
      <c r="K34" s="62">
        <f t="shared" si="9"/>
        <v>0</v>
      </c>
    </row>
    <row r="35" spans="1:11" ht="11.25" customHeight="1" x14ac:dyDescent="0.3"/>
    <row r="36" spans="1:11" s="7" customFormat="1" ht="13.9" x14ac:dyDescent="0.3">
      <c r="C36" s="7" t="s">
        <v>653</v>
      </c>
    </row>
    <row r="37" spans="1:11" ht="11.25" customHeight="1" thickBot="1" x14ac:dyDescent="0.35"/>
    <row r="38" spans="1:11" ht="18.399999999999999" thickBot="1" x14ac:dyDescent="0.35">
      <c r="D38" s="569" t="s">
        <v>460</v>
      </c>
      <c r="E38" s="570"/>
      <c r="F38" s="570"/>
    </row>
    <row r="39" spans="1:11" ht="13.15" x14ac:dyDescent="0.3">
      <c r="D39" s="271"/>
      <c r="E39" s="579" t="s">
        <v>175</v>
      </c>
      <c r="F39" s="580"/>
    </row>
    <row r="40" spans="1:11" ht="13.5" thickBot="1" x14ac:dyDescent="0.35">
      <c r="D40" s="271"/>
      <c r="E40" s="581" t="s">
        <v>548</v>
      </c>
      <c r="F40" s="582"/>
    </row>
    <row r="41" spans="1:11" ht="26.65" thickBot="1" x14ac:dyDescent="0.35">
      <c r="D41" s="271"/>
      <c r="E41" s="515" t="s">
        <v>69</v>
      </c>
      <c r="F41" s="418" t="s">
        <v>595</v>
      </c>
    </row>
    <row r="42" spans="1:11" ht="18.399999999999999" thickBot="1" x14ac:dyDescent="0.35">
      <c r="D42" s="571" t="s">
        <v>85</v>
      </c>
      <c r="E42" s="572"/>
      <c r="F42" s="573"/>
    </row>
    <row r="43" spans="1:11" ht="14.25" x14ac:dyDescent="0.45">
      <c r="D43" s="415" t="s">
        <v>462</v>
      </c>
      <c r="E43" s="574">
        <v>34190917.065123886</v>
      </c>
      <c r="F43" s="155">
        <f>IF($E$48=0,0,E43/$E$48)</f>
        <v>0.53218409623450302</v>
      </c>
    </row>
    <row r="44" spans="1:11" ht="14.25" x14ac:dyDescent="0.45">
      <c r="D44" s="415" t="s">
        <v>463</v>
      </c>
      <c r="E44" s="434">
        <v>0</v>
      </c>
      <c r="F44" s="155">
        <f>IF($E$48=0,0,E44/$E$48)</f>
        <v>0</v>
      </c>
    </row>
    <row r="45" spans="1:11" ht="14.25" x14ac:dyDescent="0.45">
      <c r="D45" s="415" t="s">
        <v>464</v>
      </c>
      <c r="E45" s="434">
        <v>14986172.644429138</v>
      </c>
      <c r="F45" s="155">
        <f t="shared" ref="F45:F46" si="10">IF($E$48=0,0,E45/$E$48)</f>
        <v>0.23326086076015157</v>
      </c>
    </row>
    <row r="46" spans="1:11" ht="14.25" x14ac:dyDescent="0.45">
      <c r="D46" s="415" t="s">
        <v>759</v>
      </c>
      <c r="E46" s="434">
        <v>14895692.8743963</v>
      </c>
      <c r="F46" s="155">
        <f t="shared" si="10"/>
        <v>0.23185253659760524</v>
      </c>
    </row>
    <row r="47" spans="1:11" ht="14.65" thickBot="1" x14ac:dyDescent="0.5">
      <c r="D47" s="415" t="s">
        <v>760</v>
      </c>
      <c r="E47" s="434">
        <v>173626.33176901916</v>
      </c>
      <c r="F47" s="156">
        <f>IF($E$48=0,0,E47/$E$48)</f>
        <v>2.7025064077400942E-3</v>
      </c>
    </row>
    <row r="48" spans="1:11" ht="13.5" thickBot="1" x14ac:dyDescent="0.35">
      <c r="D48" s="578" t="s">
        <v>81</v>
      </c>
      <c r="E48" s="252">
        <f t="shared" ref="E48" si="11">SUM(E43:E47)</f>
        <v>64246408.915718347</v>
      </c>
    </row>
    <row r="49" spans="2:2" ht="11.25" customHeight="1" x14ac:dyDescent="0.3"/>
    <row r="50" spans="2:2" s="46" customFormat="1" ht="15" x14ac:dyDescent="0.3">
      <c r="B50" s="46" t="s">
        <v>16</v>
      </c>
    </row>
  </sheetData>
  <conditionalFormatting sqref="B3">
    <cfRule type="cellIs" dxfId="501" priority="12" operator="notEqual">
      <formula>"No Errors Found"</formula>
    </cfRule>
  </conditionalFormatting>
  <conditionalFormatting sqref="I13:I17 I20:I24">
    <cfRule type="expression" dxfId="500" priority="10">
      <formula>(dms_FRCPlength_Num)&lt;3</formula>
    </cfRule>
  </conditionalFormatting>
  <conditionalFormatting sqref="J13:J17 J20:J24">
    <cfRule type="expression" dxfId="499" priority="9">
      <formula>(dms_FRCPlength_Num)&lt;4</formula>
    </cfRule>
  </conditionalFormatting>
  <conditionalFormatting sqref="K13:K17 K20:K24">
    <cfRule type="expression" dxfId="498" priority="8">
      <formula>(dms_FRCPlength_Num)&lt;5</formula>
    </cfRule>
  </conditionalFormatting>
  <conditionalFormatting sqref="E20:K24 E13:K17 E43:E47">
    <cfRule type="expression" dxfId="497" priority="7">
      <formula>dms_TradingName="Western Power (D)"</formula>
    </cfRule>
  </conditionalFormatting>
  <dataValidations count="1">
    <dataValidation allowBlank="1" showInputMessage="1" showErrorMessage="1" sqref="E11:K11 E41" xr:uid="{70BC950B-BEC9-4AE9-B04C-53CBC132E10F}"/>
  </dataValidations>
  <hyperlinks>
    <hyperlink ref="B2:E2" location="TOC!A1" display="TOC!A1" xr:uid="{0ABE9B06-E9EB-48E2-BA19-AFC9718D6D2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401B-7F7D-47A9-91F8-682A0F81AB90}">
  <sheetPr codeName="Sheet26">
    <tabColor theme="4" tint="0.79998168889431442"/>
  </sheetPr>
  <dimension ref="A1:K27"/>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6.83203125" style="45" customWidth="1"/>
    <col min="5" max="11" width="15.6640625" style="45" customWidth="1"/>
    <col min="12" max="31" width="10.6640625" style="45" customWidth="1"/>
    <col min="32" max="16384" width="9.33203125" style="45"/>
  </cols>
  <sheetData>
    <row r="1" spans="1:11" ht="18.75" x14ac:dyDescent="0.3">
      <c r="A1" s="41">
        <f>IF(SUM($A3:$A27)&gt;0,1,0)</f>
        <v>0</v>
      </c>
      <c r="B1" s="3" t="s">
        <v>1099</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tr">
        <f>B1</f>
        <v>2.14.2 - Forecast capex and opex price changes</v>
      </c>
      <c r="E8" s="49"/>
      <c r="F8" s="49"/>
      <c r="G8" s="49"/>
      <c r="H8" s="49"/>
      <c r="I8" s="49"/>
      <c r="J8" s="49"/>
      <c r="K8" s="49"/>
    </row>
    <row r="9" spans="1:11" ht="46.15" customHeight="1" thickBot="1" x14ac:dyDescent="0.35">
      <c r="D9"/>
      <c r="E9" s="1076" t="s">
        <v>88</v>
      </c>
      <c r="F9" s="1077"/>
      <c r="G9" s="1078" t="s">
        <v>89</v>
      </c>
      <c r="H9" s="1079"/>
      <c r="I9" s="1079"/>
      <c r="J9" s="1079"/>
      <c r="K9" s="1080"/>
    </row>
    <row r="10" spans="1:11" ht="28.15" customHeight="1" thickBot="1" x14ac:dyDescent="0.35">
      <c r="D10"/>
      <c r="E10" s="422" t="str">
        <f>'WkB_1_2.1.1'!$E$9</f>
        <v>Forecast 
($0's. real June 2024)</v>
      </c>
      <c r="F10" s="423"/>
      <c r="G10" s="423"/>
      <c r="H10" s="423"/>
      <c r="I10" s="423"/>
      <c r="J10" s="423"/>
      <c r="K10" s="424"/>
    </row>
    <row r="11" spans="1:11" ht="18.600000000000001" customHeight="1" thickBot="1" x14ac:dyDescent="0.35">
      <c r="D11"/>
      <c r="E11" s="486" t="str">
        <f>'WkB_1_2.1.1'!$E$10</f>
        <v>2022-23</v>
      </c>
      <c r="F11" s="487" t="str">
        <f>'WkB_1_2.1.1'!$F$10</f>
        <v>2023-24</v>
      </c>
      <c r="G11" s="488" t="str">
        <f>'WkB_1_2.1.1'!$G$10</f>
        <v>2024-25</v>
      </c>
      <c r="H11" s="489" t="str">
        <f>'WkB_1_2.1.1'!$H$10</f>
        <v>2025-26</v>
      </c>
      <c r="I11" s="489" t="str">
        <f>'WkB_1_2.1.1'!$I$10</f>
        <v>2026-27</v>
      </c>
      <c r="J11" s="489" t="str">
        <f>'WkB_1_2.1.1'!$J$10</f>
        <v>2027-28</v>
      </c>
      <c r="K11" s="490" t="str">
        <f>'WkB_1_2.1.1'!$K$10</f>
        <v>2028-29</v>
      </c>
    </row>
    <row r="12" spans="1:11" ht="13.5" thickBot="1" x14ac:dyDescent="0.35">
      <c r="D12" s="121" t="s">
        <v>85</v>
      </c>
      <c r="E12" s="67"/>
      <c r="F12" s="67"/>
      <c r="G12" s="68"/>
      <c r="H12" s="67"/>
      <c r="I12" s="67"/>
      <c r="J12" s="67"/>
      <c r="K12" s="69"/>
    </row>
    <row r="13" spans="1:11" ht="12.75" x14ac:dyDescent="0.35">
      <c r="D13" s="70" t="s">
        <v>109</v>
      </c>
      <c r="E13" s="122">
        <v>-3.6689481894301101E-2</v>
      </c>
      <c r="F13" s="123">
        <v>-2.3505133390157914E-3</v>
      </c>
      <c r="G13" s="124">
        <v>1.6993474921973065E-2</v>
      </c>
      <c r="H13" s="125">
        <v>1.4960465614464905E-2</v>
      </c>
      <c r="I13" s="125">
        <v>7.190932197755742E-3</v>
      </c>
      <c r="J13" s="125">
        <v>4.301082917910275E-3</v>
      </c>
      <c r="K13" s="126">
        <v>7.4917581213205953E-3</v>
      </c>
    </row>
    <row r="14" spans="1:11" ht="12.75" x14ac:dyDescent="0.35">
      <c r="D14" s="71" t="s">
        <v>110</v>
      </c>
      <c r="E14" s="127">
        <f t="shared" ref="E14:F14" si="0">E18</f>
        <v>0</v>
      </c>
      <c r="F14" s="128">
        <f t="shared" si="0"/>
        <v>0</v>
      </c>
      <c r="G14" s="129">
        <v>0</v>
      </c>
      <c r="H14" s="130">
        <v>0</v>
      </c>
      <c r="I14" s="130">
        <v>0</v>
      </c>
      <c r="J14" s="130">
        <v>0</v>
      </c>
      <c r="K14" s="128">
        <v>0</v>
      </c>
    </row>
    <row r="15" spans="1:11" ht="13.15" thickBot="1" x14ac:dyDescent="0.4">
      <c r="D15" s="76"/>
      <c r="E15" s="77"/>
      <c r="F15" s="78"/>
      <c r="G15" s="79"/>
      <c r="H15" s="80"/>
      <c r="I15" s="80"/>
      <c r="J15" s="80"/>
      <c r="K15" s="78"/>
    </row>
    <row r="16" spans="1:11" ht="13.5" thickBot="1" x14ac:dyDescent="0.35">
      <c r="D16" s="121" t="s">
        <v>86</v>
      </c>
      <c r="E16" s="67"/>
      <c r="F16" s="69"/>
      <c r="G16" s="68"/>
      <c r="H16" s="67"/>
      <c r="I16" s="67"/>
      <c r="J16" s="67"/>
      <c r="K16" s="69"/>
    </row>
    <row r="17" spans="1:11" ht="12.75" x14ac:dyDescent="0.35">
      <c r="D17" s="70" t="s">
        <v>109</v>
      </c>
      <c r="E17" s="122">
        <v>-3.6689481894301101E-2</v>
      </c>
      <c r="F17" s="126">
        <v>-2.3505133390157914E-3</v>
      </c>
      <c r="G17" s="124">
        <v>1.6993474921973065E-2</v>
      </c>
      <c r="H17" s="125">
        <v>1.4960465614464905E-2</v>
      </c>
      <c r="I17" s="125">
        <v>7.190932197755742E-3</v>
      </c>
      <c r="J17" s="125">
        <v>4.301082917910275E-3</v>
      </c>
      <c r="K17" s="126">
        <v>7.4917581213205953E-3</v>
      </c>
    </row>
    <row r="18" spans="1:11" ht="12.75" x14ac:dyDescent="0.35">
      <c r="D18" s="71" t="s">
        <v>110</v>
      </c>
      <c r="E18" s="127">
        <v>0</v>
      </c>
      <c r="F18" s="128">
        <v>0</v>
      </c>
      <c r="G18" s="129">
        <v>0</v>
      </c>
      <c r="H18" s="130">
        <v>0</v>
      </c>
      <c r="I18" s="130">
        <v>0</v>
      </c>
      <c r="J18" s="130">
        <v>0</v>
      </c>
      <c r="K18" s="128">
        <v>0</v>
      </c>
    </row>
    <row r="19" spans="1:11" ht="12.75" x14ac:dyDescent="0.35">
      <c r="D19" s="71"/>
      <c r="E19" s="72"/>
      <c r="F19" s="73"/>
      <c r="G19" s="74"/>
      <c r="H19" s="75"/>
      <c r="I19" s="75"/>
      <c r="J19" s="75"/>
      <c r="K19" s="73"/>
    </row>
    <row r="20" spans="1:11" ht="12.75" x14ac:dyDescent="0.35">
      <c r="D20" s="71"/>
      <c r="E20" s="72"/>
      <c r="F20" s="73"/>
      <c r="G20" s="74"/>
      <c r="H20" s="75"/>
      <c r="I20" s="75"/>
      <c r="J20" s="75"/>
      <c r="K20" s="73"/>
    </row>
    <row r="21" spans="1:11" ht="12.75" x14ac:dyDescent="0.35">
      <c r="D21" s="71"/>
      <c r="E21" s="72"/>
      <c r="F21" s="73"/>
      <c r="G21" s="74"/>
      <c r="H21" s="75"/>
      <c r="I21" s="75"/>
      <c r="J21" s="75"/>
      <c r="K21" s="73"/>
    </row>
    <row r="22" spans="1:11" ht="13.15" thickBot="1" x14ac:dyDescent="0.4">
      <c r="D22" s="81"/>
      <c r="E22" s="82"/>
      <c r="F22" s="83"/>
      <c r="G22" s="84"/>
      <c r="H22" s="85"/>
      <c r="I22" s="85"/>
      <c r="J22" s="85"/>
      <c r="K22" s="83"/>
    </row>
    <row r="23" spans="1:11" ht="11.25" customHeight="1" x14ac:dyDescent="0.3"/>
    <row r="24" spans="1:11" ht="12.75" x14ac:dyDescent="0.3">
      <c r="D24" s="6" t="s">
        <v>83</v>
      </c>
      <c r="E24" s="140">
        <v>-3.6689481894301101E-2</v>
      </c>
      <c r="F24" s="140">
        <v>-2.3505133390157914E-3</v>
      </c>
      <c r="G24" s="140">
        <v>1.6993474921973065E-2</v>
      </c>
      <c r="H24" s="140">
        <v>1.4960465614464905E-2</v>
      </c>
      <c r="I24" s="140">
        <v>7.190932197755742E-3</v>
      </c>
      <c r="J24" s="140">
        <v>4.301082917910275E-3</v>
      </c>
      <c r="K24" s="140">
        <v>7.4917581213205953E-3</v>
      </c>
    </row>
    <row r="25" spans="1:11" ht="12.75" x14ac:dyDescent="0.3">
      <c r="A25" s="41">
        <f>IF(SUM($E25:$K25)&gt;0,1,0)</f>
        <v>0</v>
      </c>
      <c r="D25" s="6" t="s">
        <v>84</v>
      </c>
      <c r="E25" s="62">
        <f>IF(ROUND(E24-E17,3)&lt;0,1,0)</f>
        <v>0</v>
      </c>
      <c r="F25" s="62">
        <f>IF(ROUND(F24-F17,3)&lt;0,1,0)</f>
        <v>0</v>
      </c>
      <c r="G25" s="62">
        <f>IF(OR(ROUND(SUM(G13:G15)-SUM(G17:G22),3)&lt;0,ROUND(F24-F17,3)&lt;0),1,0)</f>
        <v>0</v>
      </c>
      <c r="H25" s="62">
        <f t="shared" ref="H25:K25" si="1">IF(OR(ROUND(SUM(H13:H15)-SUM(H17:H22),3)&lt;0,ROUND(G24-G17,3)&lt;0),1,0)</f>
        <v>0</v>
      </c>
      <c r="I25" s="62">
        <f t="shared" si="1"/>
        <v>0</v>
      </c>
      <c r="J25" s="62">
        <f t="shared" si="1"/>
        <v>0</v>
      </c>
      <c r="K25" s="62">
        <f t="shared" si="1"/>
        <v>0</v>
      </c>
    </row>
    <row r="26" spans="1:11" ht="11.25" customHeight="1" x14ac:dyDescent="0.3"/>
    <row r="27" spans="1:11" s="46" customFormat="1" ht="15" x14ac:dyDescent="0.3">
      <c r="B27" s="46" t="s">
        <v>16</v>
      </c>
    </row>
  </sheetData>
  <mergeCells count="2">
    <mergeCell ref="E9:F9"/>
    <mergeCell ref="G9:K9"/>
  </mergeCells>
  <conditionalFormatting sqref="B3">
    <cfRule type="cellIs" dxfId="496" priority="3" operator="notEqual">
      <formula>"No Errors Found"</formula>
    </cfRule>
  </conditionalFormatting>
  <conditionalFormatting sqref="K17:K22 K13:K15">
    <cfRule type="expression" dxfId="495" priority="1">
      <formula>(dms_FRCPlength_Num)&lt;5</formula>
    </cfRule>
  </conditionalFormatting>
  <hyperlinks>
    <hyperlink ref="B2:E2" location="TOC!A1" display="TOC!A1" xr:uid="{94B7AEC9-E6DD-4675-8485-72DFA1C30A8C}"/>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926A-F996-4050-B0D9-40F5F0957805}">
  <sheetPr codeName="Sheet27">
    <tabColor theme="4" tint="0.79998168889431442"/>
  </sheetPr>
  <dimension ref="A1:O44"/>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54.5" style="45" customWidth="1"/>
    <col min="5" max="14" width="14.6640625" style="45" customWidth="1"/>
    <col min="15" max="34" width="10.6640625" style="45" customWidth="1"/>
    <col min="35" max="16384" width="9.33203125" style="45"/>
  </cols>
  <sheetData>
    <row r="1" spans="1:14" ht="18.75" x14ac:dyDescent="0.3">
      <c r="A1" s="41">
        <f>IF(SUM($A3:$A44)&gt;0,1,0)</f>
        <v>0</v>
      </c>
      <c r="B1" s="3" t="s">
        <v>1100</v>
      </c>
    </row>
    <row r="2" spans="1:14" customFormat="1" x14ac:dyDescent="0.3">
      <c r="B2" s="34" t="str">
        <f>TOC!$B$1</f>
        <v>Table of contents</v>
      </c>
      <c r="C2" s="34"/>
      <c r="D2" s="34"/>
      <c r="E2" s="34"/>
    </row>
    <row r="3" spans="1:14" x14ac:dyDescent="0.3">
      <c r="B3" s="9" t="str">
        <f>Title_Msg</f>
        <v>No Errors Found</v>
      </c>
    </row>
    <row r="4" spans="1:14" s="46" customFormat="1" ht="15" x14ac:dyDescent="0.3">
      <c r="B4" s="46" t="str">
        <f>'WkB_1_2.1.1'!$B$4</f>
        <v>Data required to populate Power and Water Corporation 2024-29 regulatory submission</v>
      </c>
    </row>
    <row r="5" spans="1:14" ht="4.5" customHeight="1" x14ac:dyDescent="0.3"/>
    <row r="6" spans="1:14" s="7" customFormat="1" ht="13.9" x14ac:dyDescent="0.3">
      <c r="C6" s="7" t="str">
        <f>'WkB_1_2.1.1'!$C$6</f>
        <v>Output - RIN template</v>
      </c>
    </row>
    <row r="7" spans="1:14" ht="11.25" customHeight="1" thickBot="1" x14ac:dyDescent="0.35"/>
    <row r="8" spans="1:14" ht="15.4" thickBot="1" x14ac:dyDescent="0.35">
      <c r="D8" s="325" t="s">
        <v>465</v>
      </c>
      <c r="E8" s="325"/>
      <c r="F8" s="325"/>
      <c r="G8" s="325"/>
      <c r="H8" s="325"/>
      <c r="I8" s="325"/>
      <c r="J8" s="325"/>
      <c r="K8" s="325"/>
      <c r="L8" s="325"/>
      <c r="M8" s="325"/>
      <c r="N8" s="325"/>
    </row>
    <row r="9" spans="1:14" ht="28.15" customHeight="1" x14ac:dyDescent="0.3">
      <c r="D9"/>
      <c r="E9" s="588" t="s">
        <v>175</v>
      </c>
      <c r="F9" s="589"/>
      <c r="G9" s="589"/>
      <c r="H9" s="589"/>
      <c r="I9" s="579"/>
      <c r="J9" s="579"/>
      <c r="K9" s="579"/>
      <c r="L9" s="579"/>
      <c r="M9" s="579"/>
      <c r="N9" s="590"/>
    </row>
    <row r="10" spans="1:14" ht="18.600000000000001" customHeight="1" thickBot="1" x14ac:dyDescent="0.35">
      <c r="D10"/>
      <c r="E10" s="591" t="s">
        <v>466</v>
      </c>
      <c r="F10" s="592"/>
      <c r="G10" s="592"/>
      <c r="H10" s="592"/>
      <c r="I10" s="581"/>
      <c r="J10" s="581"/>
      <c r="K10" s="581"/>
      <c r="L10" s="581"/>
      <c r="M10" s="581"/>
      <c r="N10" s="593"/>
    </row>
    <row r="11" spans="1:14" ht="14.65" thickBot="1" x14ac:dyDescent="0.35">
      <c r="D11" s="271"/>
      <c r="E11" s="515" t="s">
        <v>170</v>
      </c>
      <c r="F11" s="515" t="s">
        <v>172</v>
      </c>
      <c r="G11" s="515" t="s">
        <v>69</v>
      </c>
      <c r="H11" s="515" t="s">
        <v>70</v>
      </c>
      <c r="I11" s="515" t="s">
        <v>71</v>
      </c>
      <c r="J11" s="516" t="s">
        <v>72</v>
      </c>
      <c r="K11" s="516" t="s">
        <v>73</v>
      </c>
      <c r="L11" s="516" t="s">
        <v>74</v>
      </c>
      <c r="M11" s="516" t="s">
        <v>82</v>
      </c>
      <c r="N11" s="516" t="s">
        <v>243</v>
      </c>
    </row>
    <row r="12" spans="1:14" ht="14.25" x14ac:dyDescent="0.45">
      <c r="D12" s="86" t="s">
        <v>90</v>
      </c>
      <c r="E12" s="583"/>
      <c r="F12" s="349">
        <v>94435646.318902075</v>
      </c>
      <c r="G12" s="349">
        <v>73316067.873442486</v>
      </c>
      <c r="H12" s="349">
        <v>72096304.304272726</v>
      </c>
      <c r="I12" s="349">
        <v>72352588.459241107</v>
      </c>
      <c r="J12" s="575">
        <v>73349889.592937753</v>
      </c>
      <c r="K12" s="312">
        <v>73349889.592937753</v>
      </c>
      <c r="L12" s="312">
        <v>73349889.592937753</v>
      </c>
      <c r="M12" s="312">
        <v>73349889.592937753</v>
      </c>
      <c r="N12" s="564">
        <v>73349889.592937753</v>
      </c>
    </row>
    <row r="13" spans="1:14" ht="14.25" x14ac:dyDescent="0.45">
      <c r="D13" s="87" t="s">
        <v>91</v>
      </c>
      <c r="E13" s="584"/>
      <c r="F13" s="585"/>
      <c r="G13" s="585"/>
      <c r="H13" s="585"/>
      <c r="I13" s="435"/>
      <c r="J13" s="451">
        <v>0</v>
      </c>
      <c r="K13" s="349">
        <v>0</v>
      </c>
      <c r="L13" s="349">
        <v>0</v>
      </c>
      <c r="M13" s="349">
        <v>0</v>
      </c>
      <c r="N13" s="450">
        <v>0</v>
      </c>
    </row>
    <row r="14" spans="1:14" ht="14.25" x14ac:dyDescent="0.45">
      <c r="D14" s="88" t="s">
        <v>92</v>
      </c>
      <c r="E14" s="584"/>
      <c r="F14" s="585"/>
      <c r="G14" s="585"/>
      <c r="H14" s="585"/>
      <c r="I14" s="586"/>
      <c r="J14" s="436">
        <f>SUM(J$12:J$13)*(J37-1)</f>
        <v>-972144.14848759933</v>
      </c>
      <c r="K14" s="315">
        <f t="shared" ref="K14:N14" si="0">SUM(K$12:K$13)*(K37-1)</f>
        <v>-331123.72347887798</v>
      </c>
      <c r="L14" s="315">
        <f t="shared" si="0"/>
        <v>-20280.510716483583</v>
      </c>
      <c r="M14" s="315">
        <f t="shared" si="0"/>
        <v>166434.35285186424</v>
      </c>
      <c r="N14" s="435">
        <f t="shared" si="0"/>
        <v>492488.1308983998</v>
      </c>
    </row>
    <row r="15" spans="1:14" ht="14.25" x14ac:dyDescent="0.45">
      <c r="D15" s="88" t="s">
        <v>93</v>
      </c>
      <c r="E15" s="584"/>
      <c r="F15" s="585"/>
      <c r="G15" s="585"/>
      <c r="H15" s="585"/>
      <c r="I15" s="586"/>
      <c r="J15" s="436">
        <f>SUM(J$12:J$13)*(J37*J38-J37)</f>
        <v>17405.908331709568</v>
      </c>
      <c r="K15" s="315">
        <f t="shared" ref="K15:N15" si="1">SUM(K$12:K$13)*(K37*K38-K37)</f>
        <v>290688.0909309464</v>
      </c>
      <c r="L15" s="315">
        <f t="shared" si="1"/>
        <v>569795.45777401398</v>
      </c>
      <c r="M15" s="315">
        <f t="shared" si="1"/>
        <v>843280.65894152946</v>
      </c>
      <c r="N15" s="435">
        <f t="shared" si="1"/>
        <v>1118476.8211717308</v>
      </c>
    </row>
    <row r="16" spans="1:14" ht="14.25" x14ac:dyDescent="0.45">
      <c r="D16" s="88" t="s">
        <v>94</v>
      </c>
      <c r="E16" s="584"/>
      <c r="F16" s="585"/>
      <c r="G16" s="585"/>
      <c r="H16" s="585"/>
      <c r="I16" s="586"/>
      <c r="J16" s="436">
        <f>SUM(J$12:J$13)*(J37*J38*J39-J37*J38)</f>
        <v>-1080506.6833341841</v>
      </c>
      <c r="K16" s="315">
        <f t="shared" ref="K16:N16" si="2">SUM(K$12:K$13)*(K37*K38*K39-K37*K38)</f>
        <v>-1455229.2700223057</v>
      </c>
      <c r="L16" s="315">
        <f t="shared" si="2"/>
        <v>-1829102.4059158484</v>
      </c>
      <c r="M16" s="315">
        <f t="shared" si="2"/>
        <v>-2203088.4896984505</v>
      </c>
      <c r="N16" s="435">
        <f t="shared" si="2"/>
        <v>-2584601.7793202004</v>
      </c>
    </row>
    <row r="17" spans="1:15" ht="14.25" x14ac:dyDescent="0.45">
      <c r="D17" s="89" t="s">
        <v>65</v>
      </c>
      <c r="E17" s="584"/>
      <c r="F17" s="585"/>
      <c r="G17" s="585"/>
      <c r="H17" s="585"/>
      <c r="I17" s="586"/>
      <c r="J17" s="451">
        <v>9657361.4475868754</v>
      </c>
      <c r="K17" s="349">
        <v>9969961.5761408582</v>
      </c>
      <c r="L17" s="349">
        <v>9818187.5750637781</v>
      </c>
      <c r="M17" s="349">
        <v>11370959.104380071</v>
      </c>
      <c r="N17" s="450">
        <v>11413162.851757646</v>
      </c>
    </row>
    <row r="18" spans="1:15" ht="14.65" thickBot="1" x14ac:dyDescent="0.5">
      <c r="D18" s="90" t="s">
        <v>95</v>
      </c>
      <c r="E18" s="587"/>
      <c r="F18" s="318">
        <v>0</v>
      </c>
      <c r="G18" s="318">
        <v>0</v>
      </c>
      <c r="H18" s="318">
        <v>0</v>
      </c>
      <c r="I18" s="467">
        <v>0</v>
      </c>
      <c r="J18" s="468">
        <v>635584.92210511921</v>
      </c>
      <c r="K18" s="318">
        <v>652266.1568958048</v>
      </c>
      <c r="L18" s="318">
        <v>669232.47698428109</v>
      </c>
      <c r="M18" s="318">
        <v>679056.1715496718</v>
      </c>
      <c r="N18" s="467">
        <v>701225.15483194636</v>
      </c>
      <c r="O18" s="986" t="s">
        <v>950</v>
      </c>
    </row>
    <row r="19" spans="1:15" ht="11.25" customHeight="1" thickBot="1" x14ac:dyDescent="0.35">
      <c r="D19" s="254" t="s">
        <v>227</v>
      </c>
      <c r="E19" s="252">
        <f>SUM(E12:E18)</f>
        <v>0</v>
      </c>
      <c r="F19" s="252">
        <f t="shared" ref="F19:M19" si="3">SUM(F12:F18)</f>
        <v>94435646.318902075</v>
      </c>
      <c r="G19" s="252">
        <f t="shared" si="3"/>
        <v>73316067.873442486</v>
      </c>
      <c r="H19" s="252">
        <f t="shared" si="3"/>
        <v>72096304.304272726</v>
      </c>
      <c r="I19" s="252">
        <f t="shared" si="3"/>
        <v>72352588.459241107</v>
      </c>
      <c r="J19" s="252">
        <f t="shared" si="3"/>
        <v>81607591.039139673</v>
      </c>
      <c r="K19" s="252">
        <f t="shared" si="3"/>
        <v>82476452.423404172</v>
      </c>
      <c r="L19" s="252">
        <f t="shared" si="3"/>
        <v>82557722.186127499</v>
      </c>
      <c r="M19" s="252">
        <f t="shared" si="3"/>
        <v>84206531.390962437</v>
      </c>
      <c r="N19" s="253">
        <f>SUM(N12:N18)</f>
        <v>84490640.772277281</v>
      </c>
    </row>
    <row r="20" spans="1:15" ht="11.25" customHeight="1" x14ac:dyDescent="0.3">
      <c r="H20" s="45" t="s">
        <v>198</v>
      </c>
    </row>
    <row r="21" spans="1:15" ht="12.75" x14ac:dyDescent="0.3">
      <c r="D21" s="6" t="s">
        <v>936</v>
      </c>
      <c r="E21" s="6"/>
      <c r="F21" s="6"/>
      <c r="G21" s="6"/>
      <c r="H21" s="115">
        <v>72096304.304272726</v>
      </c>
      <c r="I21" s="348">
        <v>72352588.459241107</v>
      </c>
      <c r="J21" s="117">
        <v>81607591.039139673</v>
      </c>
      <c r="K21" s="115">
        <v>82476452.423404187</v>
      </c>
      <c r="L21" s="115">
        <v>82557722.186127469</v>
      </c>
      <c r="M21" s="115">
        <v>84206531.390962437</v>
      </c>
      <c r="N21" s="115">
        <v>84490640.772277281</v>
      </c>
    </row>
    <row r="22" spans="1:15" ht="12.75" x14ac:dyDescent="0.3">
      <c r="D22" s="6" t="s">
        <v>200</v>
      </c>
      <c r="E22" s="6"/>
      <c r="F22" s="6"/>
      <c r="G22" s="6"/>
      <c r="H22" s="387">
        <f>'WkB_1_3.2.1'!E48</f>
        <v>72096304.304272711</v>
      </c>
      <c r="I22" s="387">
        <f>'WkB_1_3.2.1'!F48</f>
        <v>72352588.459241092</v>
      </c>
      <c r="J22" s="388">
        <f>'WkB_1_3.2.1'!G48</f>
        <v>81607591.039139658</v>
      </c>
      <c r="K22" s="118">
        <f>'WkB_1_3.2.1'!H48</f>
        <v>82476452.423404187</v>
      </c>
      <c r="L22" s="118">
        <f>'WkB_1_3.2.1'!I48</f>
        <v>82557722.186127469</v>
      </c>
      <c r="M22" s="118">
        <f>'WkB_1_3.2.1'!J48</f>
        <v>84206531.390962437</v>
      </c>
      <c r="N22" s="118">
        <f>'WkB_1_3.2.1'!K48</f>
        <v>84490640.772277281</v>
      </c>
      <c r="O22" s="6"/>
    </row>
    <row r="23" spans="1:15" ht="12.75" x14ac:dyDescent="0.3">
      <c r="A23" s="41">
        <f>IF(SUM($H23:$N23)&gt;0,1,0)</f>
        <v>0</v>
      </c>
      <c r="D23" s="6" t="s">
        <v>84</v>
      </c>
      <c r="E23" s="6"/>
      <c r="F23" s="6"/>
      <c r="G23" s="6"/>
      <c r="H23" s="62">
        <f>IF(OR(ROUND(H19-H21,3)&lt;&gt;0,ROUND(H19-H22,3)&lt;&gt;0),1,0)</f>
        <v>0</v>
      </c>
      <c r="I23" s="62">
        <f t="shared" ref="I23:N23" si="4">IF(OR(ROUND(I19-I21,3)&lt;&gt;0,ROUND(I19-I22,3)&lt;&gt;0),1,0)</f>
        <v>0</v>
      </c>
      <c r="J23" s="62">
        <f t="shared" si="4"/>
        <v>0</v>
      </c>
      <c r="K23" s="62">
        <f t="shared" si="4"/>
        <v>0</v>
      </c>
      <c r="L23" s="62">
        <f t="shared" si="4"/>
        <v>0</v>
      </c>
      <c r="M23" s="62">
        <f t="shared" si="4"/>
        <v>0</v>
      </c>
      <c r="N23" s="62">
        <f t="shared" si="4"/>
        <v>0</v>
      </c>
    </row>
    <row r="24" spans="1:15" x14ac:dyDescent="0.3">
      <c r="H24" s="45" t="s">
        <v>198</v>
      </c>
    </row>
    <row r="25" spans="1:15" ht="12.75" x14ac:dyDescent="0.3">
      <c r="D25" s="6" t="s">
        <v>818</v>
      </c>
    </row>
    <row r="26" spans="1:15" ht="11.25" customHeight="1" x14ac:dyDescent="0.3"/>
    <row r="27" spans="1:15" s="7" customFormat="1" ht="13.9" x14ac:dyDescent="0.3">
      <c r="C27" s="7" t="s">
        <v>197</v>
      </c>
    </row>
    <row r="28" spans="1:15" ht="11.25" customHeight="1" thickBot="1" x14ac:dyDescent="0.35"/>
    <row r="29" spans="1:15" ht="26.65" customHeight="1" thickBot="1" x14ac:dyDescent="0.35">
      <c r="D29"/>
      <c r="E29" s="422" t="s">
        <v>111</v>
      </c>
      <c r="F29" s="423"/>
      <c r="G29" s="423"/>
      <c r="H29" s="423"/>
      <c r="I29" s="423"/>
      <c r="J29" s="423"/>
      <c r="K29" s="423"/>
      <c r="L29" s="423"/>
      <c r="M29" s="423"/>
      <c r="N29" s="424"/>
    </row>
    <row r="30" spans="1:15" ht="13.5" thickBot="1" x14ac:dyDescent="0.35">
      <c r="D30"/>
      <c r="E30" s="594" t="str">
        <f>LEFT(F30,4)-1&amp;"-"&amp;RIGHT(F30,2)-1</f>
        <v>2019-20</v>
      </c>
      <c r="F30" s="595" t="str">
        <f>LEFT(G30,4)-1&amp;"-"&amp;RIGHT(G30,2)-1</f>
        <v>2020-21</v>
      </c>
      <c r="G30" s="595" t="str">
        <f>LEFT(H30,4)-1&amp;"-"&amp;RIGHT(H30,2)-1</f>
        <v>2021-22</v>
      </c>
      <c r="H30" s="595" t="str">
        <f>'WkB_1_2.1.1'!$E$10</f>
        <v>2022-23</v>
      </c>
      <c r="I30" s="596" t="str">
        <f>'WkB_1_2.1.1'!$F$10</f>
        <v>2023-24</v>
      </c>
      <c r="J30" s="419" t="str">
        <f>'WkB_1_2.1.1'!$G$10</f>
        <v>2024-25</v>
      </c>
      <c r="K30" s="420" t="str">
        <f>'WkB_1_2.1.1'!$H$10</f>
        <v>2025-26</v>
      </c>
      <c r="L30" s="420" t="str">
        <f>'WkB_1_2.1.1'!$I$10</f>
        <v>2026-27</v>
      </c>
      <c r="M30" s="420" t="str">
        <f>'WkB_1_2.1.1'!$J$10</f>
        <v>2027-28</v>
      </c>
      <c r="N30" s="421" t="str">
        <f>'WkB_1_2.1.1'!$K$10</f>
        <v>2028-29</v>
      </c>
    </row>
    <row r="31" spans="1:15" ht="12.75" x14ac:dyDescent="0.3">
      <c r="D31" s="131" t="s">
        <v>92</v>
      </c>
      <c r="E31" s="134"/>
      <c r="F31" s="135"/>
      <c r="G31" s="135"/>
      <c r="H31" s="136">
        <v>-2.1720173281426249E-2</v>
      </c>
      <c r="I31" s="136">
        <v>-1.3915038966973484E-3</v>
      </c>
      <c r="J31" s="136">
        <v>1.0060137153808053E-2</v>
      </c>
      <c r="K31" s="136">
        <v>8.8565956437632234E-3</v>
      </c>
      <c r="L31" s="136">
        <v>4.2570318610713987E-3</v>
      </c>
      <c r="M31" s="136">
        <v>2.5462410874028825E-3</v>
      </c>
      <c r="N31" s="137">
        <v>4.435120807821792E-3</v>
      </c>
    </row>
    <row r="32" spans="1:15" ht="12.75" x14ac:dyDescent="0.3">
      <c r="D32" s="132" t="s">
        <v>93</v>
      </c>
      <c r="E32" s="138"/>
      <c r="F32" s="139"/>
      <c r="G32" s="139"/>
      <c r="H32" s="140">
        <v>4.3515896580555886E-3</v>
      </c>
      <c r="I32" s="140">
        <v>4.5814939923978946E-3</v>
      </c>
      <c r="J32" s="140">
        <v>-8.6352220922856597E-3</v>
      </c>
      <c r="K32" s="140">
        <v>3.7396189089638101E-3</v>
      </c>
      <c r="L32" s="140">
        <v>3.774301904068932E-3</v>
      </c>
      <c r="M32" s="140">
        <v>3.6717949269987949E-3</v>
      </c>
      <c r="N32" s="141">
        <v>3.6344664212472296E-3</v>
      </c>
    </row>
    <row r="33" spans="2:14" ht="13.15" thickBot="1" x14ac:dyDescent="0.35">
      <c r="D33" s="133" t="s">
        <v>94</v>
      </c>
      <c r="E33" s="142"/>
      <c r="F33" s="143"/>
      <c r="G33" s="143"/>
      <c r="H33" s="144">
        <v>-5.0000000000000001E-3</v>
      </c>
      <c r="I33" s="144">
        <v>-5.0000000000000001E-3</v>
      </c>
      <c r="J33" s="144">
        <v>-5.0000000000000001E-3</v>
      </c>
      <c r="K33" s="144">
        <v>-5.0000000000000001E-3</v>
      </c>
      <c r="L33" s="144">
        <v>-5.0000000000000001E-3</v>
      </c>
      <c r="M33" s="144">
        <v>-5.0000000000000001E-3</v>
      </c>
      <c r="N33" s="145">
        <v>-5.0000000000000001E-3</v>
      </c>
    </row>
    <row r="34" spans="2:14" ht="11.25" customHeight="1" thickBot="1" x14ac:dyDescent="0.35"/>
    <row r="35" spans="2:14" ht="28.15" customHeight="1" thickBot="1" x14ac:dyDescent="0.35">
      <c r="D35"/>
      <c r="E35" s="422" t="s">
        <v>112</v>
      </c>
      <c r="F35" s="423"/>
      <c r="G35" s="423"/>
      <c r="H35" s="423"/>
      <c r="I35" s="423"/>
      <c r="J35" s="423"/>
      <c r="K35" s="423"/>
      <c r="L35" s="423"/>
      <c r="M35" s="423"/>
      <c r="N35" s="424"/>
    </row>
    <row r="36" spans="2:14" ht="13.5" thickBot="1" x14ac:dyDescent="0.35">
      <c r="D36"/>
      <c r="E36" s="594" t="str">
        <f>LEFT(F36,4)-1&amp;"-"&amp;RIGHT(F36,2)-1</f>
        <v>2019-20</v>
      </c>
      <c r="F36" s="595" t="str">
        <f>LEFT(G36,4)-1&amp;"-"&amp;RIGHT(G36,2)-1</f>
        <v>2020-21</v>
      </c>
      <c r="G36" s="595" t="str">
        <f>LEFT(H36,4)-1&amp;"-"&amp;RIGHT(H36,2)-1</f>
        <v>2021-22</v>
      </c>
      <c r="H36" s="595" t="str">
        <f>'WkB_1_2.1.1'!$E$10</f>
        <v>2022-23</v>
      </c>
      <c r="I36" s="596" t="str">
        <f>'WkB_1_2.1.1'!$F$10</f>
        <v>2023-24</v>
      </c>
      <c r="J36" s="419" t="str">
        <f>'WkB_1_2.1.1'!$G$10</f>
        <v>2024-25</v>
      </c>
      <c r="K36" s="420" t="str">
        <f>'WkB_1_2.1.1'!$H$10</f>
        <v>2025-26</v>
      </c>
      <c r="L36" s="420" t="str">
        <f>'WkB_1_2.1.1'!$I$10</f>
        <v>2026-27</v>
      </c>
      <c r="M36" s="420" t="str">
        <f>'WkB_1_2.1.1'!$J$10</f>
        <v>2027-28</v>
      </c>
      <c r="N36" s="421" t="str">
        <f>'WkB_1_2.1.1'!$K$10</f>
        <v>2028-29</v>
      </c>
    </row>
    <row r="37" spans="2:14" ht="12.75" x14ac:dyDescent="0.3">
      <c r="D37" s="131" t="s">
        <v>92</v>
      </c>
      <c r="E37" s="134"/>
      <c r="F37" s="135"/>
      <c r="G37" s="146">
        <v>1</v>
      </c>
      <c r="H37" s="147">
        <f t="shared" ref="H37:I39" si="5">G37*(1+H31)</f>
        <v>0.97827982671857372</v>
      </c>
      <c r="I37" s="147">
        <f t="shared" si="5"/>
        <v>0.97691854652763432</v>
      </c>
      <c r="J37" s="147">
        <f>I37*(1+J31)</f>
        <v>0.98674648109380114</v>
      </c>
      <c r="K37" s="147">
        <f t="shared" ref="K37:N37" si="6">J37*(1+K31)</f>
        <v>0.9954856956797552</v>
      </c>
      <c r="L37" s="147">
        <f t="shared" si="6"/>
        <v>0.99972351000350468</v>
      </c>
      <c r="M37" s="147">
        <f t="shared" si="6"/>
        <v>1.0022690470807183</v>
      </c>
      <c r="N37" s="148">
        <f t="shared" si="6"/>
        <v>1.0067142313864617</v>
      </c>
    </row>
    <row r="38" spans="2:14" ht="12.75" x14ac:dyDescent="0.3">
      <c r="D38" s="132" t="s">
        <v>93</v>
      </c>
      <c r="E38" s="138"/>
      <c r="F38" s="139"/>
      <c r="G38" s="149">
        <v>1</v>
      </c>
      <c r="H38" s="150">
        <f t="shared" si="5"/>
        <v>1.0043515896580555</v>
      </c>
      <c r="I38" s="150">
        <f t="shared" si="5"/>
        <v>1.0089530204323292</v>
      </c>
      <c r="J38" s="150">
        <f t="shared" ref="J38:N38" si="7">I38*(1+J32)</f>
        <v>1.0002404870202135</v>
      </c>
      <c r="K38" s="150">
        <f t="shared" si="7"/>
        <v>1.0039810052589855</v>
      </c>
      <c r="L38" s="150">
        <f t="shared" si="7"/>
        <v>1.0077703326787837</v>
      </c>
      <c r="M38" s="150">
        <f t="shared" si="7"/>
        <v>1.0114706586738935</v>
      </c>
      <c r="N38" s="151">
        <f t="shared" si="7"/>
        <v>1.0151468148189207</v>
      </c>
    </row>
    <row r="39" spans="2:14" ht="13.15" thickBot="1" x14ac:dyDescent="0.35">
      <c r="D39" s="133" t="s">
        <v>94</v>
      </c>
      <c r="E39" s="142"/>
      <c r="F39" s="143"/>
      <c r="G39" s="152">
        <v>1</v>
      </c>
      <c r="H39" s="153">
        <f t="shared" si="5"/>
        <v>0.995</v>
      </c>
      <c r="I39" s="153">
        <f t="shared" si="5"/>
        <v>0.99002500000000004</v>
      </c>
      <c r="J39" s="153">
        <f t="shared" ref="J39:N39" si="8">I39*(1+J33)</f>
        <v>0.98507487500000002</v>
      </c>
      <c r="K39" s="153">
        <f t="shared" si="8"/>
        <v>0.98014950062500006</v>
      </c>
      <c r="L39" s="153">
        <f t="shared" si="8"/>
        <v>0.97524875312187509</v>
      </c>
      <c r="M39" s="153">
        <f t="shared" si="8"/>
        <v>0.97037250935626573</v>
      </c>
      <c r="N39" s="154">
        <f t="shared" si="8"/>
        <v>0.96552064680948435</v>
      </c>
    </row>
    <row r="40" spans="2:14" ht="11.25" customHeight="1" thickBot="1" x14ac:dyDescent="0.35"/>
    <row r="41" spans="2:14" ht="12.75" x14ac:dyDescent="0.3">
      <c r="D41" s="131" t="s">
        <v>724</v>
      </c>
      <c r="E41" s="134"/>
      <c r="F41" s="135"/>
      <c r="G41" s="135"/>
      <c r="H41" s="136">
        <v>-2.237578540026941E-2</v>
      </c>
      <c r="I41" s="136">
        <v>-2.4167089323980817E-2</v>
      </c>
      <c r="J41" s="136">
        <v>-2.7747075486887152E-2</v>
      </c>
      <c r="K41" s="136">
        <v>-2.0390826910177795E-2</v>
      </c>
      <c r="L41" s="136">
        <v>-1.7444981389331815E-2</v>
      </c>
      <c r="M41" s="136">
        <v>-1.6269601556700541E-2</v>
      </c>
      <c r="N41" s="137">
        <v>-1.3273869022207951E-2</v>
      </c>
    </row>
    <row r="42" spans="2:14" ht="13.15" thickBot="1" x14ac:dyDescent="0.35">
      <c r="D42" s="133" t="s">
        <v>725</v>
      </c>
      <c r="E42" s="142"/>
      <c r="F42" s="143"/>
      <c r="G42" s="152">
        <v>1</v>
      </c>
      <c r="H42" s="153">
        <f>$G42*(1+H41)</f>
        <v>0.97762421459973059</v>
      </c>
      <c r="I42" s="153">
        <f t="shared" ref="I42:N42" si="9">$G42*(1+I41)</f>
        <v>0.97583291067601918</v>
      </c>
      <c r="J42" s="153">
        <f t="shared" si="9"/>
        <v>0.97225292451311285</v>
      </c>
      <c r="K42" s="153">
        <f t="shared" si="9"/>
        <v>0.9796091730898222</v>
      </c>
      <c r="L42" s="153">
        <f t="shared" si="9"/>
        <v>0.98255501861066818</v>
      </c>
      <c r="M42" s="153">
        <f t="shared" si="9"/>
        <v>0.98373039844329946</v>
      </c>
      <c r="N42" s="154">
        <f t="shared" si="9"/>
        <v>0.98672613097779205</v>
      </c>
    </row>
    <row r="43" spans="2:14" ht="11.25" customHeight="1" x14ac:dyDescent="0.3"/>
    <row r="44" spans="2:14" s="46" customFormat="1" ht="15" x14ac:dyDescent="0.3">
      <c r="B44" s="46" t="s">
        <v>16</v>
      </c>
    </row>
  </sheetData>
  <conditionalFormatting sqref="B3">
    <cfRule type="cellIs" dxfId="494" priority="56" operator="notEqual">
      <formula>"No Errors Found"</formula>
    </cfRule>
  </conditionalFormatting>
  <conditionalFormatting sqref="N31:N33">
    <cfRule type="expression" dxfId="493" priority="20">
      <formula>(dms_FRCPlength_Num)&lt;5</formula>
    </cfRule>
  </conditionalFormatting>
  <conditionalFormatting sqref="I37:I39">
    <cfRule type="expression" dxfId="492" priority="19" stopIfTrue="1">
      <formula>dms_BaseStepTrend="No"</formula>
    </cfRule>
  </conditionalFormatting>
  <conditionalFormatting sqref="L12:L18">
    <cfRule type="expression" dxfId="491" priority="10" stopIfTrue="1">
      <formula>(dms_FRCPlength_Num)&lt;3</formula>
    </cfRule>
  </conditionalFormatting>
  <conditionalFormatting sqref="M12:M18">
    <cfRule type="expression" dxfId="490" priority="9" stopIfTrue="1">
      <formula>(dms_FRCPlength_Num)&lt;4</formula>
    </cfRule>
  </conditionalFormatting>
  <conditionalFormatting sqref="N12:N18">
    <cfRule type="expression" dxfId="489" priority="8" stopIfTrue="1">
      <formula>(dms_FRCPlength_Num)&lt;5</formula>
    </cfRule>
  </conditionalFormatting>
  <conditionalFormatting sqref="F18:I18 J12:N18 F12:I12 I13:N13">
    <cfRule type="expression" dxfId="488" priority="4">
      <formula>AND(dms_BaseStepTrend="Yes",dms_BaseYear_Choice=2020-21)</formula>
    </cfRule>
  </conditionalFormatting>
  <conditionalFormatting sqref="I13 G18:I18 F12:I12 J12:N18">
    <cfRule type="expression" dxfId="487" priority="5">
      <formula>AND(dms_BaseStepTrend="Yes",dms_BaseYear_Choice=2021-22)</formula>
    </cfRule>
  </conditionalFormatting>
  <conditionalFormatting sqref="H18:I18 I13 F12:I12 J12:N18">
    <cfRule type="expression" dxfId="486" priority="6">
      <formula>AND(dms_BaseStepTrend="Yes",dms_BaseYear_Choice=2022-23)</formula>
    </cfRule>
  </conditionalFormatting>
  <conditionalFormatting sqref="I12:I13 I18 F12:I12 J12:N18">
    <cfRule type="expression" dxfId="485" priority="7">
      <formula>AND(dms_BaseStepTrend="Yes",dms_BaseYear_Choice=2023-24)</formula>
    </cfRule>
  </conditionalFormatting>
  <conditionalFormatting sqref="G37:G39">
    <cfRule type="expression" dxfId="484" priority="3" stopIfTrue="1">
      <formula>dms_BaseStepTrend="No"</formula>
    </cfRule>
  </conditionalFormatting>
  <conditionalFormatting sqref="I42">
    <cfRule type="expression" dxfId="483" priority="2" stopIfTrue="1">
      <formula>dms_BaseStepTrend="No"</formula>
    </cfRule>
  </conditionalFormatting>
  <conditionalFormatting sqref="G42">
    <cfRule type="expression" dxfId="482" priority="1" stopIfTrue="1">
      <formula>dms_BaseStepTrend="No"</formula>
    </cfRule>
  </conditionalFormatting>
  <dataValidations count="1">
    <dataValidation allowBlank="1" showInputMessage="1" showErrorMessage="1" sqref="E12:N19" xr:uid="{60151EF9-EDEA-419A-8184-E576E077017C}"/>
  </dataValidations>
  <hyperlinks>
    <hyperlink ref="B2:E2" location="TOC!A1" display="TOC!A1" xr:uid="{3A073658-F365-430B-AEBE-05B787C00CE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8300-BA8D-47CF-971B-66A4FFF97391}">
  <sheetPr codeName="Sheet28">
    <tabColor theme="4" tint="0.79998168889431442"/>
  </sheetPr>
  <dimension ref="A1:L31"/>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5" width="56.33203125" style="45" customWidth="1"/>
    <col min="6" max="12" width="15.6640625" style="45" customWidth="1"/>
    <col min="13" max="32" width="10.6640625" style="45" customWidth="1"/>
    <col min="33" max="16384" width="9.33203125" style="45"/>
  </cols>
  <sheetData>
    <row r="1" spans="1:12" ht="18.75" x14ac:dyDescent="0.3">
      <c r="A1" s="41">
        <f>IF(SUM($A3:$A31)&gt;0,1,0)</f>
        <v>0</v>
      </c>
      <c r="B1" s="3" t="s">
        <v>1101</v>
      </c>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tr">
        <f>'WkB_1_2.1.1'!$C$6</f>
        <v>Output - RIN template</v>
      </c>
    </row>
    <row r="7" spans="1:12" ht="11.25" customHeight="1" x14ac:dyDescent="0.3"/>
    <row r="8" spans="1:12" ht="18.399999999999999" thickBot="1" x14ac:dyDescent="0.55000000000000004">
      <c r="D8" s="48" t="s">
        <v>467</v>
      </c>
      <c r="E8" s="48"/>
      <c r="F8" s="49"/>
      <c r="G8" s="49"/>
      <c r="H8" s="49"/>
      <c r="I8" s="49"/>
      <c r="J8" s="49"/>
      <c r="K8" s="49"/>
      <c r="L8" s="49"/>
    </row>
    <row r="9" spans="1:12" ht="28.15" customHeight="1" thickBot="1" x14ac:dyDescent="0.35">
      <c r="D9"/>
      <c r="E9"/>
      <c r="F9" s="422" t="str">
        <f>'WkB_1_2.1.1'!$E$9</f>
        <v>Forecast 
($0's. real June 2024)</v>
      </c>
      <c r="G9" s="423"/>
      <c r="H9" s="423"/>
      <c r="I9" s="423"/>
      <c r="J9" s="423"/>
      <c r="K9" s="423"/>
      <c r="L9" s="424"/>
    </row>
    <row r="10" spans="1:12" ht="18.600000000000001" customHeight="1" thickBot="1" x14ac:dyDescent="0.35">
      <c r="D10" s="399" t="s">
        <v>191</v>
      </c>
      <c r="E10" s="400" t="s">
        <v>192</v>
      </c>
      <c r="F10" s="417" t="str">
        <f>'WkB_1_2.1.1'!$E$10</f>
        <v>2022-23</v>
      </c>
      <c r="G10" s="418" t="str">
        <f>'WkB_1_2.1.1'!$F$10</f>
        <v>2023-24</v>
      </c>
      <c r="H10" s="419" t="str">
        <f>'WkB_1_2.1.1'!$G$10</f>
        <v>2024-25</v>
      </c>
      <c r="I10" s="420" t="str">
        <f>'WkB_1_2.1.1'!$H$10</f>
        <v>2025-26</v>
      </c>
      <c r="J10" s="420" t="str">
        <f>'WkB_1_2.1.1'!$I$10</f>
        <v>2026-27</v>
      </c>
      <c r="K10" s="420" t="str">
        <f>'WkB_1_2.1.1'!$J$10</f>
        <v>2027-28</v>
      </c>
      <c r="L10" s="421" t="str">
        <f>'WkB_1_2.1.1'!$K$10</f>
        <v>2028-29</v>
      </c>
    </row>
    <row r="11" spans="1:12" ht="14.25" x14ac:dyDescent="0.45">
      <c r="D11" s="91" t="s">
        <v>1126</v>
      </c>
      <c r="E11" s="395"/>
      <c r="F11" s="55"/>
      <c r="G11" s="56"/>
      <c r="H11" s="55">
        <v>743397.84224605653</v>
      </c>
      <c r="I11" s="57">
        <v>924773.50493553397</v>
      </c>
      <c r="J11" s="57">
        <v>924773.50493553397</v>
      </c>
      <c r="K11" s="57">
        <v>924773.50493553397</v>
      </c>
      <c r="L11" s="56">
        <v>924773.50493553397</v>
      </c>
    </row>
    <row r="12" spans="1:12" ht="14.25" x14ac:dyDescent="0.45">
      <c r="D12" s="92" t="s">
        <v>1127</v>
      </c>
      <c r="E12" s="396"/>
      <c r="F12" s="55"/>
      <c r="G12" s="56"/>
      <c r="H12" s="55">
        <v>712423.12059054617</v>
      </c>
      <c r="I12" s="57">
        <v>838154.05107879743</v>
      </c>
      <c r="J12" s="57">
        <v>970171.52809146198</v>
      </c>
      <c r="K12" s="57">
        <v>1108789.8789547596</v>
      </c>
      <c r="L12" s="56">
        <v>1254339.1473612224</v>
      </c>
    </row>
    <row r="13" spans="1:12" ht="14.25" x14ac:dyDescent="0.45">
      <c r="D13" s="93" t="s">
        <v>1128</v>
      </c>
      <c r="E13" s="397"/>
      <c r="F13" s="55"/>
      <c r="G13" s="56"/>
      <c r="H13" s="55">
        <v>780082.02342806803</v>
      </c>
      <c r="I13" s="57">
        <v>785575.55880432203</v>
      </c>
      <c r="J13" s="57">
        <v>791069.09418057615</v>
      </c>
      <c r="K13" s="57">
        <v>796562.62955683016</v>
      </c>
      <c r="L13" s="56">
        <v>802056.16493308404</v>
      </c>
    </row>
    <row r="14" spans="1:12" ht="14.25" x14ac:dyDescent="0.45">
      <c r="D14" s="93" t="s">
        <v>1129</v>
      </c>
      <c r="E14" s="397"/>
      <c r="F14" s="55"/>
      <c r="G14" s="56"/>
      <c r="H14" s="55">
        <v>2289334.5463017859</v>
      </c>
      <c r="I14" s="57">
        <v>2038258.8892517858</v>
      </c>
      <c r="J14" s="57">
        <v>3163077.832835786</v>
      </c>
      <c r="K14" s="57">
        <v>3258063.7816825295</v>
      </c>
      <c r="L14" s="56">
        <v>3400300.3823273862</v>
      </c>
    </row>
    <row r="15" spans="1:12" ht="14.25" x14ac:dyDescent="0.45">
      <c r="D15" s="93" t="s">
        <v>1130</v>
      </c>
      <c r="E15" s="397"/>
      <c r="F15" s="55"/>
      <c r="G15" s="56"/>
      <c r="H15" s="55">
        <v>1132676.3334463199</v>
      </c>
      <c r="I15" s="57">
        <v>1383751.99049632</v>
      </c>
      <c r="J15" s="57">
        <v>1132676.3334463199</v>
      </c>
      <c r="K15" s="57">
        <v>1283321.7276763201</v>
      </c>
      <c r="L15" s="56">
        <v>1032246.0706263199</v>
      </c>
    </row>
    <row r="16" spans="1:12" ht="14.65" thickBot="1" x14ac:dyDescent="0.5">
      <c r="D16" s="93" t="s">
        <v>1131</v>
      </c>
      <c r="E16" s="397"/>
      <c r="F16" s="55"/>
      <c r="G16" s="56"/>
      <c r="H16" s="55">
        <v>3999447.5815740996</v>
      </c>
      <c r="I16" s="57">
        <v>3999447.5815740996</v>
      </c>
      <c r="J16" s="57">
        <v>2836419.2815740998</v>
      </c>
      <c r="K16" s="57">
        <v>3999447.5815740996</v>
      </c>
      <c r="L16" s="56">
        <v>3999447.5815740996</v>
      </c>
    </row>
    <row r="17" spans="1:12" ht="14.25" hidden="1" outlineLevel="1" x14ac:dyDescent="0.45">
      <c r="D17" s="93"/>
      <c r="E17" s="397"/>
      <c r="F17" s="55"/>
      <c r="G17" s="56"/>
      <c r="H17" s="55"/>
      <c r="I17" s="57"/>
      <c r="J17" s="57"/>
      <c r="K17" s="57"/>
      <c r="L17" s="56"/>
    </row>
    <row r="18" spans="1:12" ht="14.25" hidden="1" outlineLevel="1" x14ac:dyDescent="0.45">
      <c r="D18" s="93"/>
      <c r="E18" s="397"/>
      <c r="F18" s="55"/>
      <c r="G18" s="56"/>
      <c r="H18" s="55"/>
      <c r="I18" s="57"/>
      <c r="J18" s="57"/>
      <c r="K18" s="57"/>
      <c r="L18" s="56"/>
    </row>
    <row r="19" spans="1:12" ht="14.25" hidden="1" outlineLevel="1" x14ac:dyDescent="0.45">
      <c r="D19" s="93"/>
      <c r="E19" s="397"/>
      <c r="F19" s="55"/>
      <c r="G19" s="56"/>
      <c r="H19" s="55"/>
      <c r="I19" s="57"/>
      <c r="J19" s="57"/>
      <c r="K19" s="57"/>
      <c r="L19" s="56"/>
    </row>
    <row r="20" spans="1:12" ht="14.25" hidden="1" outlineLevel="1" x14ac:dyDescent="0.45">
      <c r="D20" s="94"/>
      <c r="E20" s="398"/>
      <c r="F20" s="55"/>
      <c r="G20" s="56"/>
      <c r="H20" s="55"/>
      <c r="I20" s="57"/>
      <c r="J20" s="57"/>
      <c r="K20" s="57"/>
      <c r="L20" s="56"/>
    </row>
    <row r="21" spans="1:12" ht="14.25" hidden="1" outlineLevel="1" x14ac:dyDescent="0.45">
      <c r="D21" s="94"/>
      <c r="E21" s="398"/>
      <c r="F21" s="55"/>
      <c r="G21" s="56"/>
      <c r="H21" s="55"/>
      <c r="I21" s="57"/>
      <c r="J21" s="57"/>
      <c r="K21" s="57"/>
      <c r="L21" s="56"/>
    </row>
    <row r="22" spans="1:12" ht="14.25" hidden="1" outlineLevel="1" x14ac:dyDescent="0.45">
      <c r="D22" s="94"/>
      <c r="E22" s="398"/>
      <c r="F22" s="55"/>
      <c r="G22" s="56"/>
      <c r="H22" s="55"/>
      <c r="I22" s="57"/>
      <c r="J22" s="57"/>
      <c r="K22" s="57"/>
      <c r="L22" s="56"/>
    </row>
    <row r="23" spans="1:12" ht="14.25" hidden="1" outlineLevel="1" x14ac:dyDescent="0.45">
      <c r="D23" s="94"/>
      <c r="E23" s="398"/>
      <c r="F23" s="55"/>
      <c r="G23" s="56"/>
      <c r="H23" s="55"/>
      <c r="I23" s="57"/>
      <c r="J23" s="57"/>
      <c r="K23" s="57"/>
      <c r="L23" s="56"/>
    </row>
    <row r="24" spans="1:12" ht="14.65" hidden="1" outlineLevel="1" thickBot="1" x14ac:dyDescent="0.5">
      <c r="D24" s="94"/>
      <c r="E24" s="398"/>
      <c r="F24" s="55"/>
      <c r="G24" s="56"/>
      <c r="H24" s="55"/>
      <c r="I24" s="57"/>
      <c r="J24" s="57"/>
      <c r="K24" s="57"/>
      <c r="L24" s="56"/>
    </row>
    <row r="25" spans="1:12" ht="13.5" collapsed="1" thickBot="1" x14ac:dyDescent="0.35">
      <c r="D25" s="58" t="s">
        <v>81</v>
      </c>
      <c r="E25" s="59"/>
      <c r="F25" s="59">
        <f t="shared" ref="F25:L25" si="0">SUM(F11:F24)</f>
        <v>0</v>
      </c>
      <c r="G25" s="59">
        <f t="shared" si="0"/>
        <v>0</v>
      </c>
      <c r="H25" s="59">
        <f t="shared" si="0"/>
        <v>9657361.4475868754</v>
      </c>
      <c r="I25" s="59">
        <f t="shared" si="0"/>
        <v>9969961.5761408582</v>
      </c>
      <c r="J25" s="59">
        <f t="shared" si="0"/>
        <v>9818187.5750637781</v>
      </c>
      <c r="K25" s="59">
        <f t="shared" si="0"/>
        <v>11370959.104380073</v>
      </c>
      <c r="L25" s="60">
        <f t="shared" si="0"/>
        <v>11413162.851757646</v>
      </c>
    </row>
    <row r="26" spans="1:12" ht="11.25" customHeight="1" x14ac:dyDescent="0.3"/>
    <row r="27" spans="1:12" ht="12.75" x14ac:dyDescent="0.3">
      <c r="D27" s="6" t="s">
        <v>83</v>
      </c>
      <c r="E27" s="6"/>
      <c r="F27" s="118">
        <f>WkB_1_2.16!H$17</f>
        <v>0</v>
      </c>
      <c r="G27" s="119">
        <f>WkB_1_2.16!I$17</f>
        <v>0</v>
      </c>
      <c r="H27" s="120">
        <f>WkB_1_2.16!J$17</f>
        <v>9657361.4475868754</v>
      </c>
      <c r="I27" s="118">
        <f>WkB_1_2.16!K$17</f>
        <v>9969961.5761408582</v>
      </c>
      <c r="J27" s="118">
        <f>WkB_1_2.16!L$17</f>
        <v>9818187.5750637781</v>
      </c>
      <c r="K27" s="118">
        <f>WkB_1_2.16!M$17</f>
        <v>11370959.104380071</v>
      </c>
      <c r="L27" s="118">
        <f>WkB_1_2.16!N$17</f>
        <v>11413162.851757646</v>
      </c>
    </row>
    <row r="28" spans="1:12" ht="12.75" x14ac:dyDescent="0.3">
      <c r="D28" s="6" t="s">
        <v>695</v>
      </c>
      <c r="F28" s="115">
        <v>0</v>
      </c>
      <c r="G28" s="116">
        <v>0</v>
      </c>
      <c r="H28" s="117">
        <v>9657361.4475868754</v>
      </c>
      <c r="I28" s="115">
        <v>9969961.5761408582</v>
      </c>
      <c r="J28" s="115">
        <v>9818187.5750637781</v>
      </c>
      <c r="K28" s="115">
        <v>11370959.104380073</v>
      </c>
      <c r="L28" s="115">
        <v>11413162.851757646</v>
      </c>
    </row>
    <row r="29" spans="1:12" ht="12.75" x14ac:dyDescent="0.3">
      <c r="A29" s="41">
        <f>IF(SUM($F29:$L29)&gt;0,1,0)</f>
        <v>0</v>
      </c>
      <c r="D29" s="6" t="s">
        <v>84</v>
      </c>
      <c r="E29" s="6"/>
      <c r="F29" s="62">
        <f>IF(OR(ROUND(F25-F27,3)&lt;&gt;0,ROUND(F25-F28,3)&lt;&gt;0),1,0)</f>
        <v>0</v>
      </c>
      <c r="G29" s="62">
        <f t="shared" ref="G29:L29" si="1">IF(OR(ROUND(G25-G27,3)&lt;&gt;0,ROUND(G25-G28,3)&lt;&gt;0),1,0)</f>
        <v>0</v>
      </c>
      <c r="H29" s="62">
        <f t="shared" si="1"/>
        <v>0</v>
      </c>
      <c r="I29" s="62">
        <f t="shared" si="1"/>
        <v>0</v>
      </c>
      <c r="J29" s="62">
        <f t="shared" si="1"/>
        <v>0</v>
      </c>
      <c r="K29" s="62">
        <f t="shared" si="1"/>
        <v>0</v>
      </c>
      <c r="L29" s="62">
        <f t="shared" si="1"/>
        <v>0</v>
      </c>
    </row>
    <row r="30" spans="1:12" ht="11.25" customHeight="1" x14ac:dyDescent="0.3"/>
    <row r="31" spans="1:12" s="46" customFormat="1" ht="15" x14ac:dyDescent="0.3">
      <c r="B31" s="46" t="s">
        <v>16</v>
      </c>
    </row>
  </sheetData>
  <conditionalFormatting sqref="B3">
    <cfRule type="cellIs" dxfId="481" priority="2" operator="notEqual">
      <formula>"No Errors Found"</formula>
    </cfRule>
  </conditionalFormatting>
  <conditionalFormatting sqref="L11:L24">
    <cfRule type="expression" dxfId="480" priority="1">
      <formula>(dms_FRCPlength_Num)&lt;5</formula>
    </cfRule>
  </conditionalFormatting>
  <hyperlinks>
    <hyperlink ref="B2:E2" location="TOC!A1" display="TOC!A1" xr:uid="{A9AAE159-CB1A-4389-8B5F-DFFDE3BB4978}"/>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77CD-AE90-4075-8F9C-157A8E81A727}">
  <sheetPr codeName="Sheet29">
    <tabColor theme="4" tint="0.79998168889431442"/>
  </sheetPr>
  <dimension ref="A1:K53"/>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6.83203125" style="45" customWidth="1"/>
    <col min="5" max="11" width="15.6640625" style="45" customWidth="1"/>
    <col min="12" max="31" width="10.6640625" style="45" customWidth="1"/>
    <col min="32" max="16384" width="9.33203125" style="45"/>
  </cols>
  <sheetData>
    <row r="1" spans="1:11" ht="18.75" x14ac:dyDescent="0.3">
      <c r="A1" s="41">
        <f>IF(SUM($A3:$A53)&gt;0,1,0)</f>
        <v>0</v>
      </c>
      <c r="B1" s="3" t="s">
        <v>1102</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468</v>
      </c>
      <c r="E8" s="49"/>
      <c r="F8" s="49"/>
      <c r="G8" s="49"/>
      <c r="H8" s="49"/>
      <c r="I8" s="49"/>
      <c r="J8" s="49"/>
      <c r="K8" s="49"/>
    </row>
    <row r="9" spans="1:11" ht="28.15" customHeight="1" thickBot="1" x14ac:dyDescent="0.35">
      <c r="D9"/>
      <c r="E9" s="422" t="str">
        <f>'WkB_1_2.1.1'!$E$9</f>
        <v>Forecast 
($0's. real June 2024)</v>
      </c>
      <c r="F9" s="423"/>
      <c r="G9" s="423"/>
      <c r="H9" s="423"/>
      <c r="I9" s="423"/>
      <c r="J9" s="423"/>
      <c r="K9" s="424"/>
    </row>
    <row r="10" spans="1:11" ht="18.600000000000001" customHeight="1"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322"/>
      <c r="E11" s="51"/>
      <c r="F11" s="52"/>
      <c r="G11" s="51"/>
      <c r="H11" s="53"/>
      <c r="I11" s="53"/>
      <c r="J11" s="53"/>
      <c r="K11" s="52"/>
    </row>
    <row r="12" spans="1:11" ht="14.25" x14ac:dyDescent="0.45">
      <c r="D12" s="323"/>
      <c r="E12" s="55"/>
      <c r="F12" s="56"/>
      <c r="G12" s="55"/>
      <c r="H12" s="57"/>
      <c r="I12" s="57"/>
      <c r="J12" s="57"/>
      <c r="K12" s="56"/>
    </row>
    <row r="13" spans="1:11" ht="14.25" x14ac:dyDescent="0.45">
      <c r="D13" s="323"/>
      <c r="E13" s="55"/>
      <c r="F13" s="56"/>
      <c r="G13" s="55"/>
      <c r="H13" s="57"/>
      <c r="I13" s="57"/>
      <c r="J13" s="57"/>
      <c r="K13" s="56"/>
    </row>
    <row r="14" spans="1:11" ht="14.25" x14ac:dyDescent="0.45">
      <c r="D14" s="323"/>
      <c r="E14" s="55"/>
      <c r="F14" s="56"/>
      <c r="G14" s="55"/>
      <c r="H14" s="57"/>
      <c r="I14" s="57"/>
      <c r="J14" s="57"/>
      <c r="K14" s="56"/>
    </row>
    <row r="15" spans="1:11" ht="14.25" x14ac:dyDescent="0.45">
      <c r="D15" s="323"/>
      <c r="E15" s="55"/>
      <c r="F15" s="56"/>
      <c r="G15" s="55"/>
      <c r="H15" s="57"/>
      <c r="I15" s="57"/>
      <c r="J15" s="57"/>
      <c r="K15" s="56"/>
    </row>
    <row r="16" spans="1:11" ht="14.25" x14ac:dyDescent="0.45">
      <c r="D16" s="323"/>
      <c r="E16" s="55"/>
      <c r="F16" s="56"/>
      <c r="G16" s="55"/>
      <c r="H16" s="57"/>
      <c r="I16" s="57"/>
      <c r="J16" s="57"/>
      <c r="K16" s="56"/>
    </row>
    <row r="17" spans="1:11" ht="14.25" x14ac:dyDescent="0.45">
      <c r="D17" s="323"/>
      <c r="E17" s="55"/>
      <c r="F17" s="56"/>
      <c r="G17" s="55"/>
      <c r="H17" s="57"/>
      <c r="I17" s="57"/>
      <c r="J17" s="57"/>
      <c r="K17" s="56"/>
    </row>
    <row r="18" spans="1:11" ht="14.25" x14ac:dyDescent="0.45">
      <c r="D18" s="323"/>
      <c r="E18" s="55"/>
      <c r="F18" s="56"/>
      <c r="G18" s="55"/>
      <c r="H18" s="57"/>
      <c r="I18" s="57"/>
      <c r="J18" s="57"/>
      <c r="K18" s="56"/>
    </row>
    <row r="19" spans="1:11" ht="14.25" x14ac:dyDescent="0.45">
      <c r="D19" s="323"/>
      <c r="E19" s="55"/>
      <c r="F19" s="56"/>
      <c r="G19" s="55"/>
      <c r="H19" s="57"/>
      <c r="I19" s="57"/>
      <c r="J19" s="57"/>
      <c r="K19" s="56"/>
    </row>
    <row r="20" spans="1:11" ht="14.25" x14ac:dyDescent="0.45">
      <c r="D20" s="323"/>
      <c r="E20" s="55"/>
      <c r="F20" s="56"/>
      <c r="G20" s="55"/>
      <c r="H20" s="57"/>
      <c r="I20" s="57"/>
      <c r="J20" s="57"/>
      <c r="K20" s="56"/>
    </row>
    <row r="21" spans="1:11" ht="14.25" x14ac:dyDescent="0.45">
      <c r="D21" s="323"/>
      <c r="E21" s="55"/>
      <c r="F21" s="56"/>
      <c r="G21" s="55"/>
      <c r="H21" s="57"/>
      <c r="I21" s="57"/>
      <c r="J21" s="57"/>
      <c r="K21" s="56"/>
    </row>
    <row r="22" spans="1:11" ht="14.25" x14ac:dyDescent="0.45">
      <c r="D22" s="323"/>
      <c r="E22" s="55"/>
      <c r="F22" s="56"/>
      <c r="G22" s="55"/>
      <c r="H22" s="57"/>
      <c r="I22" s="57"/>
      <c r="J22" s="57"/>
      <c r="K22" s="56"/>
    </row>
    <row r="23" spans="1:11" ht="14.25" x14ac:dyDescent="0.45">
      <c r="D23" s="323"/>
      <c r="E23" s="55"/>
      <c r="F23" s="56"/>
      <c r="G23" s="55"/>
      <c r="H23" s="57"/>
      <c r="I23" s="57"/>
      <c r="J23" s="57"/>
      <c r="K23" s="56"/>
    </row>
    <row r="24" spans="1:11" ht="14.25" x14ac:dyDescent="0.45">
      <c r="D24" s="323"/>
      <c r="E24" s="55"/>
      <c r="F24" s="56"/>
      <c r="G24" s="55"/>
      <c r="H24" s="57"/>
      <c r="I24" s="57"/>
      <c r="J24" s="57"/>
      <c r="K24" s="56"/>
    </row>
    <row r="25" spans="1:11" ht="14.65" thickBot="1" x14ac:dyDescent="0.5">
      <c r="D25" s="324"/>
      <c r="E25" s="55"/>
      <c r="F25" s="56"/>
      <c r="G25" s="55"/>
      <c r="H25" s="57"/>
      <c r="I25" s="57"/>
      <c r="J25" s="57"/>
      <c r="K25" s="56"/>
    </row>
    <row r="26" spans="1:11" ht="13.5" thickBot="1" x14ac:dyDescent="0.35">
      <c r="D26" s="58" t="s">
        <v>81</v>
      </c>
      <c r="E26" s="59">
        <f t="shared" ref="E26:K26" si="0">SUM(E11:E25)</f>
        <v>0</v>
      </c>
      <c r="F26" s="59">
        <f t="shared" si="0"/>
        <v>0</v>
      </c>
      <c r="G26" s="59">
        <f t="shared" si="0"/>
        <v>0</v>
      </c>
      <c r="H26" s="59">
        <f t="shared" si="0"/>
        <v>0</v>
      </c>
      <c r="I26" s="59">
        <f t="shared" si="0"/>
        <v>0</v>
      </c>
      <c r="J26" s="59">
        <f t="shared" si="0"/>
        <v>0</v>
      </c>
      <c r="K26" s="60">
        <f t="shared" si="0"/>
        <v>0</v>
      </c>
    </row>
    <row r="27" spans="1:11" ht="11.25" customHeight="1" x14ac:dyDescent="0.3"/>
    <row r="28" spans="1:11" ht="12.75" x14ac:dyDescent="0.3">
      <c r="D28" s="6" t="s">
        <v>83</v>
      </c>
      <c r="E28" s="61">
        <v>0</v>
      </c>
      <c r="F28" s="63">
        <v>0</v>
      </c>
      <c r="G28" s="64">
        <v>0</v>
      </c>
      <c r="H28" s="61">
        <v>0</v>
      </c>
      <c r="I28" s="61">
        <v>0</v>
      </c>
      <c r="J28" s="61">
        <v>0</v>
      </c>
      <c r="K28" s="61">
        <v>0</v>
      </c>
    </row>
    <row r="29" spans="1:11" ht="12.75" x14ac:dyDescent="0.3">
      <c r="A29" s="41">
        <f>IF(SUM($E29:$K29)&gt;0,1,0)</f>
        <v>0</v>
      </c>
      <c r="D29" s="6" t="s">
        <v>84</v>
      </c>
      <c r="E29" s="62">
        <f>IF(ROUND(E26-E28,3)&lt;&gt;0,1,0)</f>
        <v>0</v>
      </c>
      <c r="F29" s="62">
        <f t="shared" ref="F29:K29" si="1">IF(ROUND(F26-F28,3)&lt;&gt;0,1,0)</f>
        <v>0</v>
      </c>
      <c r="G29" s="62">
        <f t="shared" si="1"/>
        <v>0</v>
      </c>
      <c r="H29" s="62">
        <f t="shared" si="1"/>
        <v>0</v>
      </c>
      <c r="I29" s="62">
        <f t="shared" si="1"/>
        <v>0</v>
      </c>
      <c r="J29" s="62">
        <f t="shared" si="1"/>
        <v>0</v>
      </c>
      <c r="K29" s="62">
        <f t="shared" si="1"/>
        <v>0</v>
      </c>
    </row>
    <row r="30" spans="1:11" ht="11.25" customHeight="1" x14ac:dyDescent="0.3"/>
    <row r="31" spans="1:11" s="7" customFormat="1" ht="13.9" x14ac:dyDescent="0.3">
      <c r="C31" s="7" t="s">
        <v>651</v>
      </c>
    </row>
    <row r="32" spans="1:11" ht="11.25" customHeight="1" x14ac:dyDescent="0.3"/>
    <row r="33" spans="4:11" ht="18.399999999999999" thickBot="1" x14ac:dyDescent="0.55000000000000004">
      <c r="D33" s="48" t="s">
        <v>468</v>
      </c>
      <c r="E33" s="49"/>
      <c r="F33" s="49"/>
      <c r="G33" s="49"/>
      <c r="H33" s="49"/>
      <c r="I33" s="49"/>
      <c r="J33" s="49"/>
      <c r="K33" s="49"/>
    </row>
    <row r="34" spans="4:11" ht="28.15" customHeight="1" thickBot="1" x14ac:dyDescent="0.35">
      <c r="D34"/>
      <c r="E34" s="422" t="s">
        <v>409</v>
      </c>
      <c r="F34" s="423"/>
      <c r="G34" s="423"/>
      <c r="H34" s="423"/>
      <c r="I34" s="423"/>
      <c r="J34" s="423"/>
      <c r="K34" s="424"/>
    </row>
    <row r="35" spans="4:11" ht="18.600000000000001" customHeight="1" thickBot="1" x14ac:dyDescent="0.35">
      <c r="D35"/>
      <c r="E35" s="417" t="str">
        <f>'WkB_1_2.1.1'!$E$10</f>
        <v>2022-23</v>
      </c>
      <c r="F35" s="418" t="str">
        <f>'WkB_1_2.1.1'!$F$10</f>
        <v>2023-24</v>
      </c>
      <c r="G35" s="419" t="str">
        <f>'WkB_1_2.1.1'!$G$10</f>
        <v>2024-25</v>
      </c>
      <c r="H35" s="420" t="str">
        <f>'WkB_1_2.1.1'!$H$10</f>
        <v>2025-26</v>
      </c>
      <c r="I35" s="420" t="str">
        <f>'WkB_1_2.1.1'!$I$10</f>
        <v>2026-27</v>
      </c>
      <c r="J35" s="420" t="str">
        <f>'WkB_1_2.1.1'!$J$10</f>
        <v>2027-28</v>
      </c>
      <c r="K35" s="421" t="str">
        <f>'WkB_1_2.1.1'!$K$10</f>
        <v>2028-29</v>
      </c>
    </row>
    <row r="36" spans="4:11" ht="14.25" x14ac:dyDescent="0.45">
      <c r="D36" s="322"/>
      <c r="E36" s="51"/>
      <c r="F36" s="52"/>
      <c r="G36" s="51"/>
      <c r="H36" s="53"/>
      <c r="I36" s="53"/>
      <c r="J36" s="53"/>
      <c r="K36" s="52"/>
    </row>
    <row r="37" spans="4:11" ht="14.25" x14ac:dyDescent="0.45">
      <c r="D37" s="323"/>
      <c r="E37" s="55"/>
      <c r="F37" s="56"/>
      <c r="G37" s="55"/>
      <c r="H37" s="57"/>
      <c r="I37" s="57"/>
      <c r="J37" s="57"/>
      <c r="K37" s="56"/>
    </row>
    <row r="38" spans="4:11" ht="14.25" x14ac:dyDescent="0.45">
      <c r="D38" s="323"/>
      <c r="E38" s="55"/>
      <c r="F38" s="56"/>
      <c r="G38" s="55"/>
      <c r="H38" s="57"/>
      <c r="I38" s="57"/>
      <c r="J38" s="57"/>
      <c r="K38" s="56"/>
    </row>
    <row r="39" spans="4:11" ht="14.25" x14ac:dyDescent="0.45">
      <c r="D39" s="323"/>
      <c r="E39" s="55"/>
      <c r="F39" s="56"/>
      <c r="G39" s="55"/>
      <c r="H39" s="57"/>
      <c r="I39" s="57"/>
      <c r="J39" s="57"/>
      <c r="K39" s="56"/>
    </row>
    <row r="40" spans="4:11" ht="14.25" x14ac:dyDescent="0.45">
      <c r="D40" s="323"/>
      <c r="E40" s="55"/>
      <c r="F40" s="56"/>
      <c r="G40" s="55"/>
      <c r="H40" s="57"/>
      <c r="I40" s="57"/>
      <c r="J40" s="57"/>
      <c r="K40" s="56"/>
    </row>
    <row r="41" spans="4:11" ht="14.25" x14ac:dyDescent="0.45">
      <c r="D41" s="323"/>
      <c r="E41" s="55"/>
      <c r="F41" s="56"/>
      <c r="G41" s="55"/>
      <c r="H41" s="57"/>
      <c r="I41" s="57"/>
      <c r="J41" s="57"/>
      <c r="K41" s="56"/>
    </row>
    <row r="42" spans="4:11" ht="14.25" x14ac:dyDescent="0.45">
      <c r="D42" s="323"/>
      <c r="E42" s="55"/>
      <c r="F42" s="56"/>
      <c r="G42" s="55"/>
      <c r="H42" s="57"/>
      <c r="I42" s="57"/>
      <c r="J42" s="57"/>
      <c r="K42" s="56"/>
    </row>
    <row r="43" spans="4:11" ht="14.25" x14ac:dyDescent="0.45">
      <c r="D43" s="323"/>
      <c r="E43" s="55"/>
      <c r="F43" s="56"/>
      <c r="G43" s="55"/>
      <c r="H43" s="57"/>
      <c r="I43" s="57"/>
      <c r="J43" s="57"/>
      <c r="K43" s="56"/>
    </row>
    <row r="44" spans="4:11" ht="14.25" x14ac:dyDescent="0.45">
      <c r="D44" s="323"/>
      <c r="E44" s="55"/>
      <c r="F44" s="56"/>
      <c r="G44" s="55"/>
      <c r="H44" s="57"/>
      <c r="I44" s="57"/>
      <c r="J44" s="57"/>
      <c r="K44" s="56"/>
    </row>
    <row r="45" spans="4:11" ht="14.25" x14ac:dyDescent="0.45">
      <c r="D45" s="323"/>
      <c r="E45" s="55"/>
      <c r="F45" s="56"/>
      <c r="G45" s="55"/>
      <c r="H45" s="57"/>
      <c r="I45" s="57"/>
      <c r="J45" s="57"/>
      <c r="K45" s="56"/>
    </row>
    <row r="46" spans="4:11" ht="14.25" x14ac:dyDescent="0.45">
      <c r="D46" s="323"/>
      <c r="E46" s="55"/>
      <c r="F46" s="56"/>
      <c r="G46" s="55"/>
      <c r="H46" s="57"/>
      <c r="I46" s="57"/>
      <c r="J46" s="57"/>
      <c r="K46" s="56"/>
    </row>
    <row r="47" spans="4:11" ht="14.25" x14ac:dyDescent="0.45">
      <c r="D47" s="323"/>
      <c r="E47" s="55"/>
      <c r="F47" s="56"/>
      <c r="G47" s="55"/>
      <c r="H47" s="57"/>
      <c r="I47" s="57"/>
      <c r="J47" s="57"/>
      <c r="K47" s="56"/>
    </row>
    <row r="48" spans="4:11" ht="14.25" x14ac:dyDescent="0.45">
      <c r="D48" s="323"/>
      <c r="E48" s="55"/>
      <c r="F48" s="56"/>
      <c r="G48" s="55"/>
      <c r="H48" s="57"/>
      <c r="I48" s="57"/>
      <c r="J48" s="57"/>
      <c r="K48" s="56"/>
    </row>
    <row r="49" spans="2:11" ht="14.25" x14ac:dyDescent="0.45">
      <c r="D49" s="323"/>
      <c r="E49" s="55"/>
      <c r="F49" s="56"/>
      <c r="G49" s="55"/>
      <c r="H49" s="57"/>
      <c r="I49" s="57"/>
      <c r="J49" s="57"/>
      <c r="K49" s="56"/>
    </row>
    <row r="50" spans="2:11" ht="14.65" thickBot="1" x14ac:dyDescent="0.5">
      <c r="D50" s="324"/>
      <c r="E50" s="55"/>
      <c r="F50" s="56"/>
      <c r="G50" s="55"/>
      <c r="H50" s="57"/>
      <c r="I50" s="57"/>
      <c r="J50" s="57"/>
      <c r="K50" s="56"/>
    </row>
    <row r="51" spans="2:11" ht="13.5" thickBot="1" x14ac:dyDescent="0.35">
      <c r="D51" s="58" t="s">
        <v>81</v>
      </c>
      <c r="E51" s="59">
        <f t="shared" ref="E51:K51" si="2">SUM(E36:E50)</f>
        <v>0</v>
      </c>
      <c r="F51" s="59">
        <f t="shared" si="2"/>
        <v>0</v>
      </c>
      <c r="G51" s="59">
        <f t="shared" si="2"/>
        <v>0</v>
      </c>
      <c r="H51" s="59">
        <f t="shared" si="2"/>
        <v>0</v>
      </c>
      <c r="I51" s="59">
        <f t="shared" si="2"/>
        <v>0</v>
      </c>
      <c r="J51" s="59">
        <f t="shared" si="2"/>
        <v>0</v>
      </c>
      <c r="K51" s="60">
        <f t="shared" si="2"/>
        <v>0</v>
      </c>
    </row>
    <row r="52" spans="2:11" ht="11.25" customHeight="1" x14ac:dyDescent="0.3"/>
    <row r="53" spans="2:11" s="46" customFormat="1" ht="15" x14ac:dyDescent="0.3">
      <c r="B53" s="46" t="s">
        <v>16</v>
      </c>
    </row>
  </sheetData>
  <conditionalFormatting sqref="B3">
    <cfRule type="cellIs" dxfId="479" priority="4" operator="notEqual">
      <formula>"No Errors Found"</formula>
    </cfRule>
  </conditionalFormatting>
  <conditionalFormatting sqref="K11:K25">
    <cfRule type="expression" dxfId="478" priority="3">
      <formula>(dms_FRCPlength_Num)&lt;5</formula>
    </cfRule>
  </conditionalFormatting>
  <conditionalFormatting sqref="K36:K50">
    <cfRule type="expression" dxfId="477" priority="1">
      <formula>(dms_FRCPlength_Num)&lt;5</formula>
    </cfRule>
  </conditionalFormatting>
  <hyperlinks>
    <hyperlink ref="B2:E2" location="TOC!A1" display="TOC!A1" xr:uid="{7230D4BC-1F3C-443C-B4BE-B6015653B566}"/>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1E94-B643-4D2E-8336-BF8B72A2E2F5}">
  <sheetPr codeName="Sheet30">
    <tabColor theme="4" tint="0.79998168889431442"/>
  </sheetPr>
  <dimension ref="A1:K27"/>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36.83203125" style="45" customWidth="1"/>
    <col min="5" max="11" width="15.6640625" style="45" customWidth="1"/>
    <col min="12" max="31" width="10.6640625" style="45" customWidth="1"/>
    <col min="32" max="16384" width="9.33203125" style="45"/>
  </cols>
  <sheetData>
    <row r="1" spans="1:11" ht="18.75" x14ac:dyDescent="0.3">
      <c r="A1" s="41">
        <f>IF(SUM($A3:$A27)&gt;0,1,0)</f>
        <v>0</v>
      </c>
      <c r="B1" s="3" t="s">
        <v>1103</v>
      </c>
    </row>
    <row r="2" spans="1:11" customFormat="1" x14ac:dyDescent="0.3">
      <c r="B2" s="34" t="str">
        <f>TOC!$B$1</f>
        <v>Table of contents</v>
      </c>
      <c r="C2" s="34"/>
      <c r="D2" s="34"/>
      <c r="E2" s="34"/>
    </row>
    <row r="3" spans="1:11" x14ac:dyDescent="0.3">
      <c r="B3" s="9" t="str">
        <f>Title_Msg</f>
        <v>No Errors Found</v>
      </c>
    </row>
    <row r="4" spans="1:11" s="46" customFormat="1" ht="15" x14ac:dyDescent="0.3">
      <c r="B4" s="46" t="str">
        <f>'WkB_1_2.1.1'!$B$4</f>
        <v>Data required to populate Power and Water Corporation 2024-29 regulatory submission</v>
      </c>
    </row>
    <row r="5" spans="1:11" ht="4.5" customHeight="1" x14ac:dyDescent="0.3"/>
    <row r="6" spans="1:11" s="7" customFormat="1" ht="13.9" x14ac:dyDescent="0.3">
      <c r="C6" s="7" t="str">
        <f>'WkB_1_2.1.1'!$C$6</f>
        <v>Output - RIN template</v>
      </c>
    </row>
    <row r="7" spans="1:11" ht="11.25" customHeight="1" x14ac:dyDescent="0.3"/>
    <row r="8" spans="1:11" ht="18.399999999999999" thickBot="1" x14ac:dyDescent="0.55000000000000004">
      <c r="D8" s="48" t="s">
        <v>469</v>
      </c>
      <c r="E8" s="49"/>
      <c r="F8" s="49"/>
      <c r="G8" s="49"/>
      <c r="H8" s="49"/>
      <c r="I8" s="49"/>
      <c r="J8" s="49"/>
      <c r="K8" s="49"/>
    </row>
    <row r="9" spans="1:11" ht="28.15" customHeight="1" thickBot="1" x14ac:dyDescent="0.35">
      <c r="D9"/>
      <c r="E9" s="422" t="str">
        <f>'WkB_1_2.1.1'!$E$9</f>
        <v>Forecast 
($0's. real June 2024)</v>
      </c>
      <c r="F9" s="423"/>
      <c r="G9" s="423"/>
      <c r="H9" s="423"/>
      <c r="I9" s="423"/>
      <c r="J9" s="423"/>
      <c r="K9" s="424"/>
    </row>
    <row r="10" spans="1:11" ht="18.600000000000001" customHeight="1" thickBot="1" x14ac:dyDescent="0.35">
      <c r="D10"/>
      <c r="E10" s="417" t="str">
        <f>'WkB_1_2.1.1'!$E$10</f>
        <v>2022-23</v>
      </c>
      <c r="F10" s="418" t="str">
        <f>'WkB_1_2.1.1'!$F$10</f>
        <v>2023-24</v>
      </c>
      <c r="G10" s="419" t="str">
        <f>'WkB_1_2.1.1'!$G$10</f>
        <v>2024-25</v>
      </c>
      <c r="H10" s="420" t="str">
        <f>'WkB_1_2.1.1'!$H$10</f>
        <v>2025-26</v>
      </c>
      <c r="I10" s="420" t="str">
        <f>'WkB_1_2.1.1'!$I$10</f>
        <v>2026-27</v>
      </c>
      <c r="J10" s="420" t="str">
        <f>'WkB_1_2.1.1'!$J$10</f>
        <v>2027-28</v>
      </c>
      <c r="K10" s="421" t="str">
        <f>'WkB_1_2.1.1'!$K$10</f>
        <v>2028-29</v>
      </c>
    </row>
    <row r="11" spans="1:11" ht="14.25" x14ac:dyDescent="0.45">
      <c r="D11" s="91" t="s">
        <v>949</v>
      </c>
      <c r="E11" s="51"/>
      <c r="F11" s="52"/>
      <c r="G11" s="51">
        <v>635584.92210511921</v>
      </c>
      <c r="H11" s="53">
        <v>652266.1568958048</v>
      </c>
      <c r="I11" s="53">
        <v>669232.47698428109</v>
      </c>
      <c r="J11" s="53">
        <v>679056.1715496718</v>
      </c>
      <c r="K11" s="52">
        <v>701225.15483194636</v>
      </c>
    </row>
    <row r="12" spans="1:11" ht="14.25" x14ac:dyDescent="0.45">
      <c r="D12" s="597"/>
      <c r="E12" s="55"/>
      <c r="F12" s="56"/>
      <c r="G12" s="55"/>
      <c r="H12" s="57"/>
      <c r="I12" s="57"/>
      <c r="J12" s="57"/>
      <c r="K12" s="56"/>
    </row>
    <row r="13" spans="1:11" ht="14.65" thickBot="1" x14ac:dyDescent="0.5">
      <c r="D13" s="93"/>
      <c r="E13" s="55"/>
      <c r="F13" s="56"/>
      <c r="G13" s="55"/>
      <c r="H13" s="57"/>
      <c r="I13" s="57"/>
      <c r="J13" s="57"/>
      <c r="K13" s="56"/>
    </row>
    <row r="14" spans="1:11" ht="14.25" hidden="1" outlineLevel="1" x14ac:dyDescent="0.45">
      <c r="D14" s="93"/>
      <c r="E14" s="55"/>
      <c r="F14" s="56"/>
      <c r="G14" s="55"/>
      <c r="H14" s="57"/>
      <c r="I14" s="57"/>
      <c r="J14" s="57"/>
      <c r="K14" s="56"/>
    </row>
    <row r="15" spans="1:11" ht="14.25" hidden="1" outlineLevel="1" x14ac:dyDescent="0.45">
      <c r="D15" s="93"/>
      <c r="E15" s="55"/>
      <c r="F15" s="56"/>
      <c r="G15" s="55"/>
      <c r="H15" s="57"/>
      <c r="I15" s="57"/>
      <c r="J15" s="57"/>
      <c r="K15" s="56"/>
    </row>
    <row r="16" spans="1:11" ht="14.25" hidden="1" outlineLevel="1" x14ac:dyDescent="0.45">
      <c r="D16" s="93"/>
      <c r="E16" s="55"/>
      <c r="F16" s="56"/>
      <c r="G16" s="55"/>
      <c r="H16" s="57"/>
      <c r="I16" s="57"/>
      <c r="J16" s="57"/>
      <c r="K16" s="56"/>
    </row>
    <row r="17" spans="1:11" ht="14.25" hidden="1" outlineLevel="1" x14ac:dyDescent="0.45">
      <c r="D17" s="93"/>
      <c r="E17" s="55"/>
      <c r="F17" s="56"/>
      <c r="G17" s="55"/>
      <c r="H17" s="57"/>
      <c r="I17" s="57"/>
      <c r="J17" s="57"/>
      <c r="K17" s="56"/>
    </row>
    <row r="18" spans="1:11" ht="14.25" hidden="1" outlineLevel="1" x14ac:dyDescent="0.45">
      <c r="D18" s="93"/>
      <c r="E18" s="55"/>
      <c r="F18" s="56"/>
      <c r="G18" s="55"/>
      <c r="H18" s="57"/>
      <c r="I18" s="57"/>
      <c r="J18" s="57"/>
      <c r="K18" s="56"/>
    </row>
    <row r="19" spans="1:11" ht="14.25" hidden="1" outlineLevel="1" x14ac:dyDescent="0.45">
      <c r="D19" s="93"/>
      <c r="E19" s="55"/>
      <c r="F19" s="56"/>
      <c r="G19" s="55"/>
      <c r="H19" s="57"/>
      <c r="I19" s="57"/>
      <c r="J19" s="57"/>
      <c r="K19" s="56"/>
    </row>
    <row r="20" spans="1:11" ht="14.65" hidden="1" outlineLevel="1" thickBot="1" x14ac:dyDescent="0.5">
      <c r="D20" s="94"/>
      <c r="E20" s="55"/>
      <c r="F20" s="56"/>
      <c r="G20" s="55"/>
      <c r="H20" s="57"/>
      <c r="I20" s="57"/>
      <c r="J20" s="57"/>
      <c r="K20" s="56"/>
    </row>
    <row r="21" spans="1:11" ht="13.5" collapsed="1" thickBot="1" x14ac:dyDescent="0.35">
      <c r="D21" s="58" t="s">
        <v>81</v>
      </c>
      <c r="E21" s="59">
        <f t="shared" ref="E21:K21" si="0">SUM(E11:E20)</f>
        <v>0</v>
      </c>
      <c r="F21" s="59">
        <f t="shared" si="0"/>
        <v>0</v>
      </c>
      <c r="G21" s="59">
        <f t="shared" si="0"/>
        <v>635584.92210511921</v>
      </c>
      <c r="H21" s="59">
        <f t="shared" si="0"/>
        <v>652266.1568958048</v>
      </c>
      <c r="I21" s="59">
        <f t="shared" si="0"/>
        <v>669232.47698428109</v>
      </c>
      <c r="J21" s="59">
        <f t="shared" si="0"/>
        <v>679056.1715496718</v>
      </c>
      <c r="K21" s="60">
        <f t="shared" si="0"/>
        <v>701225.15483194636</v>
      </c>
    </row>
    <row r="22" spans="1:11" ht="11.25" customHeight="1" x14ac:dyDescent="0.3"/>
    <row r="23" spans="1:11" ht="12.75" x14ac:dyDescent="0.3">
      <c r="D23" s="6" t="s">
        <v>83</v>
      </c>
      <c r="E23" s="118">
        <f>WkB_1_2.16!H$18</f>
        <v>0</v>
      </c>
      <c r="F23" s="119">
        <f>WkB_1_2.16!I$18</f>
        <v>0</v>
      </c>
      <c r="G23" s="120">
        <f>WkB_1_2.16!J$18</f>
        <v>635584.92210511921</v>
      </c>
      <c r="H23" s="118">
        <f>WkB_1_2.16!K$18</f>
        <v>652266.1568958048</v>
      </c>
      <c r="I23" s="118">
        <f>WkB_1_2.16!L$18</f>
        <v>669232.47698428109</v>
      </c>
      <c r="J23" s="118">
        <f>WkB_1_2.16!M$18</f>
        <v>679056.1715496718</v>
      </c>
      <c r="K23" s="118">
        <f>WkB_1_2.16!N$18</f>
        <v>701225.15483194636</v>
      </c>
    </row>
    <row r="24" spans="1:11" ht="12.75" x14ac:dyDescent="0.3">
      <c r="D24" s="6" t="s">
        <v>695</v>
      </c>
      <c r="E24" s="115">
        <v>0</v>
      </c>
      <c r="F24" s="116">
        <v>0</v>
      </c>
      <c r="G24" s="117">
        <v>635584.92210511921</v>
      </c>
      <c r="H24" s="115">
        <v>652266.1568958048</v>
      </c>
      <c r="I24" s="115">
        <v>669232.47698428109</v>
      </c>
      <c r="J24" s="115">
        <v>679056.1715496718</v>
      </c>
      <c r="K24" s="115">
        <v>701225.15483194636</v>
      </c>
    </row>
    <row r="25" spans="1:11" ht="12.75" x14ac:dyDescent="0.3">
      <c r="A25" s="41">
        <f>IF(SUM($E25:$K25)&gt;0,1,0)</f>
        <v>0</v>
      </c>
      <c r="D25" s="6" t="s">
        <v>84</v>
      </c>
      <c r="E25" s="62">
        <f>IF(OR(ROUND(E21-E23,3)&lt;&gt;0,ROUND(E21-E24,3)&lt;&gt;0),1,0)</f>
        <v>0</v>
      </c>
      <c r="F25" s="62">
        <f t="shared" ref="F25:K25" si="1">IF(OR(ROUND(F21-F23,3)&lt;&gt;0,ROUND(F21-F24,3)&lt;&gt;0),1,0)</f>
        <v>0</v>
      </c>
      <c r="G25" s="62">
        <f t="shared" si="1"/>
        <v>0</v>
      </c>
      <c r="H25" s="62">
        <f t="shared" si="1"/>
        <v>0</v>
      </c>
      <c r="I25" s="62">
        <f t="shared" si="1"/>
        <v>0</v>
      </c>
      <c r="J25" s="62">
        <f t="shared" si="1"/>
        <v>0</v>
      </c>
      <c r="K25" s="62">
        <f t="shared" si="1"/>
        <v>0</v>
      </c>
    </row>
    <row r="26" spans="1:11" ht="11.25" customHeight="1" x14ac:dyDescent="0.3"/>
    <row r="27" spans="1:11" s="46" customFormat="1" ht="15" x14ac:dyDescent="0.3">
      <c r="B27" s="46" t="s">
        <v>16</v>
      </c>
    </row>
  </sheetData>
  <conditionalFormatting sqref="B3">
    <cfRule type="cellIs" dxfId="476" priority="2" operator="notEqual">
      <formula>"No Errors Found"</formula>
    </cfRule>
  </conditionalFormatting>
  <conditionalFormatting sqref="K11:K20">
    <cfRule type="expression" dxfId="475" priority="1">
      <formula>(dms_FRCPlength_Num)&lt;5</formula>
    </cfRule>
  </conditionalFormatting>
  <hyperlinks>
    <hyperlink ref="B2:E2" location="TOC!A1" display="TOC!A1" xr:uid="{4D6EEB0B-C3D0-4F45-8BD3-3C308CD44E04}"/>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F7EE-2B49-4549-83CC-571A693C2867}">
  <sheetPr codeName="Sheet31">
    <tabColor theme="4" tint="0.79998168889431442"/>
  </sheetPr>
  <dimension ref="A1:S5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G13" sqref="G13"/>
    </sheetView>
  </sheetViews>
  <sheetFormatPr defaultColWidth="9.33203125" defaultRowHeight="10.15" x14ac:dyDescent="0.3"/>
  <cols>
    <col min="1" max="3" width="3.6640625" style="45" customWidth="1"/>
    <col min="4" max="4" width="75.6640625" style="45" customWidth="1"/>
    <col min="5" max="11" width="17.6640625" style="45" customWidth="1"/>
    <col min="12" max="12" width="4.33203125" style="45" customWidth="1"/>
    <col min="13" max="19" width="17.6640625" style="45" customWidth="1"/>
    <col min="20" max="31" width="10.6640625" style="45" customWidth="1"/>
    <col min="32" max="16384" width="9.33203125" style="45"/>
  </cols>
  <sheetData>
    <row r="1" spans="1:19" ht="18.75" x14ac:dyDescent="0.3">
      <c r="A1" s="41">
        <f>IF(SUM($A3:$A52)&gt;0,1,0)</f>
        <v>0</v>
      </c>
      <c r="B1" s="3" t="s">
        <v>1104</v>
      </c>
    </row>
    <row r="2" spans="1:19" customFormat="1" x14ac:dyDescent="0.3">
      <c r="B2" s="34" t="str">
        <f>TOC!$B$1</f>
        <v>Table of contents</v>
      </c>
      <c r="C2" s="34"/>
      <c r="D2" s="34"/>
      <c r="E2" s="34"/>
      <c r="F2" s="34"/>
    </row>
    <row r="3" spans="1:19" x14ac:dyDescent="0.3">
      <c r="B3" s="9" t="str">
        <f>Title_Msg</f>
        <v>No Errors Found</v>
      </c>
    </row>
    <row r="4" spans="1:19" s="46" customFormat="1" ht="15" x14ac:dyDescent="0.3">
      <c r="B4" s="46" t="str">
        <f>'WkB_1_2.1.1'!$B$4</f>
        <v>Data required to populate Power and Water Corporation 2024-29 regulatory submission</v>
      </c>
    </row>
    <row r="5" spans="1:19" ht="4.5" customHeight="1" x14ac:dyDescent="0.3"/>
    <row r="6" spans="1:19" s="7" customFormat="1" ht="13.9" x14ac:dyDescent="0.3">
      <c r="C6" s="7" t="str">
        <f>'WkB_1_2.1.1'!$C$6</f>
        <v>Output - RIN template</v>
      </c>
    </row>
    <row r="7" spans="1:19" ht="11.25" customHeight="1" x14ac:dyDescent="0.3"/>
    <row r="8" spans="1:19" ht="18" x14ac:dyDescent="0.5">
      <c r="D8" s="48" t="s">
        <v>482</v>
      </c>
      <c r="E8" s="49"/>
      <c r="F8" s="49"/>
      <c r="G8" s="49"/>
      <c r="H8" s="49"/>
      <c r="I8" s="49"/>
      <c r="J8" s="49"/>
      <c r="K8" s="49"/>
      <c r="M8" s="49"/>
      <c r="N8" s="49"/>
      <c r="O8" s="49"/>
      <c r="P8" s="49"/>
      <c r="Q8" s="49"/>
      <c r="R8" s="49"/>
      <c r="S8" s="49"/>
    </row>
    <row r="9" spans="1:19" ht="14.65" thickBot="1" x14ac:dyDescent="0.5">
      <c r="E9" s="600" t="s">
        <v>483</v>
      </c>
      <c r="F9" s="600"/>
      <c r="G9" s="600"/>
      <c r="H9" s="600"/>
      <c r="I9" s="600"/>
      <c r="J9" s="600"/>
      <c r="K9" s="600"/>
      <c r="M9" s="600" t="s">
        <v>484</v>
      </c>
      <c r="N9" s="600"/>
      <c r="O9" s="600"/>
      <c r="P9" s="600"/>
      <c r="Q9" s="600"/>
      <c r="R9" s="600"/>
      <c r="S9" s="600"/>
    </row>
    <row r="10" spans="1:19" ht="28.15" customHeight="1" thickBot="1" x14ac:dyDescent="0.35">
      <c r="D10"/>
      <c r="E10" s="422" t="str">
        <f>'WkB_1_2.1.1'!$E$9</f>
        <v>Forecast 
($0's. real June 2024)</v>
      </c>
      <c r="F10" s="423"/>
      <c r="G10" s="423"/>
      <c r="H10" s="423"/>
      <c r="I10" s="423"/>
      <c r="J10" s="423"/>
      <c r="K10" s="424"/>
      <c r="M10" s="422" t="str">
        <f>'WkB_1_2.1.1'!$E$9</f>
        <v>Forecast 
($0's. real June 2024)</v>
      </c>
      <c r="N10" s="423"/>
      <c r="O10" s="423"/>
      <c r="P10" s="423"/>
      <c r="Q10" s="423"/>
      <c r="R10" s="423"/>
      <c r="S10" s="424"/>
    </row>
    <row r="11" spans="1:19" ht="18.600000000000001" customHeight="1" thickBot="1" x14ac:dyDescent="0.35">
      <c r="D11"/>
      <c r="E11" s="417" t="str">
        <f>'WkB_1_2.1.1'!$E$10</f>
        <v>2022-23</v>
      </c>
      <c r="F11" s="418" t="str">
        <f>'WkB_1_2.1.1'!$F$10</f>
        <v>2023-24</v>
      </c>
      <c r="G11" s="419" t="str">
        <f>'WkB_1_2.1.1'!$G$10</f>
        <v>2024-25</v>
      </c>
      <c r="H11" s="420" t="str">
        <f>'WkB_1_2.1.1'!$H$10</f>
        <v>2025-26</v>
      </c>
      <c r="I11" s="420" t="str">
        <f>'WkB_1_2.1.1'!$I$10</f>
        <v>2026-27</v>
      </c>
      <c r="J11" s="420" t="str">
        <f>'WkB_1_2.1.1'!$J$10</f>
        <v>2027-28</v>
      </c>
      <c r="K11" s="421" t="str">
        <f>'WkB_1_2.1.1'!$K$10</f>
        <v>2028-29</v>
      </c>
      <c r="M11" s="417" t="str">
        <f>'WkB_1_2.1.1'!$E$10</f>
        <v>2022-23</v>
      </c>
      <c r="N11" s="418" t="str">
        <f>'WkB_1_2.1.1'!$F$10</f>
        <v>2023-24</v>
      </c>
      <c r="O11" s="419" t="str">
        <f>'WkB_1_2.1.1'!$G$10</f>
        <v>2024-25</v>
      </c>
      <c r="P11" s="420" t="str">
        <f>'WkB_1_2.1.1'!$H$10</f>
        <v>2025-26</v>
      </c>
      <c r="Q11" s="420" t="str">
        <f>'WkB_1_2.1.1'!$I$10</f>
        <v>2026-27</v>
      </c>
      <c r="R11" s="420" t="str">
        <f>'WkB_1_2.1.1'!$J$10</f>
        <v>2027-28</v>
      </c>
      <c r="S11" s="421" t="str">
        <f>'WkB_1_2.1.1'!$K$10</f>
        <v>2028-29</v>
      </c>
    </row>
    <row r="12" spans="1:19" ht="14.25" x14ac:dyDescent="0.45">
      <c r="D12" s="95" t="s">
        <v>470</v>
      </c>
      <c r="E12" s="51">
        <v>42227560.567329787</v>
      </c>
      <c r="F12" s="52">
        <v>56267506.990602843</v>
      </c>
      <c r="G12" s="51">
        <v>80116672.774423614</v>
      </c>
      <c r="H12" s="53">
        <v>90003045.35378249</v>
      </c>
      <c r="I12" s="53">
        <v>98487516.087189883</v>
      </c>
      <c r="J12" s="53">
        <v>108247891.22617026</v>
      </c>
      <c r="K12" s="52">
        <v>109583846.6552404</v>
      </c>
      <c r="M12" s="51">
        <f>M$27*$Q36</f>
        <v>0</v>
      </c>
      <c r="N12" s="52">
        <f t="shared" ref="N12" si="0">N$27*$Q36</f>
        <v>0</v>
      </c>
      <c r="O12" s="51"/>
      <c r="P12" s="53"/>
      <c r="Q12" s="53"/>
      <c r="R12" s="53"/>
      <c r="S12" s="52"/>
    </row>
    <row r="13" spans="1:19" ht="14.25" x14ac:dyDescent="0.45">
      <c r="D13" s="96" t="s">
        <v>471</v>
      </c>
      <c r="E13" s="55">
        <v>68491698.803007036</v>
      </c>
      <c r="F13" s="56">
        <v>52695367.453912139</v>
      </c>
      <c r="G13" s="55">
        <v>32707135.860193685</v>
      </c>
      <c r="H13" s="57">
        <v>33228247.622908663</v>
      </c>
      <c r="I13" s="57">
        <v>33047280.354578935</v>
      </c>
      <c r="J13" s="57">
        <v>34199544.119199067</v>
      </c>
      <c r="K13" s="56">
        <v>33362478.48255365</v>
      </c>
      <c r="M13" s="55">
        <f t="shared" ref="M13:N13" si="1">M$27*$Q37</f>
        <v>0</v>
      </c>
      <c r="N13" s="56">
        <f t="shared" si="1"/>
        <v>0</v>
      </c>
      <c r="O13" s="55"/>
      <c r="P13" s="57"/>
      <c r="Q13" s="57"/>
      <c r="R13" s="57"/>
      <c r="S13" s="56"/>
    </row>
    <row r="14" spans="1:19" ht="14.25" x14ac:dyDescent="0.45">
      <c r="D14" s="96" t="s">
        <v>472</v>
      </c>
      <c r="E14" s="55">
        <v>0</v>
      </c>
      <c r="F14" s="56">
        <v>0</v>
      </c>
      <c r="G14" s="55">
        <v>28209105.976479385</v>
      </c>
      <c r="H14" s="57">
        <v>30805889.004903875</v>
      </c>
      <c r="I14" s="57">
        <v>33229528.478021841</v>
      </c>
      <c r="J14" s="57">
        <v>34746231.157427713</v>
      </c>
      <c r="K14" s="56">
        <v>35912307.908027939</v>
      </c>
      <c r="M14" s="55">
        <f t="shared" ref="M14:N14" si="2">M$27*$Q38</f>
        <v>0</v>
      </c>
      <c r="N14" s="56">
        <f t="shared" si="2"/>
        <v>0</v>
      </c>
      <c r="O14" s="55"/>
      <c r="P14" s="57"/>
      <c r="Q14" s="57"/>
      <c r="R14" s="57"/>
      <c r="S14" s="56"/>
    </row>
    <row r="15" spans="1:19" ht="14.25" x14ac:dyDescent="0.45">
      <c r="D15" s="96" t="s">
        <v>473</v>
      </c>
      <c r="E15" s="55">
        <v>0</v>
      </c>
      <c r="F15" s="56">
        <v>0</v>
      </c>
      <c r="G15" s="55">
        <v>18920600.681816749</v>
      </c>
      <c r="H15" s="57">
        <v>19889404.989821084</v>
      </c>
      <c r="I15" s="57">
        <v>24389428.338373229</v>
      </c>
      <c r="J15" s="57">
        <v>28486083.813872352</v>
      </c>
      <c r="K15" s="56">
        <v>29087320.549637541</v>
      </c>
      <c r="M15" s="55">
        <f t="shared" ref="M15:N15" si="3">M$27*$Q39</f>
        <v>0</v>
      </c>
      <c r="N15" s="56">
        <f t="shared" si="3"/>
        <v>0</v>
      </c>
      <c r="O15" s="55"/>
      <c r="P15" s="57"/>
      <c r="Q15" s="57"/>
      <c r="R15" s="57"/>
      <c r="S15" s="56"/>
    </row>
    <row r="16" spans="1:19" ht="14.25" x14ac:dyDescent="0.45">
      <c r="D16" s="96" t="s">
        <v>474</v>
      </c>
      <c r="E16" s="55">
        <v>0</v>
      </c>
      <c r="F16" s="56">
        <v>0</v>
      </c>
      <c r="G16" s="55">
        <v>0</v>
      </c>
      <c r="H16" s="57">
        <v>0</v>
      </c>
      <c r="I16" s="57">
        <v>0</v>
      </c>
      <c r="J16" s="57">
        <v>0</v>
      </c>
      <c r="K16" s="56">
        <v>0</v>
      </c>
      <c r="M16" s="55">
        <f t="shared" ref="M16:N16" si="4">M$27*$Q40</f>
        <v>0</v>
      </c>
      <c r="N16" s="56">
        <f t="shared" si="4"/>
        <v>0</v>
      </c>
      <c r="O16" s="55"/>
      <c r="P16" s="57"/>
      <c r="Q16" s="57"/>
      <c r="R16" s="57"/>
      <c r="S16" s="56"/>
    </row>
    <row r="17" spans="1:19" ht="14.25" x14ac:dyDescent="0.45">
      <c r="D17" s="96" t="s">
        <v>475</v>
      </c>
      <c r="E17" s="55">
        <v>0</v>
      </c>
      <c r="F17" s="56">
        <v>0</v>
      </c>
      <c r="G17" s="55">
        <v>0</v>
      </c>
      <c r="H17" s="57">
        <v>0</v>
      </c>
      <c r="I17" s="57">
        <v>0</v>
      </c>
      <c r="J17" s="57">
        <v>0</v>
      </c>
      <c r="K17" s="56">
        <v>0</v>
      </c>
      <c r="M17" s="55">
        <f t="shared" ref="M17:N17" si="5">M$27*$Q41</f>
        <v>0</v>
      </c>
      <c r="N17" s="56">
        <f t="shared" si="5"/>
        <v>0</v>
      </c>
      <c r="O17" s="55"/>
      <c r="P17" s="57"/>
      <c r="Q17" s="57"/>
      <c r="R17" s="57"/>
      <c r="S17" s="56"/>
    </row>
    <row r="18" spans="1:19" ht="14.25" x14ac:dyDescent="0.45">
      <c r="D18" s="96" t="s">
        <v>476</v>
      </c>
      <c r="E18" s="55">
        <v>1031727.000796051</v>
      </c>
      <c r="F18" s="56">
        <v>1127905.8590958074</v>
      </c>
      <c r="G18" s="55">
        <v>1709765.3875743197</v>
      </c>
      <c r="H18" s="57">
        <v>1854236.8569410492</v>
      </c>
      <c r="I18" s="57">
        <v>2010915.8523301615</v>
      </c>
      <c r="J18" s="57">
        <v>2180833.8832309716</v>
      </c>
      <c r="K18" s="56">
        <v>2206387.3678384544</v>
      </c>
      <c r="M18" s="55">
        <f t="shared" ref="M18:N18" si="6">M$27*$Q42</f>
        <v>0</v>
      </c>
      <c r="N18" s="56">
        <f t="shared" si="6"/>
        <v>0</v>
      </c>
      <c r="O18" s="55"/>
      <c r="P18" s="57"/>
      <c r="Q18" s="57"/>
      <c r="R18" s="57"/>
      <c r="S18" s="56"/>
    </row>
    <row r="19" spans="1:19" ht="14.25" x14ac:dyDescent="0.45">
      <c r="D19" s="96" t="s">
        <v>477</v>
      </c>
      <c r="E19" s="55">
        <v>0</v>
      </c>
      <c r="F19" s="56">
        <v>0</v>
      </c>
      <c r="G19" s="55">
        <v>0</v>
      </c>
      <c r="H19" s="57">
        <v>0</v>
      </c>
      <c r="I19" s="57">
        <v>0</v>
      </c>
      <c r="J19" s="57">
        <v>0</v>
      </c>
      <c r="K19" s="56">
        <v>0</v>
      </c>
      <c r="M19" s="55">
        <f t="shared" ref="M19:N19" si="7">M$27*$Q43</f>
        <v>0</v>
      </c>
      <c r="N19" s="56">
        <f t="shared" si="7"/>
        <v>0</v>
      </c>
      <c r="O19" s="55"/>
      <c r="P19" s="57"/>
      <c r="Q19" s="57"/>
      <c r="R19" s="57"/>
      <c r="S19" s="56"/>
    </row>
    <row r="20" spans="1:19" ht="14.25" x14ac:dyDescent="0.45">
      <c r="D20" s="96" t="s">
        <v>478</v>
      </c>
      <c r="E20" s="55">
        <v>38582846.398754105</v>
      </c>
      <c r="F20" s="56">
        <v>42015715.511569709</v>
      </c>
      <c r="G20" s="55">
        <v>9313258.0769442003</v>
      </c>
      <c r="H20" s="57">
        <v>9642861.8657477703</v>
      </c>
      <c r="I20" s="57">
        <v>9926916.1225220952</v>
      </c>
      <c r="J20" s="57">
        <v>10222804.123196743</v>
      </c>
      <c r="K20" s="56">
        <v>10486395.820547488</v>
      </c>
      <c r="M20" s="55">
        <f t="shared" ref="M20:N20" si="8">M$27*$Q44</f>
        <v>0</v>
      </c>
      <c r="N20" s="56">
        <f t="shared" si="8"/>
        <v>0</v>
      </c>
      <c r="O20" s="55"/>
      <c r="P20" s="57"/>
      <c r="Q20" s="57"/>
      <c r="R20" s="57"/>
      <c r="S20" s="56"/>
    </row>
    <row r="21" spans="1:19" ht="14.25" x14ac:dyDescent="0.45">
      <c r="D21" s="598" t="s">
        <v>479</v>
      </c>
      <c r="E21" s="55">
        <v>0</v>
      </c>
      <c r="F21" s="56">
        <v>0</v>
      </c>
      <c r="G21" s="55">
        <v>0</v>
      </c>
      <c r="H21" s="57">
        <v>0</v>
      </c>
      <c r="I21" s="57">
        <v>0</v>
      </c>
      <c r="J21" s="57">
        <v>0</v>
      </c>
      <c r="K21" s="56">
        <v>0</v>
      </c>
      <c r="M21" s="55">
        <f>M27+Input_FB!N11</f>
        <v>8466957.7303129379</v>
      </c>
      <c r="N21" s="56">
        <f>N27+Input_FB!O11</f>
        <v>8989470.2886024788</v>
      </c>
      <c r="O21" s="55">
        <f>O27+Input_FB!P11</f>
        <v>13526518.447302124</v>
      </c>
      <c r="P21" s="57">
        <f>P27+Input_FB!Q11</f>
        <v>14194528.57566233</v>
      </c>
      <c r="Q21" s="57">
        <f>Q27+Input_FB!R11</f>
        <v>14900230.638421349</v>
      </c>
      <c r="R21" s="57">
        <f>R27+Input_FB!S11</f>
        <v>15645716.995516481</v>
      </c>
      <c r="S21" s="56">
        <f>S27+Input_FB!T11</f>
        <v>16433194.811935214</v>
      </c>
    </row>
    <row r="22" spans="1:19" ht="14.25" x14ac:dyDescent="0.45">
      <c r="D22" s="598" t="s">
        <v>480</v>
      </c>
      <c r="E22" s="55">
        <v>0</v>
      </c>
      <c r="F22" s="56">
        <v>0</v>
      </c>
      <c r="G22" s="55">
        <v>0</v>
      </c>
      <c r="H22" s="57">
        <v>0</v>
      </c>
      <c r="I22" s="57">
        <v>0</v>
      </c>
      <c r="J22" s="57">
        <v>0</v>
      </c>
      <c r="K22" s="56">
        <v>0</v>
      </c>
      <c r="M22" s="55">
        <f>Input_FB!N10</f>
        <v>2169404.1420696857</v>
      </c>
      <c r="N22" s="56">
        <f>Input_FB!O10</f>
        <v>2147868.5169473556</v>
      </c>
      <c r="O22" s="55">
        <f>Input_FB!P10</f>
        <v>3696223.839830779</v>
      </c>
      <c r="P22" s="57">
        <f>Input_FB!Q10</f>
        <v>3696223.8398307799</v>
      </c>
      <c r="Q22" s="57">
        <f>Input_FB!R10</f>
        <v>3696223.8398307799</v>
      </c>
      <c r="R22" s="57">
        <f>Input_FB!S10</f>
        <v>3696223.8398307799</v>
      </c>
      <c r="S22" s="56">
        <f>Input_FB!T10</f>
        <v>3696223.8398307804</v>
      </c>
    </row>
    <row r="23" spans="1:19" ht="14.25" x14ac:dyDescent="0.45">
      <c r="D23" s="598" t="s">
        <v>481</v>
      </c>
      <c r="E23" s="55">
        <v>0</v>
      </c>
      <c r="F23" s="56">
        <v>0</v>
      </c>
      <c r="G23" s="55">
        <v>0</v>
      </c>
      <c r="H23" s="57">
        <v>0</v>
      </c>
      <c r="I23" s="57">
        <v>0</v>
      </c>
      <c r="J23" s="57">
        <v>0</v>
      </c>
      <c r="K23" s="56">
        <v>0</v>
      </c>
      <c r="M23" s="55"/>
      <c r="N23" s="56"/>
      <c r="O23" s="55"/>
      <c r="P23" s="57"/>
      <c r="Q23" s="57"/>
      <c r="R23" s="57"/>
      <c r="S23" s="56"/>
    </row>
    <row r="24" spans="1:19" ht="14.65" thickBot="1" x14ac:dyDescent="0.5">
      <c r="D24" s="97" t="s">
        <v>96</v>
      </c>
      <c r="E24" s="55">
        <v>0</v>
      </c>
      <c r="F24" s="56">
        <v>0</v>
      </c>
      <c r="G24" s="55">
        <v>0</v>
      </c>
      <c r="H24" s="57">
        <v>0</v>
      </c>
      <c r="I24" s="57">
        <v>0</v>
      </c>
      <c r="J24" s="57">
        <v>0</v>
      </c>
      <c r="K24" s="56">
        <v>0</v>
      </c>
      <c r="M24" s="55">
        <f>Input_FB!N12+Input_QS!N10</f>
        <v>10161351.231397282</v>
      </c>
      <c r="N24" s="56">
        <f>Input_FB!O12+Input_QS!O10</f>
        <v>10060479.730964484</v>
      </c>
      <c r="O24" s="55">
        <f>Input_FB!P12+Input_QS!P10</f>
        <v>11261017.252763133</v>
      </c>
      <c r="P24" s="57">
        <f>Input_FB!Q12+Input_QS!Q10</f>
        <v>11261017.252763132</v>
      </c>
      <c r="Q24" s="57">
        <f>Input_FB!R12+Input_QS!R10</f>
        <v>11261017.25276313</v>
      </c>
      <c r="R24" s="57">
        <f>Input_FB!S12+Input_QS!S10</f>
        <v>11261017.252763132</v>
      </c>
      <c r="S24" s="56">
        <f>Input_FB!T12+Input_QS!T10</f>
        <v>11261017.252763132</v>
      </c>
    </row>
    <row r="25" spans="1:19" ht="13.5" thickBot="1" x14ac:dyDescent="0.35">
      <c r="D25" s="58" t="s">
        <v>81</v>
      </c>
      <c r="E25" s="59">
        <f t="shared" ref="E25:K25" si="9">SUM(E12:E24)</f>
        <v>150333832.76988697</v>
      </c>
      <c r="F25" s="59">
        <f t="shared" si="9"/>
        <v>152106495.81518051</v>
      </c>
      <c r="G25" s="59">
        <f t="shared" si="9"/>
        <v>170976538.75743195</v>
      </c>
      <c r="H25" s="59">
        <f t="shared" si="9"/>
        <v>185423685.69410494</v>
      </c>
      <c r="I25" s="59">
        <f t="shared" si="9"/>
        <v>201091585.2330161</v>
      </c>
      <c r="J25" s="59">
        <f t="shared" si="9"/>
        <v>218083388.32309714</v>
      </c>
      <c r="K25" s="60">
        <f t="shared" si="9"/>
        <v>220638736.78384545</v>
      </c>
      <c r="M25" s="59">
        <f t="shared" ref="M25:S25" si="10">SUM(M12:M24)</f>
        <v>20797713.103779905</v>
      </c>
      <c r="N25" s="59">
        <f t="shared" si="10"/>
        <v>21197818.536514319</v>
      </c>
      <c r="O25" s="59">
        <f t="shared" si="10"/>
        <v>28483759.539896037</v>
      </c>
      <c r="P25" s="59">
        <f t="shared" si="10"/>
        <v>29151769.668256238</v>
      </c>
      <c r="Q25" s="59">
        <f t="shared" si="10"/>
        <v>29857471.731015258</v>
      </c>
      <c r="R25" s="59">
        <f t="shared" si="10"/>
        <v>30602958.088110395</v>
      </c>
      <c r="S25" s="60">
        <f t="shared" si="10"/>
        <v>31390435.904529124</v>
      </c>
    </row>
    <row r="26" spans="1:19" ht="11.25" customHeight="1" x14ac:dyDescent="0.3"/>
    <row r="27" spans="1:19" ht="12.75" x14ac:dyDescent="0.3">
      <c r="D27" s="6" t="s">
        <v>1043</v>
      </c>
      <c r="E27" s="115">
        <v>150333832.76988697</v>
      </c>
      <c r="F27" s="116">
        <v>152106495.81518051</v>
      </c>
      <c r="G27" s="117">
        <v>170976538.75743195</v>
      </c>
      <c r="H27" s="115">
        <v>185423685.69410494</v>
      </c>
      <c r="I27" s="115">
        <v>201091585.23301613</v>
      </c>
      <c r="J27" s="115">
        <v>218083388.32309714</v>
      </c>
      <c r="K27" s="115">
        <v>220638736.78384545</v>
      </c>
      <c r="M27" s="118">
        <f>N46*Input_CPI!R$18</f>
        <v>6847387.8888726411</v>
      </c>
      <c r="N27" s="119">
        <f>O46*Input_CPI!S$18</f>
        <v>7385977.8798029339</v>
      </c>
      <c r="O27" s="117">
        <v>11573416.780832235</v>
      </c>
      <c r="P27" s="115">
        <v>12241426.909192441</v>
      </c>
      <c r="Q27" s="115">
        <v>12947128.97195146</v>
      </c>
      <c r="R27" s="115">
        <v>13692615.329046592</v>
      </c>
      <c r="S27" s="115">
        <v>14480093.145465326</v>
      </c>
    </row>
    <row r="28" spans="1:19" ht="12.75" x14ac:dyDescent="0.3">
      <c r="D28" s="6" t="s">
        <v>695</v>
      </c>
      <c r="E28" s="115">
        <v>150333832.76988697</v>
      </c>
      <c r="F28" s="116">
        <v>152106495.81518051</v>
      </c>
      <c r="G28" s="117">
        <v>170976538.75743198</v>
      </c>
      <c r="H28" s="115">
        <v>185423685.69410494</v>
      </c>
      <c r="I28" s="115">
        <v>201091585.23301613</v>
      </c>
      <c r="J28" s="115">
        <v>218083388.32309714</v>
      </c>
      <c r="K28" s="115">
        <v>220638736.78384548</v>
      </c>
      <c r="M28" s="115">
        <v>20797713.103779905</v>
      </c>
      <c r="N28" s="116">
        <v>21197818.536514319</v>
      </c>
      <c r="O28" s="117">
        <v>28483759.539896037</v>
      </c>
      <c r="P28" s="115">
        <v>29151769.668256238</v>
      </c>
      <c r="Q28" s="115">
        <v>29857471.731015258</v>
      </c>
      <c r="R28" s="115">
        <v>30602958.088110395</v>
      </c>
      <c r="S28" s="115">
        <v>31390435.904529124</v>
      </c>
    </row>
    <row r="29" spans="1:19" ht="12.75" x14ac:dyDescent="0.3">
      <c r="A29" s="41">
        <f>IF(SUM(E29:K29,M29:S29)&gt;0,1,0)</f>
        <v>0</v>
      </c>
      <c r="D29" s="6" t="s">
        <v>84</v>
      </c>
      <c r="E29" s="62">
        <f>IF(OR(ROUND(E25-SUM(E12:E24),0)&lt;&gt;0,ROUND(E25-E27,0)&lt;&gt;0,ROUND(E25-E28,0)&lt;&gt;0),1,0)</f>
        <v>0</v>
      </c>
      <c r="F29" s="62">
        <f t="shared" ref="F29:K29" si="11">IF(OR(ROUND(F25-SUM(F12:F24),0)&lt;&gt;0,ROUND(F25-F27,0)&lt;&gt;0,ROUND(F25-F28,0)&lt;&gt;0),1,0)</f>
        <v>0</v>
      </c>
      <c r="G29" s="62">
        <f t="shared" si="11"/>
        <v>0</v>
      </c>
      <c r="H29" s="62">
        <f t="shared" si="11"/>
        <v>0</v>
      </c>
      <c r="I29" s="62">
        <f t="shared" si="11"/>
        <v>0</v>
      </c>
      <c r="J29" s="62">
        <f t="shared" si="11"/>
        <v>0</v>
      </c>
      <c r="K29" s="62">
        <f t="shared" si="11"/>
        <v>0</v>
      </c>
      <c r="M29" s="62">
        <f t="shared" ref="M29:N29" si="12">IF(OR(ROUND(M25-SUM(M12:M24),3)&lt;&gt;0,ROUND(M25-M28,3)&lt;&gt;0),1,0)</f>
        <v>0</v>
      </c>
      <c r="N29" s="897">
        <f t="shared" si="12"/>
        <v>0</v>
      </c>
      <c r="O29" s="898">
        <f>IF(OR(ROUND(O25-SUM(O12:O24),3)&lt;&gt;0,ROUND(O25-O28,3)&lt;&gt;0),1,0)</f>
        <v>0</v>
      </c>
      <c r="P29" s="62">
        <f t="shared" ref="P29:S29" si="13">IF(OR(ROUND(P25-SUM(P12:P24),3)&lt;&gt;0,ROUND(P25-P28,3)&lt;&gt;0),1,0)</f>
        <v>0</v>
      </c>
      <c r="Q29" s="62">
        <f t="shared" si="13"/>
        <v>0</v>
      </c>
      <c r="R29" s="62">
        <f t="shared" si="13"/>
        <v>0</v>
      </c>
      <c r="S29" s="62">
        <f t="shared" si="13"/>
        <v>0</v>
      </c>
    </row>
    <row r="30" spans="1:19" ht="11.25" customHeight="1" x14ac:dyDescent="0.3"/>
    <row r="31" spans="1:19" s="7" customFormat="1" ht="13.9" x14ac:dyDescent="0.3">
      <c r="C31" s="7" t="s">
        <v>1105</v>
      </c>
    </row>
    <row r="32" spans="1:19" ht="11.25" customHeight="1" thickBot="1" x14ac:dyDescent="0.35"/>
    <row r="33" spans="13:16" ht="11.25" customHeight="1" thickBot="1" x14ac:dyDescent="0.35">
      <c r="N33" s="417" t="str">
        <f>'WkB_1_2.1.1'!$E$10</f>
        <v>2022-23</v>
      </c>
      <c r="O33" s="418" t="str">
        <f>'WkB_1_2.1.1'!$F$10</f>
        <v>2023-24</v>
      </c>
    </row>
    <row r="34" spans="13:16" ht="11.25" customHeight="1" x14ac:dyDescent="0.3">
      <c r="M34" s="974" t="s">
        <v>937</v>
      </c>
      <c r="N34" s="164">
        <v>76725.269776182031</v>
      </c>
      <c r="O34" s="171">
        <v>77322.539552363916</v>
      </c>
    </row>
    <row r="35" spans="13:16" ht="11.25" customHeight="1" x14ac:dyDescent="0.3">
      <c r="M35" s="975" t="s">
        <v>938</v>
      </c>
      <c r="N35" s="115">
        <v>9147.2537841212816</v>
      </c>
      <c r="O35" s="172">
        <v>9208.7738610503857</v>
      </c>
    </row>
    <row r="36" spans="13:16" ht="11.25" customHeight="1" x14ac:dyDescent="0.3">
      <c r="M36" s="975" t="s">
        <v>939</v>
      </c>
      <c r="N36" s="115">
        <v>2274.9803256996561</v>
      </c>
      <c r="O36" s="172">
        <v>2290.2807609944757</v>
      </c>
    </row>
    <row r="37" spans="13:16" ht="11.25" customHeight="1" thickBot="1" x14ac:dyDescent="0.35">
      <c r="M37" s="976" t="s">
        <v>940</v>
      </c>
      <c r="N37" s="984">
        <v>131.46752567191342</v>
      </c>
      <c r="O37" s="985">
        <v>138.9350513438286</v>
      </c>
    </row>
    <row r="38" spans="13:16" ht="11.25" customHeight="1" thickBot="1" x14ac:dyDescent="0.35">
      <c r="M38" s="58" t="s">
        <v>941</v>
      </c>
      <c r="N38" s="59">
        <f>SUM(N34:N37)</f>
        <v>88278.97141167488</v>
      </c>
      <c r="O38" s="59">
        <f>SUM(O34:O37)</f>
        <v>88960.529225752602</v>
      </c>
    </row>
    <row r="39" spans="13:16" ht="11.25" customHeight="1" thickBot="1" x14ac:dyDescent="0.35"/>
    <row r="40" spans="13:16" ht="11.25" customHeight="1" thickBot="1" x14ac:dyDescent="0.35">
      <c r="M40" s="347" t="s">
        <v>942</v>
      </c>
      <c r="N40" s="977" t="str">
        <f>'WkB_1_2.1.1'!$E$10</f>
        <v>2022-23</v>
      </c>
      <c r="O40" s="821" t="str">
        <f>'WkB_1_2.1.1'!$F$10</f>
        <v>2023-24</v>
      </c>
      <c r="P40" s="986" t="s">
        <v>953</v>
      </c>
    </row>
    <row r="41" spans="13:16" ht="11.25" customHeight="1" x14ac:dyDescent="0.3">
      <c r="M41" s="974" t="s">
        <v>937</v>
      </c>
      <c r="N41" s="978">
        <v>71.989999999999995</v>
      </c>
      <c r="O41" s="979">
        <f>N41*(1-O$48)*(1+O$49)</f>
        <v>80.291598840000006</v>
      </c>
    </row>
    <row r="42" spans="13:16" ht="11.25" customHeight="1" x14ac:dyDescent="0.3">
      <c r="M42" s="975" t="s">
        <v>938</v>
      </c>
      <c r="N42" s="980">
        <v>79.25</v>
      </c>
      <c r="O42" s="981">
        <f t="shared" ref="O42:O44" si="14">N42*(1-O$48)*(1+O$49)</f>
        <v>88.388793000000007</v>
      </c>
    </row>
    <row r="43" spans="13:16" ht="11.25" customHeight="1" x14ac:dyDescent="0.3">
      <c r="M43" s="975" t="s">
        <v>939</v>
      </c>
      <c r="N43" s="980">
        <v>134.22999999999999</v>
      </c>
      <c r="O43" s="981">
        <f t="shared" si="14"/>
        <v>149.70886668</v>
      </c>
    </row>
    <row r="44" spans="13:16" ht="11.25" customHeight="1" thickBot="1" x14ac:dyDescent="0.35">
      <c r="M44" s="976" t="s">
        <v>940</v>
      </c>
      <c r="N44" s="982">
        <f>N43</f>
        <v>134.22999999999999</v>
      </c>
      <c r="O44" s="983">
        <f t="shared" si="14"/>
        <v>149.70886668</v>
      </c>
    </row>
    <row r="45" spans="13:16" ht="11.25" customHeight="1" x14ac:dyDescent="0.3"/>
    <row r="46" spans="13:16" ht="11.25" customHeight="1" x14ac:dyDescent="0.3">
      <c r="M46" s="347" t="s">
        <v>943</v>
      </c>
      <c r="N46" s="887">
        <f>SUMPRODUCT(N34:N37,N41:N44)</f>
        <v>6571389.528668561</v>
      </c>
      <c r="O46" s="887">
        <f>SUMPRODUCT(O34:O37,O41:O44)</f>
        <v>7385977.8798029339</v>
      </c>
    </row>
    <row r="47" spans="13:16" ht="11.25" customHeight="1" x14ac:dyDescent="0.3"/>
    <row r="48" spans="13:16" ht="11.25" customHeight="1" x14ac:dyDescent="0.3">
      <c r="M48" s="347" t="s">
        <v>951</v>
      </c>
      <c r="O48" s="987">
        <v>-3.27E-2</v>
      </c>
    </row>
    <row r="49" spans="2:16" ht="11.25" customHeight="1" x14ac:dyDescent="0.3">
      <c r="M49" s="347" t="s">
        <v>952</v>
      </c>
      <c r="O49" s="987">
        <v>0.08</v>
      </c>
      <c r="P49" s="986" t="s">
        <v>954</v>
      </c>
    </row>
    <row r="50" spans="2:16" ht="11.25" customHeight="1" x14ac:dyDescent="0.3"/>
    <row r="51" spans="2:16" ht="11.25" customHeight="1" x14ac:dyDescent="0.3"/>
    <row r="52" spans="2:16" s="46" customFormat="1" ht="15" x14ac:dyDescent="0.3">
      <c r="B52" s="46" t="s">
        <v>16</v>
      </c>
    </row>
  </sheetData>
  <conditionalFormatting sqref="B3">
    <cfRule type="cellIs" dxfId="474" priority="4" operator="notEqual">
      <formula>"No Errors Found"</formula>
    </cfRule>
  </conditionalFormatting>
  <conditionalFormatting sqref="K12:K24">
    <cfRule type="expression" dxfId="473" priority="3">
      <formula>(dms_FRCPlength_Num)&lt;5</formula>
    </cfRule>
  </conditionalFormatting>
  <conditionalFormatting sqref="S12:S24">
    <cfRule type="expression" dxfId="472" priority="1">
      <formula>(dms_FRCPlength_Num)&lt;5</formula>
    </cfRule>
  </conditionalFormatting>
  <hyperlinks>
    <hyperlink ref="B2:E2" location="TOC!A1" display="TOC!A1" xr:uid="{ED306099-EB4D-4738-B00C-06618664CF7D}"/>
    <hyperlink ref="F2" location="TOC!A1" display="TOC!A1" xr:uid="{D592649E-5EDB-430F-8BDF-F5F126564F73}"/>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60AB-BADE-4426-8DC9-B0E56E6C34ED}">
  <sheetPr codeName="Sheet32">
    <tabColor theme="4" tint="0.79998168889431442"/>
  </sheetPr>
  <dimension ref="A1:S37"/>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7.5" style="45" customWidth="1"/>
    <col min="5" max="11" width="17.6640625" style="45" customWidth="1"/>
    <col min="12" max="12" width="4.5" style="45" customWidth="1"/>
    <col min="13" max="19" width="17.6640625" style="45" customWidth="1"/>
    <col min="20" max="31" width="10.6640625" style="45" customWidth="1"/>
    <col min="32" max="16384" width="9.33203125" style="45"/>
  </cols>
  <sheetData>
    <row r="1" spans="1:19" ht="18.75" x14ac:dyDescent="0.3">
      <c r="A1" s="41">
        <f>IF(SUM($A3:$A37)&gt;0,1,0)</f>
        <v>0</v>
      </c>
      <c r="B1" s="3" t="s">
        <v>1106</v>
      </c>
    </row>
    <row r="2" spans="1:19" customFormat="1" x14ac:dyDescent="0.3">
      <c r="B2" s="34" t="str">
        <f>TOC!$B$1</f>
        <v>Table of contents</v>
      </c>
      <c r="C2" s="34"/>
      <c r="D2" s="34"/>
      <c r="E2" s="34"/>
    </row>
    <row r="3" spans="1:19" x14ac:dyDescent="0.3">
      <c r="B3" s="9" t="str">
        <f>Title_Msg</f>
        <v>No Errors Found</v>
      </c>
    </row>
    <row r="4" spans="1:19" s="46" customFormat="1" ht="15" x14ac:dyDescent="0.3">
      <c r="B4" s="46" t="str">
        <f>'WkB_1_2.1.1'!$B$4</f>
        <v>Data required to populate Power and Water Corporation 2024-29 regulatory submission</v>
      </c>
    </row>
    <row r="5" spans="1:19" ht="4.5" customHeight="1" x14ac:dyDescent="0.3"/>
    <row r="6" spans="1:19" s="7" customFormat="1" ht="13.9" x14ac:dyDescent="0.3">
      <c r="C6" s="7" t="str">
        <f>'WkB_1_2.1.1'!$C$6</f>
        <v>Output - RIN template</v>
      </c>
    </row>
    <row r="7" spans="1:19" ht="11.25" customHeight="1" x14ac:dyDescent="0.3"/>
    <row r="8" spans="1:19" ht="18" x14ac:dyDescent="0.3">
      <c r="D8" s="48" t="s">
        <v>490</v>
      </c>
      <c r="E8" s="48"/>
      <c r="F8" s="48"/>
      <c r="G8" s="48"/>
      <c r="H8" s="48"/>
      <c r="I8" s="48"/>
      <c r="J8" s="48"/>
      <c r="K8" s="48"/>
      <c r="L8" s="48"/>
      <c r="M8" s="48"/>
      <c r="N8" s="48"/>
      <c r="O8" s="48"/>
      <c r="P8" s="48"/>
      <c r="Q8" s="48"/>
      <c r="R8" s="48"/>
      <c r="S8" s="48"/>
    </row>
    <row r="9" spans="1:19" ht="14.65" thickBot="1" x14ac:dyDescent="0.5">
      <c r="E9" s="600" t="s">
        <v>483</v>
      </c>
      <c r="F9" s="600"/>
      <c r="G9" s="600"/>
      <c r="H9" s="600"/>
      <c r="I9" s="600"/>
      <c r="J9" s="600"/>
      <c r="K9" s="600"/>
      <c r="M9" s="600" t="s">
        <v>484</v>
      </c>
      <c r="N9" s="600"/>
      <c r="O9" s="600"/>
      <c r="P9" s="600"/>
      <c r="Q9" s="600"/>
      <c r="R9" s="600"/>
      <c r="S9" s="600"/>
    </row>
    <row r="10" spans="1:19" ht="28.15" customHeight="1" thickBot="1" x14ac:dyDescent="0.35">
      <c r="D10"/>
      <c r="E10" s="422" t="str">
        <f>'WkB_1_2.1.1'!$E$9</f>
        <v>Forecast 
($0's. real June 2024)</v>
      </c>
      <c r="F10" s="423"/>
      <c r="G10" s="423"/>
      <c r="H10" s="423"/>
      <c r="I10" s="423"/>
      <c r="J10" s="423"/>
      <c r="K10" s="424"/>
      <c r="M10" s="422" t="str">
        <f>'WkB_1_2.1.1'!$E$9</f>
        <v>Forecast 
($0's. real June 2024)</v>
      </c>
      <c r="N10" s="423"/>
      <c r="O10" s="423"/>
      <c r="P10" s="423"/>
      <c r="Q10" s="423"/>
      <c r="R10" s="423"/>
      <c r="S10" s="424"/>
    </row>
    <row r="11" spans="1:19" ht="18.600000000000001" customHeight="1" thickBot="1" x14ac:dyDescent="0.35">
      <c r="D11"/>
      <c r="E11" s="417" t="str">
        <f>'WkB_1_2.1.1'!$E$10</f>
        <v>2022-23</v>
      </c>
      <c r="F11" s="418" t="str">
        <f>'WkB_1_2.1.1'!$F$10</f>
        <v>2023-24</v>
      </c>
      <c r="G11" s="419" t="str">
        <f>'WkB_1_2.1.1'!$G$10</f>
        <v>2024-25</v>
      </c>
      <c r="H11" s="420" t="str">
        <f>'WkB_1_2.1.1'!$H$10</f>
        <v>2025-26</v>
      </c>
      <c r="I11" s="420" t="str">
        <f>'WkB_1_2.1.1'!$I$10</f>
        <v>2026-27</v>
      </c>
      <c r="J11" s="420" t="str">
        <f>'WkB_1_2.1.1'!$J$10</f>
        <v>2027-28</v>
      </c>
      <c r="K11" s="421" t="str">
        <f>'WkB_1_2.1.1'!$K$10</f>
        <v>2028-29</v>
      </c>
      <c r="M11" s="417" t="str">
        <f>'WkB_1_2.1.1'!$E$10</f>
        <v>2022-23</v>
      </c>
      <c r="N11" s="418" t="str">
        <f>'WkB_1_2.1.1'!$F$10</f>
        <v>2023-24</v>
      </c>
      <c r="O11" s="419" t="str">
        <f>'WkB_1_2.1.1'!$G$10</f>
        <v>2024-25</v>
      </c>
      <c r="P11" s="420" t="str">
        <f>'WkB_1_2.1.1'!$H$10</f>
        <v>2025-26</v>
      </c>
      <c r="Q11" s="420" t="str">
        <f>'WkB_1_2.1.1'!$I$10</f>
        <v>2026-27</v>
      </c>
      <c r="R11" s="420" t="str">
        <f>'WkB_1_2.1.1'!$J$10</f>
        <v>2027-28</v>
      </c>
      <c r="S11" s="421" t="str">
        <f>'WkB_1_2.1.1'!$K$10</f>
        <v>2028-29</v>
      </c>
    </row>
    <row r="12" spans="1:19" ht="14.25" x14ac:dyDescent="0.45">
      <c r="D12" s="95" t="s">
        <v>485</v>
      </c>
      <c r="E12" s="51">
        <v>91288458.458546475</v>
      </c>
      <c r="F12" s="52">
        <v>96726646.990485623</v>
      </c>
      <c r="G12" s="51">
        <v>93233506.584427655</v>
      </c>
      <c r="H12" s="53">
        <v>100870485.01759309</v>
      </c>
      <c r="I12" s="53">
        <v>107785089.68489666</v>
      </c>
      <c r="J12" s="53">
        <v>115693237.50540303</v>
      </c>
      <c r="K12" s="52">
        <v>116894402.74808134</v>
      </c>
      <c r="M12" s="158">
        <f t="shared" ref="M12:S17" si="0">M$20*$Q29</f>
        <v>10814640.998597533</v>
      </c>
      <c r="N12" s="52">
        <f t="shared" si="0"/>
        <v>11022692.556719314</v>
      </c>
      <c r="O12" s="51">
        <f t="shared" si="0"/>
        <v>14811322.388054671</v>
      </c>
      <c r="P12" s="53">
        <f t="shared" si="0"/>
        <v>15158682.200433737</v>
      </c>
      <c r="Q12" s="53">
        <f t="shared" si="0"/>
        <v>15525641.510941846</v>
      </c>
      <c r="R12" s="53">
        <f t="shared" si="0"/>
        <v>15913288.32966207</v>
      </c>
      <c r="S12" s="98">
        <f t="shared" si="0"/>
        <v>16322770.364366176</v>
      </c>
    </row>
    <row r="13" spans="1:19" ht="14.25" x14ac:dyDescent="0.45">
      <c r="D13" s="96" t="s">
        <v>486</v>
      </c>
      <c r="E13" s="55">
        <v>29129311.808810841</v>
      </c>
      <c r="F13" s="56">
        <v>23289788.552589588</v>
      </c>
      <c r="G13" s="55">
        <v>52011063.090010807</v>
      </c>
      <c r="H13" s="57">
        <v>56739647.822396107</v>
      </c>
      <c r="I13" s="57">
        <v>63142757.763167061</v>
      </c>
      <c r="J13" s="57">
        <v>69677642.569229528</v>
      </c>
      <c r="K13" s="56">
        <v>70648523.518187314</v>
      </c>
      <c r="M13" s="159">
        <f t="shared" si="0"/>
        <v>2023815.4599837277</v>
      </c>
      <c r="N13" s="56">
        <f t="shared" si="0"/>
        <v>2062749.5272223137</v>
      </c>
      <c r="O13" s="55">
        <f t="shared" si="0"/>
        <v>2771740.942268488</v>
      </c>
      <c r="P13" s="57">
        <f t="shared" si="0"/>
        <v>2836744.6865962897</v>
      </c>
      <c r="Q13" s="57">
        <f t="shared" si="0"/>
        <v>2905416.2149334387</v>
      </c>
      <c r="R13" s="57">
        <f t="shared" si="0"/>
        <v>2977959.1338191638</v>
      </c>
      <c r="S13" s="99">
        <f t="shared" si="0"/>
        <v>3054588.2214169153</v>
      </c>
    </row>
    <row r="14" spans="1:19" ht="14.25" x14ac:dyDescent="0.45">
      <c r="D14" s="96" t="s">
        <v>487</v>
      </c>
      <c r="E14" s="55">
        <v>14703763.759326508</v>
      </c>
      <c r="F14" s="56">
        <v>16142809.311299318</v>
      </c>
      <c r="G14" s="55">
        <v>16755700.798228335</v>
      </c>
      <c r="H14" s="57">
        <v>18264233.040869333</v>
      </c>
      <c r="I14" s="57">
        <v>19908066.938068599</v>
      </c>
      <c r="J14" s="57">
        <v>21699297.138148163</v>
      </c>
      <c r="K14" s="56">
        <v>22063873.678384546</v>
      </c>
      <c r="M14" s="159">
        <f t="shared" si="0"/>
        <v>5309163.5617366098</v>
      </c>
      <c r="N14" s="56">
        <f t="shared" si="0"/>
        <v>5411301.0022199266</v>
      </c>
      <c r="O14" s="55">
        <f t="shared" si="0"/>
        <v>7271229.172932433</v>
      </c>
      <c r="P14" s="57">
        <f t="shared" si="0"/>
        <v>7441756.3368885703</v>
      </c>
      <c r="Q14" s="57">
        <f t="shared" si="0"/>
        <v>7621905.3589635789</v>
      </c>
      <c r="R14" s="57">
        <f t="shared" si="0"/>
        <v>7812210.3690919252</v>
      </c>
      <c r="S14" s="99">
        <f t="shared" si="0"/>
        <v>8013234.8042182261</v>
      </c>
    </row>
    <row r="15" spans="1:19" ht="14.25" x14ac:dyDescent="0.45">
      <c r="D15" s="96" t="s">
        <v>488</v>
      </c>
      <c r="E15" s="55">
        <v>14180571.742407091</v>
      </c>
      <c r="F15" s="56">
        <v>14819345.101710157</v>
      </c>
      <c r="G15" s="55">
        <v>7266502.8971908595</v>
      </c>
      <c r="H15" s="57">
        <v>7695082.9563053548</v>
      </c>
      <c r="I15" s="57">
        <v>8244754.9945536628</v>
      </c>
      <c r="J15" s="57">
        <v>8832377.227085432</v>
      </c>
      <c r="K15" s="56">
        <v>8825549.4713538177</v>
      </c>
      <c r="M15" s="159">
        <f t="shared" si="0"/>
        <v>1661280.7178411693</v>
      </c>
      <c r="N15" s="56">
        <f t="shared" si="0"/>
        <v>1693240.3586530418</v>
      </c>
      <c r="O15" s="55">
        <f t="shared" si="0"/>
        <v>2275227.1011303449</v>
      </c>
      <c r="P15" s="57">
        <f t="shared" si="0"/>
        <v>2328586.4459789721</v>
      </c>
      <c r="Q15" s="57">
        <f t="shared" si="0"/>
        <v>2384956.5489586708</v>
      </c>
      <c r="R15" s="57">
        <f t="shared" si="0"/>
        <v>2444504.5436961651</v>
      </c>
      <c r="S15" s="99">
        <f t="shared" si="0"/>
        <v>2507406.7342214468</v>
      </c>
    </row>
    <row r="16" spans="1:19" ht="14.25" x14ac:dyDescent="0.45">
      <c r="D16" s="598" t="s">
        <v>476</v>
      </c>
      <c r="E16" s="55">
        <v>1031727.000796051</v>
      </c>
      <c r="F16" s="56">
        <v>1127905.8590958074</v>
      </c>
      <c r="G16" s="55">
        <v>1709765.3875743197</v>
      </c>
      <c r="H16" s="57">
        <v>1854236.8569410492</v>
      </c>
      <c r="I16" s="57">
        <v>2010915.8523301615</v>
      </c>
      <c r="J16" s="57">
        <v>2180833.8832309716</v>
      </c>
      <c r="K16" s="56">
        <v>2206387.3678384544</v>
      </c>
      <c r="M16" s="159">
        <f t="shared" si="0"/>
        <v>110098.83604197224</v>
      </c>
      <c r="N16" s="56">
        <f t="shared" si="0"/>
        <v>112216.91230441105</v>
      </c>
      <c r="O16" s="55">
        <f t="shared" si="0"/>
        <v>150787.19260109492</v>
      </c>
      <c r="P16" s="57">
        <f t="shared" si="0"/>
        <v>154323.50148417783</v>
      </c>
      <c r="Q16" s="57">
        <f t="shared" si="0"/>
        <v>158059.34375272351</v>
      </c>
      <c r="R16" s="57">
        <f t="shared" si="0"/>
        <v>162005.79593195024</v>
      </c>
      <c r="S16" s="99">
        <f t="shared" si="0"/>
        <v>166174.54230151232</v>
      </c>
    </row>
    <row r="17" spans="1:19" ht="14.65" thickBot="1" x14ac:dyDescent="0.5">
      <c r="D17" s="97" t="s">
        <v>489</v>
      </c>
      <c r="E17" s="55">
        <v>0</v>
      </c>
      <c r="F17" s="56">
        <v>0</v>
      </c>
      <c r="G17" s="55">
        <v>0</v>
      </c>
      <c r="H17" s="57">
        <v>0</v>
      </c>
      <c r="I17" s="57">
        <v>0</v>
      </c>
      <c r="J17" s="57">
        <v>0</v>
      </c>
      <c r="K17" s="56">
        <v>0</v>
      </c>
      <c r="M17" s="160">
        <f t="shared" si="0"/>
        <v>878713.52957889275</v>
      </c>
      <c r="N17" s="161">
        <f t="shared" si="0"/>
        <v>895618.17939531174</v>
      </c>
      <c r="O17" s="162">
        <f t="shared" si="0"/>
        <v>1203452.7429090061</v>
      </c>
      <c r="P17" s="100">
        <f t="shared" si="0"/>
        <v>1231676.4968744917</v>
      </c>
      <c r="Q17" s="100">
        <f t="shared" si="0"/>
        <v>1261492.7534650003</v>
      </c>
      <c r="R17" s="100">
        <f t="shared" si="0"/>
        <v>1292989.9159091213</v>
      </c>
      <c r="S17" s="101">
        <f t="shared" si="0"/>
        <v>1326261.2380048481</v>
      </c>
    </row>
    <row r="18" spans="1:19" ht="13.5" thickBot="1" x14ac:dyDescent="0.35">
      <c r="D18" s="58" t="s">
        <v>81</v>
      </c>
      <c r="E18" s="59">
        <f t="shared" ref="E18:K18" si="1">SUM(E12:E17)</f>
        <v>150333832.76988697</v>
      </c>
      <c r="F18" s="59">
        <f t="shared" si="1"/>
        <v>152106495.81518051</v>
      </c>
      <c r="G18" s="59">
        <f t="shared" si="1"/>
        <v>170976538.75743198</v>
      </c>
      <c r="H18" s="59">
        <f t="shared" si="1"/>
        <v>185423685.69410491</v>
      </c>
      <c r="I18" s="59">
        <f t="shared" si="1"/>
        <v>201091585.23301613</v>
      </c>
      <c r="J18" s="59">
        <f t="shared" si="1"/>
        <v>218083388.32309714</v>
      </c>
      <c r="K18" s="60">
        <f t="shared" si="1"/>
        <v>220638736.78384548</v>
      </c>
      <c r="M18" s="157">
        <f t="shared" ref="M18:S18" si="2">SUM(M12:M17)</f>
        <v>20797713.103779905</v>
      </c>
      <c r="N18" s="59">
        <f t="shared" si="2"/>
        <v>21197818.536514319</v>
      </c>
      <c r="O18" s="59">
        <f t="shared" si="2"/>
        <v>28483759.539896037</v>
      </c>
      <c r="P18" s="59">
        <f t="shared" si="2"/>
        <v>29151769.668256242</v>
      </c>
      <c r="Q18" s="59">
        <f t="shared" si="2"/>
        <v>29857471.731015258</v>
      </c>
      <c r="R18" s="59">
        <f t="shared" si="2"/>
        <v>30602958.088110395</v>
      </c>
      <c r="S18" s="60">
        <f t="shared" si="2"/>
        <v>31390435.904529124</v>
      </c>
    </row>
    <row r="19" spans="1:19" ht="11.25" customHeight="1" x14ac:dyDescent="0.3"/>
    <row r="20" spans="1:19" ht="12.75" x14ac:dyDescent="0.3">
      <c r="D20" s="6" t="s">
        <v>700</v>
      </c>
      <c r="E20" s="118">
        <f>'WkB_1_3.1.1'!E25</f>
        <v>150333832.76988697</v>
      </c>
      <c r="F20" s="119">
        <f>'WkB_1_3.1.1'!F25</f>
        <v>152106495.81518051</v>
      </c>
      <c r="G20" s="120">
        <f>'WkB_1_3.1.1'!G25</f>
        <v>170976538.75743195</v>
      </c>
      <c r="H20" s="118">
        <f>'WkB_1_3.1.1'!H25</f>
        <v>185423685.69410494</v>
      </c>
      <c r="I20" s="118">
        <f>'WkB_1_3.1.1'!I25</f>
        <v>201091585.2330161</v>
      </c>
      <c r="J20" s="118">
        <f>'WkB_1_3.1.1'!J25</f>
        <v>218083388.32309714</v>
      </c>
      <c r="K20" s="118">
        <f>'WkB_1_3.1.1'!K25</f>
        <v>220638736.78384545</v>
      </c>
      <c r="M20" s="118">
        <f>'WkB_1_3.1.1'!M25</f>
        <v>20797713.103779905</v>
      </c>
      <c r="N20" s="119">
        <f>'WkB_1_3.1.1'!N25</f>
        <v>21197818.536514319</v>
      </c>
      <c r="O20" s="120">
        <f>'WkB_1_3.1.1'!O25</f>
        <v>28483759.539896037</v>
      </c>
      <c r="P20" s="118">
        <f>'WkB_1_3.1.1'!P25</f>
        <v>29151769.668256238</v>
      </c>
      <c r="Q20" s="118">
        <f>'WkB_1_3.1.1'!Q25</f>
        <v>29857471.731015258</v>
      </c>
      <c r="R20" s="118">
        <f>'WkB_1_3.1.1'!R25</f>
        <v>30602958.088110395</v>
      </c>
      <c r="S20" s="118">
        <f>'WkB_1_3.1.1'!S25</f>
        <v>31390435.904529124</v>
      </c>
    </row>
    <row r="21" spans="1:19" ht="12.75" x14ac:dyDescent="0.3">
      <c r="D21" s="6" t="s">
        <v>695</v>
      </c>
      <c r="E21" s="115">
        <v>150333832.76988697</v>
      </c>
      <c r="F21" s="115">
        <v>152106495.81518051</v>
      </c>
      <c r="G21" s="115">
        <v>170976538.75743195</v>
      </c>
      <c r="H21" s="115">
        <v>185423685.69410494</v>
      </c>
      <c r="I21" s="115">
        <v>201091585.23301613</v>
      </c>
      <c r="J21" s="115">
        <v>218083388.32309714</v>
      </c>
      <c r="K21" s="115">
        <v>220638736.78384545</v>
      </c>
      <c r="M21" s="115">
        <v>20797713.103779905</v>
      </c>
      <c r="N21" s="115">
        <v>21197818.536514319</v>
      </c>
      <c r="O21" s="115">
        <v>28483759.539896037</v>
      </c>
      <c r="P21" s="115">
        <v>29151769.668256242</v>
      </c>
      <c r="Q21" s="115">
        <v>29857471.731015258</v>
      </c>
      <c r="R21" s="115">
        <v>30602958.088110395</v>
      </c>
      <c r="S21" s="115">
        <v>31390435.904529124</v>
      </c>
    </row>
    <row r="22" spans="1:19" ht="12.75" x14ac:dyDescent="0.3">
      <c r="A22" s="41">
        <f>IF(SUM(E22:K22,M22:S22)&gt;0,1,0)</f>
        <v>0</v>
      </c>
      <c r="D22" s="6" t="s">
        <v>84</v>
      </c>
      <c r="E22" s="62">
        <f>IF(OR(ROUND(E18-SUM(E12:E17),0)&lt;&gt;0,ROUND(E18-E20,0)&lt;&gt;0,ROUND(E18-E21,0)&lt;&gt;0),1,0)</f>
        <v>0</v>
      </c>
      <c r="F22" s="62">
        <f t="shared" ref="F22:K22" si="3">IF(OR(ROUND(F18-SUM(F12:F17),0)&lt;&gt;0,ROUND(F18-F20,0)&lt;&gt;0,ROUND(F18-F21,0)&lt;&gt;0),1,0)</f>
        <v>0</v>
      </c>
      <c r="G22" s="62">
        <f t="shared" si="3"/>
        <v>0</v>
      </c>
      <c r="H22" s="62">
        <f t="shared" si="3"/>
        <v>0</v>
      </c>
      <c r="I22" s="62">
        <f t="shared" si="3"/>
        <v>0</v>
      </c>
      <c r="J22" s="62">
        <f t="shared" si="3"/>
        <v>0</v>
      </c>
      <c r="K22" s="62">
        <f t="shared" si="3"/>
        <v>0</v>
      </c>
      <c r="M22" s="62">
        <f>IF(OR(ROUND(M18-SUM(M12:M17),3)&lt;&gt;0,ROUND(M18-M20,3)&lt;&gt;0,ROUND(M18-M21,3)&lt;&gt;0),1,0)</f>
        <v>0</v>
      </c>
      <c r="N22" s="62">
        <f t="shared" ref="N22" si="4">IF(OR(ROUND(N18-SUM(N12:N17),3)&lt;&gt;0,ROUND(N18-N20,3)&lt;&gt;0,ROUND(N18-N21,3)&lt;&gt;0),1,0)</f>
        <v>0</v>
      </c>
      <c r="O22" s="62">
        <f t="shared" ref="O22" si="5">IF(OR(ROUND(O18-SUM(O12:O17),3)&lt;&gt;0,ROUND(O18-O20,3)&lt;&gt;0,ROUND(O18-O21,3)&lt;&gt;0),1,0)</f>
        <v>0</v>
      </c>
      <c r="P22" s="62">
        <f t="shared" ref="P22" si="6">IF(OR(ROUND(P18-SUM(P12:P17),3)&lt;&gt;0,ROUND(P18-P20,3)&lt;&gt;0,ROUND(P18-P21,3)&lt;&gt;0),1,0)</f>
        <v>0</v>
      </c>
      <c r="Q22" s="62">
        <f t="shared" ref="Q22" si="7">IF(OR(ROUND(Q18-SUM(Q12:Q17),3)&lt;&gt;0,ROUND(Q18-Q20,3)&lt;&gt;0,ROUND(Q18-Q21,3)&lt;&gt;0),1,0)</f>
        <v>0</v>
      </c>
      <c r="R22" s="62">
        <f t="shared" ref="R22" si="8">IF(OR(ROUND(R18-SUM(R12:R17),3)&lt;&gt;0,ROUND(R18-R20,3)&lt;&gt;0,ROUND(R18-R21,3)&lt;&gt;0),1,0)</f>
        <v>0</v>
      </c>
      <c r="S22" s="62">
        <f t="shared" ref="S22" si="9">IF(OR(ROUND(S18-SUM(S12:S17),3)&lt;&gt;0,ROUND(S18-S20,3)&lt;&gt;0,ROUND(S18-S21,3)&lt;&gt;0),1,0)</f>
        <v>0</v>
      </c>
    </row>
    <row r="23" spans="1:19" ht="11.25" customHeight="1" x14ac:dyDescent="0.3"/>
    <row r="24" spans="1:19" s="7" customFormat="1" ht="13.9" x14ac:dyDescent="0.3">
      <c r="C24" s="7" t="s">
        <v>1005</v>
      </c>
    </row>
    <row r="25" spans="1:19" ht="11.25" customHeight="1" x14ac:dyDescent="0.3"/>
    <row r="26" spans="1:19" ht="11.25" customHeight="1" thickBot="1" x14ac:dyDescent="0.5">
      <c r="M26" s="600" t="s">
        <v>484</v>
      </c>
      <c r="N26" s="600"/>
      <c r="O26" s="600"/>
    </row>
    <row r="27" spans="1:19" ht="26.65" customHeight="1" thickBot="1" x14ac:dyDescent="0.35">
      <c r="D27"/>
      <c r="M27" s="601" t="s">
        <v>113</v>
      </c>
      <c r="N27" s="602"/>
      <c r="O27" s="602"/>
      <c r="P27" s="603"/>
    </row>
    <row r="28" spans="1:19" ht="26.65" thickBot="1" x14ac:dyDescent="0.35">
      <c r="D28"/>
      <c r="M28" s="486" t="s">
        <v>170</v>
      </c>
      <c r="N28" s="487" t="s">
        <v>172</v>
      </c>
      <c r="O28" s="487" t="s">
        <v>69</v>
      </c>
      <c r="P28" s="605" t="s">
        <v>81</v>
      </c>
      <c r="Q28" s="606" t="s">
        <v>679</v>
      </c>
    </row>
    <row r="29" spans="1:19" ht="12.75" x14ac:dyDescent="0.3">
      <c r="L29" s="988" t="str">
        <f t="shared" ref="L29:L34" si="10">D12</f>
        <v xml:space="preserve">Revenue from residential Customers </v>
      </c>
      <c r="M29" s="163">
        <v>5157645.09</v>
      </c>
      <c r="N29" s="164">
        <v>5444049</v>
      </c>
      <c r="O29" s="171">
        <v>6037513.4800000004</v>
      </c>
      <c r="P29" s="168">
        <f t="shared" ref="P29:P34" si="11">SUM(M29:O29)</f>
        <v>16639207.57</v>
      </c>
      <c r="Q29" s="170">
        <f>IF($O$35=0,0,O29/$O$35)</f>
        <v>0.51999183490188705</v>
      </c>
    </row>
    <row r="30" spans="1:19" ht="12.75" x14ac:dyDescent="0.3">
      <c r="L30" s="989" t="str">
        <f t="shared" si="10"/>
        <v xml:space="preserve">Revenue from Non residential customers not on demand tariffs </v>
      </c>
      <c r="M30" s="165">
        <v>1103488.93</v>
      </c>
      <c r="N30" s="115">
        <v>1230310</v>
      </c>
      <c r="O30" s="172">
        <v>1129839.92</v>
      </c>
      <c r="P30" s="169">
        <f t="shared" si="11"/>
        <v>3463638.8499999996</v>
      </c>
      <c r="Q30" s="155">
        <f t="shared" ref="Q30:Q35" si="12">IF($O$35=0,0,O30/$O$35)</f>
        <v>9.7309519074763415E-2</v>
      </c>
    </row>
    <row r="31" spans="1:19" ht="12.75" x14ac:dyDescent="0.3">
      <c r="L31" s="989" t="str">
        <f t="shared" si="10"/>
        <v xml:space="preserve">Revenue from Non-residential low voltage demand tariff customers </v>
      </c>
      <c r="M31" s="165">
        <v>2842409.87</v>
      </c>
      <c r="N31" s="115">
        <v>3238289</v>
      </c>
      <c r="O31" s="172">
        <v>2963958.45</v>
      </c>
      <c r="P31" s="169">
        <f t="shared" si="11"/>
        <v>9044657.3200000003</v>
      </c>
      <c r="Q31" s="155">
        <f t="shared" si="12"/>
        <v>0.25527631500848474</v>
      </c>
    </row>
    <row r="32" spans="1:19" ht="12.75" x14ac:dyDescent="0.3">
      <c r="L32" s="989" t="str">
        <f t="shared" si="10"/>
        <v xml:space="preserve">Revenue from Non-residential high voltage demand tariff customers </v>
      </c>
      <c r="M32" s="165">
        <v>971970.41</v>
      </c>
      <c r="N32" s="115">
        <v>999513</v>
      </c>
      <c r="O32" s="172">
        <v>927446.85</v>
      </c>
      <c r="P32" s="169">
        <f t="shared" si="11"/>
        <v>2898930.2600000002</v>
      </c>
      <c r="Q32" s="155">
        <f t="shared" si="12"/>
        <v>7.9878047627228679E-2</v>
      </c>
    </row>
    <row r="33" spans="2:17" ht="12.75" x14ac:dyDescent="0.3">
      <c r="L33" s="990" t="str">
        <f t="shared" si="10"/>
        <v>Revenue from unmetered supplies</v>
      </c>
      <c r="M33" s="165">
        <v>0</v>
      </c>
      <c r="N33" s="115">
        <v>92835</v>
      </c>
      <c r="O33" s="172">
        <v>61465.120000000003</v>
      </c>
      <c r="P33" s="169">
        <f t="shared" si="11"/>
        <v>154300.12</v>
      </c>
      <c r="Q33" s="155">
        <f t="shared" si="12"/>
        <v>5.2937953078101745E-3</v>
      </c>
    </row>
    <row r="34" spans="2:17" ht="13.15" thickBot="1" x14ac:dyDescent="0.35">
      <c r="L34" s="991" t="str">
        <f t="shared" si="10"/>
        <v>Revenue from Other Customers</v>
      </c>
      <c r="M34" s="165">
        <v>2840969.99</v>
      </c>
      <c r="N34" s="115">
        <v>27849</v>
      </c>
      <c r="O34" s="172">
        <v>490561.34</v>
      </c>
      <c r="P34" s="169">
        <f t="shared" si="11"/>
        <v>3359380.33</v>
      </c>
      <c r="Q34" s="155">
        <f t="shared" si="12"/>
        <v>4.2250488079825947E-2</v>
      </c>
    </row>
    <row r="35" spans="2:17" ht="13.5" thickBot="1" x14ac:dyDescent="0.35">
      <c r="L35" s="157" t="s">
        <v>81</v>
      </c>
      <c r="M35" s="157">
        <f>SUM(M29:M34)</f>
        <v>12916484.290000001</v>
      </c>
      <c r="N35" s="59">
        <f t="shared" ref="N35" si="13">SUM(N29:N34)</f>
        <v>11032845</v>
      </c>
      <c r="O35" s="59">
        <f t="shared" ref="O35" si="14">SUM(O29:O34)</f>
        <v>11610785.16</v>
      </c>
      <c r="P35" s="60">
        <f>SUM(P29:P34)</f>
        <v>35560114.450000003</v>
      </c>
      <c r="Q35" s="156">
        <f t="shared" si="12"/>
        <v>1</v>
      </c>
    </row>
    <row r="36" spans="2:17" ht="11.25" customHeight="1" x14ac:dyDescent="0.3"/>
    <row r="37" spans="2:17" s="46" customFormat="1" ht="15" x14ac:dyDescent="0.3">
      <c r="B37" s="46" t="s">
        <v>16</v>
      </c>
    </row>
  </sheetData>
  <conditionalFormatting sqref="B3">
    <cfRule type="cellIs" dxfId="471" priority="3" operator="notEqual">
      <formula>"No Errors Found"</formula>
    </cfRule>
  </conditionalFormatting>
  <conditionalFormatting sqref="K12:K17">
    <cfRule type="expression" dxfId="470" priority="2">
      <formula>(dms_FRCPlength_Num)&lt;5</formula>
    </cfRule>
  </conditionalFormatting>
  <conditionalFormatting sqref="S12:S17">
    <cfRule type="expression" dxfId="469" priority="1">
      <formula>(dms_FRCPlength_Num)&lt;5</formula>
    </cfRule>
  </conditionalFormatting>
  <hyperlinks>
    <hyperlink ref="B2:E2" location="TOC!A1" display="TOC!A1" xr:uid="{CE17EEBC-7891-43DF-AFC8-AE03358E710A}"/>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AE40-2403-4E02-9BC4-ACD68D5D6B04}">
  <sheetPr codeName="Sheet33">
    <tabColor theme="4" tint="0.79998168889431442"/>
  </sheetPr>
  <dimension ref="A1:S36"/>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2.83203125" style="45" customWidth="1"/>
    <col min="5" max="11" width="17.6640625" style="45" customWidth="1"/>
    <col min="12" max="12" width="10.6640625" style="45" customWidth="1"/>
    <col min="13" max="19" width="17.6640625" style="45" customWidth="1"/>
    <col min="20" max="31" width="10.6640625" style="45" customWidth="1"/>
    <col min="32" max="16384" width="9.33203125" style="45"/>
  </cols>
  <sheetData>
    <row r="1" spans="1:19" ht="18.75" x14ac:dyDescent="0.3">
      <c r="A1" s="41">
        <f>IF(SUM($A3:$A36)&gt;0,1,0)</f>
        <v>0</v>
      </c>
      <c r="B1" s="3" t="s">
        <v>1107</v>
      </c>
    </row>
    <row r="2" spans="1:19" customFormat="1" x14ac:dyDescent="0.3">
      <c r="B2" s="34" t="str">
        <f>TOC!$B$1</f>
        <v>Table of contents</v>
      </c>
      <c r="C2" s="34"/>
      <c r="D2" s="34"/>
      <c r="E2" s="34"/>
    </row>
    <row r="3" spans="1:19" x14ac:dyDescent="0.3">
      <c r="B3" s="9" t="str">
        <f>Title_Msg</f>
        <v>No Errors Found</v>
      </c>
    </row>
    <row r="4" spans="1:19" s="46" customFormat="1" ht="15" x14ac:dyDescent="0.3">
      <c r="B4" s="46" t="str">
        <f>'WkB_1_2.1.1'!$B$4</f>
        <v>Data required to populate Power and Water Corporation 2024-29 regulatory submission</v>
      </c>
    </row>
    <row r="5" spans="1:19" ht="4.5" customHeight="1" x14ac:dyDescent="0.3"/>
    <row r="6" spans="1:19" s="7" customFormat="1" ht="13.9" x14ac:dyDescent="0.3">
      <c r="C6" s="7" t="str">
        <f>'WkB_1_2.1.1'!$C$6</f>
        <v>Output - RIN template</v>
      </c>
    </row>
    <row r="7" spans="1:19" ht="11.25" customHeight="1" x14ac:dyDescent="0.3"/>
    <row r="8" spans="1:19" ht="18" x14ac:dyDescent="0.5">
      <c r="D8" s="48" t="s">
        <v>491</v>
      </c>
      <c r="E8" s="49"/>
      <c r="F8" s="49"/>
      <c r="G8" s="49"/>
      <c r="H8" s="49"/>
      <c r="I8" s="49"/>
      <c r="J8" s="49"/>
      <c r="K8" s="49"/>
      <c r="L8" s="49"/>
      <c r="M8" s="49"/>
      <c r="N8" s="49"/>
      <c r="O8" s="49"/>
      <c r="P8" s="49"/>
      <c r="Q8" s="49"/>
      <c r="R8" s="49"/>
      <c r="S8" s="49"/>
    </row>
    <row r="9" spans="1:19" ht="14.65" thickBot="1" x14ac:dyDescent="0.5">
      <c r="E9" s="600" t="s">
        <v>483</v>
      </c>
      <c r="F9" s="600"/>
      <c r="G9" s="600"/>
      <c r="H9" s="600"/>
      <c r="I9" s="600"/>
      <c r="J9" s="600"/>
      <c r="K9" s="600"/>
      <c r="M9" s="600" t="s">
        <v>484</v>
      </c>
      <c r="N9" s="600"/>
      <c r="O9" s="600"/>
      <c r="P9" s="600"/>
      <c r="Q9" s="600"/>
      <c r="R9" s="600"/>
      <c r="S9" s="600"/>
    </row>
    <row r="10" spans="1:19" ht="28.15" customHeight="1" thickBot="1" x14ac:dyDescent="0.35">
      <c r="D10"/>
      <c r="E10" s="422" t="str">
        <f>'WkB_1_2.1.1'!$E$9</f>
        <v>Forecast 
($0's. real June 2024)</v>
      </c>
      <c r="F10" s="423"/>
      <c r="G10" s="423"/>
      <c r="H10" s="423"/>
      <c r="I10" s="423"/>
      <c r="J10" s="423"/>
      <c r="K10" s="424"/>
      <c r="M10" s="422" t="str">
        <f>'WkB_1_2.1.1'!$E$9</f>
        <v>Forecast 
($0's. real June 2024)</v>
      </c>
      <c r="N10" s="423"/>
      <c r="O10" s="423"/>
      <c r="P10" s="423"/>
      <c r="Q10" s="423"/>
      <c r="R10" s="423"/>
      <c r="S10" s="424"/>
    </row>
    <row r="11" spans="1:19" ht="18.600000000000001" customHeight="1" thickBot="1" x14ac:dyDescent="0.35">
      <c r="D11"/>
      <c r="E11" s="417" t="str">
        <f>'WkB_1_2.1.1'!$E$10</f>
        <v>2022-23</v>
      </c>
      <c r="F11" s="418" t="str">
        <f>'WkB_1_2.1.1'!$F$10</f>
        <v>2023-24</v>
      </c>
      <c r="G11" s="419" t="str">
        <f>'WkB_1_2.1.1'!$G$10</f>
        <v>2024-25</v>
      </c>
      <c r="H11" s="420" t="str">
        <f>'WkB_1_2.1.1'!$H$10</f>
        <v>2025-26</v>
      </c>
      <c r="I11" s="420" t="str">
        <f>'WkB_1_2.1.1'!$I$10</f>
        <v>2026-27</v>
      </c>
      <c r="J11" s="420" t="str">
        <f>'WkB_1_2.1.1'!$J$10</f>
        <v>2027-28</v>
      </c>
      <c r="K11" s="421" t="str">
        <f>'WkB_1_2.1.1'!$K$10</f>
        <v>2028-29</v>
      </c>
      <c r="M11" s="417" t="str">
        <f>'WkB_1_2.1.1'!$E$10</f>
        <v>2022-23</v>
      </c>
      <c r="N11" s="418" t="str">
        <f>'WkB_1_2.1.1'!$F$10</f>
        <v>2023-24</v>
      </c>
      <c r="O11" s="419" t="str">
        <f>'WkB_1_2.1.1'!$G$10</f>
        <v>2024-25</v>
      </c>
      <c r="P11" s="420" t="str">
        <f>'WkB_1_2.1.1'!$H$10</f>
        <v>2025-26</v>
      </c>
      <c r="Q11" s="420" t="str">
        <f>'WkB_1_2.1.1'!$I$10</f>
        <v>2026-27</v>
      </c>
      <c r="R11" s="420" t="str">
        <f>'WkB_1_2.1.1'!$J$10</f>
        <v>2027-28</v>
      </c>
      <c r="S11" s="421" t="str">
        <f>'WkB_1_2.1.1'!$K$10</f>
        <v>2028-29</v>
      </c>
    </row>
    <row r="12" spans="1:19" ht="14.25" x14ac:dyDescent="0.45">
      <c r="D12" s="95" t="s">
        <v>224</v>
      </c>
      <c r="E12" s="51">
        <f>E29*Input_CPI!R$24</f>
        <v>0</v>
      </c>
      <c r="F12" s="52">
        <f>F29*Input_CPI!S$24</f>
        <v>0</v>
      </c>
      <c r="G12" s="51">
        <v>0</v>
      </c>
      <c r="H12" s="53">
        <v>0</v>
      </c>
      <c r="I12" s="53">
        <v>0</v>
      </c>
      <c r="J12" s="53">
        <v>0</v>
      </c>
      <c r="K12" s="52">
        <v>0</v>
      </c>
      <c r="M12" s="51">
        <f>M29*Input_CPI!R$24</f>
        <v>0</v>
      </c>
      <c r="N12" s="52">
        <f>N29*Input_CPI!S$24</f>
        <v>0</v>
      </c>
      <c r="O12" s="51">
        <f>O29*Input_CPI!T$24</f>
        <v>0</v>
      </c>
      <c r="P12" s="53">
        <f>P29*Input_CPI!U$24</f>
        <v>0</v>
      </c>
      <c r="Q12" s="53">
        <f>Q29*Input_CPI!V$24</f>
        <v>0</v>
      </c>
      <c r="R12" s="53">
        <f>R29*Input_CPI!W$24</f>
        <v>0</v>
      </c>
      <c r="S12" s="52">
        <f>S29*Input_CPI!X$24</f>
        <v>0</v>
      </c>
    </row>
    <row r="13" spans="1:19" ht="14.25" x14ac:dyDescent="0.45">
      <c r="D13" s="598" t="s">
        <v>225</v>
      </c>
      <c r="E13" s="55">
        <f>E30*Input_CPI!R$24</f>
        <v>0</v>
      </c>
      <c r="F13" s="56">
        <f>F30*Input_CPI!S$24</f>
        <v>0</v>
      </c>
      <c r="G13" s="55">
        <f>G30*Input_CPI!T$24</f>
        <v>0</v>
      </c>
      <c r="H13" s="57">
        <f>H30*Input_CPI!U$24</f>
        <v>0</v>
      </c>
      <c r="I13" s="57">
        <f>I30*Input_CPI!V$24</f>
        <v>0</v>
      </c>
      <c r="J13" s="57">
        <f>J30*Input_CPI!W$24</f>
        <v>0</v>
      </c>
      <c r="K13" s="56">
        <f>K30*Input_CPI!X$24</f>
        <v>0</v>
      </c>
      <c r="M13" s="55">
        <f>M30*Input_CPI!R$24</f>
        <v>0</v>
      </c>
      <c r="N13" s="56">
        <f>N30*Input_CPI!S$24</f>
        <v>0</v>
      </c>
      <c r="O13" s="55">
        <f>O30*Input_CPI!T$24</f>
        <v>0</v>
      </c>
      <c r="P13" s="57">
        <f>P30*Input_CPI!U$24</f>
        <v>0</v>
      </c>
      <c r="Q13" s="57">
        <f>Q30*Input_CPI!V$24</f>
        <v>0</v>
      </c>
      <c r="R13" s="57">
        <f>R30*Input_CPI!W$24</f>
        <v>0</v>
      </c>
      <c r="S13" s="56">
        <f>S30*Input_CPI!X$24</f>
        <v>0</v>
      </c>
    </row>
    <row r="14" spans="1:19" ht="14.25" x14ac:dyDescent="0.45">
      <c r="D14" s="598" t="s">
        <v>492</v>
      </c>
      <c r="E14" s="55">
        <f>E31*Input_CPI!R$24</f>
        <v>0</v>
      </c>
      <c r="F14" s="56">
        <f>F31*Input_CPI!S$24</f>
        <v>0</v>
      </c>
      <c r="G14" s="55">
        <f>G31*Input_CPI!T$24</f>
        <v>0</v>
      </c>
      <c r="H14" s="57">
        <f>H31*Input_CPI!U$24</f>
        <v>0</v>
      </c>
      <c r="I14" s="57">
        <f>I31*Input_CPI!V$24</f>
        <v>0</v>
      </c>
      <c r="J14" s="57">
        <f>J31*Input_CPI!W$24</f>
        <v>0</v>
      </c>
      <c r="K14" s="56">
        <f>K31*Input_CPI!X$24</f>
        <v>0</v>
      </c>
      <c r="M14" s="55">
        <f>M31*Input_CPI!R$24</f>
        <v>0</v>
      </c>
      <c r="N14" s="56">
        <f>N31*Input_CPI!S$24</f>
        <v>0</v>
      </c>
      <c r="O14" s="55">
        <f>O31*Input_CPI!T$24</f>
        <v>0</v>
      </c>
      <c r="P14" s="57">
        <f>P31*Input_CPI!U$24</f>
        <v>0</v>
      </c>
      <c r="Q14" s="57">
        <f>Q31*Input_CPI!V$24</f>
        <v>0</v>
      </c>
      <c r="R14" s="57">
        <f>R31*Input_CPI!W$24</f>
        <v>0</v>
      </c>
      <c r="S14" s="56">
        <f>S31*Input_CPI!X$24</f>
        <v>0</v>
      </c>
    </row>
    <row r="15" spans="1:19" ht="14.25" x14ac:dyDescent="0.45">
      <c r="D15" s="598" t="s">
        <v>493</v>
      </c>
      <c r="E15" s="55">
        <f>E32*Input_CPI!R$24</f>
        <v>0</v>
      </c>
      <c r="F15" s="56">
        <f>F32*Input_CPI!S$24</f>
        <v>0</v>
      </c>
      <c r="G15" s="55">
        <f>G32*Input_CPI!T$24</f>
        <v>0</v>
      </c>
      <c r="H15" s="57">
        <f>H32*Input_CPI!U$24</f>
        <v>0</v>
      </c>
      <c r="I15" s="57">
        <f>I32*Input_CPI!V$24</f>
        <v>0</v>
      </c>
      <c r="J15" s="57">
        <f>J32*Input_CPI!W$24</f>
        <v>0</v>
      </c>
      <c r="K15" s="56">
        <f>K32*Input_CPI!X$24</f>
        <v>0</v>
      </c>
      <c r="M15" s="55">
        <f>M32*Input_CPI!R$24</f>
        <v>0</v>
      </c>
      <c r="N15" s="56">
        <f>N32*Input_CPI!S$24</f>
        <v>0</v>
      </c>
      <c r="O15" s="55">
        <f>O32*Input_CPI!T$24</f>
        <v>0</v>
      </c>
      <c r="P15" s="57">
        <f>P32*Input_CPI!U$24</f>
        <v>0</v>
      </c>
      <c r="Q15" s="57">
        <f>Q32*Input_CPI!V$24</f>
        <v>0</v>
      </c>
      <c r="R15" s="57">
        <f>R32*Input_CPI!W$24</f>
        <v>0</v>
      </c>
      <c r="S15" s="56">
        <f>S32*Input_CPI!X$24</f>
        <v>0</v>
      </c>
    </row>
    <row r="16" spans="1:19" ht="14.65" thickBot="1" x14ac:dyDescent="0.5">
      <c r="D16" s="97" t="s">
        <v>232</v>
      </c>
      <c r="E16" s="55">
        <f>E33*Input_CPI!R$24</f>
        <v>0</v>
      </c>
      <c r="F16" s="56">
        <f>F33*Input_CPI!S$24</f>
        <v>0</v>
      </c>
      <c r="G16" s="55">
        <v>-146116.04117223303</v>
      </c>
      <c r="H16" s="57">
        <v>-143132.25576068743</v>
      </c>
      <c r="I16" s="57">
        <v>-138685.57550559356</v>
      </c>
      <c r="J16" s="57">
        <v>-131410.14196234557</v>
      </c>
      <c r="K16" s="56">
        <v>-125468.93729596009</v>
      </c>
      <c r="M16" s="55">
        <f>M33*Input_CPI!R$24</f>
        <v>0</v>
      </c>
      <c r="N16" s="56">
        <f>N33*Input_CPI!S$24</f>
        <v>0</v>
      </c>
      <c r="O16" s="55">
        <f>O33*Input_CPI!T$24</f>
        <v>0</v>
      </c>
      <c r="P16" s="57">
        <f>P33*Input_CPI!U$24</f>
        <v>0</v>
      </c>
      <c r="Q16" s="57">
        <f>Q33*Input_CPI!V$24</f>
        <v>0</v>
      </c>
      <c r="R16" s="57">
        <f>R33*Input_CPI!W$24</f>
        <v>0</v>
      </c>
      <c r="S16" s="56">
        <f>S33*Input_CPI!X$24</f>
        <v>0</v>
      </c>
    </row>
    <row r="17" spans="1:19" ht="13.5" thickBot="1" x14ac:dyDescent="0.35">
      <c r="D17" s="58" t="s">
        <v>81</v>
      </c>
      <c r="E17" s="59">
        <f t="shared" ref="E17:K17" si="0">SUM(E12:E16)</f>
        <v>0</v>
      </c>
      <c r="F17" s="59">
        <f t="shared" si="0"/>
        <v>0</v>
      </c>
      <c r="G17" s="59">
        <f t="shared" si="0"/>
        <v>-146116.04117223303</v>
      </c>
      <c r="H17" s="59">
        <f t="shared" si="0"/>
        <v>-143132.25576068743</v>
      </c>
      <c r="I17" s="59">
        <f t="shared" si="0"/>
        <v>-138685.57550559356</v>
      </c>
      <c r="J17" s="59">
        <f t="shared" si="0"/>
        <v>-131410.14196234557</v>
      </c>
      <c r="K17" s="60">
        <f t="shared" si="0"/>
        <v>-125468.93729596009</v>
      </c>
      <c r="M17" s="59">
        <f t="shared" ref="M17:S17" si="1">SUM(M12:M16)</f>
        <v>0</v>
      </c>
      <c r="N17" s="59">
        <f t="shared" si="1"/>
        <v>0</v>
      </c>
      <c r="O17" s="59">
        <f t="shared" si="1"/>
        <v>0</v>
      </c>
      <c r="P17" s="59">
        <f t="shared" si="1"/>
        <v>0</v>
      </c>
      <c r="Q17" s="59">
        <f t="shared" si="1"/>
        <v>0</v>
      </c>
      <c r="R17" s="59">
        <f t="shared" si="1"/>
        <v>0</v>
      </c>
      <c r="S17" s="60">
        <f t="shared" si="1"/>
        <v>0</v>
      </c>
    </row>
    <row r="18" spans="1:19" ht="11.25" customHeight="1" x14ac:dyDescent="0.3"/>
    <row r="19" spans="1:19" ht="12.75" x14ac:dyDescent="0.3">
      <c r="D19" s="6" t="s">
        <v>695</v>
      </c>
      <c r="E19" s="115">
        <v>0</v>
      </c>
      <c r="F19" s="116">
        <v>0</v>
      </c>
      <c r="G19" s="117">
        <v>-146116.04117223303</v>
      </c>
      <c r="H19" s="115">
        <v>-143132.25576068743</v>
      </c>
      <c r="I19" s="115">
        <v>-138685.57550559356</v>
      </c>
      <c r="J19" s="115">
        <v>-131410.14196234557</v>
      </c>
      <c r="K19" s="115">
        <v>-125468.93729596009</v>
      </c>
      <c r="M19" s="115">
        <v>0</v>
      </c>
      <c r="N19" s="116">
        <v>0</v>
      </c>
      <c r="O19" s="117">
        <v>0</v>
      </c>
      <c r="P19" s="115">
        <v>0</v>
      </c>
      <c r="Q19" s="115">
        <v>0</v>
      </c>
      <c r="R19" s="115">
        <v>0</v>
      </c>
      <c r="S19" s="115">
        <v>0</v>
      </c>
    </row>
    <row r="20" spans="1:19" ht="12.75" x14ac:dyDescent="0.3">
      <c r="A20" s="41">
        <f>IF(SUM($E20:$S20)&gt;0,1,0)</f>
        <v>0</v>
      </c>
      <c r="D20" s="6" t="s">
        <v>84</v>
      </c>
      <c r="E20" s="62">
        <f>IF(ROUND(E17-E19,3)&lt;&gt;0,1,0)</f>
        <v>0</v>
      </c>
      <c r="F20" s="62">
        <f t="shared" ref="F20:K20" si="2">IF(ROUND(F17-F19,3)&lt;&gt;0,1,0)</f>
        <v>0</v>
      </c>
      <c r="G20" s="62">
        <f t="shared" si="2"/>
        <v>0</v>
      </c>
      <c r="H20" s="62">
        <f t="shared" si="2"/>
        <v>0</v>
      </c>
      <c r="I20" s="62">
        <f t="shared" si="2"/>
        <v>0</v>
      </c>
      <c r="J20" s="62">
        <f t="shared" si="2"/>
        <v>0</v>
      </c>
      <c r="K20" s="62">
        <f t="shared" si="2"/>
        <v>0</v>
      </c>
      <c r="M20" s="62">
        <f>IF(ROUND(M17-M19,3)&lt;&gt;0,1,0)</f>
        <v>0</v>
      </c>
      <c r="N20" s="62">
        <f t="shared" ref="N20" si="3">IF(ROUND(N17-N19,3)&lt;&gt;0,1,0)</f>
        <v>0</v>
      </c>
      <c r="O20" s="62">
        <f t="shared" ref="O20" si="4">IF(ROUND(O17-O19,3)&lt;&gt;0,1,0)</f>
        <v>0</v>
      </c>
      <c r="P20" s="62">
        <f t="shared" ref="P20" si="5">IF(ROUND(P17-P19,3)&lt;&gt;0,1,0)</f>
        <v>0</v>
      </c>
      <c r="Q20" s="62">
        <f t="shared" ref="Q20" si="6">IF(ROUND(Q17-Q19,3)&lt;&gt;0,1,0)</f>
        <v>0</v>
      </c>
      <c r="R20" s="62">
        <f t="shared" ref="R20" si="7">IF(ROUND(R17-R19,3)&lt;&gt;0,1,0)</f>
        <v>0</v>
      </c>
      <c r="S20" s="62">
        <f t="shared" ref="S20" si="8">IF(ROUND(S17-S19,3)&lt;&gt;0,1,0)</f>
        <v>0</v>
      </c>
    </row>
    <row r="21" spans="1:19" ht="11.25" customHeight="1" x14ac:dyDescent="0.3"/>
    <row r="22" spans="1:19" ht="12.75" x14ac:dyDescent="0.3">
      <c r="D22" s="6" t="s">
        <v>819</v>
      </c>
    </row>
    <row r="23" spans="1:19" ht="11.25" customHeight="1" x14ac:dyDescent="0.3"/>
    <row r="24" spans="1:19" s="7" customFormat="1" ht="13.9" x14ac:dyDescent="0.3">
      <c r="C24" s="7" t="s">
        <v>654</v>
      </c>
    </row>
    <row r="25" spans="1:19" ht="11.25" customHeight="1" x14ac:dyDescent="0.3"/>
    <row r="26" spans="1:19" ht="11.25" customHeight="1" thickBot="1" x14ac:dyDescent="0.5">
      <c r="E26" s="600" t="s">
        <v>483</v>
      </c>
      <c r="F26" s="600"/>
      <c r="G26" s="600"/>
      <c r="H26" s="600"/>
      <c r="I26" s="600"/>
      <c r="J26" s="600"/>
      <c r="K26" s="600"/>
      <c r="M26" s="600" t="s">
        <v>484</v>
      </c>
      <c r="N26" s="600"/>
      <c r="O26" s="600"/>
      <c r="P26" s="600"/>
      <c r="Q26" s="600"/>
      <c r="R26" s="600"/>
      <c r="S26" s="600"/>
    </row>
    <row r="27" spans="1:19" ht="26.65" customHeight="1" thickBot="1" x14ac:dyDescent="0.35">
      <c r="D27"/>
      <c r="E27" s="422" t="s">
        <v>409</v>
      </c>
      <c r="F27" s="423"/>
      <c r="G27" s="423"/>
      <c r="H27" s="423"/>
      <c r="I27" s="423"/>
      <c r="J27" s="423"/>
      <c r="K27" s="424"/>
      <c r="M27" s="422" t="s">
        <v>409</v>
      </c>
      <c r="N27" s="423"/>
      <c r="O27" s="423"/>
      <c r="P27" s="423"/>
      <c r="Q27" s="423"/>
      <c r="R27" s="423"/>
      <c r="S27" s="424"/>
    </row>
    <row r="28" spans="1:19" ht="13.5" thickBot="1" x14ac:dyDescent="0.35">
      <c r="D28"/>
      <c r="E28" s="417" t="str">
        <f>'WkB_1_2.1.1'!$E$10</f>
        <v>2022-23</v>
      </c>
      <c r="F28" s="418" t="str">
        <f>'WkB_1_2.1.1'!$F$10</f>
        <v>2023-24</v>
      </c>
      <c r="G28" s="419" t="str">
        <f>'WkB_1_2.1.1'!$G$10</f>
        <v>2024-25</v>
      </c>
      <c r="H28" s="420" t="str">
        <f>'WkB_1_2.1.1'!$H$10</f>
        <v>2025-26</v>
      </c>
      <c r="I28" s="420" t="str">
        <f>'WkB_1_2.1.1'!$I$10</f>
        <v>2026-27</v>
      </c>
      <c r="J28" s="420" t="str">
        <f>'WkB_1_2.1.1'!$J$10</f>
        <v>2027-28</v>
      </c>
      <c r="K28" s="421" t="str">
        <f>'WkB_1_2.1.1'!$K$10</f>
        <v>2028-29</v>
      </c>
      <c r="M28" s="417" t="str">
        <f>'WkB_1_2.1.1'!$E$10</f>
        <v>2022-23</v>
      </c>
      <c r="N28" s="418" t="str">
        <f>'WkB_1_2.1.1'!$F$10</f>
        <v>2023-24</v>
      </c>
      <c r="O28" s="419" t="str">
        <f>'WkB_1_2.1.1'!$G$10</f>
        <v>2024-25</v>
      </c>
      <c r="P28" s="420" t="str">
        <f>'WkB_1_2.1.1'!$H$10</f>
        <v>2025-26</v>
      </c>
      <c r="Q28" s="420" t="str">
        <f>'WkB_1_2.1.1'!$I$10</f>
        <v>2026-27</v>
      </c>
      <c r="R28" s="420" t="str">
        <f>'WkB_1_2.1.1'!$J$10</f>
        <v>2027-28</v>
      </c>
      <c r="S28" s="421" t="str">
        <f>'WkB_1_2.1.1'!$K$10</f>
        <v>2028-29</v>
      </c>
    </row>
    <row r="29" spans="1:19" ht="14.25" x14ac:dyDescent="0.45">
      <c r="D29" s="166" t="str">
        <f>D12</f>
        <v>EBSS</v>
      </c>
      <c r="E29" s="799"/>
      <c r="F29" s="800"/>
      <c r="G29" s="249"/>
      <c r="H29" s="250"/>
      <c r="I29" s="250"/>
      <c r="J29" s="250"/>
      <c r="K29" s="403"/>
      <c r="M29" s="799"/>
      <c r="N29" s="800"/>
      <c r="O29" s="249"/>
      <c r="P29" s="250"/>
      <c r="Q29" s="250"/>
      <c r="R29" s="250"/>
      <c r="S29" s="403"/>
    </row>
    <row r="30" spans="1:19" ht="14.25" x14ac:dyDescent="0.45">
      <c r="D30" s="599" t="str">
        <f>D13</f>
        <v>STPIS</v>
      </c>
      <c r="E30" s="801"/>
      <c r="F30" s="802"/>
      <c r="G30" s="249"/>
      <c r="H30" s="250"/>
      <c r="I30" s="250"/>
      <c r="J30" s="250"/>
      <c r="K30" s="403"/>
      <c r="M30" s="801"/>
      <c r="N30" s="802"/>
      <c r="O30" s="249"/>
      <c r="P30" s="250"/>
      <c r="Q30" s="250"/>
      <c r="R30" s="250"/>
      <c r="S30" s="403"/>
    </row>
    <row r="31" spans="1:19" ht="14.25" x14ac:dyDescent="0.45">
      <c r="D31" s="599" t="str">
        <f>D14</f>
        <v>F-Factor</v>
      </c>
      <c r="E31" s="801"/>
      <c r="F31" s="802"/>
      <c r="G31" s="249"/>
      <c r="H31" s="250"/>
      <c r="I31" s="250"/>
      <c r="J31" s="250"/>
      <c r="K31" s="403"/>
      <c r="M31" s="801"/>
      <c r="N31" s="802"/>
      <c r="O31" s="249"/>
      <c r="P31" s="250"/>
      <c r="Q31" s="250"/>
      <c r="R31" s="250"/>
      <c r="S31" s="403"/>
    </row>
    <row r="32" spans="1:19" ht="14.25" x14ac:dyDescent="0.45">
      <c r="D32" s="599" t="str">
        <f>D15</f>
        <v>S-Factor True  up</v>
      </c>
      <c r="E32" s="801"/>
      <c r="F32" s="802"/>
      <c r="G32" s="249"/>
      <c r="H32" s="250"/>
      <c r="I32" s="250"/>
      <c r="J32" s="250"/>
      <c r="K32" s="403"/>
      <c r="M32" s="801"/>
      <c r="N32" s="802"/>
      <c r="O32" s="249"/>
      <c r="P32" s="250"/>
      <c r="Q32" s="250"/>
      <c r="R32" s="250"/>
      <c r="S32" s="403"/>
    </row>
    <row r="33" spans="2:19" ht="14.65" thickBot="1" x14ac:dyDescent="0.5">
      <c r="D33" s="167" t="str">
        <f>D16</f>
        <v>Other</v>
      </c>
      <c r="E33" s="801"/>
      <c r="F33" s="802"/>
      <c r="G33" s="249"/>
      <c r="H33" s="250"/>
      <c r="I33" s="250"/>
      <c r="J33" s="250"/>
      <c r="K33" s="403"/>
      <c r="M33" s="801"/>
      <c r="N33" s="802"/>
      <c r="O33" s="249"/>
      <c r="P33" s="250"/>
      <c r="Q33" s="250"/>
      <c r="R33" s="250"/>
      <c r="S33" s="403"/>
    </row>
    <row r="34" spans="2:19" ht="13.5" thickBot="1" x14ac:dyDescent="0.35">
      <c r="D34" s="157" t="s">
        <v>81</v>
      </c>
      <c r="E34" s="157">
        <f t="shared" ref="E34:K34" si="9">SUM(E29:E33)</f>
        <v>0</v>
      </c>
      <c r="F34" s="59">
        <f t="shared" si="9"/>
        <v>0</v>
      </c>
      <c r="G34" s="59">
        <f t="shared" si="9"/>
        <v>0</v>
      </c>
      <c r="H34" s="59">
        <f t="shared" si="9"/>
        <v>0</v>
      </c>
      <c r="I34" s="59">
        <f t="shared" si="9"/>
        <v>0</v>
      </c>
      <c r="J34" s="59">
        <f t="shared" si="9"/>
        <v>0</v>
      </c>
      <c r="K34" s="60">
        <f t="shared" si="9"/>
        <v>0</v>
      </c>
      <c r="M34" s="157">
        <f>SUM(M29:M33)</f>
        <v>0</v>
      </c>
      <c r="N34" s="59">
        <f t="shared" ref="N34:S34" si="10">SUM(N29:N33)</f>
        <v>0</v>
      </c>
      <c r="O34" s="59">
        <f t="shared" si="10"/>
        <v>0</v>
      </c>
      <c r="P34" s="59">
        <f t="shared" si="10"/>
        <v>0</v>
      </c>
      <c r="Q34" s="59">
        <f t="shared" si="10"/>
        <v>0</v>
      </c>
      <c r="R34" s="59">
        <f t="shared" si="10"/>
        <v>0</v>
      </c>
      <c r="S34" s="60">
        <f t="shared" si="10"/>
        <v>0</v>
      </c>
    </row>
    <row r="35" spans="2:19" ht="11.25" customHeight="1" x14ac:dyDescent="0.3"/>
    <row r="36" spans="2:19" s="46" customFormat="1" ht="15" x14ac:dyDescent="0.3">
      <c r="B36" s="46" t="s">
        <v>16</v>
      </c>
    </row>
  </sheetData>
  <conditionalFormatting sqref="B3">
    <cfRule type="cellIs" dxfId="468" priority="15" operator="notEqual">
      <formula>"No Errors Found"</formula>
    </cfRule>
  </conditionalFormatting>
  <conditionalFormatting sqref="K12:K16 S12:S16">
    <cfRule type="expression" dxfId="467" priority="14">
      <formula>(dms_FRCPlength_Num)&lt;5</formula>
    </cfRule>
  </conditionalFormatting>
  <conditionalFormatting sqref="S30:S32">
    <cfRule type="expression" dxfId="466" priority="8">
      <formula>(dms_FRCPlength_Num)&lt;5</formula>
    </cfRule>
  </conditionalFormatting>
  <conditionalFormatting sqref="S29">
    <cfRule type="expression" dxfId="465" priority="7">
      <formula>(dms_FRCPlength_Num)&lt;5</formula>
    </cfRule>
  </conditionalFormatting>
  <conditionalFormatting sqref="S33">
    <cfRule type="expression" dxfId="464" priority="5">
      <formula>(dms_FRCPlength_Num)&lt;5</formula>
    </cfRule>
  </conditionalFormatting>
  <conditionalFormatting sqref="K30:K32">
    <cfRule type="expression" dxfId="463" priority="4">
      <formula>(dms_FRCPlength_Num)&lt;5</formula>
    </cfRule>
  </conditionalFormatting>
  <conditionalFormatting sqref="K29">
    <cfRule type="expression" dxfId="462" priority="3">
      <formula>(dms_FRCPlength_Num)&lt;5</formula>
    </cfRule>
  </conditionalFormatting>
  <conditionalFormatting sqref="K33">
    <cfRule type="expression" dxfId="461" priority="1">
      <formula>(dms_FRCPlength_Num)&lt;5</formula>
    </cfRule>
  </conditionalFormatting>
  <hyperlinks>
    <hyperlink ref="B2:E2" location="TOC!A1" display="TOC!A1" xr:uid="{913D4006-7FF5-4B69-AB02-5A4AEE623A88}"/>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DEE7-BC43-44F4-A124-3BB6D2DA0467}">
  <sheetPr codeName="Sheet34">
    <tabColor theme="4" tint="0.79998168889431442"/>
  </sheetPr>
  <dimension ref="A1:U200"/>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62.83203125" style="45" customWidth="1"/>
    <col min="5" max="21" width="15.6640625" style="45" customWidth="1"/>
    <col min="22" max="31" width="10.6640625" style="45" customWidth="1"/>
    <col min="32" max="16384" width="9.33203125" style="45"/>
  </cols>
  <sheetData>
    <row r="1" spans="1:19" ht="18.75" x14ac:dyDescent="0.3">
      <c r="A1" s="41">
        <f>IF(SUM($A3:$A200)&gt;0,1,0)</f>
        <v>0</v>
      </c>
      <c r="B1" s="3" t="s">
        <v>200</v>
      </c>
    </row>
    <row r="2" spans="1:19" customFormat="1" x14ac:dyDescent="0.3">
      <c r="B2" s="34" t="str">
        <f>TOC!$B$1</f>
        <v>Table of contents</v>
      </c>
      <c r="C2" s="34"/>
      <c r="D2" s="34"/>
      <c r="E2" s="34"/>
    </row>
    <row r="3" spans="1:19" x14ac:dyDescent="0.3">
      <c r="B3" s="9" t="str">
        <f>Title_Msg</f>
        <v>No Errors Found</v>
      </c>
    </row>
    <row r="4" spans="1:19" s="46" customFormat="1" ht="15" x14ac:dyDescent="0.3">
      <c r="B4" s="46" t="str">
        <f>'WkB_1_2.1.1'!$B$4</f>
        <v>Data required to populate Power and Water Corporation 2024-29 regulatory submission</v>
      </c>
    </row>
    <row r="5" spans="1:19" ht="4.5" customHeight="1" x14ac:dyDescent="0.3"/>
    <row r="6" spans="1:19" s="7" customFormat="1" ht="13.9" x14ac:dyDescent="0.3">
      <c r="C6" s="7" t="str">
        <f>'WkB_1_2.1.1'!$C$6</f>
        <v>Output - RIN template</v>
      </c>
    </row>
    <row r="7" spans="1:19" ht="11.25" customHeight="1" x14ac:dyDescent="0.3"/>
    <row r="8" spans="1:19" ht="18" x14ac:dyDescent="0.3">
      <c r="D8" s="255" t="s">
        <v>174</v>
      </c>
      <c r="E8" s="183"/>
      <c r="F8" s="183"/>
      <c r="G8" s="183"/>
      <c r="H8" s="183"/>
      <c r="I8" s="183"/>
      <c r="J8" s="183"/>
      <c r="K8" s="183"/>
      <c r="L8" s="183"/>
      <c r="M8" s="183"/>
      <c r="N8" s="183"/>
      <c r="O8" s="183"/>
      <c r="P8" s="183"/>
      <c r="Q8" s="183"/>
      <c r="R8" s="183"/>
      <c r="S8" s="183"/>
    </row>
    <row r="9" spans="1:19" ht="14.65" thickBot="1" x14ac:dyDescent="0.5">
      <c r="D9"/>
      <c r="E9" s="600" t="s">
        <v>483</v>
      </c>
      <c r="F9" s="600"/>
      <c r="G9" s="600"/>
      <c r="H9" s="600"/>
      <c r="I9" s="600"/>
      <c r="J9" s="600"/>
      <c r="K9" s="600"/>
      <c r="M9" s="600" t="s">
        <v>484</v>
      </c>
      <c r="N9" s="600"/>
      <c r="O9" s="600"/>
      <c r="P9" s="600"/>
      <c r="Q9" s="600"/>
      <c r="R9" s="600"/>
      <c r="S9" s="600"/>
    </row>
    <row r="10" spans="1:19" ht="14.25" x14ac:dyDescent="0.3">
      <c r="D10"/>
      <c r="E10" s="607" t="s">
        <v>175</v>
      </c>
      <c r="F10" s="607"/>
      <c r="G10" s="607"/>
      <c r="H10" s="607"/>
      <c r="I10" s="607"/>
      <c r="J10" s="607"/>
      <c r="K10" s="608"/>
      <c r="M10" s="607" t="s">
        <v>175</v>
      </c>
      <c r="N10" s="607"/>
      <c r="O10" s="607"/>
      <c r="P10" s="607"/>
      <c r="Q10" s="607"/>
      <c r="R10" s="607"/>
      <c r="S10" s="608"/>
    </row>
    <row r="11" spans="1:19" ht="14.65" customHeight="1" x14ac:dyDescent="0.3">
      <c r="D11"/>
      <c r="E11" s="609" t="s">
        <v>466</v>
      </c>
      <c r="F11" s="609"/>
      <c r="G11" s="609"/>
      <c r="H11" s="609"/>
      <c r="I11" s="609"/>
      <c r="J11" s="609"/>
      <c r="K11" s="610"/>
      <c r="M11" s="609" t="s">
        <v>466</v>
      </c>
      <c r="N11" s="609"/>
      <c r="O11" s="609"/>
      <c r="P11" s="609"/>
      <c r="Q11" s="609"/>
      <c r="R11" s="609"/>
      <c r="S11" s="610"/>
    </row>
    <row r="12" spans="1:19" ht="14.65" thickBot="1" x14ac:dyDescent="0.35">
      <c r="D12" s="199"/>
      <c r="E12" s="611" t="s">
        <v>70</v>
      </c>
      <c r="F12" s="515" t="s">
        <v>71</v>
      </c>
      <c r="G12" s="516" t="s">
        <v>72</v>
      </c>
      <c r="H12" s="516" t="s">
        <v>73</v>
      </c>
      <c r="I12" s="516" t="s">
        <v>74</v>
      </c>
      <c r="J12" s="516" t="s">
        <v>82</v>
      </c>
      <c r="K12" s="612" t="s">
        <v>243</v>
      </c>
      <c r="M12" s="611" t="s">
        <v>70</v>
      </c>
      <c r="N12" s="515" t="s">
        <v>71</v>
      </c>
      <c r="O12" s="516" t="s">
        <v>72</v>
      </c>
      <c r="P12" s="516" t="s">
        <v>73</v>
      </c>
      <c r="Q12" s="516" t="s">
        <v>74</v>
      </c>
      <c r="R12" s="516" t="s">
        <v>82</v>
      </c>
      <c r="S12" s="612" t="s">
        <v>243</v>
      </c>
    </row>
    <row r="13" spans="1:19" ht="16.149999999999999" thickBot="1" x14ac:dyDescent="0.35">
      <c r="D13" s="613" t="s">
        <v>494</v>
      </c>
      <c r="E13" s="256"/>
      <c r="F13" s="256"/>
      <c r="G13" s="256"/>
      <c r="H13" s="256"/>
      <c r="I13" s="256"/>
      <c r="J13" s="256"/>
      <c r="K13" s="257"/>
      <c r="M13" s="256"/>
      <c r="N13" s="256"/>
      <c r="O13" s="256"/>
      <c r="P13" s="256"/>
      <c r="Q13" s="256"/>
      <c r="R13" s="256"/>
      <c r="S13" s="257"/>
    </row>
    <row r="14" spans="1:19" ht="11.25" customHeight="1" x14ac:dyDescent="0.45">
      <c r="D14" s="820" t="str">
        <f>$D$66</f>
        <v>Employee benefits expense</v>
      </c>
      <c r="E14" s="258">
        <f>IF($E$74=0,0,$E66/$E$74*E$54)+'WkB_1_2.17.1'!F$11*F82+'WkB_1_2.17.1'!F$12*F95+'WkB_1_2.17.1'!F$13*F108+'WkB_1_2.17.1'!F$14*F121+'WkB_1_2.17.1'!F$15*F134+'WkB_1_2.17.1'!F$16*F147</f>
        <v>12379337.097712364</v>
      </c>
      <c r="F14" s="259">
        <f>IF($E$74=0,0,$E66/$E$74*F$54)+'WkB_1_2.17.1'!G$11*G82+'WkB_1_2.17.1'!G$12*G95+'WkB_1_2.17.1'!G$13*G108+'WkB_1_2.17.1'!G$14*G121+'WkB_1_2.17.1'!G$15*G134+'WkB_1_2.17.1'!G$16*G147</f>
        <v>12423342.514880022</v>
      </c>
      <c r="G14" s="260">
        <f>IF($E$74=0,0,$E66/$E$74*G$54)+'WkB_1_2.17.1'!H$11*H82+'WkB_1_2.17.1'!H$12*H95+'WkB_1_2.17.1'!H$13*H108+'WkB_1_2.17.1'!H$14*H121+'WkB_1_2.17.1'!H$15*H134+'WkB_1_2.17.1'!H$16*H147</f>
        <v>14769624.847237298</v>
      </c>
      <c r="H14" s="261">
        <f>IF($E$74=0,0,$E66/$E$74*H$54)+'WkB_1_2.17.1'!I$11*I82+'WkB_1_2.17.1'!I$12*I95+'WkB_1_2.17.1'!I$13*I108+'WkB_1_2.17.1'!I$14*I121+'WkB_1_2.17.1'!I$15*I134+'WkB_1_2.17.1'!I$16*I147</f>
        <v>15118049.596331002</v>
      </c>
      <c r="I14" s="261">
        <f>IF($E$74=0,0,$E66/$E$74*I$54)+'WkB_1_2.17.1'!J$11*J82+'WkB_1_2.17.1'!J$12*J95+'WkB_1_2.17.1'!J$13*J108+'WkB_1_2.17.1'!J$14*J121+'WkB_1_2.17.1'!J$15*J134+'WkB_1_2.17.1'!J$16*J147</f>
        <v>14886140.350608779</v>
      </c>
      <c r="J14" s="261">
        <f>IF($E$74=0,0,$E66/$E$74*J$54)+'WkB_1_2.17.1'!K$11*K82+'WkB_1_2.17.1'!K$12*K95+'WkB_1_2.17.1'!K$13*K108+'WkB_1_2.17.1'!K$14*K121+'WkB_1_2.17.1'!K$15*K134+'WkB_1_2.17.1'!K$16*K147</f>
        <v>15169884.434898127</v>
      </c>
      <c r="K14" s="259">
        <f>IF($E$74=0,0,$E66/$E$74*K$54)+'WkB_1_2.17.1'!L$11*L82+'WkB_1_2.17.1'!L$12*L95+'WkB_1_2.17.1'!L$13*L108+'WkB_1_2.17.1'!L$14*L121+'WkB_1_2.17.1'!L$15*L134+'WkB_1_2.17.1'!L$16*L147</f>
        <v>14942122.125431122</v>
      </c>
      <c r="M14" s="258">
        <f t="shared" ref="M14:R14" si="0">IF($N$74=0,0,$N66/$N$74*M$54)+O$187*O82+O$188*O95+O$189*O108+O$190*O121+O$191*O134+O$192*O147+O$193*O160+O$194*O173</f>
        <v>769075.57650576229</v>
      </c>
      <c r="N14" s="259">
        <f t="shared" si="0"/>
        <v>768472.527040974</v>
      </c>
      <c r="O14" s="260">
        <f t="shared" si="0"/>
        <v>1032105.0666010564</v>
      </c>
      <c r="P14" s="261">
        <f t="shared" si="0"/>
        <v>1071209.5231347668</v>
      </c>
      <c r="Q14" s="261">
        <f t="shared" si="0"/>
        <v>1059531.199709282</v>
      </c>
      <c r="R14" s="261">
        <f t="shared" si="0"/>
        <v>1083724.6045953184</v>
      </c>
      <c r="S14" s="259">
        <f>IF($N$74=0,0,$N66/$N$74*S$54)+U$187*U82+U$188*U95+U$189*U108+U$190*U121+U$191*U134+U$192*U147+U$193*U160+U$194*U173</f>
        <v>1080787.6807513097</v>
      </c>
    </row>
    <row r="15" spans="1:19" ht="11.25" customHeight="1" x14ac:dyDescent="0.45">
      <c r="D15" s="878" t="str">
        <f>$D$67</f>
        <v>Energy and materials</v>
      </c>
      <c r="E15" s="262">
        <f>IF($E$74=0,0,$E67/$E$74*E$54)+'WkB_1_2.17.1'!F$11*F83+'WkB_1_2.17.1'!F$12*F96+'WkB_1_2.17.1'!F$13*F109+'WkB_1_2.17.1'!F$14*F122+'WkB_1_2.17.1'!F$15*F135+'WkB_1_2.17.1'!F$16*F148</f>
        <v>910308.26982561348</v>
      </c>
      <c r="F15" s="263">
        <f>IF($E$74=0,0,$E67/$E$74*F$54)+'WkB_1_2.17.1'!G$11*G83+'WkB_1_2.17.1'!G$12*G96+'WkB_1_2.17.1'!G$13*G109+'WkB_1_2.17.1'!G$14*G122+'WkB_1_2.17.1'!G$15*G135+'WkB_1_2.17.1'!G$16*G148</f>
        <v>913544.18584023172</v>
      </c>
      <c r="G15" s="264">
        <f>IF($E$74=0,0,$E67/$E$74*G$54)+'WkB_1_2.17.1'!H$11*H83+'WkB_1_2.17.1'!H$12*H96+'WkB_1_2.17.1'!H$13*H109+'WkB_1_2.17.1'!H$14*H122+'WkB_1_2.17.1'!H$15*H135+'WkB_1_2.17.1'!H$16*H148</f>
        <v>908463.88930868485</v>
      </c>
      <c r="H15" s="265">
        <f>IF($E$74=0,0,$E67/$E$74*H$54)+'WkB_1_2.17.1'!I$11*I83+'WkB_1_2.17.1'!I$12*I96+'WkB_1_2.17.1'!I$13*I109+'WkB_1_2.17.1'!I$14*I122+'WkB_1_2.17.1'!I$15*I135+'WkB_1_2.17.1'!I$16*I148</f>
        <v>915487.40079298825</v>
      </c>
      <c r="I15" s="265">
        <f>IF($E$74=0,0,$E67/$E$74*I$54)+'WkB_1_2.17.1'!J$11*J83+'WkB_1_2.17.1'!J$12*J96+'WkB_1_2.17.1'!J$13*J109+'WkB_1_2.17.1'!J$14*J122+'WkB_1_2.17.1'!J$15*J135+'WkB_1_2.17.1'!J$16*J148</f>
        <v>918429.87707476038</v>
      </c>
      <c r="J15" s="265">
        <f>IF($E$74=0,0,$E67/$E$74*J$54)+'WkB_1_2.17.1'!K$11*K83+'WkB_1_2.17.1'!K$12*K96+'WkB_1_2.17.1'!K$13*K109+'WkB_1_2.17.1'!K$14*K122+'WkB_1_2.17.1'!K$15*K135+'WkB_1_2.17.1'!K$16*K148</f>
        <v>919642.47584917909</v>
      </c>
      <c r="K15" s="263">
        <f>IF($E$74=0,0,$E67/$E$74*K$54)+'WkB_1_2.17.1'!L$11*L83+'WkB_1_2.17.1'!L$12*L96+'WkB_1_2.17.1'!L$13*L109+'WkB_1_2.17.1'!L$14*L122+'WkB_1_2.17.1'!L$15*L135+'WkB_1_2.17.1'!L$16*L148</f>
        <v>922696.8446024115</v>
      </c>
      <c r="M15" s="262">
        <f t="shared" ref="M15:S15" si="1">IF($N$74=0,0,$N67/$N$74*M$54)+O$187*O83+O$188*O96+O$189*O109+O$190*O122+O$191*O135+O$192*O148+O$193*O161+O$194*O174</f>
        <v>2193272.4079555199</v>
      </c>
      <c r="N15" s="263">
        <f t="shared" si="1"/>
        <v>2191552.6137088197</v>
      </c>
      <c r="O15" s="264">
        <f t="shared" si="1"/>
        <v>2543966.008559728</v>
      </c>
      <c r="P15" s="265">
        <f t="shared" si="1"/>
        <v>2564078.0447381027</v>
      </c>
      <c r="Q15" s="265">
        <f t="shared" si="1"/>
        <v>2578495.2141473894</v>
      </c>
      <c r="R15" s="265">
        <f t="shared" si="1"/>
        <v>2591060.5245455387</v>
      </c>
      <c r="S15" s="263">
        <f t="shared" si="1"/>
        <v>2606258.2296328438</v>
      </c>
    </row>
    <row r="16" spans="1:19" ht="11.25" customHeight="1" x14ac:dyDescent="0.45">
      <c r="D16" s="878" t="str">
        <f>$D$68</f>
        <v>External service agreements</v>
      </c>
      <c r="E16" s="262">
        <f>IF($E$74=0,0,$E68/$E$74*E$54)+'WkB_1_2.17.1'!F$11*F84+'WkB_1_2.17.1'!F$12*F97+'WkB_1_2.17.1'!F$13*F110+'WkB_1_2.17.1'!F$14*F123+'WkB_1_2.17.1'!F$15*F136+'WkB_1_2.17.1'!F$16*F149</f>
        <v>2361300.7332134922</v>
      </c>
      <c r="F16" s="263">
        <f>IF($E$74=0,0,$E68/$E$74*F$54)+'WkB_1_2.17.1'!G$11*G84+'WkB_1_2.17.1'!G$12*G97+'WkB_1_2.17.1'!G$13*G110+'WkB_1_2.17.1'!G$14*G123+'WkB_1_2.17.1'!G$15*G136+'WkB_1_2.17.1'!G$16*G149</f>
        <v>2369694.5610092115</v>
      </c>
      <c r="G16" s="264">
        <f>IF($E$74=0,0,$E68/$E$74*G$54)+'WkB_1_2.17.1'!H$11*H84+'WkB_1_2.17.1'!H$12*H97+'WkB_1_2.17.1'!H$13*H110+'WkB_1_2.17.1'!H$14*H123+'WkB_1_2.17.1'!H$15*H136+'WkB_1_2.17.1'!H$16*H149</f>
        <v>8886085.224520836</v>
      </c>
      <c r="H16" s="265">
        <f>IF($E$74=0,0,$E68/$E$74*H$54)+'WkB_1_2.17.1'!I$11*I84+'WkB_1_2.17.1'!I$12*I97+'WkB_1_2.17.1'!I$13*I110+'WkB_1_2.17.1'!I$14*I123+'WkB_1_2.17.1'!I$15*I136+'WkB_1_2.17.1'!I$16*I149</f>
        <v>8838261.5185427796</v>
      </c>
      <c r="I16" s="265">
        <f>IF($E$74=0,0,$E68/$E$74*I$54)+'WkB_1_2.17.1'!J$11*J84+'WkB_1_2.17.1'!J$12*J97+'WkB_1_2.17.1'!J$13*J110+'WkB_1_2.17.1'!J$14*J123+'WkB_1_2.17.1'!J$15*J136+'WkB_1_2.17.1'!J$16*J149</f>
        <v>8834026.85638134</v>
      </c>
      <c r="J16" s="265">
        <f>IF($E$74=0,0,$E68/$E$74*J$54)+'WkB_1_2.17.1'!K$11*K84+'WkB_1_2.17.1'!K$12*K97+'WkB_1_2.17.1'!K$13*K110+'WkB_1_2.17.1'!K$14*K123+'WkB_1_2.17.1'!K$15*K136+'WkB_1_2.17.1'!K$16*K149</f>
        <v>9984071.5838358477</v>
      </c>
      <c r="K16" s="263">
        <f>IF($E$74=0,0,$E68/$E$74*K$54)+'WkB_1_2.17.1'!L$11*L84+'WkB_1_2.17.1'!L$12*L97+'WkB_1_2.17.1'!L$13*L110+'WkB_1_2.17.1'!L$14*L123+'WkB_1_2.17.1'!L$15*L136+'WkB_1_2.17.1'!L$16*L149</f>
        <v>10157947.819239242</v>
      </c>
      <c r="M16" s="262">
        <f t="shared" ref="M16:S16" si="2">IF($N$74=0,0,$N68/$N$74*M$54)+O$187*O84+O$188*O97+O$189*O110+O$190*O123+O$191*O136+O$192*O149+O$193*O162+O$194*O175</f>
        <v>1249181.0449725825</v>
      </c>
      <c r="N16" s="263">
        <f t="shared" si="2"/>
        <v>1248201.5340069409</v>
      </c>
      <c r="O16" s="264">
        <f t="shared" si="2"/>
        <v>1571261.1699730556</v>
      </c>
      <c r="P16" s="265">
        <f t="shared" si="2"/>
        <v>1576560.9199321854</v>
      </c>
      <c r="Q16" s="265">
        <f t="shared" si="2"/>
        <v>1652431.133980561</v>
      </c>
      <c r="R16" s="265">
        <f t="shared" si="2"/>
        <v>1660036.6915050065</v>
      </c>
      <c r="S16" s="263">
        <f t="shared" si="2"/>
        <v>1680048.7919088672</v>
      </c>
    </row>
    <row r="17" spans="4:19" ht="11.25" customHeight="1" x14ac:dyDescent="0.45">
      <c r="D17" s="878" t="str">
        <f>$D$69</f>
        <v>Other expenses</v>
      </c>
      <c r="E17" s="262">
        <f>IF($E$74=0,0,$E69/$E$74*E$54)+'WkB_1_2.17.1'!F$11*F85+'WkB_1_2.17.1'!F$12*F98+'WkB_1_2.17.1'!F$13*F111+'WkB_1_2.17.1'!F$14*F124+'WkB_1_2.17.1'!F$15*F137+'WkB_1_2.17.1'!F$16*F150</f>
        <v>13492200.192374986</v>
      </c>
      <c r="F17" s="263">
        <f>IF($E$74=0,0,$E69/$E$74*F$54)+'WkB_1_2.17.1'!G$11*G85+'WkB_1_2.17.1'!G$12*G98+'WkB_1_2.17.1'!G$13*G111+'WkB_1_2.17.1'!G$14*G124+'WkB_1_2.17.1'!G$15*G137+'WkB_1_2.17.1'!G$16*G150</f>
        <v>13540161.556807393</v>
      </c>
      <c r="G17" s="264">
        <f>IF($E$74=0,0,$E69/$E$74*G$54)+'WkB_1_2.17.1'!H$11*H85+'WkB_1_2.17.1'!H$12*H98+'WkB_1_2.17.1'!H$13*H111+'WkB_1_2.17.1'!H$14*H124+'WkB_1_2.17.1'!H$15*H137+'WkB_1_2.17.1'!H$16*H150</f>
        <v>14177286.693064138</v>
      </c>
      <c r="H17" s="265">
        <f>IF($E$74=0,0,$E69/$E$74*H$54)+'WkB_1_2.17.1'!I$11*I85+'WkB_1_2.17.1'!I$12*I98+'WkB_1_2.17.1'!I$13*I111+'WkB_1_2.17.1'!I$14*I124+'WkB_1_2.17.1'!I$15*I137+'WkB_1_2.17.1'!I$16*I150</f>
        <v>14407117.109562574</v>
      </c>
      <c r="I17" s="265">
        <f>IF($E$74=0,0,$E69/$E$74*I$54)+'WkB_1_2.17.1'!J$11*J85+'WkB_1_2.17.1'!J$12*J98+'WkB_1_2.17.1'!J$13*J111+'WkB_1_2.17.1'!J$14*J124+'WkB_1_2.17.1'!J$15*J137+'WkB_1_2.17.1'!J$16*J150</f>
        <v>14582746.71267686</v>
      </c>
      <c r="J17" s="265">
        <f>IF($E$74=0,0,$E69/$E$74*J$54)+'WkB_1_2.17.1'!K$11*K85+'WkB_1_2.17.1'!K$12*K98+'WkB_1_2.17.1'!K$13*K111+'WkB_1_2.17.1'!K$14*K124+'WkB_1_2.17.1'!K$15*K137+'WkB_1_2.17.1'!K$16*K150</f>
        <v>14739337.684420137</v>
      </c>
      <c r="K17" s="263">
        <f>IF($E$74=0,0,$E69/$E$74*K$54)+'WkB_1_2.17.1'!L$11*L85+'WkB_1_2.17.1'!L$12*L98+'WkB_1_2.17.1'!L$13*L111+'WkB_1_2.17.1'!L$14*L124+'WkB_1_2.17.1'!L$15*L137+'WkB_1_2.17.1'!L$16*L150</f>
        <v>14930157.501327539</v>
      </c>
      <c r="M17" s="262">
        <f t="shared" ref="M17:S17" si="3">IF($N$74=0,0,$N69/$N$74*M$54)+O$187*O85+O$188*O98+O$189*O111+O$190*O124+O$191*O137+O$192*O150+O$193*O163+O$194*O176</f>
        <v>3804009.9800515184</v>
      </c>
      <c r="N17" s="263">
        <f t="shared" si="3"/>
        <v>3801027.1702307439</v>
      </c>
      <c r="O17" s="264">
        <f t="shared" si="3"/>
        <v>4358673.7714159722</v>
      </c>
      <c r="P17" s="265">
        <f t="shared" si="3"/>
        <v>4386119.3070463389</v>
      </c>
      <c r="Q17" s="265">
        <f t="shared" si="3"/>
        <v>4399143.1868280247</v>
      </c>
      <c r="R17" s="265">
        <f t="shared" si="3"/>
        <v>4410122.643891599</v>
      </c>
      <c r="S17" s="263">
        <f t="shared" si="3"/>
        <v>4426933.646161438</v>
      </c>
    </row>
    <row r="18" spans="4:19" ht="11.25" customHeight="1" x14ac:dyDescent="0.45">
      <c r="D18" s="878" t="str">
        <f>$D$70</f>
        <v>Repairs and maintenance expense</v>
      </c>
      <c r="E18" s="262">
        <f>IF($E$74=0,0,$E70/$E$74*E$54)+'WkB_1_2.17.1'!F$11*F86+'WkB_1_2.17.1'!F$12*F99+'WkB_1_2.17.1'!F$13*F112+'WkB_1_2.17.1'!F$14*F125+'WkB_1_2.17.1'!F$15*F138+'WkB_1_2.17.1'!F$16*F151</f>
        <v>27866913.546498168</v>
      </c>
      <c r="F18" s="263">
        <f>IF($E$74=0,0,$E70/$E$74*F$54)+'WkB_1_2.17.1'!G$11*G86+'WkB_1_2.17.1'!G$12*G99+'WkB_1_2.17.1'!G$13*G112+'WkB_1_2.17.1'!G$14*G125+'WkB_1_2.17.1'!G$15*G138+'WkB_1_2.17.1'!G$16*G151</f>
        <v>27965973.386787627</v>
      </c>
      <c r="G18" s="264">
        <f>IF($E$74=0,0,$E70/$E$74*G$54)+'WkB_1_2.17.1'!H$11*H86+'WkB_1_2.17.1'!H$12*H99+'WkB_1_2.17.1'!H$13*H112+'WkB_1_2.17.1'!H$14*H125+'WkB_1_2.17.1'!H$15*H138+'WkB_1_2.17.1'!H$16*H151</f>
        <v>27810452.24199751</v>
      </c>
      <c r="H18" s="265">
        <f>IF($E$74=0,0,$E70/$E$74*H$54)+'WkB_1_2.17.1'!I$11*I86+'WkB_1_2.17.1'!I$12*I99+'WkB_1_2.17.1'!I$13*I112+'WkB_1_2.17.1'!I$14*I125+'WkB_1_2.17.1'!I$15*I138+'WkB_1_2.17.1'!I$16*I151</f>
        <v>28025460.271489993</v>
      </c>
      <c r="I18" s="265">
        <f>IF($E$74=0,0,$E70/$E$74*I$54)+'WkB_1_2.17.1'!J$11*J86+'WkB_1_2.17.1'!J$12*J99+'WkB_1_2.17.1'!J$13*J112+'WkB_1_2.17.1'!J$14*J125+'WkB_1_2.17.1'!J$15*J138+'WkB_1_2.17.1'!J$16*J151</f>
        <v>28115537.155194975</v>
      </c>
      <c r="J18" s="265">
        <f>IF($E$74=0,0,$E70/$E$74*J$54)+'WkB_1_2.17.1'!K$11*K86+'WkB_1_2.17.1'!K$12*K99+'WkB_1_2.17.1'!K$13*K112+'WkB_1_2.17.1'!K$14*K125+'WkB_1_2.17.1'!K$15*K138+'WkB_1_2.17.1'!K$16*K151</f>
        <v>28152657.970564246</v>
      </c>
      <c r="K18" s="263">
        <f>IF($E$74=0,0,$E70/$E$74*K$54)+'WkB_1_2.17.1'!L$11*L86+'WkB_1_2.17.1'!L$12*L99+'WkB_1_2.17.1'!L$13*L112+'WkB_1_2.17.1'!L$14*L125+'WkB_1_2.17.1'!L$15*L138+'WkB_1_2.17.1'!L$16*L151</f>
        <v>28246160.175044663</v>
      </c>
      <c r="M18" s="262">
        <f t="shared" ref="M18:S18" si="4">IF($N$74=0,0,$N70/$N$74*M$54)+O$187*O86+O$188*O99+O$189*O112+O$190*O125+O$191*O138+O$192*O151+O$193*O164+O$194*O177</f>
        <v>0</v>
      </c>
      <c r="N18" s="263">
        <f t="shared" si="4"/>
        <v>0</v>
      </c>
      <c r="O18" s="264">
        <f t="shared" si="4"/>
        <v>0</v>
      </c>
      <c r="P18" s="265">
        <f t="shared" si="4"/>
        <v>0</v>
      </c>
      <c r="Q18" s="265">
        <f t="shared" si="4"/>
        <v>0</v>
      </c>
      <c r="R18" s="265">
        <f t="shared" si="4"/>
        <v>0</v>
      </c>
      <c r="S18" s="263">
        <f t="shared" si="4"/>
        <v>0</v>
      </c>
    </row>
    <row r="19" spans="4:19" ht="11.25" customHeight="1" thickBot="1" x14ac:dyDescent="0.5">
      <c r="D19" s="878" t="str">
        <f>$D$71</f>
        <v>Inter-group sales</v>
      </c>
      <c r="E19" s="262">
        <f>IF($E$74=0,0,$E71/$E$74*E$54)+'WkB_1_2.17.1'!F$11*F87+'WkB_1_2.17.1'!F$12*F100+'WkB_1_2.17.1'!F$13*F113+'WkB_1_2.17.1'!F$14*F126+'WkB_1_2.17.1'!F$15*F139+'WkB_1_2.17.1'!F$16*F152</f>
        <v>15086244.46464809</v>
      </c>
      <c r="F19" s="263">
        <f>IF($E$74=0,0,$E71/$E$74*F$54)+'WkB_1_2.17.1'!G$11*G87+'WkB_1_2.17.1'!G$12*G100+'WkB_1_2.17.1'!G$13*G113+'WkB_1_2.17.1'!G$14*G126+'WkB_1_2.17.1'!G$15*G139+'WkB_1_2.17.1'!G$16*G152</f>
        <v>15139872.253916612</v>
      </c>
      <c r="G19" s="264">
        <f>IF($E$74=0,0,$E71/$E$74*G$54)+'WkB_1_2.17.1'!H$11*H87+'WkB_1_2.17.1'!H$12*H100+'WkB_1_2.17.1'!H$13*H113+'WkB_1_2.17.1'!H$14*H126+'WkB_1_2.17.1'!H$15*H139+'WkB_1_2.17.1'!H$16*H152</f>
        <v>15055678.143011192</v>
      </c>
      <c r="H19" s="265">
        <f>IF($E$74=0,0,$E71/$E$74*H$54)+'WkB_1_2.17.1'!I$11*I87+'WkB_1_2.17.1'!I$12*I100+'WkB_1_2.17.1'!I$13*I113+'WkB_1_2.17.1'!I$14*I126+'WkB_1_2.17.1'!I$15*I139+'WkB_1_2.17.1'!I$16*I152</f>
        <v>15172076.526684847</v>
      </c>
      <c r="I19" s="265">
        <f>IF($E$74=0,0,$E71/$E$74*I$54)+'WkB_1_2.17.1'!J$11*J87+'WkB_1_2.17.1'!J$12*J100+'WkB_1_2.17.1'!J$13*J113+'WkB_1_2.17.1'!J$14*J126+'WkB_1_2.17.1'!J$15*J139+'WkB_1_2.17.1'!J$16*J152</f>
        <v>15220841.234190742</v>
      </c>
      <c r="J19" s="265">
        <f>IF($E$74=0,0,$E71/$E$74*J$54)+'WkB_1_2.17.1'!K$11*K87+'WkB_1_2.17.1'!K$12*K100+'WkB_1_2.17.1'!K$13*K113+'WkB_1_2.17.1'!K$14*K126+'WkB_1_2.17.1'!K$15*K139+'WkB_1_2.17.1'!K$16*K152</f>
        <v>15240937.241394892</v>
      </c>
      <c r="K19" s="263">
        <f>IF($E$74=0,0,$E71/$E$74*K$54)+'WkB_1_2.17.1'!L$11*L87+'WkB_1_2.17.1'!L$12*L100+'WkB_1_2.17.1'!L$13*L113+'WkB_1_2.17.1'!L$14*L126+'WkB_1_2.17.1'!L$15*L139+'WkB_1_2.17.1'!L$16*L152</f>
        <v>15291556.30663229</v>
      </c>
      <c r="M19" s="262">
        <f t="shared" ref="M19:S19" si="5">IF($N$74=0,0,$N71/$N$74*M$54)+O$187*O87+O$188*O100+O$189*O113+O$190*O126+O$191*O139+O$192*O152+O$193*O165+O$194*O178</f>
        <v>2946137.5485901861</v>
      </c>
      <c r="N19" s="263">
        <f t="shared" si="5"/>
        <v>2943827.4158462207</v>
      </c>
      <c r="O19" s="264">
        <f t="shared" si="5"/>
        <v>3417210.6269012592</v>
      </c>
      <c r="P19" s="265">
        <f t="shared" si="5"/>
        <v>3444226.3431199971</v>
      </c>
      <c r="Q19" s="265">
        <f t="shared" si="5"/>
        <v>3463592.3662309516</v>
      </c>
      <c r="R19" s="265">
        <f t="shared" si="5"/>
        <v>3480470.8591347062</v>
      </c>
      <c r="S19" s="263">
        <f t="shared" si="5"/>
        <v>3500885.3454737957</v>
      </c>
    </row>
    <row r="20" spans="4:19" ht="11.25" hidden="1" customHeight="1" outlineLevel="1" x14ac:dyDescent="0.45">
      <c r="D20" s="272"/>
      <c r="E20" s="262"/>
      <c r="F20" s="263"/>
      <c r="G20" s="264"/>
      <c r="H20" s="265"/>
      <c r="I20" s="265"/>
      <c r="J20" s="265"/>
      <c r="K20" s="263"/>
      <c r="M20" s="262"/>
      <c r="N20" s="263"/>
      <c r="O20" s="264"/>
      <c r="P20" s="265"/>
      <c r="Q20" s="265"/>
      <c r="R20" s="265"/>
      <c r="S20" s="263"/>
    </row>
    <row r="21" spans="4:19" ht="11.25" hidden="1" customHeight="1" outlineLevel="1" x14ac:dyDescent="0.45">
      <c r="D21" s="272"/>
      <c r="E21" s="262"/>
      <c r="F21" s="263"/>
      <c r="G21" s="264"/>
      <c r="H21" s="265"/>
      <c r="I21" s="265"/>
      <c r="J21" s="265"/>
      <c r="K21" s="263"/>
      <c r="M21" s="262"/>
      <c r="N21" s="263"/>
      <c r="O21" s="264"/>
      <c r="P21" s="265"/>
      <c r="Q21" s="265"/>
      <c r="R21" s="265"/>
      <c r="S21" s="263"/>
    </row>
    <row r="22" spans="4:19" ht="11.25" hidden="1" customHeight="1" outlineLevel="1" x14ac:dyDescent="0.45">
      <c r="D22" s="272"/>
      <c r="E22" s="262"/>
      <c r="F22" s="263"/>
      <c r="G22" s="264"/>
      <c r="H22" s="265"/>
      <c r="I22" s="265"/>
      <c r="J22" s="265"/>
      <c r="K22" s="263"/>
      <c r="M22" s="262"/>
      <c r="N22" s="263"/>
      <c r="O22" s="264"/>
      <c r="P22" s="265"/>
      <c r="Q22" s="265"/>
      <c r="R22" s="265"/>
      <c r="S22" s="263"/>
    </row>
    <row r="23" spans="4:19" ht="11.25" hidden="1" customHeight="1" outlineLevel="1" x14ac:dyDescent="0.45">
      <c r="D23" s="272"/>
      <c r="E23" s="262"/>
      <c r="F23" s="263"/>
      <c r="G23" s="264"/>
      <c r="H23" s="265"/>
      <c r="I23" s="265"/>
      <c r="J23" s="265"/>
      <c r="K23" s="263"/>
      <c r="M23" s="262"/>
      <c r="N23" s="263"/>
      <c r="O23" s="264"/>
      <c r="P23" s="265"/>
      <c r="Q23" s="265"/>
      <c r="R23" s="265"/>
      <c r="S23" s="263"/>
    </row>
    <row r="24" spans="4:19" ht="11.25" hidden="1" customHeight="1" outlineLevel="1" x14ac:dyDescent="0.45">
      <c r="D24" s="272"/>
      <c r="E24" s="262"/>
      <c r="F24" s="263"/>
      <c r="G24" s="264"/>
      <c r="H24" s="265"/>
      <c r="I24" s="265"/>
      <c r="J24" s="265"/>
      <c r="K24" s="263"/>
      <c r="M24" s="262"/>
      <c r="N24" s="263"/>
      <c r="O24" s="264"/>
      <c r="P24" s="265"/>
      <c r="Q24" s="265"/>
      <c r="R24" s="265"/>
      <c r="S24" s="263"/>
    </row>
    <row r="25" spans="4:19" ht="11.25" hidden="1" customHeight="1" outlineLevel="1" x14ac:dyDescent="0.45">
      <c r="D25" s="272"/>
      <c r="E25" s="262"/>
      <c r="F25" s="263"/>
      <c r="G25" s="264"/>
      <c r="H25" s="265"/>
      <c r="I25" s="265"/>
      <c r="J25" s="265"/>
      <c r="K25" s="263"/>
      <c r="M25" s="262"/>
      <c r="N25" s="263"/>
      <c r="O25" s="264"/>
      <c r="P25" s="265"/>
      <c r="Q25" s="265"/>
      <c r="R25" s="265"/>
      <c r="S25" s="263"/>
    </row>
    <row r="26" spans="4:19" ht="11.25" hidden="1" customHeight="1" outlineLevel="1" x14ac:dyDescent="0.45">
      <c r="D26" s="272"/>
      <c r="E26" s="262"/>
      <c r="F26" s="263"/>
      <c r="G26" s="264"/>
      <c r="H26" s="265"/>
      <c r="I26" s="265"/>
      <c r="J26" s="265"/>
      <c r="K26" s="263"/>
      <c r="M26" s="262"/>
      <c r="N26" s="263"/>
      <c r="O26" s="264"/>
      <c r="P26" s="265"/>
      <c r="Q26" s="265"/>
      <c r="R26" s="265"/>
      <c r="S26" s="263"/>
    </row>
    <row r="27" spans="4:19" ht="11.25" hidden="1" customHeight="1" outlineLevel="1" x14ac:dyDescent="0.45">
      <c r="D27" s="272"/>
      <c r="E27" s="262"/>
      <c r="F27" s="263"/>
      <c r="G27" s="264"/>
      <c r="H27" s="265"/>
      <c r="I27" s="265"/>
      <c r="J27" s="265"/>
      <c r="K27" s="263"/>
      <c r="M27" s="262"/>
      <c r="N27" s="263"/>
      <c r="O27" s="264"/>
      <c r="P27" s="265"/>
      <c r="Q27" s="265"/>
      <c r="R27" s="265"/>
      <c r="S27" s="263"/>
    </row>
    <row r="28" spans="4:19" ht="11.25" hidden="1" customHeight="1" outlineLevel="1" x14ac:dyDescent="0.45">
      <c r="D28" s="272"/>
      <c r="E28" s="262"/>
      <c r="F28" s="263"/>
      <c r="G28" s="264"/>
      <c r="H28" s="265"/>
      <c r="I28" s="265"/>
      <c r="J28" s="265"/>
      <c r="K28" s="263"/>
      <c r="M28" s="262"/>
      <c r="N28" s="263"/>
      <c r="O28" s="264"/>
      <c r="P28" s="265"/>
      <c r="Q28" s="265"/>
      <c r="R28" s="265"/>
      <c r="S28" s="263"/>
    </row>
    <row r="29" spans="4:19" ht="11.25" hidden="1" customHeight="1" outlineLevel="1" x14ac:dyDescent="0.45">
      <c r="D29" s="272"/>
      <c r="E29" s="262"/>
      <c r="F29" s="263"/>
      <c r="G29" s="264"/>
      <c r="H29" s="265"/>
      <c r="I29" s="265"/>
      <c r="J29" s="265"/>
      <c r="K29" s="263"/>
      <c r="M29" s="262"/>
      <c r="N29" s="263"/>
      <c r="O29" s="264"/>
      <c r="P29" s="265"/>
      <c r="Q29" s="265"/>
      <c r="R29" s="265"/>
      <c r="S29" s="263"/>
    </row>
    <row r="30" spans="4:19" ht="11.25" hidden="1" customHeight="1" outlineLevel="1" x14ac:dyDescent="0.45">
      <c r="D30" s="272"/>
      <c r="E30" s="262"/>
      <c r="F30" s="263"/>
      <c r="G30" s="264"/>
      <c r="H30" s="265"/>
      <c r="I30" s="265"/>
      <c r="J30" s="265"/>
      <c r="K30" s="263"/>
      <c r="M30" s="262"/>
      <c r="N30" s="263"/>
      <c r="O30" s="264"/>
      <c r="P30" s="265"/>
      <c r="Q30" s="265"/>
      <c r="R30" s="265"/>
      <c r="S30" s="263"/>
    </row>
    <row r="31" spans="4:19" ht="11.25" hidden="1" customHeight="1" outlineLevel="1" x14ac:dyDescent="0.45">
      <c r="D31" s="272"/>
      <c r="E31" s="262"/>
      <c r="F31" s="263"/>
      <c r="G31" s="264"/>
      <c r="H31" s="265"/>
      <c r="I31" s="265"/>
      <c r="J31" s="265"/>
      <c r="K31" s="263"/>
      <c r="M31" s="262"/>
      <c r="N31" s="263"/>
      <c r="O31" s="264"/>
      <c r="P31" s="265"/>
      <c r="Q31" s="265"/>
      <c r="R31" s="265"/>
      <c r="S31" s="263"/>
    </row>
    <row r="32" spans="4:19" ht="11.1" hidden="1" customHeight="1" outlineLevel="1" x14ac:dyDescent="0.45">
      <c r="D32" s="272"/>
      <c r="E32" s="262"/>
      <c r="F32" s="263"/>
      <c r="G32" s="264"/>
      <c r="H32" s="265"/>
      <c r="I32" s="265"/>
      <c r="J32" s="265"/>
      <c r="K32" s="263"/>
      <c r="M32" s="262"/>
      <c r="N32" s="263"/>
      <c r="O32" s="264"/>
      <c r="P32" s="265"/>
      <c r="Q32" s="265"/>
      <c r="R32" s="265"/>
      <c r="S32" s="263"/>
    </row>
    <row r="33" spans="4:19" ht="11.25" hidden="1" customHeight="1" outlineLevel="1" x14ac:dyDescent="0.45">
      <c r="D33" s="272"/>
      <c r="E33" s="262"/>
      <c r="F33" s="263"/>
      <c r="G33" s="264"/>
      <c r="H33" s="265"/>
      <c r="I33" s="265"/>
      <c r="J33" s="265"/>
      <c r="K33" s="263"/>
      <c r="M33" s="262"/>
      <c r="N33" s="263"/>
      <c r="O33" s="264"/>
      <c r="P33" s="265"/>
      <c r="Q33" s="265"/>
      <c r="R33" s="265"/>
      <c r="S33" s="263"/>
    </row>
    <row r="34" spans="4:19" ht="11.25" hidden="1" customHeight="1" outlineLevel="1" x14ac:dyDescent="0.45">
      <c r="D34" s="272"/>
      <c r="E34" s="262"/>
      <c r="F34" s="263"/>
      <c r="G34" s="264"/>
      <c r="H34" s="265"/>
      <c r="I34" s="265"/>
      <c r="J34" s="265"/>
      <c r="K34" s="263"/>
      <c r="M34" s="262"/>
      <c r="N34" s="263"/>
      <c r="O34" s="264"/>
      <c r="P34" s="265"/>
      <c r="Q34" s="265"/>
      <c r="R34" s="265"/>
      <c r="S34" s="263"/>
    </row>
    <row r="35" spans="4:19" ht="11.25" hidden="1" customHeight="1" outlineLevel="1" x14ac:dyDescent="0.45">
      <c r="D35" s="272"/>
      <c r="E35" s="262"/>
      <c r="F35" s="263"/>
      <c r="G35" s="264"/>
      <c r="H35" s="265"/>
      <c r="I35" s="265"/>
      <c r="J35" s="265"/>
      <c r="K35" s="263"/>
      <c r="M35" s="262"/>
      <c r="N35" s="263"/>
      <c r="O35" s="264"/>
      <c r="P35" s="265"/>
      <c r="Q35" s="265"/>
      <c r="R35" s="265"/>
      <c r="S35" s="263"/>
    </row>
    <row r="36" spans="4:19" ht="11.25" hidden="1" customHeight="1" outlineLevel="1" x14ac:dyDescent="0.45">
      <c r="D36" s="272"/>
      <c r="E36" s="262"/>
      <c r="F36" s="263"/>
      <c r="G36" s="264"/>
      <c r="H36" s="265"/>
      <c r="I36" s="265"/>
      <c r="J36" s="265"/>
      <c r="K36" s="263"/>
      <c r="M36" s="262"/>
      <c r="N36" s="263"/>
      <c r="O36" s="264"/>
      <c r="P36" s="265"/>
      <c r="Q36" s="265"/>
      <c r="R36" s="265"/>
      <c r="S36" s="263"/>
    </row>
    <row r="37" spans="4:19" ht="11.25" hidden="1" customHeight="1" outlineLevel="1" x14ac:dyDescent="0.45">
      <c r="D37" s="272"/>
      <c r="E37" s="262"/>
      <c r="F37" s="263"/>
      <c r="G37" s="264"/>
      <c r="H37" s="265"/>
      <c r="I37" s="265"/>
      <c r="J37" s="265"/>
      <c r="K37" s="263"/>
      <c r="M37" s="262"/>
      <c r="N37" s="263"/>
      <c r="O37" s="264"/>
      <c r="P37" s="265"/>
      <c r="Q37" s="265"/>
      <c r="R37" s="265"/>
      <c r="S37" s="263"/>
    </row>
    <row r="38" spans="4:19" ht="11.25" hidden="1" customHeight="1" outlineLevel="1" x14ac:dyDescent="0.45">
      <c r="D38" s="272"/>
      <c r="E38" s="262"/>
      <c r="F38" s="263"/>
      <c r="G38" s="264"/>
      <c r="H38" s="265"/>
      <c r="I38" s="265"/>
      <c r="J38" s="265"/>
      <c r="K38" s="263"/>
      <c r="M38" s="262"/>
      <c r="N38" s="263"/>
      <c r="O38" s="264"/>
      <c r="P38" s="265"/>
      <c r="Q38" s="265"/>
      <c r="R38" s="265"/>
      <c r="S38" s="263"/>
    </row>
    <row r="39" spans="4:19" ht="11.25" hidden="1" customHeight="1" outlineLevel="1" x14ac:dyDescent="0.45">
      <c r="D39" s="272"/>
      <c r="E39" s="262"/>
      <c r="F39" s="263"/>
      <c r="G39" s="264"/>
      <c r="H39" s="265"/>
      <c r="I39" s="265"/>
      <c r="J39" s="265"/>
      <c r="K39" s="263"/>
      <c r="M39" s="262"/>
      <c r="N39" s="263"/>
      <c r="O39" s="264"/>
      <c r="P39" s="265"/>
      <c r="Q39" s="265"/>
      <c r="R39" s="265"/>
      <c r="S39" s="263"/>
    </row>
    <row r="40" spans="4:19" ht="11.25" hidden="1" customHeight="1" outlineLevel="1" x14ac:dyDescent="0.45">
      <c r="D40" s="272"/>
      <c r="E40" s="262"/>
      <c r="F40" s="263"/>
      <c r="G40" s="264"/>
      <c r="H40" s="265"/>
      <c r="I40" s="265"/>
      <c r="J40" s="265"/>
      <c r="K40" s="263"/>
      <c r="M40" s="262"/>
      <c r="N40" s="263"/>
      <c r="O40" s="264"/>
      <c r="P40" s="265"/>
      <c r="Q40" s="265"/>
      <c r="R40" s="265"/>
      <c r="S40" s="263"/>
    </row>
    <row r="41" spans="4:19" ht="11.25" hidden="1" customHeight="1" outlineLevel="1" x14ac:dyDescent="0.45">
      <c r="D41" s="272"/>
      <c r="E41" s="262"/>
      <c r="F41" s="263"/>
      <c r="G41" s="264"/>
      <c r="H41" s="265"/>
      <c r="I41" s="265"/>
      <c r="J41" s="265"/>
      <c r="K41" s="263"/>
      <c r="M41" s="262"/>
      <c r="N41" s="263"/>
      <c r="O41" s="264"/>
      <c r="P41" s="265"/>
      <c r="Q41" s="265"/>
      <c r="R41" s="265"/>
      <c r="S41" s="263"/>
    </row>
    <row r="42" spans="4:19" ht="11.25" hidden="1" customHeight="1" outlineLevel="1" x14ac:dyDescent="0.45">
      <c r="D42" s="272"/>
      <c r="E42" s="262"/>
      <c r="F42" s="263"/>
      <c r="G42" s="264"/>
      <c r="H42" s="265"/>
      <c r="I42" s="265"/>
      <c r="J42" s="265"/>
      <c r="K42" s="263"/>
      <c r="M42" s="262"/>
      <c r="N42" s="263"/>
      <c r="O42" s="264"/>
      <c r="P42" s="265"/>
      <c r="Q42" s="265"/>
      <c r="R42" s="265"/>
      <c r="S42" s="263"/>
    </row>
    <row r="43" spans="4:19" ht="11.25" hidden="1" customHeight="1" outlineLevel="1" x14ac:dyDescent="0.45">
      <c r="D43" s="272"/>
      <c r="E43" s="262"/>
      <c r="F43" s="263"/>
      <c r="G43" s="264"/>
      <c r="H43" s="265"/>
      <c r="I43" s="265"/>
      <c r="J43" s="265"/>
      <c r="K43" s="263"/>
      <c r="M43" s="262"/>
      <c r="N43" s="263"/>
      <c r="O43" s="264"/>
      <c r="P43" s="265"/>
      <c r="Q43" s="265"/>
      <c r="R43" s="265"/>
      <c r="S43" s="263"/>
    </row>
    <row r="44" spans="4:19" ht="11.25" hidden="1" customHeight="1" outlineLevel="1" x14ac:dyDescent="0.45">
      <c r="D44" s="272"/>
      <c r="E44" s="262"/>
      <c r="F44" s="263"/>
      <c r="G44" s="264"/>
      <c r="H44" s="265"/>
      <c r="I44" s="265"/>
      <c r="J44" s="265"/>
      <c r="K44" s="263"/>
      <c r="M44" s="262"/>
      <c r="N44" s="263"/>
      <c r="O44" s="264"/>
      <c r="P44" s="265"/>
      <c r="Q44" s="265"/>
      <c r="R44" s="265"/>
      <c r="S44" s="263"/>
    </row>
    <row r="45" spans="4:19" ht="11.25" hidden="1" customHeight="1" outlineLevel="1" x14ac:dyDescent="0.45">
      <c r="D45" s="272"/>
      <c r="E45" s="262"/>
      <c r="F45" s="263"/>
      <c r="G45" s="264"/>
      <c r="H45" s="265"/>
      <c r="I45" s="265"/>
      <c r="J45" s="265"/>
      <c r="K45" s="263"/>
      <c r="M45" s="262"/>
      <c r="N45" s="263"/>
      <c r="O45" s="264"/>
      <c r="P45" s="265"/>
      <c r="Q45" s="265"/>
      <c r="R45" s="265"/>
      <c r="S45" s="263"/>
    </row>
    <row r="46" spans="4:19" ht="11.25" hidden="1" customHeight="1" outlineLevel="1" x14ac:dyDescent="0.45">
      <c r="D46" s="272"/>
      <c r="E46" s="262"/>
      <c r="F46" s="263"/>
      <c r="G46" s="264"/>
      <c r="H46" s="265"/>
      <c r="I46" s="265"/>
      <c r="J46" s="265"/>
      <c r="K46" s="263"/>
      <c r="M46" s="262"/>
      <c r="N46" s="263"/>
      <c r="O46" s="264"/>
      <c r="P46" s="265"/>
      <c r="Q46" s="265"/>
      <c r="R46" s="265"/>
      <c r="S46" s="263"/>
    </row>
    <row r="47" spans="4:19" ht="11.25" hidden="1" customHeight="1" outlineLevel="1" thickBot="1" x14ac:dyDescent="0.5">
      <c r="D47" s="273"/>
      <c r="E47" s="266"/>
      <c r="F47" s="267"/>
      <c r="G47" s="268"/>
      <c r="H47" s="269"/>
      <c r="I47" s="269"/>
      <c r="J47" s="269"/>
      <c r="K47" s="267"/>
      <c r="M47" s="266"/>
      <c r="N47" s="267"/>
      <c r="O47" s="268"/>
      <c r="P47" s="269"/>
      <c r="Q47" s="269"/>
      <c r="R47" s="269"/>
      <c r="S47" s="267"/>
    </row>
    <row r="48" spans="4:19" ht="11.25" customHeight="1" collapsed="1" thickBot="1" x14ac:dyDescent="0.35">
      <c r="D48" s="270" t="s">
        <v>176</v>
      </c>
      <c r="E48" s="252">
        <f t="shared" ref="E48:K48" si="6">SUM(E14:E47)</f>
        <v>72096304.304272711</v>
      </c>
      <c r="F48" s="252">
        <f t="shared" si="6"/>
        <v>72352588.459241092</v>
      </c>
      <c r="G48" s="252">
        <f t="shared" si="6"/>
        <v>81607591.039139658</v>
      </c>
      <c r="H48" s="252">
        <f t="shared" si="6"/>
        <v>82476452.423404187</v>
      </c>
      <c r="I48" s="252">
        <f t="shared" si="6"/>
        <v>82557722.186127469</v>
      </c>
      <c r="J48" s="252">
        <f t="shared" si="6"/>
        <v>84206531.390962437</v>
      </c>
      <c r="K48" s="253">
        <f t="shared" si="6"/>
        <v>84490640.772277281</v>
      </c>
      <c r="M48" s="252">
        <f t="shared" ref="M48:S48" si="7">SUM(M14:M47)</f>
        <v>10961676.55807557</v>
      </c>
      <c r="N48" s="252">
        <f t="shared" si="7"/>
        <v>10953081.260833699</v>
      </c>
      <c r="O48" s="252">
        <f t="shared" si="7"/>
        <v>12923216.643451072</v>
      </c>
      <c r="P48" s="252">
        <f t="shared" si="7"/>
        <v>13042194.137971392</v>
      </c>
      <c r="Q48" s="252">
        <f t="shared" si="7"/>
        <v>13153193.100896208</v>
      </c>
      <c r="R48" s="252">
        <f t="shared" si="7"/>
        <v>13225415.323672168</v>
      </c>
      <c r="S48" s="253">
        <f t="shared" si="7"/>
        <v>13294913.693928255</v>
      </c>
    </row>
    <row r="49" spans="1:21" ht="11.25" customHeight="1" x14ac:dyDescent="0.3">
      <c r="D49"/>
      <c r="E49"/>
      <c r="F49"/>
      <c r="G49"/>
      <c r="H49"/>
      <c r="I49"/>
      <c r="J49"/>
      <c r="K49"/>
    </row>
    <row r="50" spans="1:21" ht="12.75" x14ac:dyDescent="0.3">
      <c r="D50" s="6" t="s">
        <v>451</v>
      </c>
      <c r="E50" s="118">
        <f>'WkB_1_2.1.2'!E$19</f>
        <v>72096304.304272726</v>
      </c>
      <c r="F50" s="118">
        <f>'WkB_1_2.1.2'!F$19</f>
        <v>72352588.459241107</v>
      </c>
      <c r="G50" s="115">
        <v>81607591.039139673</v>
      </c>
      <c r="H50" s="115">
        <v>82476452.423404187</v>
      </c>
      <c r="I50" s="115">
        <v>82557722.186127469</v>
      </c>
      <c r="J50" s="115">
        <v>84206531.390962437</v>
      </c>
      <c r="K50" s="115">
        <v>84490640.772277281</v>
      </c>
      <c r="M50" s="118">
        <f>'WkB_1_2.1.4'!E$17</f>
        <v>10961676.55807557</v>
      </c>
      <c r="N50" s="118">
        <f>'WkB_1_2.1.4'!F$17</f>
        <v>10953081.260833699</v>
      </c>
      <c r="O50" s="118">
        <f>'WkB_1_2.1.4'!G$17</f>
        <v>12923216.64345107</v>
      </c>
      <c r="P50" s="118">
        <f>'WkB_1_2.1.4'!H$17</f>
        <v>13042194.13797139</v>
      </c>
      <c r="Q50" s="118">
        <f>'WkB_1_2.1.4'!I$17</f>
        <v>13153193.100896209</v>
      </c>
      <c r="R50" s="118">
        <f>'WkB_1_2.1.4'!J$17</f>
        <v>13225415.32367217</v>
      </c>
      <c r="S50" s="118">
        <f>'WkB_1_2.1.4'!K$17</f>
        <v>13294913.693928255</v>
      </c>
    </row>
    <row r="51" spans="1:21" ht="12.75" x14ac:dyDescent="0.3">
      <c r="D51" s="6" t="s">
        <v>695</v>
      </c>
      <c r="E51" s="115">
        <v>72096304.304272711</v>
      </c>
      <c r="F51" s="116">
        <v>72352588.459241092</v>
      </c>
      <c r="G51" s="117">
        <v>81607591.039139658</v>
      </c>
      <c r="H51" s="115">
        <v>82476452.423404187</v>
      </c>
      <c r="I51" s="115">
        <v>82557722.186127469</v>
      </c>
      <c r="J51" s="115">
        <v>84206531.390962437</v>
      </c>
      <c r="K51" s="115">
        <v>84490640.772277281</v>
      </c>
      <c r="M51" s="115">
        <v>10961676.55807557</v>
      </c>
      <c r="N51" s="116">
        <v>10953081.260833699</v>
      </c>
      <c r="O51" s="117">
        <v>12923216.643451072</v>
      </c>
      <c r="P51" s="115">
        <v>13042194.137971392</v>
      </c>
      <c r="Q51" s="115">
        <v>13153193.100896208</v>
      </c>
      <c r="R51" s="115">
        <v>13225415.323672168</v>
      </c>
      <c r="S51" s="115">
        <v>13294913.693928255</v>
      </c>
    </row>
    <row r="52" spans="1:21" ht="12.75" x14ac:dyDescent="0.3">
      <c r="A52" s="41">
        <f>IF(SUM($E52:$K52,M52:S52)&gt;0,1,0)</f>
        <v>0</v>
      </c>
      <c r="D52" s="6" t="s">
        <v>126</v>
      </c>
      <c r="E52" s="62">
        <f>IF(OR(ROUND(E50-E48,3)&lt;&gt;0,ROUND(E50-E51,3)&lt;&gt;0),1,0)</f>
        <v>0</v>
      </c>
      <c r="F52" s="62">
        <f t="shared" ref="F52:K52" si="8">IF(OR(ROUND(F50-F48,3)&lt;&gt;0,ROUND(F50-F51,3)&lt;&gt;0),1,0)</f>
        <v>0</v>
      </c>
      <c r="G52" s="62">
        <f t="shared" si="8"/>
        <v>0</v>
      </c>
      <c r="H52" s="62">
        <f t="shared" si="8"/>
        <v>0</v>
      </c>
      <c r="I52" s="62">
        <f t="shared" si="8"/>
        <v>0</v>
      </c>
      <c r="J52" s="62">
        <f t="shared" si="8"/>
        <v>0</v>
      </c>
      <c r="K52" s="62">
        <f t="shared" si="8"/>
        <v>0</v>
      </c>
      <c r="M52" s="62">
        <f>IF(OR(ROUND(M50-M48,3)&lt;&gt;0,ROUND(M50-M51,3)&lt;&gt;0),1,0)</f>
        <v>0</v>
      </c>
      <c r="N52" s="62">
        <f t="shared" ref="N52" si="9">IF(OR(ROUND(N50-N48,3)&lt;&gt;0,ROUND(N50-N51,3)&lt;&gt;0),1,0)</f>
        <v>0</v>
      </c>
      <c r="O52" s="62">
        <f t="shared" ref="O52" si="10">IF(OR(ROUND(O50-O48,3)&lt;&gt;0,ROUND(O50-O51,3)&lt;&gt;0),1,0)</f>
        <v>0</v>
      </c>
      <c r="P52" s="62">
        <f t="shared" ref="P52" si="11">IF(OR(ROUND(P50-P48,3)&lt;&gt;0,ROUND(P50-P51,3)&lt;&gt;0),1,0)</f>
        <v>0</v>
      </c>
      <c r="Q52" s="62">
        <f t="shared" ref="Q52" si="12">IF(OR(ROUND(Q50-Q48,3)&lt;&gt;0,ROUND(Q50-Q51,3)&lt;&gt;0),1,0)</f>
        <v>0</v>
      </c>
      <c r="R52" s="62">
        <f t="shared" ref="R52" si="13">IF(OR(ROUND(R50-R48,3)&lt;&gt;0,ROUND(R50-R51,3)&lt;&gt;0),1,0)</f>
        <v>0</v>
      </c>
      <c r="S52" s="62">
        <f t="shared" ref="S52" si="14">IF(OR(ROUND(S50-S48,3)&lt;&gt;0,ROUND(S50-S51,3)&lt;&gt;0),1,0)</f>
        <v>0</v>
      </c>
    </row>
    <row r="53" spans="1:21" ht="11.25" customHeight="1" x14ac:dyDescent="0.3"/>
    <row r="54" spans="1:21" ht="12.75" x14ac:dyDescent="0.3">
      <c r="D54" s="6" t="s">
        <v>681</v>
      </c>
      <c r="E54" s="118">
        <f>'WkB_1_2.1.2'!E61-'WkB_1_2.1.2'!E60</f>
        <v>72096304.304272726</v>
      </c>
      <c r="F54" s="118">
        <f>'WkB_1_2.1.2'!F61-'WkB_1_2.1.2'!F60</f>
        <v>72352588.459241107</v>
      </c>
      <c r="G54" s="118">
        <f>'WkB_1_2.1.2'!G61-'WkB_1_2.1.2'!G60</f>
        <v>71950229.591552794</v>
      </c>
      <c r="H54" s="118">
        <f>'WkB_1_2.1.2'!H61-'WkB_1_2.1.2'!H60</f>
        <v>72506490.847263336</v>
      </c>
      <c r="I54" s="118">
        <f>'WkB_1_2.1.2'!I61-'WkB_1_2.1.2'!I60</f>
        <v>72739534.611063689</v>
      </c>
      <c r="J54" s="118">
        <f>'WkB_1_2.1.2'!J61-'WkB_1_2.1.2'!J60</f>
        <v>72835572.286582366</v>
      </c>
      <c r="K54" s="118">
        <f>'WkB_1_2.1.2'!K61-'WkB_1_2.1.2'!K60</f>
        <v>73077477.920519635</v>
      </c>
      <c r="M54" s="118">
        <f>'WkB_1_2.1.4'!E$17-O$195</f>
        <v>10961676.55807557</v>
      </c>
      <c r="N54" s="118">
        <f>'WkB_1_2.1.4'!F$17-P$195</f>
        <v>10953081.260833699</v>
      </c>
      <c r="O54" s="118">
        <f>'WkB_1_2.1.4'!G$17-Q$195</f>
        <v>12714395.375339888</v>
      </c>
      <c r="P54" s="118">
        <f>'WkB_1_2.1.4'!H$17-R$195</f>
        <v>12814912.590945205</v>
      </c>
      <c r="Q54" s="118">
        <f>'WkB_1_2.1.4'!I$17-S$195</f>
        <v>12886967.638633011</v>
      </c>
      <c r="R54" s="118">
        <f>'WkB_1_2.1.4'!J$17-T$195</f>
        <v>12949767.347386347</v>
      </c>
      <c r="S54" s="118">
        <f>'WkB_1_2.1.4'!K$17-U$195</f>
        <v>13025723.406008061</v>
      </c>
    </row>
    <row r="55" spans="1:21" ht="11.25" customHeight="1" x14ac:dyDescent="0.3"/>
    <row r="56" spans="1:21" ht="12.75" x14ac:dyDescent="0.3">
      <c r="D56" s="6" t="s">
        <v>839</v>
      </c>
    </row>
    <row r="57" spans="1:21" ht="11.25" customHeight="1" x14ac:dyDescent="0.3"/>
    <row r="58" spans="1:21" s="7" customFormat="1" ht="13.9" x14ac:dyDescent="0.3">
      <c r="C58" s="7" t="s">
        <v>653</v>
      </c>
    </row>
    <row r="59" spans="1:21" ht="11.25" customHeight="1" x14ac:dyDescent="0.3"/>
    <row r="60" spans="1:21" ht="18" x14ac:dyDescent="0.3">
      <c r="D60" s="255" t="s">
        <v>174</v>
      </c>
      <c r="E60" s="183"/>
      <c r="F60" s="183"/>
      <c r="G60" s="183"/>
      <c r="H60" s="183"/>
      <c r="I60" s="183"/>
      <c r="J60" s="183"/>
      <c r="K60" s="183"/>
      <c r="L60" s="183"/>
      <c r="M60" s="183"/>
      <c r="N60" s="183"/>
      <c r="O60" s="183"/>
      <c r="P60" s="183"/>
      <c r="Q60" s="183"/>
      <c r="R60" s="183"/>
      <c r="S60" s="183"/>
      <c r="T60" s="183"/>
      <c r="U60" s="183"/>
    </row>
    <row r="61" spans="1:21" ht="14.65" thickBot="1" x14ac:dyDescent="0.5">
      <c r="D61"/>
      <c r="E61" s="600" t="s">
        <v>483</v>
      </c>
      <c r="F61" s="843"/>
      <c r="G61" s="600"/>
      <c r="H61" s="600"/>
      <c r="I61" s="600"/>
      <c r="J61" s="600"/>
      <c r="K61" s="600"/>
      <c r="L61" s="600"/>
      <c r="N61" s="600" t="s">
        <v>484</v>
      </c>
      <c r="O61" s="843"/>
      <c r="P61" s="600"/>
      <c r="Q61" s="600"/>
      <c r="R61" s="600"/>
      <c r="S61" s="600"/>
      <c r="T61" s="600"/>
      <c r="U61" s="600"/>
    </row>
    <row r="62" spans="1:21" ht="14.25" x14ac:dyDescent="0.3">
      <c r="D62"/>
      <c r="E62" s="607" t="s">
        <v>175</v>
      </c>
      <c r="F62" s="607"/>
      <c r="G62" s="607"/>
      <c r="H62" s="607"/>
      <c r="I62" s="607"/>
      <c r="J62" s="607"/>
      <c r="K62" s="607"/>
      <c r="L62" s="608"/>
      <c r="N62" s="607" t="s">
        <v>175</v>
      </c>
      <c r="O62" s="607"/>
      <c r="P62" s="607"/>
      <c r="Q62" s="607"/>
      <c r="R62" s="607"/>
      <c r="S62" s="607"/>
      <c r="T62" s="607"/>
      <c r="U62" s="608"/>
    </row>
    <row r="63" spans="1:21" ht="14.65" customHeight="1" x14ac:dyDescent="0.3">
      <c r="D63"/>
      <c r="E63" s="609" t="s">
        <v>549</v>
      </c>
      <c r="F63" s="609"/>
      <c r="G63" s="609"/>
      <c r="H63" s="609"/>
      <c r="I63" s="609"/>
      <c r="J63" s="609"/>
      <c r="K63" s="609"/>
      <c r="L63" s="610"/>
      <c r="N63" s="609" t="s">
        <v>549</v>
      </c>
      <c r="O63" s="609"/>
      <c r="P63" s="609"/>
      <c r="Q63" s="609"/>
      <c r="R63" s="609"/>
      <c r="S63" s="609"/>
      <c r="T63" s="609"/>
      <c r="U63" s="610"/>
    </row>
    <row r="64" spans="1:21" ht="14.65" thickBot="1" x14ac:dyDescent="0.35">
      <c r="D64" s="199"/>
      <c r="E64" s="611" t="s">
        <v>69</v>
      </c>
      <c r="F64" s="515" t="s">
        <v>70</v>
      </c>
      <c r="G64" s="515" t="s">
        <v>71</v>
      </c>
      <c r="H64" s="516" t="s">
        <v>72</v>
      </c>
      <c r="I64" s="516" t="s">
        <v>73</v>
      </c>
      <c r="J64" s="516" t="s">
        <v>74</v>
      </c>
      <c r="K64" s="516" t="s">
        <v>82</v>
      </c>
      <c r="L64" s="612" t="s">
        <v>243</v>
      </c>
      <c r="N64" s="850" t="str">
        <f>E64</f>
        <v>2021-22</v>
      </c>
      <c r="O64" s="851" t="str">
        <f t="shared" ref="O64:U64" si="15">F64</f>
        <v>2022-23</v>
      </c>
      <c r="P64" s="851" t="str">
        <f t="shared" si="15"/>
        <v>2023-24</v>
      </c>
      <c r="Q64" s="852" t="str">
        <f t="shared" si="15"/>
        <v>2024-25</v>
      </c>
      <c r="R64" s="852" t="str">
        <f t="shared" si="15"/>
        <v>2025-26</v>
      </c>
      <c r="S64" s="852" t="str">
        <f t="shared" si="15"/>
        <v>2026-27</v>
      </c>
      <c r="T64" s="852" t="str">
        <f t="shared" si="15"/>
        <v>2027-28</v>
      </c>
      <c r="U64" s="853" t="str">
        <f t="shared" si="15"/>
        <v>2028-29</v>
      </c>
    </row>
    <row r="65" spans="4:21" ht="16.149999999999999" thickBot="1" x14ac:dyDescent="0.35">
      <c r="D65" s="613" t="s">
        <v>494</v>
      </c>
      <c r="E65" s="256"/>
      <c r="F65" s="256"/>
      <c r="G65" s="256"/>
      <c r="H65" s="256"/>
      <c r="I65" s="256"/>
      <c r="J65" s="256"/>
      <c r="K65" s="256"/>
      <c r="L65" s="257"/>
      <c r="N65" s="256"/>
      <c r="O65" s="256"/>
      <c r="P65" s="256"/>
      <c r="Q65" s="256"/>
      <c r="R65" s="256"/>
      <c r="S65" s="256"/>
      <c r="T65" s="256"/>
      <c r="U65" s="257"/>
    </row>
    <row r="66" spans="4:21" ht="14.25" x14ac:dyDescent="0.45">
      <c r="D66" s="820" t="s">
        <v>1156</v>
      </c>
      <c r="E66" s="258">
        <v>11031466.32771324</v>
      </c>
      <c r="F66" s="844"/>
      <c r="G66" s="844"/>
      <c r="H66" s="845"/>
      <c r="I66" s="846"/>
      <c r="J66" s="846"/>
      <c r="K66" s="846"/>
      <c r="L66" s="844"/>
      <c r="N66" s="258">
        <v>1097413.0619932152</v>
      </c>
      <c r="O66" s="844"/>
      <c r="P66" s="844"/>
      <c r="Q66" s="845"/>
      <c r="R66" s="846"/>
      <c r="S66" s="846"/>
      <c r="T66" s="846"/>
      <c r="U66" s="844"/>
    </row>
    <row r="67" spans="4:21" ht="14.25" x14ac:dyDescent="0.45">
      <c r="D67" s="878" t="s">
        <v>1157</v>
      </c>
      <c r="E67" s="262">
        <v>811193.27692238602</v>
      </c>
      <c r="F67" s="847"/>
      <c r="G67" s="847"/>
      <c r="H67" s="848"/>
      <c r="I67" s="849"/>
      <c r="J67" s="849"/>
      <c r="K67" s="849"/>
      <c r="L67" s="847"/>
      <c r="N67" s="262">
        <v>3129634.9312448427</v>
      </c>
      <c r="O67" s="847"/>
      <c r="P67" s="847"/>
      <c r="Q67" s="848"/>
      <c r="R67" s="849"/>
      <c r="S67" s="849"/>
      <c r="T67" s="849"/>
      <c r="U67" s="847"/>
    </row>
    <row r="68" spans="4:21" ht="14.25" x14ac:dyDescent="0.45">
      <c r="D68" s="878" t="s">
        <v>1158</v>
      </c>
      <c r="E68" s="262">
        <v>2104200.6791189867</v>
      </c>
      <c r="F68" s="847"/>
      <c r="G68" s="847"/>
      <c r="H68" s="848"/>
      <c r="I68" s="849"/>
      <c r="J68" s="849"/>
      <c r="K68" s="849"/>
      <c r="L68" s="847"/>
      <c r="N68" s="262">
        <v>1782487.4920299521</v>
      </c>
      <c r="O68" s="847"/>
      <c r="P68" s="847"/>
      <c r="Q68" s="848"/>
      <c r="R68" s="849"/>
      <c r="S68" s="849"/>
      <c r="T68" s="849"/>
      <c r="U68" s="847"/>
    </row>
    <row r="69" spans="4:21" ht="14.25" x14ac:dyDescent="0.45">
      <c r="D69" s="878" t="s">
        <v>1159</v>
      </c>
      <c r="E69" s="262">
        <v>12023160.120298795</v>
      </c>
      <c r="F69" s="847"/>
      <c r="G69" s="847"/>
      <c r="H69" s="848"/>
      <c r="I69" s="849"/>
      <c r="J69" s="849"/>
      <c r="K69" s="849"/>
      <c r="L69" s="847"/>
      <c r="N69" s="262">
        <v>5428036.4213721827</v>
      </c>
      <c r="O69" s="847"/>
      <c r="P69" s="847"/>
      <c r="Q69" s="848"/>
      <c r="R69" s="849"/>
      <c r="S69" s="849"/>
      <c r="T69" s="849"/>
      <c r="U69" s="847"/>
    </row>
    <row r="70" spans="4:21" ht="14.25" x14ac:dyDescent="0.45">
      <c r="D70" s="878" t="s">
        <v>1160</v>
      </c>
      <c r="E70" s="262">
        <v>24832744.760000013</v>
      </c>
      <c r="F70" s="847"/>
      <c r="G70" s="847"/>
      <c r="H70" s="848"/>
      <c r="I70" s="849"/>
      <c r="J70" s="849"/>
      <c r="K70" s="849"/>
      <c r="L70" s="847"/>
      <c r="N70" s="262">
        <v>0</v>
      </c>
      <c r="O70" s="847"/>
      <c r="P70" s="847"/>
      <c r="Q70" s="848"/>
      <c r="R70" s="849"/>
      <c r="S70" s="849"/>
      <c r="T70" s="849"/>
      <c r="U70" s="847"/>
    </row>
    <row r="71" spans="4:21" ht="14.25" x14ac:dyDescent="0.45">
      <c r="D71" s="878" t="s">
        <v>1161</v>
      </c>
      <c r="E71" s="262">
        <v>13443643.751665007</v>
      </c>
      <c r="F71" s="847"/>
      <c r="G71" s="847"/>
      <c r="H71" s="848"/>
      <c r="I71" s="849"/>
      <c r="J71" s="849"/>
      <c r="K71" s="849"/>
      <c r="L71" s="847"/>
      <c r="N71" s="262">
        <v>4203916.9192461232</v>
      </c>
      <c r="O71" s="847"/>
      <c r="P71" s="847"/>
      <c r="Q71" s="848"/>
      <c r="R71" s="849"/>
      <c r="S71" s="849"/>
      <c r="T71" s="849"/>
      <c r="U71" s="847"/>
    </row>
    <row r="72" spans="4:21" ht="11.25" customHeight="1" x14ac:dyDescent="0.45">
      <c r="D72" s="878"/>
      <c r="E72" s="262"/>
      <c r="F72" s="847"/>
      <c r="G72" s="847"/>
      <c r="H72" s="848"/>
      <c r="I72" s="849"/>
      <c r="J72" s="849"/>
      <c r="K72" s="849"/>
      <c r="L72" s="847"/>
      <c r="N72" s="262"/>
      <c r="O72" s="847"/>
      <c r="P72" s="847"/>
      <c r="Q72" s="848"/>
      <c r="R72" s="849"/>
      <c r="S72" s="849"/>
      <c r="T72" s="849"/>
      <c r="U72" s="847"/>
    </row>
    <row r="73" spans="4:21" ht="11.25" customHeight="1" thickBot="1" x14ac:dyDescent="0.5">
      <c r="D73" s="878"/>
      <c r="E73" s="262"/>
      <c r="F73" s="847"/>
      <c r="G73" s="847"/>
      <c r="H73" s="848"/>
      <c r="I73" s="849"/>
      <c r="J73" s="849"/>
      <c r="K73" s="849"/>
      <c r="L73" s="847"/>
      <c r="N73" s="262"/>
      <c r="O73" s="847"/>
      <c r="P73" s="847"/>
      <c r="Q73" s="848"/>
      <c r="R73" s="849"/>
      <c r="S73" s="849"/>
      <c r="T73" s="849"/>
      <c r="U73" s="847"/>
    </row>
    <row r="74" spans="4:21" ht="11.25" customHeight="1" thickBot="1" x14ac:dyDescent="0.35">
      <c r="D74" s="270" t="s">
        <v>773</v>
      </c>
      <c r="E74" s="252">
        <f t="shared" ref="E74:L74" si="16">SUM(E66:E73)</f>
        <v>64246408.915718436</v>
      </c>
      <c r="F74" s="252">
        <f t="shared" si="16"/>
        <v>0</v>
      </c>
      <c r="G74" s="252">
        <f t="shared" si="16"/>
        <v>0</v>
      </c>
      <c r="H74" s="252">
        <f t="shared" si="16"/>
        <v>0</v>
      </c>
      <c r="I74" s="252">
        <f t="shared" si="16"/>
        <v>0</v>
      </c>
      <c r="J74" s="252">
        <f t="shared" si="16"/>
        <v>0</v>
      </c>
      <c r="K74" s="252">
        <f t="shared" si="16"/>
        <v>0</v>
      </c>
      <c r="L74" s="253">
        <f t="shared" si="16"/>
        <v>0</v>
      </c>
      <c r="N74" s="252">
        <f>SUM(N66:N73)</f>
        <v>15641488.825886317</v>
      </c>
      <c r="O74" s="252"/>
      <c r="P74" s="252">
        <f t="shared" ref="P74:U74" si="17">SUM(P66:P73)</f>
        <v>0</v>
      </c>
      <c r="Q74" s="252">
        <f t="shared" si="17"/>
        <v>0</v>
      </c>
      <c r="R74" s="252">
        <f t="shared" si="17"/>
        <v>0</v>
      </c>
      <c r="S74" s="252">
        <f t="shared" si="17"/>
        <v>0</v>
      </c>
      <c r="T74" s="252">
        <f t="shared" si="17"/>
        <v>0</v>
      </c>
      <c r="U74" s="253">
        <f t="shared" si="17"/>
        <v>0</v>
      </c>
    </row>
    <row r="75" spans="4:21" ht="11.25" customHeight="1" thickBot="1" x14ac:dyDescent="0.35"/>
    <row r="76" spans="4:21" ht="15.4" thickBot="1" x14ac:dyDescent="0.35">
      <c r="D76" s="325" t="s">
        <v>680</v>
      </c>
      <c r="E76" s="325"/>
      <c r="F76" s="325"/>
      <c r="G76" s="325"/>
      <c r="H76" s="325"/>
      <c r="I76" s="325"/>
      <c r="J76" s="325"/>
      <c r="K76" s="325"/>
      <c r="L76" s="325"/>
      <c r="N76" s="325"/>
      <c r="O76" s="325"/>
      <c r="P76" s="325"/>
      <c r="Q76" s="325"/>
      <c r="R76" s="325"/>
      <c r="S76" s="325"/>
      <c r="T76" s="325"/>
      <c r="U76" s="325"/>
    </row>
    <row r="77" spans="4:21" ht="13.5" thickBot="1" x14ac:dyDescent="0.35">
      <c r="D77" s="649" t="s">
        <v>1126</v>
      </c>
      <c r="E77" s="650"/>
      <c r="F77" s="650"/>
      <c r="G77" s="650"/>
      <c r="H77" s="650"/>
      <c r="I77" s="650"/>
      <c r="J77" s="650"/>
      <c r="K77" s="650"/>
      <c r="L77" s="650"/>
      <c r="N77" s="649" t="s">
        <v>1137</v>
      </c>
      <c r="O77" s="650"/>
      <c r="P77" s="650"/>
      <c r="Q77" s="650"/>
      <c r="R77" s="650"/>
      <c r="S77" s="650"/>
      <c r="T77" s="650"/>
      <c r="U77" s="651"/>
    </row>
    <row r="78" spans="4:21" ht="14.65" thickBot="1" x14ac:dyDescent="0.5">
      <c r="D78"/>
      <c r="E78" s="1084" t="s">
        <v>483</v>
      </c>
      <c r="F78" s="1084"/>
      <c r="G78" s="1084"/>
      <c r="H78" s="1084"/>
      <c r="I78" s="1084"/>
      <c r="J78" s="1084"/>
      <c r="K78" s="1084"/>
      <c r="L78" s="1084"/>
      <c r="N78" s="1084" t="s">
        <v>484</v>
      </c>
      <c r="O78" s="1084"/>
      <c r="P78" s="1084"/>
      <c r="Q78" s="1084"/>
      <c r="R78" s="1084"/>
      <c r="S78" s="1084"/>
      <c r="T78" s="1084"/>
      <c r="U78" s="1084"/>
    </row>
    <row r="79" spans="4:21" ht="14.25" x14ac:dyDescent="0.3">
      <c r="D79" s="271"/>
      <c r="E79" s="1085" t="s">
        <v>175</v>
      </c>
      <c r="F79" s="1086"/>
      <c r="G79" s="1086"/>
      <c r="H79" s="1086"/>
      <c r="I79" s="1086"/>
      <c r="J79" s="1086"/>
      <c r="K79" s="1086"/>
      <c r="L79" s="1087"/>
      <c r="N79" s="1085" t="s">
        <v>175</v>
      </c>
      <c r="O79" s="1086"/>
      <c r="P79" s="1086"/>
      <c r="Q79" s="1086"/>
      <c r="R79" s="1086"/>
      <c r="S79" s="1086"/>
      <c r="T79" s="1086"/>
      <c r="U79" s="1087"/>
    </row>
    <row r="80" spans="4:21" ht="14.65" thickBot="1" x14ac:dyDescent="0.35">
      <c r="D80" s="271"/>
      <c r="E80" s="1081" t="s">
        <v>549</v>
      </c>
      <c r="F80" s="1082"/>
      <c r="G80" s="1082"/>
      <c r="H80" s="1082"/>
      <c r="I80" s="1082"/>
      <c r="J80" s="1082"/>
      <c r="K80" s="1082"/>
      <c r="L80" s="1083"/>
      <c r="M80" s="825"/>
      <c r="N80" s="1081" t="s">
        <v>549</v>
      </c>
      <c r="O80" s="1082"/>
      <c r="P80" s="1082"/>
      <c r="Q80" s="1082"/>
      <c r="R80" s="1082"/>
      <c r="S80" s="1082"/>
      <c r="T80" s="1082"/>
      <c r="U80" s="1083"/>
    </row>
    <row r="81" spans="4:21" ht="14.65" thickBot="1" x14ac:dyDescent="0.35">
      <c r="D81" s="199"/>
      <c r="E81" s="826" t="s">
        <v>69</v>
      </c>
      <c r="F81" s="827" t="s">
        <v>70</v>
      </c>
      <c r="G81" s="827" t="s">
        <v>71</v>
      </c>
      <c r="H81" s="828" t="s">
        <v>72</v>
      </c>
      <c r="I81" s="828" t="s">
        <v>73</v>
      </c>
      <c r="J81" s="828" t="s">
        <v>74</v>
      </c>
      <c r="K81" s="828" t="s">
        <v>82</v>
      </c>
      <c r="L81" s="829" t="s">
        <v>243</v>
      </c>
      <c r="M81" s="825"/>
      <c r="N81" s="826" t="s">
        <v>69</v>
      </c>
      <c r="O81" s="827" t="s">
        <v>70</v>
      </c>
      <c r="P81" s="827" t="s">
        <v>71</v>
      </c>
      <c r="Q81" s="828" t="s">
        <v>72</v>
      </c>
      <c r="R81" s="828" t="s">
        <v>73</v>
      </c>
      <c r="S81" s="828" t="s">
        <v>74</v>
      </c>
      <c r="T81" s="828" t="s">
        <v>82</v>
      </c>
      <c r="U81" s="829" t="s">
        <v>243</v>
      </c>
    </row>
    <row r="82" spans="4:21" ht="14.25" x14ac:dyDescent="0.45">
      <c r="D82" s="854" t="str">
        <f>$D$66</f>
        <v>Employee benefits expense</v>
      </c>
      <c r="E82" s="830"/>
      <c r="F82" s="831"/>
      <c r="G82" s="831"/>
      <c r="H82" s="832">
        <v>0</v>
      </c>
      <c r="I82" s="833">
        <v>0</v>
      </c>
      <c r="J82" s="833">
        <v>0</v>
      </c>
      <c r="K82" s="833">
        <v>0</v>
      </c>
      <c r="L82" s="834">
        <v>0</v>
      </c>
      <c r="M82" s="835"/>
      <c r="N82" s="830"/>
      <c r="O82" s="831"/>
      <c r="P82" s="831"/>
      <c r="Q82" s="832">
        <v>0</v>
      </c>
      <c r="R82" s="833">
        <v>0</v>
      </c>
      <c r="S82" s="833">
        <v>0</v>
      </c>
      <c r="T82" s="833">
        <v>0</v>
      </c>
      <c r="U82" s="834">
        <v>0</v>
      </c>
    </row>
    <row r="83" spans="4:21" ht="14.25" x14ac:dyDescent="0.45">
      <c r="D83" s="836" t="str">
        <f>$D$67</f>
        <v>Energy and materials</v>
      </c>
      <c r="E83" s="760"/>
      <c r="F83" s="759"/>
      <c r="G83" s="759"/>
      <c r="H83" s="832">
        <v>0</v>
      </c>
      <c r="I83" s="833">
        <v>0</v>
      </c>
      <c r="J83" s="833">
        <v>0</v>
      </c>
      <c r="K83" s="833">
        <v>0</v>
      </c>
      <c r="L83" s="834">
        <v>0</v>
      </c>
      <c r="M83" s="837"/>
      <c r="N83" s="760"/>
      <c r="O83" s="759"/>
      <c r="P83" s="759"/>
      <c r="Q83" s="832">
        <v>0</v>
      </c>
      <c r="R83" s="833">
        <v>0</v>
      </c>
      <c r="S83" s="833">
        <v>0</v>
      </c>
      <c r="T83" s="833">
        <v>0</v>
      </c>
      <c r="U83" s="834">
        <v>0</v>
      </c>
    </row>
    <row r="84" spans="4:21" ht="14.25" x14ac:dyDescent="0.45">
      <c r="D84" s="836" t="str">
        <f>$D$68</f>
        <v>External service agreements</v>
      </c>
      <c r="E84" s="760"/>
      <c r="F84" s="759"/>
      <c r="G84" s="759"/>
      <c r="H84" s="832">
        <v>1</v>
      </c>
      <c r="I84" s="833">
        <v>1</v>
      </c>
      <c r="J84" s="833">
        <v>1</v>
      </c>
      <c r="K84" s="833">
        <v>1</v>
      </c>
      <c r="L84" s="834">
        <v>1</v>
      </c>
      <c r="M84" s="837"/>
      <c r="N84" s="760"/>
      <c r="O84" s="759"/>
      <c r="P84" s="759"/>
      <c r="Q84" s="832">
        <v>1</v>
      </c>
      <c r="R84" s="833">
        <v>1</v>
      </c>
      <c r="S84" s="833">
        <v>1</v>
      </c>
      <c r="T84" s="833">
        <v>1</v>
      </c>
      <c r="U84" s="834">
        <v>1</v>
      </c>
    </row>
    <row r="85" spans="4:21" ht="14.25" x14ac:dyDescent="0.45">
      <c r="D85" s="836" t="str">
        <f>$D$69</f>
        <v>Other expenses</v>
      </c>
      <c r="E85" s="760"/>
      <c r="F85" s="759"/>
      <c r="G85" s="759"/>
      <c r="H85" s="832">
        <v>0</v>
      </c>
      <c r="I85" s="833">
        <v>0</v>
      </c>
      <c r="J85" s="833">
        <v>0</v>
      </c>
      <c r="K85" s="833">
        <v>0</v>
      </c>
      <c r="L85" s="834">
        <v>0</v>
      </c>
      <c r="M85" s="835"/>
      <c r="N85" s="760"/>
      <c r="O85" s="759"/>
      <c r="P85" s="759"/>
      <c r="Q85" s="832">
        <v>0</v>
      </c>
      <c r="R85" s="833">
        <v>0</v>
      </c>
      <c r="S85" s="833">
        <v>0</v>
      </c>
      <c r="T85" s="833">
        <v>0</v>
      </c>
      <c r="U85" s="834">
        <v>0</v>
      </c>
    </row>
    <row r="86" spans="4:21" ht="14.25" x14ac:dyDescent="0.45">
      <c r="D86" s="836" t="str">
        <f>$D$70</f>
        <v>Repairs and maintenance expense</v>
      </c>
      <c r="E86" s="760"/>
      <c r="F86" s="759"/>
      <c r="G86" s="759"/>
      <c r="H86" s="832">
        <v>0</v>
      </c>
      <c r="I86" s="833">
        <v>0</v>
      </c>
      <c r="J86" s="833">
        <v>0</v>
      </c>
      <c r="K86" s="833">
        <v>0</v>
      </c>
      <c r="L86" s="834">
        <v>0</v>
      </c>
      <c r="M86" s="835"/>
      <c r="N86" s="760"/>
      <c r="O86" s="759"/>
      <c r="P86" s="759"/>
      <c r="Q86" s="832">
        <v>0</v>
      </c>
      <c r="R86" s="833">
        <v>0</v>
      </c>
      <c r="S86" s="833">
        <v>0</v>
      </c>
      <c r="T86" s="833">
        <v>0</v>
      </c>
      <c r="U86" s="834">
        <v>0</v>
      </c>
    </row>
    <row r="87" spans="4:21" ht="14.65" thickBot="1" x14ac:dyDescent="0.5">
      <c r="D87" s="836" t="str">
        <f>$D$71</f>
        <v>Inter-group sales</v>
      </c>
      <c r="E87" s="760"/>
      <c r="F87" s="759"/>
      <c r="G87" s="759"/>
      <c r="H87" s="832">
        <v>0</v>
      </c>
      <c r="I87" s="833">
        <v>0</v>
      </c>
      <c r="J87" s="833">
        <v>0</v>
      </c>
      <c r="K87" s="833">
        <v>0</v>
      </c>
      <c r="L87" s="834">
        <v>0</v>
      </c>
      <c r="M87" s="835"/>
      <c r="N87" s="760"/>
      <c r="O87" s="759"/>
      <c r="P87" s="759"/>
      <c r="Q87" s="832">
        <v>0</v>
      </c>
      <c r="R87" s="833">
        <v>0</v>
      </c>
      <c r="S87" s="833">
        <v>0</v>
      </c>
      <c r="T87" s="833">
        <v>0</v>
      </c>
      <c r="U87" s="834">
        <v>0</v>
      </c>
    </row>
    <row r="88" spans="4:21" ht="13.5" thickBot="1" x14ac:dyDescent="0.35">
      <c r="D88" s="254" t="str">
        <f>"Total "&amp;D77</f>
        <v>Total Cyber security</v>
      </c>
      <c r="E88" s="838"/>
      <c r="F88" s="839"/>
      <c r="G88" s="839"/>
      <c r="H88" s="840">
        <f>SUM(H82:H87)</f>
        <v>1</v>
      </c>
      <c r="I88" s="840">
        <f>SUM(I82:I87)</f>
        <v>1</v>
      </c>
      <c r="J88" s="840">
        <f>SUM(J82:J87)</f>
        <v>1</v>
      </c>
      <c r="K88" s="840">
        <f>SUM(K82:K87)</f>
        <v>1</v>
      </c>
      <c r="L88" s="841">
        <f>SUM(L82:L87)</f>
        <v>1</v>
      </c>
      <c r="M88" s="835"/>
      <c r="N88" s="838"/>
      <c r="O88" s="839"/>
      <c r="P88" s="839"/>
      <c r="Q88" s="840">
        <f>SUM(Q82:Q87)</f>
        <v>1</v>
      </c>
      <c r="R88" s="840">
        <f>SUM(R82:R87)</f>
        <v>1</v>
      </c>
      <c r="S88" s="840">
        <f>SUM(S82:S87)</f>
        <v>1</v>
      </c>
      <c r="T88" s="840">
        <f>SUM(T82:T87)</f>
        <v>1</v>
      </c>
      <c r="U88" s="841">
        <f>SUM(U82:U87)</f>
        <v>1</v>
      </c>
    </row>
    <row r="89" spans="4:21" ht="11.25" customHeight="1" thickBot="1" x14ac:dyDescent="0.35">
      <c r="D89"/>
      <c r="E89"/>
      <c r="F89"/>
      <c r="G89"/>
      <c r="H89"/>
      <c r="I89"/>
      <c r="J89"/>
      <c r="K89"/>
      <c r="L89"/>
      <c r="M89" s="835"/>
      <c r="N89"/>
      <c r="O89"/>
      <c r="P89"/>
      <c r="Q89"/>
      <c r="R89"/>
      <c r="S89"/>
      <c r="T89"/>
      <c r="U89"/>
    </row>
    <row r="90" spans="4:21" ht="13.5" thickBot="1" x14ac:dyDescent="0.35">
      <c r="D90" s="649" t="s">
        <v>1127</v>
      </c>
      <c r="E90" s="650"/>
      <c r="F90" s="650"/>
      <c r="G90" s="650"/>
      <c r="H90" s="650"/>
      <c r="I90" s="650"/>
      <c r="J90" s="650"/>
      <c r="K90" s="650"/>
      <c r="L90" s="650"/>
      <c r="M90" s="835"/>
      <c r="N90" s="649" t="s">
        <v>1138</v>
      </c>
      <c r="O90" s="650"/>
      <c r="P90" s="650"/>
      <c r="Q90" s="650"/>
      <c r="R90" s="650"/>
      <c r="S90" s="650"/>
      <c r="T90" s="650"/>
      <c r="U90" s="651"/>
    </row>
    <row r="91" spans="4:21" ht="14.65" thickBot="1" x14ac:dyDescent="0.5">
      <c r="D91"/>
      <c r="E91" s="1084" t="s">
        <v>483</v>
      </c>
      <c r="F91" s="1084"/>
      <c r="G91" s="1084"/>
      <c r="H91" s="1084"/>
      <c r="I91" s="1084"/>
      <c r="J91" s="1084"/>
      <c r="K91" s="1084"/>
      <c r="L91" s="1084"/>
      <c r="M91" s="835"/>
      <c r="N91" s="1084" t="s">
        <v>484</v>
      </c>
      <c r="O91" s="1084"/>
      <c r="P91" s="1084"/>
      <c r="Q91" s="1084"/>
      <c r="R91" s="1084"/>
      <c r="S91" s="1084"/>
      <c r="T91" s="1084"/>
      <c r="U91" s="1084"/>
    </row>
    <row r="92" spans="4:21" ht="14.25" x14ac:dyDescent="0.3">
      <c r="D92" s="271"/>
      <c r="E92" s="1085" t="s">
        <v>175</v>
      </c>
      <c r="F92" s="1086"/>
      <c r="G92" s="1086"/>
      <c r="H92" s="1086"/>
      <c r="I92" s="1086"/>
      <c r="J92" s="1086"/>
      <c r="K92" s="1086"/>
      <c r="L92" s="1087"/>
      <c r="M92" s="825"/>
      <c r="N92" s="1085" t="s">
        <v>175</v>
      </c>
      <c r="O92" s="1086"/>
      <c r="P92" s="1086"/>
      <c r="Q92" s="1086"/>
      <c r="R92" s="1086"/>
      <c r="S92" s="1086"/>
      <c r="T92" s="1086"/>
      <c r="U92" s="1087"/>
    </row>
    <row r="93" spans="4:21" ht="14.65" thickBot="1" x14ac:dyDescent="0.35">
      <c r="D93" s="271"/>
      <c r="E93" s="1081" t="s">
        <v>549</v>
      </c>
      <c r="F93" s="1082"/>
      <c r="G93" s="1082"/>
      <c r="H93" s="1082"/>
      <c r="I93" s="1082"/>
      <c r="J93" s="1082"/>
      <c r="K93" s="1082"/>
      <c r="L93" s="1083"/>
      <c r="M93" s="825"/>
      <c r="N93" s="1081" t="s">
        <v>549</v>
      </c>
      <c r="O93" s="1082"/>
      <c r="P93" s="1082"/>
      <c r="Q93" s="1082"/>
      <c r="R93" s="1082"/>
      <c r="S93" s="1082"/>
      <c r="T93" s="1082"/>
      <c r="U93" s="1083"/>
    </row>
    <row r="94" spans="4:21" ht="14.65" thickBot="1" x14ac:dyDescent="0.35">
      <c r="D94" s="199"/>
      <c r="E94" s="826" t="s">
        <v>69</v>
      </c>
      <c r="F94" s="827" t="s">
        <v>70</v>
      </c>
      <c r="G94" s="827" t="s">
        <v>71</v>
      </c>
      <c r="H94" s="828" t="s">
        <v>72</v>
      </c>
      <c r="I94" s="828" t="s">
        <v>73</v>
      </c>
      <c r="J94" s="828" t="s">
        <v>74</v>
      </c>
      <c r="K94" s="828" t="s">
        <v>82</v>
      </c>
      <c r="L94" s="829" t="s">
        <v>243</v>
      </c>
      <c r="M94" s="825"/>
      <c r="N94" s="826" t="s">
        <v>69</v>
      </c>
      <c r="O94" s="827" t="s">
        <v>70</v>
      </c>
      <c r="P94" s="827" t="s">
        <v>71</v>
      </c>
      <c r="Q94" s="828" t="s">
        <v>72</v>
      </c>
      <c r="R94" s="828" t="s">
        <v>73</v>
      </c>
      <c r="S94" s="828" t="s">
        <v>74</v>
      </c>
      <c r="T94" s="828" t="s">
        <v>82</v>
      </c>
      <c r="U94" s="829" t="s">
        <v>243</v>
      </c>
    </row>
    <row r="95" spans="4:21" ht="14.25" x14ac:dyDescent="0.45">
      <c r="D95" s="854" t="str">
        <f>$D$66</f>
        <v>Employee benefits expense</v>
      </c>
      <c r="E95" s="830"/>
      <c r="F95" s="831"/>
      <c r="G95" s="831"/>
      <c r="H95" s="832">
        <v>0</v>
      </c>
      <c r="I95" s="833">
        <v>0</v>
      </c>
      <c r="J95" s="833">
        <v>0</v>
      </c>
      <c r="K95" s="833">
        <v>0</v>
      </c>
      <c r="L95" s="834">
        <v>0</v>
      </c>
      <c r="M95" s="835"/>
      <c r="N95" s="830"/>
      <c r="O95" s="831"/>
      <c r="P95" s="831"/>
      <c r="Q95" s="832">
        <v>0</v>
      </c>
      <c r="R95" s="833">
        <v>0</v>
      </c>
      <c r="S95" s="833">
        <v>0</v>
      </c>
      <c r="T95" s="833">
        <v>0</v>
      </c>
      <c r="U95" s="834">
        <v>0</v>
      </c>
    </row>
    <row r="96" spans="4:21" ht="14.25" x14ac:dyDescent="0.45">
      <c r="D96" s="836" t="str">
        <f>$D$67</f>
        <v>Energy and materials</v>
      </c>
      <c r="E96" s="760"/>
      <c r="F96" s="759"/>
      <c r="G96" s="759"/>
      <c r="H96" s="832">
        <v>0</v>
      </c>
      <c r="I96" s="833">
        <v>0</v>
      </c>
      <c r="J96" s="833">
        <v>0</v>
      </c>
      <c r="K96" s="833">
        <v>0</v>
      </c>
      <c r="L96" s="834">
        <v>0</v>
      </c>
      <c r="M96" s="837"/>
      <c r="N96" s="760"/>
      <c r="O96" s="759"/>
      <c r="P96" s="759"/>
      <c r="Q96" s="832">
        <v>0</v>
      </c>
      <c r="R96" s="833">
        <v>0</v>
      </c>
      <c r="S96" s="833">
        <v>0</v>
      </c>
      <c r="T96" s="833">
        <v>0</v>
      </c>
      <c r="U96" s="834">
        <v>0</v>
      </c>
    </row>
    <row r="97" spans="4:21" ht="14.25" x14ac:dyDescent="0.45">
      <c r="D97" s="836" t="str">
        <f>$D$68</f>
        <v>External service agreements</v>
      </c>
      <c r="E97" s="760"/>
      <c r="F97" s="759"/>
      <c r="G97" s="759"/>
      <c r="H97" s="832">
        <v>0</v>
      </c>
      <c r="I97" s="833">
        <v>0</v>
      </c>
      <c r="J97" s="833">
        <v>0</v>
      </c>
      <c r="K97" s="833">
        <v>0</v>
      </c>
      <c r="L97" s="834">
        <v>0</v>
      </c>
      <c r="M97" s="837"/>
      <c r="N97" s="760"/>
      <c r="O97" s="759"/>
      <c r="P97" s="759"/>
      <c r="Q97" s="832">
        <v>0</v>
      </c>
      <c r="R97" s="833">
        <v>0</v>
      </c>
      <c r="S97" s="833">
        <v>0</v>
      </c>
      <c r="T97" s="833">
        <v>0</v>
      </c>
      <c r="U97" s="834">
        <v>0</v>
      </c>
    </row>
    <row r="98" spans="4:21" ht="14.25" x14ac:dyDescent="0.45">
      <c r="D98" s="836" t="str">
        <f>$D$69</f>
        <v>Other expenses</v>
      </c>
      <c r="E98" s="760"/>
      <c r="F98" s="759"/>
      <c r="G98" s="759"/>
      <c r="H98" s="832">
        <v>1</v>
      </c>
      <c r="I98" s="833">
        <v>1</v>
      </c>
      <c r="J98" s="833">
        <v>1</v>
      </c>
      <c r="K98" s="833">
        <v>1</v>
      </c>
      <c r="L98" s="834">
        <v>1</v>
      </c>
      <c r="M98" s="835"/>
      <c r="N98" s="760"/>
      <c r="O98" s="759"/>
      <c r="P98" s="759"/>
      <c r="Q98" s="832">
        <v>1</v>
      </c>
      <c r="R98" s="833">
        <v>1</v>
      </c>
      <c r="S98" s="833">
        <v>1</v>
      </c>
      <c r="T98" s="833">
        <v>1</v>
      </c>
      <c r="U98" s="834">
        <v>1</v>
      </c>
    </row>
    <row r="99" spans="4:21" ht="14.25" x14ac:dyDescent="0.45">
      <c r="D99" s="836" t="str">
        <f>$D$70</f>
        <v>Repairs and maintenance expense</v>
      </c>
      <c r="E99" s="760"/>
      <c r="F99" s="759"/>
      <c r="G99" s="759"/>
      <c r="H99" s="832">
        <v>0</v>
      </c>
      <c r="I99" s="833">
        <v>0</v>
      </c>
      <c r="J99" s="833">
        <v>0</v>
      </c>
      <c r="K99" s="833">
        <v>0</v>
      </c>
      <c r="L99" s="834">
        <v>0</v>
      </c>
      <c r="M99" s="835"/>
      <c r="N99" s="760"/>
      <c r="O99" s="759"/>
      <c r="P99" s="759"/>
      <c r="Q99" s="832">
        <v>0</v>
      </c>
      <c r="R99" s="833">
        <v>0</v>
      </c>
      <c r="S99" s="833">
        <v>0</v>
      </c>
      <c r="T99" s="833">
        <v>0</v>
      </c>
      <c r="U99" s="834">
        <v>0</v>
      </c>
    </row>
    <row r="100" spans="4:21" ht="14.65" thickBot="1" x14ac:dyDescent="0.5">
      <c r="D100" s="836" t="str">
        <f>$D$71</f>
        <v>Inter-group sales</v>
      </c>
      <c r="E100" s="760"/>
      <c r="F100" s="759"/>
      <c r="G100" s="759"/>
      <c r="H100" s="832">
        <v>0</v>
      </c>
      <c r="I100" s="833">
        <v>0</v>
      </c>
      <c r="J100" s="833">
        <v>0</v>
      </c>
      <c r="K100" s="833">
        <v>0</v>
      </c>
      <c r="L100" s="834">
        <v>0</v>
      </c>
      <c r="M100" s="835"/>
      <c r="N100" s="760"/>
      <c r="O100" s="759"/>
      <c r="P100" s="759"/>
      <c r="Q100" s="832">
        <v>0</v>
      </c>
      <c r="R100" s="833">
        <v>0</v>
      </c>
      <c r="S100" s="833">
        <v>0</v>
      </c>
      <c r="T100" s="833">
        <v>0</v>
      </c>
      <c r="U100" s="834">
        <v>0</v>
      </c>
    </row>
    <row r="101" spans="4:21" ht="14.65" thickBot="1" x14ac:dyDescent="0.35">
      <c r="D101" s="254" t="str">
        <f>"Total "&amp;D90</f>
        <v>Total Insurance</v>
      </c>
      <c r="E101" s="838"/>
      <c r="F101" s="839"/>
      <c r="G101" s="839"/>
      <c r="H101" s="840">
        <f>SUM(H95:H100)</f>
        <v>1</v>
      </c>
      <c r="I101" s="840">
        <f>SUM(I95:I100)</f>
        <v>1</v>
      </c>
      <c r="J101" s="840">
        <f>SUM(J95:J100)</f>
        <v>1</v>
      </c>
      <c r="K101" s="840">
        <f>SUM(K95:K100)</f>
        <v>1</v>
      </c>
      <c r="L101" s="841">
        <f>SUM(L95:L100)</f>
        <v>1</v>
      </c>
      <c r="M101" s="842"/>
      <c r="N101" s="838"/>
      <c r="O101" s="839"/>
      <c r="P101" s="839"/>
      <c r="Q101" s="840">
        <f>SUM(Q95:Q100)</f>
        <v>1</v>
      </c>
      <c r="R101" s="840">
        <f>SUM(R95:R100)</f>
        <v>1</v>
      </c>
      <c r="S101" s="840">
        <f>SUM(S95:S100)</f>
        <v>1</v>
      </c>
      <c r="T101" s="840">
        <f>SUM(T95:T100)</f>
        <v>1</v>
      </c>
      <c r="U101" s="841">
        <f>SUM(U95:U100)</f>
        <v>1</v>
      </c>
    </row>
    <row r="102" spans="4:21" ht="11.25" customHeight="1" thickBot="1" x14ac:dyDescent="0.35">
      <c r="D102"/>
      <c r="E102"/>
      <c r="F102"/>
      <c r="G102"/>
      <c r="H102"/>
      <c r="I102"/>
      <c r="J102"/>
      <c r="K102"/>
      <c r="L102"/>
      <c r="M102"/>
      <c r="N102"/>
      <c r="O102"/>
      <c r="P102"/>
      <c r="Q102"/>
      <c r="R102"/>
      <c r="S102"/>
      <c r="T102"/>
      <c r="U102"/>
    </row>
    <row r="103" spans="4:21" ht="13.5" thickBot="1" x14ac:dyDescent="0.35">
      <c r="D103" s="649" t="s">
        <v>1128</v>
      </c>
      <c r="E103" s="650"/>
      <c r="F103" s="650"/>
      <c r="G103" s="650"/>
      <c r="H103" s="650"/>
      <c r="I103" s="650"/>
      <c r="J103" s="650"/>
      <c r="K103" s="650"/>
      <c r="L103" s="650"/>
      <c r="M103" s="835"/>
      <c r="N103" s="649" t="s">
        <v>1139</v>
      </c>
      <c r="O103" s="650"/>
      <c r="P103" s="650"/>
      <c r="Q103" s="650"/>
      <c r="R103" s="650"/>
      <c r="S103" s="650"/>
      <c r="T103" s="650"/>
      <c r="U103" s="651"/>
    </row>
    <row r="104" spans="4:21" ht="14.65" thickBot="1" x14ac:dyDescent="0.5">
      <c r="D104"/>
      <c r="E104" s="1084" t="s">
        <v>483</v>
      </c>
      <c r="F104" s="1084"/>
      <c r="G104" s="1084"/>
      <c r="H104" s="1084"/>
      <c r="I104" s="1084"/>
      <c r="J104" s="1084"/>
      <c r="K104" s="1084"/>
      <c r="L104" s="1084"/>
      <c r="M104"/>
      <c r="N104" s="1084" t="s">
        <v>484</v>
      </c>
      <c r="O104" s="1084"/>
      <c r="P104" s="1084"/>
      <c r="Q104" s="1084"/>
      <c r="R104" s="1084"/>
      <c r="S104" s="1084"/>
      <c r="T104" s="1084"/>
      <c r="U104" s="1084"/>
    </row>
    <row r="105" spans="4:21" ht="14.25" x14ac:dyDescent="0.3">
      <c r="D105" s="271"/>
      <c r="E105" s="1085" t="s">
        <v>175</v>
      </c>
      <c r="F105" s="1086"/>
      <c r="G105" s="1086"/>
      <c r="H105" s="1086"/>
      <c r="I105" s="1086"/>
      <c r="J105" s="1086"/>
      <c r="K105" s="1086"/>
      <c r="L105" s="1087"/>
      <c r="M105" s="825"/>
      <c r="N105" s="1085" t="s">
        <v>175</v>
      </c>
      <c r="O105" s="1086"/>
      <c r="P105" s="1086"/>
      <c r="Q105" s="1086"/>
      <c r="R105" s="1086"/>
      <c r="S105" s="1086"/>
      <c r="T105" s="1086"/>
      <c r="U105" s="1087"/>
    </row>
    <row r="106" spans="4:21" ht="14.65" thickBot="1" x14ac:dyDescent="0.35">
      <c r="D106" s="271"/>
      <c r="E106" s="1081" t="s">
        <v>549</v>
      </c>
      <c r="F106" s="1082"/>
      <c r="G106" s="1082"/>
      <c r="H106" s="1082"/>
      <c r="I106" s="1082"/>
      <c r="J106" s="1082"/>
      <c r="K106" s="1082"/>
      <c r="L106" s="1083"/>
      <c r="M106" s="825"/>
      <c r="N106" s="1081" t="s">
        <v>549</v>
      </c>
      <c r="O106" s="1082"/>
      <c r="P106" s="1082"/>
      <c r="Q106" s="1082"/>
      <c r="R106" s="1082"/>
      <c r="S106" s="1082"/>
      <c r="T106" s="1082"/>
      <c r="U106" s="1083"/>
    </row>
    <row r="107" spans="4:21" ht="14.65" thickBot="1" x14ac:dyDescent="0.35">
      <c r="D107" s="199"/>
      <c r="E107" s="826" t="s">
        <v>69</v>
      </c>
      <c r="F107" s="827" t="s">
        <v>70</v>
      </c>
      <c r="G107" s="827" t="s">
        <v>71</v>
      </c>
      <c r="H107" s="828" t="s">
        <v>72</v>
      </c>
      <c r="I107" s="828" t="s">
        <v>73</v>
      </c>
      <c r="J107" s="828" t="s">
        <v>74</v>
      </c>
      <c r="K107" s="828" t="s">
        <v>82</v>
      </c>
      <c r="L107" s="829" t="s">
        <v>243</v>
      </c>
      <c r="M107" s="825"/>
      <c r="N107" s="826" t="s">
        <v>69</v>
      </c>
      <c r="O107" s="827" t="s">
        <v>70</v>
      </c>
      <c r="P107" s="827" t="s">
        <v>71</v>
      </c>
      <c r="Q107" s="828" t="s">
        <v>72</v>
      </c>
      <c r="R107" s="828" t="s">
        <v>73</v>
      </c>
      <c r="S107" s="828" t="s">
        <v>74</v>
      </c>
      <c r="T107" s="828" t="s">
        <v>82</v>
      </c>
      <c r="U107" s="829" t="s">
        <v>243</v>
      </c>
    </row>
    <row r="108" spans="4:21" ht="14.25" x14ac:dyDescent="0.45">
      <c r="D108" s="854" t="str">
        <f>$D$66</f>
        <v>Employee benefits expense</v>
      </c>
      <c r="E108" s="830"/>
      <c r="F108" s="831"/>
      <c r="G108" s="831"/>
      <c r="H108" s="832">
        <v>0</v>
      </c>
      <c r="I108" s="833">
        <v>0</v>
      </c>
      <c r="J108" s="833">
        <v>0</v>
      </c>
      <c r="K108" s="833">
        <v>0</v>
      </c>
      <c r="L108" s="834">
        <v>0</v>
      </c>
      <c r="M108" s="835"/>
      <c r="N108" s="830"/>
      <c r="O108" s="831"/>
      <c r="P108" s="831"/>
      <c r="Q108" s="832">
        <v>0</v>
      </c>
      <c r="R108" s="833">
        <v>0</v>
      </c>
      <c r="S108" s="833">
        <v>0</v>
      </c>
      <c r="T108" s="833">
        <v>0</v>
      </c>
      <c r="U108" s="834">
        <v>0</v>
      </c>
    </row>
    <row r="109" spans="4:21" ht="14.25" x14ac:dyDescent="0.45">
      <c r="D109" s="836" t="str">
        <f>$D$67</f>
        <v>Energy and materials</v>
      </c>
      <c r="E109" s="760"/>
      <c r="F109" s="759"/>
      <c r="G109" s="759"/>
      <c r="H109" s="832">
        <v>0</v>
      </c>
      <c r="I109" s="833">
        <v>0</v>
      </c>
      <c r="J109" s="833">
        <v>0</v>
      </c>
      <c r="K109" s="833">
        <v>0</v>
      </c>
      <c r="L109" s="834">
        <v>0</v>
      </c>
      <c r="M109" s="837"/>
      <c r="N109" s="760"/>
      <c r="O109" s="759"/>
      <c r="P109" s="759"/>
      <c r="Q109" s="832">
        <v>0</v>
      </c>
      <c r="R109" s="833">
        <v>0</v>
      </c>
      <c r="S109" s="833">
        <v>0</v>
      </c>
      <c r="T109" s="833">
        <v>0</v>
      </c>
      <c r="U109" s="834">
        <v>0</v>
      </c>
    </row>
    <row r="110" spans="4:21" ht="14.25" x14ac:dyDescent="0.45">
      <c r="D110" s="836" t="str">
        <f>$D$68</f>
        <v>External service agreements</v>
      </c>
      <c r="E110" s="760"/>
      <c r="F110" s="759"/>
      <c r="G110" s="759"/>
      <c r="H110" s="832">
        <v>1</v>
      </c>
      <c r="I110" s="833">
        <v>1</v>
      </c>
      <c r="J110" s="833">
        <v>1</v>
      </c>
      <c r="K110" s="833">
        <v>1</v>
      </c>
      <c r="L110" s="834">
        <v>1</v>
      </c>
      <c r="M110" s="837"/>
      <c r="N110" s="760"/>
      <c r="O110" s="759"/>
      <c r="P110" s="759"/>
      <c r="Q110" s="832">
        <v>1</v>
      </c>
      <c r="R110" s="833">
        <v>1</v>
      </c>
      <c r="S110" s="833">
        <v>1</v>
      </c>
      <c r="T110" s="833">
        <v>1</v>
      </c>
      <c r="U110" s="834">
        <v>1</v>
      </c>
    </row>
    <row r="111" spans="4:21" ht="14.25" x14ac:dyDescent="0.45">
      <c r="D111" s="836" t="str">
        <f>$D$69</f>
        <v>Other expenses</v>
      </c>
      <c r="E111" s="760"/>
      <c r="F111" s="759"/>
      <c r="G111" s="759"/>
      <c r="H111" s="832">
        <v>0</v>
      </c>
      <c r="I111" s="833">
        <v>0</v>
      </c>
      <c r="J111" s="833">
        <v>0</v>
      </c>
      <c r="K111" s="833">
        <v>0</v>
      </c>
      <c r="L111" s="834">
        <v>0</v>
      </c>
      <c r="M111" s="835"/>
      <c r="N111" s="760"/>
      <c r="O111" s="759"/>
      <c r="P111" s="759"/>
      <c r="Q111" s="832">
        <v>0</v>
      </c>
      <c r="R111" s="833">
        <v>0</v>
      </c>
      <c r="S111" s="833">
        <v>0</v>
      </c>
      <c r="T111" s="833">
        <v>0</v>
      </c>
      <c r="U111" s="834">
        <v>0</v>
      </c>
    </row>
    <row r="112" spans="4:21" ht="14.25" x14ac:dyDescent="0.45">
      <c r="D112" s="836" t="str">
        <f>$D$70</f>
        <v>Repairs and maintenance expense</v>
      </c>
      <c r="E112" s="760"/>
      <c r="F112" s="759"/>
      <c r="G112" s="759"/>
      <c r="H112" s="832">
        <v>0</v>
      </c>
      <c r="I112" s="833">
        <v>0</v>
      </c>
      <c r="J112" s="833">
        <v>0</v>
      </c>
      <c r="K112" s="833">
        <v>0</v>
      </c>
      <c r="L112" s="834">
        <v>0</v>
      </c>
      <c r="M112" s="835"/>
      <c r="N112" s="760"/>
      <c r="O112" s="759"/>
      <c r="P112" s="759"/>
      <c r="Q112" s="832">
        <v>0</v>
      </c>
      <c r="R112" s="833">
        <v>0</v>
      </c>
      <c r="S112" s="833">
        <v>0</v>
      </c>
      <c r="T112" s="833">
        <v>0</v>
      </c>
      <c r="U112" s="834">
        <v>0</v>
      </c>
    </row>
    <row r="113" spans="4:21" ht="14.65" thickBot="1" x14ac:dyDescent="0.5">
      <c r="D113" s="836" t="str">
        <f>$D$71</f>
        <v>Inter-group sales</v>
      </c>
      <c r="E113" s="760"/>
      <c r="F113" s="759"/>
      <c r="G113" s="759"/>
      <c r="H113" s="832">
        <v>0</v>
      </c>
      <c r="I113" s="833">
        <v>0</v>
      </c>
      <c r="J113" s="833">
        <v>0</v>
      </c>
      <c r="K113" s="833">
        <v>0</v>
      </c>
      <c r="L113" s="834">
        <v>0</v>
      </c>
      <c r="M113" s="835"/>
      <c r="N113" s="760"/>
      <c r="O113" s="759"/>
      <c r="P113" s="759"/>
      <c r="Q113" s="832">
        <v>0</v>
      </c>
      <c r="R113" s="833">
        <v>0</v>
      </c>
      <c r="S113" s="833">
        <v>0</v>
      </c>
      <c r="T113" s="833">
        <v>0</v>
      </c>
      <c r="U113" s="834">
        <v>0</v>
      </c>
    </row>
    <row r="114" spans="4:21" ht="14.65" thickBot="1" x14ac:dyDescent="0.35">
      <c r="D114" s="254" t="str">
        <f>"Total "&amp;D103</f>
        <v>Total Cloud migration</v>
      </c>
      <c r="E114" s="838"/>
      <c r="F114" s="839"/>
      <c r="G114" s="839"/>
      <c r="H114" s="840">
        <f>SUM(H108:H113)</f>
        <v>1</v>
      </c>
      <c r="I114" s="840">
        <f>SUM(I108:I113)</f>
        <v>1</v>
      </c>
      <c r="J114" s="840">
        <f>SUM(J108:J113)</f>
        <v>1</v>
      </c>
      <c r="K114" s="840">
        <f>SUM(K108:K113)</f>
        <v>1</v>
      </c>
      <c r="L114" s="841">
        <f>SUM(L108:L113)</f>
        <v>1</v>
      </c>
      <c r="M114" s="842"/>
      <c r="N114" s="838"/>
      <c r="O114" s="839"/>
      <c r="P114" s="839"/>
      <c r="Q114" s="840">
        <f>SUM(Q108:Q113)</f>
        <v>1</v>
      </c>
      <c r="R114" s="840">
        <f>SUM(R108:R113)</f>
        <v>1</v>
      </c>
      <c r="S114" s="840">
        <f>SUM(S108:S113)</f>
        <v>1</v>
      </c>
      <c r="T114" s="840">
        <f>SUM(T108:T113)</f>
        <v>1</v>
      </c>
      <c r="U114" s="841">
        <f>SUM(U108:U113)</f>
        <v>1</v>
      </c>
    </row>
    <row r="115" spans="4:21" ht="11.25" customHeight="1" thickBot="1" x14ac:dyDescent="0.35">
      <c r="D115"/>
      <c r="E115"/>
      <c r="F115"/>
      <c r="G115"/>
      <c r="H115"/>
      <c r="I115"/>
      <c r="J115"/>
      <c r="K115"/>
      <c r="L115"/>
      <c r="M115"/>
      <c r="N115"/>
      <c r="O115"/>
      <c r="P115"/>
      <c r="Q115"/>
      <c r="R115"/>
      <c r="S115"/>
      <c r="T115"/>
      <c r="U115"/>
    </row>
    <row r="116" spans="4:21" ht="13.5" thickBot="1" x14ac:dyDescent="0.35">
      <c r="D116" s="649" t="s">
        <v>1129</v>
      </c>
      <c r="E116" s="650"/>
      <c r="F116" s="650"/>
      <c r="G116" s="650"/>
      <c r="H116" s="650"/>
      <c r="I116" s="650"/>
      <c r="J116" s="650"/>
      <c r="K116" s="650"/>
      <c r="L116" s="650"/>
      <c r="M116" s="835"/>
      <c r="N116" s="649" t="s">
        <v>1126</v>
      </c>
      <c r="O116" s="650"/>
      <c r="P116" s="650"/>
      <c r="Q116" s="650"/>
      <c r="R116" s="650"/>
      <c r="S116" s="650"/>
      <c r="T116" s="650"/>
      <c r="U116" s="651"/>
    </row>
    <row r="117" spans="4:21" ht="14.65" thickBot="1" x14ac:dyDescent="0.5">
      <c r="D117"/>
      <c r="E117" s="1084" t="s">
        <v>483</v>
      </c>
      <c r="F117" s="1084"/>
      <c r="G117" s="1084"/>
      <c r="H117" s="1084"/>
      <c r="I117" s="1084"/>
      <c r="J117" s="1084"/>
      <c r="K117" s="1084"/>
      <c r="L117" s="1084"/>
      <c r="M117"/>
      <c r="N117" s="1084" t="s">
        <v>484</v>
      </c>
      <c r="O117" s="1084"/>
      <c r="P117" s="1084"/>
      <c r="Q117" s="1084"/>
      <c r="R117" s="1084"/>
      <c r="S117" s="1084"/>
      <c r="T117" s="1084"/>
      <c r="U117" s="1084"/>
    </row>
    <row r="118" spans="4:21" ht="14.25" x14ac:dyDescent="0.3">
      <c r="D118" s="271"/>
      <c r="E118" s="1085" t="s">
        <v>175</v>
      </c>
      <c r="F118" s="1086"/>
      <c r="G118" s="1086"/>
      <c r="H118" s="1086"/>
      <c r="I118" s="1086"/>
      <c r="J118" s="1086"/>
      <c r="K118" s="1086"/>
      <c r="L118" s="1087"/>
      <c r="M118" s="825"/>
      <c r="N118" s="1085" t="s">
        <v>175</v>
      </c>
      <c r="O118" s="1086"/>
      <c r="P118" s="1086"/>
      <c r="Q118" s="1086"/>
      <c r="R118" s="1086"/>
      <c r="S118" s="1086"/>
      <c r="T118" s="1086"/>
      <c r="U118" s="1087"/>
    </row>
    <row r="119" spans="4:21" ht="14.65" thickBot="1" x14ac:dyDescent="0.35">
      <c r="D119" s="271"/>
      <c r="E119" s="1081" t="s">
        <v>549</v>
      </c>
      <c r="F119" s="1082"/>
      <c r="G119" s="1082"/>
      <c r="H119" s="1082"/>
      <c r="I119" s="1082"/>
      <c r="J119" s="1082"/>
      <c r="K119" s="1082"/>
      <c r="L119" s="1083"/>
      <c r="M119" s="825"/>
      <c r="N119" s="1081" t="s">
        <v>549</v>
      </c>
      <c r="O119" s="1082"/>
      <c r="P119" s="1082"/>
      <c r="Q119" s="1082"/>
      <c r="R119" s="1082"/>
      <c r="S119" s="1082"/>
      <c r="T119" s="1082"/>
      <c r="U119" s="1083"/>
    </row>
    <row r="120" spans="4:21" ht="14.65" thickBot="1" x14ac:dyDescent="0.35">
      <c r="D120" s="199"/>
      <c r="E120" s="826" t="s">
        <v>69</v>
      </c>
      <c r="F120" s="827" t="s">
        <v>70</v>
      </c>
      <c r="G120" s="827" t="s">
        <v>71</v>
      </c>
      <c r="H120" s="828" t="s">
        <v>72</v>
      </c>
      <c r="I120" s="828" t="s">
        <v>73</v>
      </c>
      <c r="J120" s="828" t="s">
        <v>74</v>
      </c>
      <c r="K120" s="828" t="s">
        <v>82</v>
      </c>
      <c r="L120" s="829" t="s">
        <v>243</v>
      </c>
      <c r="M120" s="825"/>
      <c r="N120" s="826" t="s">
        <v>69</v>
      </c>
      <c r="O120" s="827" t="s">
        <v>70</v>
      </c>
      <c r="P120" s="827" t="s">
        <v>71</v>
      </c>
      <c r="Q120" s="828" t="s">
        <v>72</v>
      </c>
      <c r="R120" s="828" t="s">
        <v>73</v>
      </c>
      <c r="S120" s="828" t="s">
        <v>74</v>
      </c>
      <c r="T120" s="828" t="s">
        <v>82</v>
      </c>
      <c r="U120" s="829" t="s">
        <v>243</v>
      </c>
    </row>
    <row r="121" spans="4:21" ht="14.25" x14ac:dyDescent="0.45">
      <c r="D121" s="854" t="str">
        <f>$D$66</f>
        <v>Employee benefits expense</v>
      </c>
      <c r="E121" s="830"/>
      <c r="F121" s="831"/>
      <c r="G121" s="831"/>
      <c r="H121" s="832">
        <v>0.5</v>
      </c>
      <c r="I121" s="833">
        <v>0.56000000000000005</v>
      </c>
      <c r="J121" s="833">
        <v>0.36</v>
      </c>
      <c r="K121" s="833">
        <v>0.35</v>
      </c>
      <c r="L121" s="834">
        <v>0.33</v>
      </c>
      <c r="M121" s="835"/>
      <c r="N121" s="830"/>
      <c r="O121" s="831"/>
      <c r="P121" s="831"/>
      <c r="Q121" s="832">
        <v>0.5</v>
      </c>
      <c r="R121" s="833">
        <v>0.56000000000000005</v>
      </c>
      <c r="S121" s="833">
        <v>0.36</v>
      </c>
      <c r="T121" s="833">
        <v>0.35</v>
      </c>
      <c r="U121" s="834">
        <v>0.33</v>
      </c>
    </row>
    <row r="122" spans="4:21" ht="14.25" x14ac:dyDescent="0.45">
      <c r="D122" s="836" t="str">
        <f>$D$67</f>
        <v>Energy and materials</v>
      </c>
      <c r="E122" s="760"/>
      <c r="F122" s="759"/>
      <c r="G122" s="759"/>
      <c r="H122" s="832">
        <v>0</v>
      </c>
      <c r="I122" s="833">
        <v>0</v>
      </c>
      <c r="J122" s="833">
        <v>0</v>
      </c>
      <c r="K122" s="833">
        <v>0</v>
      </c>
      <c r="L122" s="834">
        <v>0</v>
      </c>
      <c r="M122" s="837"/>
      <c r="N122" s="760"/>
      <c r="O122" s="759"/>
      <c r="P122" s="759"/>
      <c r="Q122" s="832">
        <v>0</v>
      </c>
      <c r="R122" s="833">
        <v>0</v>
      </c>
      <c r="S122" s="833">
        <v>0</v>
      </c>
      <c r="T122" s="833">
        <v>0</v>
      </c>
      <c r="U122" s="834">
        <v>0</v>
      </c>
    </row>
    <row r="123" spans="4:21" ht="14.25" x14ac:dyDescent="0.45">
      <c r="D123" s="836" t="str">
        <f>$D$68</f>
        <v>External service agreements</v>
      </c>
      <c r="E123" s="760"/>
      <c r="F123" s="759"/>
      <c r="G123" s="759"/>
      <c r="H123" s="832">
        <v>0.5</v>
      </c>
      <c r="I123" s="833">
        <v>0.44</v>
      </c>
      <c r="J123" s="833">
        <v>0.64</v>
      </c>
      <c r="K123" s="833">
        <v>0.65</v>
      </c>
      <c r="L123" s="834">
        <v>0.67</v>
      </c>
      <c r="M123" s="837"/>
      <c r="N123" s="760"/>
      <c r="O123" s="759"/>
      <c r="P123" s="759"/>
      <c r="Q123" s="832">
        <v>0.5</v>
      </c>
      <c r="R123" s="833">
        <v>0.44</v>
      </c>
      <c r="S123" s="833">
        <v>0.64</v>
      </c>
      <c r="T123" s="833">
        <v>0.65</v>
      </c>
      <c r="U123" s="834">
        <v>0.67</v>
      </c>
    </row>
    <row r="124" spans="4:21" ht="14.25" x14ac:dyDescent="0.45">
      <c r="D124" s="836" t="str">
        <f>$D$69</f>
        <v>Other expenses</v>
      </c>
      <c r="E124" s="760"/>
      <c r="F124" s="759"/>
      <c r="G124" s="759"/>
      <c r="H124" s="832">
        <v>0</v>
      </c>
      <c r="I124" s="833">
        <v>0</v>
      </c>
      <c r="J124" s="833">
        <v>0</v>
      </c>
      <c r="K124" s="833">
        <v>0</v>
      </c>
      <c r="L124" s="834">
        <v>0</v>
      </c>
      <c r="M124" s="835"/>
      <c r="N124" s="760"/>
      <c r="O124" s="759"/>
      <c r="P124" s="759"/>
      <c r="Q124" s="832">
        <v>0</v>
      </c>
      <c r="R124" s="833">
        <v>0</v>
      </c>
      <c r="S124" s="833">
        <v>0</v>
      </c>
      <c r="T124" s="833">
        <v>0</v>
      </c>
      <c r="U124" s="834">
        <v>0</v>
      </c>
    </row>
    <row r="125" spans="4:21" ht="14.25" x14ac:dyDescent="0.45">
      <c r="D125" s="836" t="str">
        <f>$D$70</f>
        <v>Repairs and maintenance expense</v>
      </c>
      <c r="E125" s="760"/>
      <c r="F125" s="759"/>
      <c r="G125" s="759"/>
      <c r="H125" s="832">
        <v>0</v>
      </c>
      <c r="I125" s="833">
        <v>0</v>
      </c>
      <c r="J125" s="833">
        <v>0</v>
      </c>
      <c r="K125" s="833">
        <v>0</v>
      </c>
      <c r="L125" s="834">
        <v>0</v>
      </c>
      <c r="M125" s="835"/>
      <c r="N125" s="760"/>
      <c r="O125" s="759"/>
      <c r="P125" s="759"/>
      <c r="Q125" s="832">
        <v>0</v>
      </c>
      <c r="R125" s="833">
        <v>0</v>
      </c>
      <c r="S125" s="833">
        <v>0</v>
      </c>
      <c r="T125" s="833">
        <v>0</v>
      </c>
      <c r="U125" s="834">
        <v>0</v>
      </c>
    </row>
    <row r="126" spans="4:21" ht="14.65" thickBot="1" x14ac:dyDescent="0.5">
      <c r="D126" s="836" t="str">
        <f>$D$71</f>
        <v>Inter-group sales</v>
      </c>
      <c r="E126" s="760"/>
      <c r="F126" s="759"/>
      <c r="G126" s="759"/>
      <c r="H126" s="832">
        <v>0</v>
      </c>
      <c r="I126" s="833">
        <v>0</v>
      </c>
      <c r="J126" s="833">
        <v>0</v>
      </c>
      <c r="K126" s="833">
        <v>0</v>
      </c>
      <c r="L126" s="834">
        <v>0</v>
      </c>
      <c r="M126" s="835"/>
      <c r="N126" s="760"/>
      <c r="O126" s="759"/>
      <c r="P126" s="759"/>
      <c r="Q126" s="832">
        <v>0</v>
      </c>
      <c r="R126" s="833">
        <v>0</v>
      </c>
      <c r="S126" s="833">
        <v>0</v>
      </c>
      <c r="T126" s="833">
        <v>0</v>
      </c>
      <c r="U126" s="834">
        <v>0</v>
      </c>
    </row>
    <row r="127" spans="4:21" ht="14.65" thickBot="1" x14ac:dyDescent="0.35">
      <c r="D127" s="254" t="str">
        <f>"Total "&amp;D116</f>
        <v>Total Future Network</v>
      </c>
      <c r="E127" s="838"/>
      <c r="F127" s="839"/>
      <c r="G127" s="839"/>
      <c r="H127" s="840">
        <f>SUM(H121:H126)</f>
        <v>1</v>
      </c>
      <c r="I127" s="840">
        <f>SUM(I121:I126)</f>
        <v>1</v>
      </c>
      <c r="J127" s="840">
        <f>SUM(J121:J126)</f>
        <v>1</v>
      </c>
      <c r="K127" s="840">
        <f>SUM(K121:K126)</f>
        <v>1</v>
      </c>
      <c r="L127" s="841">
        <f>SUM(L121:L126)</f>
        <v>1</v>
      </c>
      <c r="M127" s="842"/>
      <c r="N127" s="838"/>
      <c r="O127" s="839"/>
      <c r="P127" s="839"/>
      <c r="Q127" s="840">
        <f>SUM(Q121:Q126)</f>
        <v>1</v>
      </c>
      <c r="R127" s="840">
        <f>SUM(R121:R126)</f>
        <v>1</v>
      </c>
      <c r="S127" s="840">
        <f>SUM(S121:S126)</f>
        <v>1</v>
      </c>
      <c r="T127" s="840">
        <f>SUM(T121:T126)</f>
        <v>1</v>
      </c>
      <c r="U127" s="841">
        <f>SUM(U121:U126)</f>
        <v>1</v>
      </c>
    </row>
    <row r="128" spans="4:21" ht="11.25" customHeight="1" thickBot="1" x14ac:dyDescent="0.35">
      <c r="D128"/>
      <c r="E128"/>
      <c r="F128"/>
      <c r="G128"/>
      <c r="H128"/>
      <c r="I128"/>
      <c r="J128"/>
      <c r="K128"/>
      <c r="L128"/>
      <c r="M128"/>
      <c r="N128"/>
      <c r="O128"/>
      <c r="P128"/>
      <c r="Q128"/>
      <c r="R128"/>
      <c r="S128"/>
      <c r="T128"/>
      <c r="U128"/>
    </row>
    <row r="129" spans="4:21" ht="13.5" thickBot="1" x14ac:dyDescent="0.35">
      <c r="D129" s="649" t="s">
        <v>1130</v>
      </c>
      <c r="E129" s="650"/>
      <c r="F129" s="650"/>
      <c r="G129" s="650"/>
      <c r="H129" s="650"/>
      <c r="I129" s="650"/>
      <c r="J129" s="650"/>
      <c r="K129" s="650"/>
      <c r="L129" s="650"/>
      <c r="M129" s="835"/>
      <c r="N129" s="649" t="s">
        <v>1127</v>
      </c>
      <c r="O129" s="650"/>
      <c r="P129" s="650"/>
      <c r="Q129" s="650"/>
      <c r="R129" s="650"/>
      <c r="S129" s="650"/>
      <c r="T129" s="650"/>
      <c r="U129" s="651"/>
    </row>
    <row r="130" spans="4:21" ht="14.65" thickBot="1" x14ac:dyDescent="0.5">
      <c r="D130"/>
      <c r="E130" s="1084" t="s">
        <v>483</v>
      </c>
      <c r="F130" s="1084"/>
      <c r="G130" s="1084"/>
      <c r="H130" s="1084"/>
      <c r="I130" s="1084"/>
      <c r="J130" s="1084"/>
      <c r="K130" s="1084"/>
      <c r="L130" s="1084"/>
      <c r="M130"/>
      <c r="N130" s="1084" t="s">
        <v>484</v>
      </c>
      <c r="O130" s="1084"/>
      <c r="P130" s="1084"/>
      <c r="Q130" s="1084"/>
      <c r="R130" s="1084"/>
      <c r="S130" s="1084"/>
      <c r="T130" s="1084"/>
      <c r="U130" s="1084"/>
    </row>
    <row r="131" spans="4:21" ht="14.25" x14ac:dyDescent="0.3">
      <c r="D131" s="271"/>
      <c r="E131" s="1085" t="s">
        <v>175</v>
      </c>
      <c r="F131" s="1086"/>
      <c r="G131" s="1086"/>
      <c r="H131" s="1086"/>
      <c r="I131" s="1086"/>
      <c r="J131" s="1086"/>
      <c r="K131" s="1086"/>
      <c r="L131" s="1087"/>
      <c r="M131" s="825"/>
      <c r="N131" s="1085" t="s">
        <v>175</v>
      </c>
      <c r="O131" s="1086"/>
      <c r="P131" s="1086"/>
      <c r="Q131" s="1086"/>
      <c r="R131" s="1086"/>
      <c r="S131" s="1086"/>
      <c r="T131" s="1086"/>
      <c r="U131" s="1087"/>
    </row>
    <row r="132" spans="4:21" ht="14.65" thickBot="1" x14ac:dyDescent="0.35">
      <c r="D132" s="271"/>
      <c r="E132" s="1081" t="s">
        <v>549</v>
      </c>
      <c r="F132" s="1082"/>
      <c r="G132" s="1082"/>
      <c r="H132" s="1082"/>
      <c r="I132" s="1082"/>
      <c r="J132" s="1082"/>
      <c r="K132" s="1082"/>
      <c r="L132" s="1083"/>
      <c r="M132" s="825"/>
      <c r="N132" s="1081" t="s">
        <v>549</v>
      </c>
      <c r="O132" s="1082"/>
      <c r="P132" s="1082"/>
      <c r="Q132" s="1082"/>
      <c r="R132" s="1082"/>
      <c r="S132" s="1082"/>
      <c r="T132" s="1082"/>
      <c r="U132" s="1083"/>
    </row>
    <row r="133" spans="4:21" ht="14.65" thickBot="1" x14ac:dyDescent="0.35">
      <c r="D133" s="199"/>
      <c r="E133" s="826" t="s">
        <v>69</v>
      </c>
      <c r="F133" s="827" t="s">
        <v>70</v>
      </c>
      <c r="G133" s="827" t="s">
        <v>71</v>
      </c>
      <c r="H133" s="828" t="s">
        <v>72</v>
      </c>
      <c r="I133" s="828" t="s">
        <v>73</v>
      </c>
      <c r="J133" s="828" t="s">
        <v>74</v>
      </c>
      <c r="K133" s="828" t="s">
        <v>82</v>
      </c>
      <c r="L133" s="829" t="s">
        <v>243</v>
      </c>
      <c r="M133" s="825"/>
      <c r="N133" s="826" t="s">
        <v>69</v>
      </c>
      <c r="O133" s="827" t="s">
        <v>70</v>
      </c>
      <c r="P133" s="827" t="s">
        <v>71</v>
      </c>
      <c r="Q133" s="828" t="s">
        <v>72</v>
      </c>
      <c r="R133" s="828" t="s">
        <v>73</v>
      </c>
      <c r="S133" s="828" t="s">
        <v>74</v>
      </c>
      <c r="T133" s="828" t="s">
        <v>82</v>
      </c>
      <c r="U133" s="829" t="s">
        <v>243</v>
      </c>
    </row>
    <row r="134" spans="4:21" ht="14.25" x14ac:dyDescent="0.45">
      <c r="D134" s="854" t="str">
        <f>$D$66</f>
        <v>Employee benefits expense</v>
      </c>
      <c r="E134" s="830"/>
      <c r="F134" s="831"/>
      <c r="G134" s="831"/>
      <c r="H134" s="832">
        <v>0.91</v>
      </c>
      <c r="I134" s="833">
        <v>0.93</v>
      </c>
      <c r="J134" s="833">
        <v>0.91</v>
      </c>
      <c r="K134" s="833">
        <v>1</v>
      </c>
      <c r="L134" s="834">
        <v>1</v>
      </c>
      <c r="M134" s="835"/>
      <c r="N134" s="830"/>
      <c r="O134" s="831"/>
      <c r="P134" s="831"/>
      <c r="Q134" s="832">
        <v>0.91</v>
      </c>
      <c r="R134" s="833">
        <v>0.93</v>
      </c>
      <c r="S134" s="833">
        <v>0.91</v>
      </c>
      <c r="T134" s="833">
        <v>1</v>
      </c>
      <c r="U134" s="834">
        <v>1</v>
      </c>
    </row>
    <row r="135" spans="4:21" ht="14.25" x14ac:dyDescent="0.45">
      <c r="D135" s="836" t="str">
        <f>$D$67</f>
        <v>Energy and materials</v>
      </c>
      <c r="E135" s="760"/>
      <c r="F135" s="759"/>
      <c r="G135" s="759"/>
      <c r="H135" s="832">
        <v>0</v>
      </c>
      <c r="I135" s="833">
        <v>0</v>
      </c>
      <c r="J135" s="833">
        <v>0</v>
      </c>
      <c r="K135" s="833">
        <v>0</v>
      </c>
      <c r="L135" s="834">
        <v>0</v>
      </c>
      <c r="M135" s="837"/>
      <c r="N135" s="760"/>
      <c r="O135" s="759"/>
      <c r="P135" s="759"/>
      <c r="Q135" s="832">
        <v>0</v>
      </c>
      <c r="R135" s="833">
        <v>0</v>
      </c>
      <c r="S135" s="833">
        <v>0</v>
      </c>
      <c r="T135" s="833">
        <v>0</v>
      </c>
      <c r="U135" s="834">
        <v>0</v>
      </c>
    </row>
    <row r="136" spans="4:21" ht="14.25" x14ac:dyDescent="0.45">
      <c r="D136" s="836" t="str">
        <f>$D$68</f>
        <v>External service agreements</v>
      </c>
      <c r="E136" s="760"/>
      <c r="F136" s="759"/>
      <c r="G136" s="759"/>
      <c r="H136" s="832">
        <v>0.09</v>
      </c>
      <c r="I136" s="833">
        <v>7.0000000000000007E-2</v>
      </c>
      <c r="J136" s="833">
        <v>0.09</v>
      </c>
      <c r="K136" s="833">
        <v>0</v>
      </c>
      <c r="L136" s="834">
        <v>0</v>
      </c>
      <c r="M136" s="837"/>
      <c r="N136" s="760"/>
      <c r="O136" s="759"/>
      <c r="P136" s="759"/>
      <c r="Q136" s="832">
        <v>0.09</v>
      </c>
      <c r="R136" s="833">
        <v>7.0000000000000007E-2</v>
      </c>
      <c r="S136" s="833">
        <v>0.09</v>
      </c>
      <c r="T136" s="833">
        <v>0</v>
      </c>
      <c r="U136" s="834">
        <v>0</v>
      </c>
    </row>
    <row r="137" spans="4:21" ht="14.25" x14ac:dyDescent="0.45">
      <c r="D137" s="836" t="str">
        <f>$D$69</f>
        <v>Other expenses</v>
      </c>
      <c r="E137" s="760"/>
      <c r="F137" s="759"/>
      <c r="G137" s="759"/>
      <c r="H137" s="832">
        <v>0</v>
      </c>
      <c r="I137" s="833">
        <v>0</v>
      </c>
      <c r="J137" s="833">
        <v>0</v>
      </c>
      <c r="K137" s="833">
        <v>0</v>
      </c>
      <c r="L137" s="834">
        <v>0</v>
      </c>
      <c r="M137" s="835"/>
      <c r="N137" s="760"/>
      <c r="O137" s="759"/>
      <c r="P137" s="759"/>
      <c r="Q137" s="832">
        <v>0</v>
      </c>
      <c r="R137" s="833">
        <v>0</v>
      </c>
      <c r="S137" s="833">
        <v>0</v>
      </c>
      <c r="T137" s="833">
        <v>0</v>
      </c>
      <c r="U137" s="834">
        <v>0</v>
      </c>
    </row>
    <row r="138" spans="4:21" ht="14.25" x14ac:dyDescent="0.45">
      <c r="D138" s="836" t="str">
        <f>$D$70</f>
        <v>Repairs and maintenance expense</v>
      </c>
      <c r="E138" s="760"/>
      <c r="F138" s="759"/>
      <c r="G138" s="759"/>
      <c r="H138" s="832">
        <v>0</v>
      </c>
      <c r="I138" s="833">
        <v>0</v>
      </c>
      <c r="J138" s="833">
        <v>0</v>
      </c>
      <c r="K138" s="833">
        <v>0</v>
      </c>
      <c r="L138" s="834">
        <v>0</v>
      </c>
      <c r="M138" s="835"/>
      <c r="N138" s="760"/>
      <c r="O138" s="759"/>
      <c r="P138" s="759"/>
      <c r="Q138" s="832">
        <v>0</v>
      </c>
      <c r="R138" s="833">
        <v>0</v>
      </c>
      <c r="S138" s="833">
        <v>0</v>
      </c>
      <c r="T138" s="833">
        <v>0</v>
      </c>
      <c r="U138" s="834">
        <v>0</v>
      </c>
    </row>
    <row r="139" spans="4:21" ht="14.65" thickBot="1" x14ac:dyDescent="0.5">
      <c r="D139" s="836" t="str">
        <f>$D$71</f>
        <v>Inter-group sales</v>
      </c>
      <c r="E139" s="760"/>
      <c r="F139" s="759"/>
      <c r="G139" s="759"/>
      <c r="H139" s="832">
        <v>0</v>
      </c>
      <c r="I139" s="833">
        <v>0</v>
      </c>
      <c r="J139" s="833">
        <v>0</v>
      </c>
      <c r="K139" s="833">
        <v>0</v>
      </c>
      <c r="L139" s="834">
        <v>0</v>
      </c>
      <c r="M139" s="835"/>
      <c r="N139" s="760"/>
      <c r="O139" s="759"/>
      <c r="P139" s="759"/>
      <c r="Q139" s="832">
        <v>0</v>
      </c>
      <c r="R139" s="833">
        <v>0</v>
      </c>
      <c r="S139" s="833">
        <v>0</v>
      </c>
      <c r="T139" s="833">
        <v>0</v>
      </c>
      <c r="U139" s="834">
        <v>0</v>
      </c>
    </row>
    <row r="140" spans="4:21" ht="14.65" thickBot="1" x14ac:dyDescent="0.35">
      <c r="D140" s="254" t="str">
        <f>"Total "&amp;D129</f>
        <v>Total Regulatory obligations</v>
      </c>
      <c r="E140" s="838"/>
      <c r="F140" s="839"/>
      <c r="G140" s="839"/>
      <c r="H140" s="840">
        <f>SUM(H134:H139)</f>
        <v>1</v>
      </c>
      <c r="I140" s="840">
        <f>SUM(I134:I139)</f>
        <v>1</v>
      </c>
      <c r="J140" s="840">
        <f>SUM(J134:J139)</f>
        <v>1</v>
      </c>
      <c r="K140" s="840">
        <f>SUM(K134:K139)</f>
        <v>1</v>
      </c>
      <c r="L140" s="841">
        <f>SUM(L134:L139)</f>
        <v>1</v>
      </c>
      <c r="M140" s="842"/>
      <c r="N140" s="838"/>
      <c r="O140" s="839"/>
      <c r="P140" s="839"/>
      <c r="Q140" s="840">
        <f>SUM(Q134:Q139)</f>
        <v>1</v>
      </c>
      <c r="R140" s="840">
        <f>SUM(R134:R139)</f>
        <v>1</v>
      </c>
      <c r="S140" s="840">
        <f>SUM(S134:S139)</f>
        <v>1</v>
      </c>
      <c r="T140" s="840">
        <f>SUM(T134:T139)</f>
        <v>1</v>
      </c>
      <c r="U140" s="841">
        <f>SUM(U134:U139)</f>
        <v>1</v>
      </c>
    </row>
    <row r="141" spans="4:21" ht="11.25" customHeight="1" thickBot="1" x14ac:dyDescent="0.35">
      <c r="D141"/>
      <c r="E141"/>
      <c r="F141"/>
      <c r="G141"/>
      <c r="H141"/>
      <c r="I141"/>
      <c r="J141"/>
      <c r="K141"/>
      <c r="L141"/>
      <c r="M141"/>
      <c r="N141"/>
      <c r="O141"/>
      <c r="P141"/>
      <c r="Q141"/>
      <c r="R141"/>
      <c r="S141"/>
      <c r="T141"/>
      <c r="U141"/>
    </row>
    <row r="142" spans="4:21" ht="13.5" thickBot="1" x14ac:dyDescent="0.35">
      <c r="D142" s="649" t="s">
        <v>1131</v>
      </c>
      <c r="E142" s="650"/>
      <c r="F142" s="650"/>
      <c r="G142" s="650"/>
      <c r="H142" s="650"/>
      <c r="I142" s="650"/>
      <c r="J142" s="650"/>
      <c r="K142" s="650"/>
      <c r="L142" s="650"/>
      <c r="M142" s="835"/>
      <c r="N142" s="649" t="s">
        <v>1128</v>
      </c>
      <c r="O142" s="650"/>
      <c r="P142" s="650"/>
      <c r="Q142" s="650"/>
      <c r="R142" s="650"/>
      <c r="S142" s="650"/>
      <c r="T142" s="650"/>
      <c r="U142" s="651"/>
    </row>
    <row r="143" spans="4:21" ht="14.65" thickBot="1" x14ac:dyDescent="0.5">
      <c r="D143"/>
      <c r="E143" s="1084" t="s">
        <v>483</v>
      </c>
      <c r="F143" s="1084"/>
      <c r="G143" s="1084"/>
      <c r="H143" s="1084"/>
      <c r="I143" s="1084"/>
      <c r="J143" s="1084"/>
      <c r="K143" s="1084"/>
      <c r="L143" s="1084"/>
      <c r="M143"/>
      <c r="N143" s="1084" t="s">
        <v>484</v>
      </c>
      <c r="O143" s="1084"/>
      <c r="P143" s="1084"/>
      <c r="Q143" s="1084"/>
      <c r="R143" s="1084"/>
      <c r="S143" s="1084"/>
      <c r="T143" s="1084"/>
      <c r="U143" s="1084"/>
    </row>
    <row r="144" spans="4:21" ht="14.25" x14ac:dyDescent="0.3">
      <c r="D144" s="271"/>
      <c r="E144" s="1085" t="s">
        <v>175</v>
      </c>
      <c r="F144" s="1086"/>
      <c r="G144" s="1086"/>
      <c r="H144" s="1086"/>
      <c r="I144" s="1086"/>
      <c r="J144" s="1086"/>
      <c r="K144" s="1086"/>
      <c r="L144" s="1087"/>
      <c r="M144" s="825"/>
      <c r="N144" s="1085" t="s">
        <v>175</v>
      </c>
      <c r="O144" s="1086"/>
      <c r="P144" s="1086"/>
      <c r="Q144" s="1086"/>
      <c r="R144" s="1086"/>
      <c r="S144" s="1086"/>
      <c r="T144" s="1086"/>
      <c r="U144" s="1087"/>
    </row>
    <row r="145" spans="4:21" ht="14.65" thickBot="1" x14ac:dyDescent="0.35">
      <c r="D145" s="271"/>
      <c r="E145" s="1081" t="s">
        <v>549</v>
      </c>
      <c r="F145" s="1082"/>
      <c r="G145" s="1082"/>
      <c r="H145" s="1082"/>
      <c r="I145" s="1082"/>
      <c r="J145" s="1082"/>
      <c r="K145" s="1082"/>
      <c r="L145" s="1083"/>
      <c r="M145" s="825"/>
      <c r="N145" s="1081" t="s">
        <v>549</v>
      </c>
      <c r="O145" s="1082"/>
      <c r="P145" s="1082"/>
      <c r="Q145" s="1082"/>
      <c r="R145" s="1082"/>
      <c r="S145" s="1082"/>
      <c r="T145" s="1082"/>
      <c r="U145" s="1083"/>
    </row>
    <row r="146" spans="4:21" ht="14.65" thickBot="1" x14ac:dyDescent="0.35">
      <c r="D146" s="199"/>
      <c r="E146" s="826" t="s">
        <v>69</v>
      </c>
      <c r="F146" s="827" t="s">
        <v>70</v>
      </c>
      <c r="G146" s="827" t="s">
        <v>71</v>
      </c>
      <c r="H146" s="828" t="s">
        <v>72</v>
      </c>
      <c r="I146" s="828" t="s">
        <v>73</v>
      </c>
      <c r="J146" s="828" t="s">
        <v>74</v>
      </c>
      <c r="K146" s="828" t="s">
        <v>82</v>
      </c>
      <c r="L146" s="829" t="s">
        <v>243</v>
      </c>
      <c r="M146" s="825"/>
      <c r="N146" s="826" t="s">
        <v>69</v>
      </c>
      <c r="O146" s="827" t="s">
        <v>70</v>
      </c>
      <c r="P146" s="827" t="s">
        <v>71</v>
      </c>
      <c r="Q146" s="828" t="s">
        <v>72</v>
      </c>
      <c r="R146" s="828" t="s">
        <v>73</v>
      </c>
      <c r="S146" s="828" t="s">
        <v>74</v>
      </c>
      <c r="T146" s="828" t="s">
        <v>82</v>
      </c>
      <c r="U146" s="829" t="s">
        <v>243</v>
      </c>
    </row>
    <row r="147" spans="4:21" ht="14.25" x14ac:dyDescent="0.45">
      <c r="D147" s="854" t="str">
        <f>$D$66</f>
        <v>Employee benefits expense</v>
      </c>
      <c r="E147" s="830"/>
      <c r="F147" s="831"/>
      <c r="G147" s="831"/>
      <c r="H147" s="832">
        <v>0.06</v>
      </c>
      <c r="I147" s="833">
        <v>0.06</v>
      </c>
      <c r="J147" s="833">
        <v>0.08</v>
      </c>
      <c r="K147" s="833">
        <v>0.06</v>
      </c>
      <c r="L147" s="834">
        <v>0.06</v>
      </c>
      <c r="M147" s="835"/>
      <c r="N147" s="830"/>
      <c r="O147" s="831"/>
      <c r="P147" s="831"/>
      <c r="Q147" s="832">
        <v>0.06</v>
      </c>
      <c r="R147" s="833">
        <v>0.06</v>
      </c>
      <c r="S147" s="833">
        <v>0.08</v>
      </c>
      <c r="T147" s="833">
        <v>0.06</v>
      </c>
      <c r="U147" s="834">
        <v>0.06</v>
      </c>
    </row>
    <row r="148" spans="4:21" ht="14.25" x14ac:dyDescent="0.45">
      <c r="D148" s="836" t="str">
        <f>$D$67</f>
        <v>Energy and materials</v>
      </c>
      <c r="E148" s="760"/>
      <c r="F148" s="759"/>
      <c r="G148" s="759"/>
      <c r="H148" s="832">
        <v>0</v>
      </c>
      <c r="I148" s="833">
        <v>0</v>
      </c>
      <c r="J148" s="833">
        <v>0</v>
      </c>
      <c r="K148" s="833">
        <v>0</v>
      </c>
      <c r="L148" s="834">
        <v>0</v>
      </c>
      <c r="M148" s="837"/>
      <c r="N148" s="760"/>
      <c r="O148" s="759"/>
      <c r="P148" s="759"/>
      <c r="Q148" s="832">
        <v>0</v>
      </c>
      <c r="R148" s="833">
        <v>0</v>
      </c>
      <c r="S148" s="833">
        <v>0</v>
      </c>
      <c r="T148" s="833">
        <v>0</v>
      </c>
      <c r="U148" s="834">
        <v>0</v>
      </c>
    </row>
    <row r="149" spans="4:21" ht="14.25" x14ac:dyDescent="0.45">
      <c r="D149" s="836" t="str">
        <f>$D$68</f>
        <v>External service agreements</v>
      </c>
      <c r="E149" s="760"/>
      <c r="F149" s="759"/>
      <c r="G149" s="759"/>
      <c r="H149" s="832">
        <v>0.94</v>
      </c>
      <c r="I149" s="833">
        <v>0.94</v>
      </c>
      <c r="J149" s="833">
        <v>0.92</v>
      </c>
      <c r="K149" s="833">
        <v>0.94</v>
      </c>
      <c r="L149" s="834">
        <v>0.94</v>
      </c>
      <c r="M149" s="837"/>
      <c r="N149" s="760"/>
      <c r="O149" s="759"/>
      <c r="P149" s="759"/>
      <c r="Q149" s="832">
        <v>0.94</v>
      </c>
      <c r="R149" s="833">
        <v>0.94</v>
      </c>
      <c r="S149" s="833">
        <v>0.92</v>
      </c>
      <c r="T149" s="833">
        <v>0.94</v>
      </c>
      <c r="U149" s="834">
        <v>0.94</v>
      </c>
    </row>
    <row r="150" spans="4:21" ht="14.25" x14ac:dyDescent="0.45">
      <c r="D150" s="836" t="str">
        <f>$D$69</f>
        <v>Other expenses</v>
      </c>
      <c r="E150" s="760"/>
      <c r="F150" s="759"/>
      <c r="G150" s="759"/>
      <c r="H150" s="832">
        <v>0</v>
      </c>
      <c r="I150" s="833">
        <v>0</v>
      </c>
      <c r="J150" s="833">
        <v>0</v>
      </c>
      <c r="K150" s="833">
        <v>0</v>
      </c>
      <c r="L150" s="834">
        <v>0</v>
      </c>
      <c r="M150" s="835"/>
      <c r="N150" s="760"/>
      <c r="O150" s="759"/>
      <c r="P150" s="759"/>
      <c r="Q150" s="832">
        <v>0</v>
      </c>
      <c r="R150" s="833">
        <v>0</v>
      </c>
      <c r="S150" s="833">
        <v>0</v>
      </c>
      <c r="T150" s="833">
        <v>0</v>
      </c>
      <c r="U150" s="834">
        <v>0</v>
      </c>
    </row>
    <row r="151" spans="4:21" ht="14.25" x14ac:dyDescent="0.45">
      <c r="D151" s="836" t="str">
        <f>$D$70</f>
        <v>Repairs and maintenance expense</v>
      </c>
      <c r="E151" s="760"/>
      <c r="F151" s="759"/>
      <c r="G151" s="759"/>
      <c r="H151" s="832">
        <v>0</v>
      </c>
      <c r="I151" s="833">
        <v>0</v>
      </c>
      <c r="J151" s="833">
        <v>0</v>
      </c>
      <c r="K151" s="833">
        <v>0</v>
      </c>
      <c r="L151" s="834">
        <v>0</v>
      </c>
      <c r="M151" s="835"/>
      <c r="N151" s="760"/>
      <c r="O151" s="759"/>
      <c r="P151" s="759"/>
      <c r="Q151" s="832">
        <v>0</v>
      </c>
      <c r="R151" s="833">
        <v>0</v>
      </c>
      <c r="S151" s="833">
        <v>0</v>
      </c>
      <c r="T151" s="833">
        <v>0</v>
      </c>
      <c r="U151" s="834">
        <v>0</v>
      </c>
    </row>
    <row r="152" spans="4:21" ht="14.65" thickBot="1" x14ac:dyDescent="0.5">
      <c r="D152" s="836" t="str">
        <f>$D$71</f>
        <v>Inter-group sales</v>
      </c>
      <c r="E152" s="760"/>
      <c r="F152" s="759"/>
      <c r="G152" s="759"/>
      <c r="H152" s="832">
        <v>0</v>
      </c>
      <c r="I152" s="833">
        <v>0</v>
      </c>
      <c r="J152" s="833">
        <v>0</v>
      </c>
      <c r="K152" s="833">
        <v>0</v>
      </c>
      <c r="L152" s="834">
        <v>0</v>
      </c>
      <c r="M152" s="835"/>
      <c r="N152" s="760"/>
      <c r="O152" s="759"/>
      <c r="P152" s="759"/>
      <c r="Q152" s="832">
        <v>0</v>
      </c>
      <c r="R152" s="833">
        <v>0</v>
      </c>
      <c r="S152" s="833">
        <v>0</v>
      </c>
      <c r="T152" s="833">
        <v>0</v>
      </c>
      <c r="U152" s="834">
        <v>0</v>
      </c>
    </row>
    <row r="153" spans="4:21" ht="14.65" thickBot="1" x14ac:dyDescent="0.35">
      <c r="D153" s="254" t="str">
        <f>"Total "&amp;D142</f>
        <v>Total OT capability uplift</v>
      </c>
      <c r="E153" s="838"/>
      <c r="F153" s="839"/>
      <c r="G153" s="839"/>
      <c r="H153" s="840">
        <f>SUM(H147:H152)</f>
        <v>1</v>
      </c>
      <c r="I153" s="840">
        <f>SUM(I147:I152)</f>
        <v>1</v>
      </c>
      <c r="J153" s="840">
        <f>SUM(J147:J152)</f>
        <v>1</v>
      </c>
      <c r="K153" s="840">
        <f>SUM(K147:K152)</f>
        <v>1</v>
      </c>
      <c r="L153" s="841">
        <f>SUM(L147:L152)</f>
        <v>1</v>
      </c>
      <c r="M153" s="842"/>
      <c r="N153" s="838"/>
      <c r="O153" s="839"/>
      <c r="P153" s="839"/>
      <c r="Q153" s="840">
        <f>SUM(Q147:Q152)</f>
        <v>1</v>
      </c>
      <c r="R153" s="840">
        <f>SUM(R147:R152)</f>
        <v>1</v>
      </c>
      <c r="S153" s="840">
        <f>SUM(S147:S152)</f>
        <v>1</v>
      </c>
      <c r="T153" s="840">
        <f>SUM(T147:T152)</f>
        <v>1</v>
      </c>
      <c r="U153" s="841">
        <f>SUM(U147:U152)</f>
        <v>1</v>
      </c>
    </row>
    <row r="154" spans="4:21" ht="11.25" customHeight="1" thickBot="1" x14ac:dyDescent="0.35"/>
    <row r="155" spans="4:21" ht="11.25" customHeight="1" thickBot="1" x14ac:dyDescent="0.35">
      <c r="N155" s="649" t="s">
        <v>1129</v>
      </c>
      <c r="O155" s="650"/>
      <c r="P155" s="650"/>
      <c r="Q155" s="650"/>
      <c r="R155" s="650"/>
      <c r="S155" s="650"/>
      <c r="T155" s="650"/>
      <c r="U155" s="651"/>
    </row>
    <row r="156" spans="4:21" ht="11.25" customHeight="1" thickBot="1" x14ac:dyDescent="0.5">
      <c r="N156" s="1084" t="s">
        <v>484</v>
      </c>
      <c r="O156" s="1084"/>
      <c r="P156" s="1084"/>
      <c r="Q156" s="1084"/>
      <c r="R156" s="1084"/>
      <c r="S156" s="1084"/>
      <c r="T156" s="1084"/>
      <c r="U156" s="1084"/>
    </row>
    <row r="157" spans="4:21" ht="11.25" customHeight="1" x14ac:dyDescent="0.3">
      <c r="N157" s="1085" t="s">
        <v>175</v>
      </c>
      <c r="O157" s="1086"/>
      <c r="P157" s="1086"/>
      <c r="Q157" s="1086"/>
      <c r="R157" s="1086"/>
      <c r="S157" s="1086"/>
      <c r="T157" s="1086"/>
      <c r="U157" s="1087"/>
    </row>
    <row r="158" spans="4:21" ht="11.25" customHeight="1" thickBot="1" x14ac:dyDescent="0.35">
      <c r="N158" s="1081" t="s">
        <v>549</v>
      </c>
      <c r="O158" s="1082"/>
      <c r="P158" s="1082"/>
      <c r="Q158" s="1082"/>
      <c r="R158" s="1082"/>
      <c r="S158" s="1082"/>
      <c r="T158" s="1082"/>
      <c r="U158" s="1083"/>
    </row>
    <row r="159" spans="4:21" ht="11.25" customHeight="1" thickBot="1" x14ac:dyDescent="0.35">
      <c r="N159" s="826" t="s">
        <v>69</v>
      </c>
      <c r="O159" s="827" t="s">
        <v>70</v>
      </c>
      <c r="P159" s="827" t="s">
        <v>71</v>
      </c>
      <c r="Q159" s="828" t="s">
        <v>72</v>
      </c>
      <c r="R159" s="828" t="s">
        <v>73</v>
      </c>
      <c r="S159" s="828" t="s">
        <v>74</v>
      </c>
      <c r="T159" s="828" t="s">
        <v>82</v>
      </c>
      <c r="U159" s="829" t="s">
        <v>243</v>
      </c>
    </row>
    <row r="160" spans="4:21" ht="11.25" customHeight="1" x14ac:dyDescent="0.45">
      <c r="N160" s="830"/>
      <c r="O160" s="831"/>
      <c r="P160" s="831"/>
      <c r="Q160" s="832">
        <v>0.5</v>
      </c>
      <c r="R160" s="833">
        <v>0.56000000000000005</v>
      </c>
      <c r="S160" s="833">
        <v>0.36</v>
      </c>
      <c r="T160" s="833">
        <v>0.35</v>
      </c>
      <c r="U160" s="834">
        <v>0.33</v>
      </c>
    </row>
    <row r="161" spans="14:21" ht="11.25" customHeight="1" x14ac:dyDescent="0.45">
      <c r="N161" s="760"/>
      <c r="O161" s="759"/>
      <c r="P161" s="759"/>
      <c r="Q161" s="832">
        <v>0</v>
      </c>
      <c r="R161" s="833">
        <v>0</v>
      </c>
      <c r="S161" s="833">
        <v>0</v>
      </c>
      <c r="T161" s="833">
        <v>0</v>
      </c>
      <c r="U161" s="834">
        <v>0</v>
      </c>
    </row>
    <row r="162" spans="14:21" ht="11.25" customHeight="1" x14ac:dyDescent="0.45">
      <c r="N162" s="760"/>
      <c r="O162" s="759"/>
      <c r="P162" s="759"/>
      <c r="Q162" s="832">
        <v>0.5</v>
      </c>
      <c r="R162" s="833">
        <v>0.44</v>
      </c>
      <c r="S162" s="833">
        <v>0.64</v>
      </c>
      <c r="T162" s="833">
        <v>0.65</v>
      </c>
      <c r="U162" s="834">
        <v>0.67</v>
      </c>
    </row>
    <row r="163" spans="14:21" ht="11.25" customHeight="1" x14ac:dyDescent="0.45">
      <c r="N163" s="760"/>
      <c r="O163" s="759"/>
      <c r="P163" s="759"/>
      <c r="Q163" s="832">
        <v>0</v>
      </c>
      <c r="R163" s="833">
        <v>0</v>
      </c>
      <c r="S163" s="833">
        <v>0</v>
      </c>
      <c r="T163" s="833">
        <v>0</v>
      </c>
      <c r="U163" s="834">
        <v>0</v>
      </c>
    </row>
    <row r="164" spans="14:21" ht="11.25" customHeight="1" x14ac:dyDescent="0.45">
      <c r="N164" s="760"/>
      <c r="O164" s="759"/>
      <c r="P164" s="759"/>
      <c r="Q164" s="832">
        <v>0</v>
      </c>
      <c r="R164" s="833">
        <v>0</v>
      </c>
      <c r="S164" s="833">
        <v>0</v>
      </c>
      <c r="T164" s="833">
        <v>0</v>
      </c>
      <c r="U164" s="834">
        <v>0</v>
      </c>
    </row>
    <row r="165" spans="14:21" ht="11.25" customHeight="1" thickBot="1" x14ac:dyDescent="0.5">
      <c r="N165" s="760"/>
      <c r="O165" s="759"/>
      <c r="P165" s="759"/>
      <c r="Q165" s="832">
        <v>0</v>
      </c>
      <c r="R165" s="833">
        <v>0</v>
      </c>
      <c r="S165" s="833">
        <v>0</v>
      </c>
      <c r="T165" s="833">
        <v>0</v>
      </c>
      <c r="U165" s="834">
        <v>0</v>
      </c>
    </row>
    <row r="166" spans="14:21" ht="11.25" customHeight="1" thickBot="1" x14ac:dyDescent="0.35">
      <c r="N166" s="838"/>
      <c r="O166" s="839"/>
      <c r="P166" s="839"/>
      <c r="Q166" s="840">
        <f>SUM(Q160:Q165)</f>
        <v>1</v>
      </c>
      <c r="R166" s="840">
        <f>SUM(R160:R165)</f>
        <v>1</v>
      </c>
      <c r="S166" s="840">
        <f>SUM(S160:S165)</f>
        <v>1</v>
      </c>
      <c r="T166" s="840">
        <f>SUM(T160:T165)</f>
        <v>1</v>
      </c>
      <c r="U166" s="841">
        <f>SUM(U160:U165)</f>
        <v>1</v>
      </c>
    </row>
    <row r="167" spans="14:21" ht="11.25" customHeight="1" thickBot="1" x14ac:dyDescent="0.35"/>
    <row r="168" spans="14:21" ht="11.25" customHeight="1" thickBot="1" x14ac:dyDescent="0.35">
      <c r="N168" s="649" t="s">
        <v>1130</v>
      </c>
      <c r="O168" s="650"/>
      <c r="P168" s="650"/>
      <c r="Q168" s="650"/>
      <c r="R168" s="650"/>
      <c r="S168" s="650"/>
      <c r="T168" s="650"/>
      <c r="U168" s="651"/>
    </row>
    <row r="169" spans="14:21" ht="11.25" customHeight="1" thickBot="1" x14ac:dyDescent="0.5">
      <c r="N169" s="1084" t="s">
        <v>484</v>
      </c>
      <c r="O169" s="1084"/>
      <c r="P169" s="1084"/>
      <c r="Q169" s="1084"/>
      <c r="R169" s="1084"/>
      <c r="S169" s="1084"/>
      <c r="T169" s="1084"/>
      <c r="U169" s="1084"/>
    </row>
    <row r="170" spans="14:21" ht="11.25" customHeight="1" x14ac:dyDescent="0.3">
      <c r="N170" s="1085" t="s">
        <v>175</v>
      </c>
      <c r="O170" s="1086"/>
      <c r="P170" s="1086"/>
      <c r="Q170" s="1086"/>
      <c r="R170" s="1086"/>
      <c r="S170" s="1086"/>
      <c r="T170" s="1086"/>
      <c r="U170" s="1087"/>
    </row>
    <row r="171" spans="14:21" ht="11.25" customHeight="1" thickBot="1" x14ac:dyDescent="0.35">
      <c r="N171" s="1081" t="s">
        <v>549</v>
      </c>
      <c r="O171" s="1082"/>
      <c r="P171" s="1082"/>
      <c r="Q171" s="1082"/>
      <c r="R171" s="1082"/>
      <c r="S171" s="1082"/>
      <c r="T171" s="1082"/>
      <c r="U171" s="1083"/>
    </row>
    <row r="172" spans="14:21" ht="11.25" customHeight="1" thickBot="1" x14ac:dyDescent="0.35">
      <c r="N172" s="826" t="s">
        <v>69</v>
      </c>
      <c r="O172" s="827" t="s">
        <v>70</v>
      </c>
      <c r="P172" s="827" t="s">
        <v>71</v>
      </c>
      <c r="Q172" s="828" t="s">
        <v>72</v>
      </c>
      <c r="R172" s="828" t="s">
        <v>73</v>
      </c>
      <c r="S172" s="828" t="s">
        <v>74</v>
      </c>
      <c r="T172" s="828" t="s">
        <v>82</v>
      </c>
      <c r="U172" s="829" t="s">
        <v>243</v>
      </c>
    </row>
    <row r="173" spans="14:21" ht="11.25" customHeight="1" x14ac:dyDescent="0.45">
      <c r="N173" s="830"/>
      <c r="O173" s="831"/>
      <c r="P173" s="831"/>
      <c r="Q173" s="832">
        <v>0.91</v>
      </c>
      <c r="R173" s="833">
        <v>0.93</v>
      </c>
      <c r="S173" s="833">
        <v>0.91</v>
      </c>
      <c r="T173" s="833">
        <v>1</v>
      </c>
      <c r="U173" s="834">
        <v>1</v>
      </c>
    </row>
    <row r="174" spans="14:21" ht="11.25" customHeight="1" x14ac:dyDescent="0.45">
      <c r="N174" s="760"/>
      <c r="O174" s="759"/>
      <c r="P174" s="759"/>
      <c r="Q174" s="832">
        <v>0</v>
      </c>
      <c r="R174" s="833">
        <v>0</v>
      </c>
      <c r="S174" s="833">
        <v>0</v>
      </c>
      <c r="T174" s="833">
        <v>0</v>
      </c>
      <c r="U174" s="834">
        <v>0</v>
      </c>
    </row>
    <row r="175" spans="14:21" ht="11.25" customHeight="1" x14ac:dyDescent="0.45">
      <c r="N175" s="760"/>
      <c r="O175" s="759"/>
      <c r="P175" s="759"/>
      <c r="Q175" s="832">
        <v>0.09</v>
      </c>
      <c r="R175" s="833">
        <v>7.0000000000000007E-2</v>
      </c>
      <c r="S175" s="833">
        <v>0.09</v>
      </c>
      <c r="T175" s="833">
        <v>0</v>
      </c>
      <c r="U175" s="834">
        <v>0</v>
      </c>
    </row>
    <row r="176" spans="14:21" ht="11.25" customHeight="1" x14ac:dyDescent="0.45">
      <c r="N176" s="760"/>
      <c r="O176" s="759"/>
      <c r="P176" s="759"/>
      <c r="Q176" s="832">
        <v>0</v>
      </c>
      <c r="R176" s="833">
        <v>0</v>
      </c>
      <c r="S176" s="833">
        <v>0</v>
      </c>
      <c r="T176" s="833">
        <v>0</v>
      </c>
      <c r="U176" s="834">
        <v>0</v>
      </c>
    </row>
    <row r="177" spans="3:21" ht="11.25" customHeight="1" x14ac:dyDescent="0.45">
      <c r="N177" s="760"/>
      <c r="O177" s="759"/>
      <c r="P177" s="759"/>
      <c r="Q177" s="832">
        <v>0</v>
      </c>
      <c r="R177" s="833">
        <v>0</v>
      </c>
      <c r="S177" s="833">
        <v>0</v>
      </c>
      <c r="T177" s="833">
        <v>0</v>
      </c>
      <c r="U177" s="834">
        <v>0</v>
      </c>
    </row>
    <row r="178" spans="3:21" ht="11.25" customHeight="1" thickBot="1" x14ac:dyDescent="0.5">
      <c r="N178" s="760"/>
      <c r="O178" s="759"/>
      <c r="P178" s="759"/>
      <c r="Q178" s="832">
        <v>0</v>
      </c>
      <c r="R178" s="833">
        <v>0</v>
      </c>
      <c r="S178" s="833">
        <v>0</v>
      </c>
      <c r="T178" s="833">
        <v>0</v>
      </c>
      <c r="U178" s="834">
        <v>0</v>
      </c>
    </row>
    <row r="179" spans="3:21" ht="11.25" customHeight="1" thickBot="1" x14ac:dyDescent="0.35">
      <c r="N179" s="838"/>
      <c r="O179" s="839"/>
      <c r="P179" s="839"/>
      <c r="Q179" s="840">
        <f>SUM(Q173:Q178)</f>
        <v>1</v>
      </c>
      <c r="R179" s="840">
        <f>SUM(R173:R178)</f>
        <v>1</v>
      </c>
      <c r="S179" s="840">
        <f>SUM(S173:S178)</f>
        <v>1</v>
      </c>
      <c r="T179" s="840">
        <f>SUM(T173:T178)</f>
        <v>1</v>
      </c>
      <c r="U179" s="841">
        <f>SUM(U173:U178)</f>
        <v>1</v>
      </c>
    </row>
    <row r="180" spans="3:21" ht="11.25" customHeight="1" x14ac:dyDescent="0.3"/>
    <row r="181" spans="3:21" s="7" customFormat="1" ht="13.9" x14ac:dyDescent="0.3">
      <c r="C181" s="7" t="s">
        <v>779</v>
      </c>
    </row>
    <row r="182" spans="3:21" ht="11.25" customHeight="1" thickBot="1" x14ac:dyDescent="0.35"/>
    <row r="183" spans="3:21" ht="11.25" customHeight="1" x14ac:dyDescent="0.3">
      <c r="O183" s="607" t="s">
        <v>175</v>
      </c>
      <c r="P183" s="607"/>
      <c r="Q183" s="607"/>
      <c r="R183" s="607"/>
      <c r="S183" s="607"/>
      <c r="T183" s="607"/>
      <c r="U183" s="608"/>
    </row>
    <row r="184" spans="3:21" ht="14.25" x14ac:dyDescent="0.3">
      <c r="O184" s="609" t="s">
        <v>466</v>
      </c>
      <c r="P184" s="609"/>
      <c r="Q184" s="609"/>
      <c r="R184" s="609"/>
      <c r="S184" s="609"/>
      <c r="T184" s="609"/>
      <c r="U184" s="610"/>
    </row>
    <row r="185" spans="3:21" ht="14.65" thickBot="1" x14ac:dyDescent="0.35">
      <c r="O185" s="611" t="s">
        <v>70</v>
      </c>
      <c r="P185" s="515" t="s">
        <v>71</v>
      </c>
      <c r="Q185" s="516" t="s">
        <v>72</v>
      </c>
      <c r="R185" s="516" t="s">
        <v>73</v>
      </c>
      <c r="S185" s="516" t="s">
        <v>74</v>
      </c>
      <c r="T185" s="516" t="s">
        <v>82</v>
      </c>
      <c r="U185" s="612" t="s">
        <v>243</v>
      </c>
    </row>
    <row r="186" spans="3:21" ht="16.149999999999999" thickBot="1" x14ac:dyDescent="0.35">
      <c r="N186" s="613" t="s">
        <v>780</v>
      </c>
      <c r="O186" s="256"/>
      <c r="P186" s="256"/>
      <c r="Q186" s="256"/>
      <c r="R186" s="256"/>
      <c r="S186" s="256"/>
      <c r="T186" s="256"/>
      <c r="U186" s="257"/>
    </row>
    <row r="187" spans="3:21" ht="14.25" x14ac:dyDescent="0.45">
      <c r="N187" s="915" t="s">
        <v>1137</v>
      </c>
      <c r="O187" s="258">
        <v>0</v>
      </c>
      <c r="P187" s="259">
        <v>0</v>
      </c>
      <c r="Q187" s="260">
        <v>-261268.87580896841</v>
      </c>
      <c r="R187" s="261">
        <v>-297533.04622783291</v>
      </c>
      <c r="S187" s="261">
        <v>-355957.64910122176</v>
      </c>
      <c r="T187" s="261">
        <v>-408689.42037603143</v>
      </c>
      <c r="U187" s="259">
        <v>-455248.12984099297</v>
      </c>
    </row>
    <row r="188" spans="3:21" ht="14.25" x14ac:dyDescent="0.45">
      <c r="N188" s="878" t="s">
        <v>1138</v>
      </c>
      <c r="O188" s="262">
        <v>0</v>
      </c>
      <c r="P188" s="263">
        <v>0</v>
      </c>
      <c r="Q188" s="264">
        <v>-53578.92021105453</v>
      </c>
      <c r="R188" s="265">
        <v>-61015.684683578533</v>
      </c>
      <c r="S188" s="265">
        <v>-72996.932453805275</v>
      </c>
      <c r="T188" s="265">
        <v>-83810.740095349174</v>
      </c>
      <c r="U188" s="263">
        <v>-93358.625857971681</v>
      </c>
    </row>
    <row r="189" spans="3:21" ht="14.25" x14ac:dyDescent="0.45">
      <c r="N189" s="878" t="s">
        <v>1139</v>
      </c>
      <c r="O189" s="262">
        <v>0</v>
      </c>
      <c r="P189" s="263">
        <v>0</v>
      </c>
      <c r="Q189" s="264">
        <v>266532.86734952079</v>
      </c>
      <c r="R189" s="265">
        <v>306472.75180847541</v>
      </c>
      <c r="S189" s="265">
        <v>367151.57017813489</v>
      </c>
      <c r="T189" s="265">
        <v>422129.34851258376</v>
      </c>
      <c r="U189" s="263">
        <v>470972.43116729672</v>
      </c>
    </row>
    <row r="190" spans="3:21" ht="14.25" x14ac:dyDescent="0.45">
      <c r="N190" s="878" t="s">
        <v>1126</v>
      </c>
      <c r="O190" s="262">
        <v>0</v>
      </c>
      <c r="P190" s="263">
        <v>0</v>
      </c>
      <c r="Q190" s="264">
        <v>36628.433864237537</v>
      </c>
      <c r="R190" s="265">
        <v>45565.11095403308</v>
      </c>
      <c r="S190" s="265">
        <v>45565.11095403308</v>
      </c>
      <c r="T190" s="265">
        <v>45565.11095403308</v>
      </c>
      <c r="U190" s="263">
        <v>45565.11095403308</v>
      </c>
    </row>
    <row r="191" spans="3:21" ht="14.25" x14ac:dyDescent="0.45">
      <c r="N191" s="878" t="s">
        <v>1127</v>
      </c>
      <c r="O191" s="262">
        <v>0</v>
      </c>
      <c r="P191" s="263">
        <v>0</v>
      </c>
      <c r="Q191" s="264">
        <v>13463.737163569018</v>
      </c>
      <c r="R191" s="265">
        <v>26477.713901622697</v>
      </c>
      <c r="S191" s="265">
        <v>31827.217695403724</v>
      </c>
      <c r="T191" s="265">
        <v>37444.196678873777</v>
      </c>
      <c r="U191" s="263">
        <v>43342.024611517387</v>
      </c>
    </row>
    <row r="192" spans="3:21" ht="14.25" x14ac:dyDescent="0.45">
      <c r="N192" s="878" t="s">
        <v>1128</v>
      </c>
      <c r="O192" s="262">
        <v>0</v>
      </c>
      <c r="P192" s="263">
        <v>0</v>
      </c>
      <c r="Q192" s="264">
        <v>38435.923781385114</v>
      </c>
      <c r="R192" s="265">
        <v>38706.599300972339</v>
      </c>
      <c r="S192" s="265">
        <v>38977.274820559549</v>
      </c>
      <c r="T192" s="265">
        <v>39247.950340146774</v>
      </c>
      <c r="U192" s="263">
        <v>39518.625859733991</v>
      </c>
    </row>
    <row r="193" spans="1:21" ht="14.25" x14ac:dyDescent="0.45">
      <c r="N193" s="272" t="s">
        <v>1129</v>
      </c>
      <c r="O193" s="262">
        <v>0</v>
      </c>
      <c r="P193" s="263">
        <v>0</v>
      </c>
      <c r="Q193" s="264">
        <v>112799.27685689219</v>
      </c>
      <c r="R193" s="265">
        <v>100428.36645528255</v>
      </c>
      <c r="S193" s="265">
        <v>155850.04505449376</v>
      </c>
      <c r="T193" s="265">
        <v>160530.15891499812</v>
      </c>
      <c r="U193" s="263">
        <v>167538.39007161977</v>
      </c>
    </row>
    <row r="194" spans="1:21" ht="14.65" thickBot="1" x14ac:dyDescent="0.5">
      <c r="N194" s="273" t="s">
        <v>1130</v>
      </c>
      <c r="O194" s="266">
        <v>0</v>
      </c>
      <c r="P194" s="267">
        <v>0</v>
      </c>
      <c r="Q194" s="268">
        <v>55808.825115601372</v>
      </c>
      <c r="R194" s="269">
        <v>68179.735517211026</v>
      </c>
      <c r="S194" s="269">
        <v>55808.825115601372</v>
      </c>
      <c r="T194" s="269">
        <v>63231.371356567157</v>
      </c>
      <c r="U194" s="267">
        <v>50860.460954957518</v>
      </c>
    </row>
    <row r="195" spans="1:21" ht="14.65" thickBot="1" x14ac:dyDescent="0.35">
      <c r="N195" s="270" t="s">
        <v>176</v>
      </c>
      <c r="O195" s="252">
        <f>SUM(O187:O194)</f>
        <v>0</v>
      </c>
      <c r="P195" s="252">
        <f t="shared" ref="P195:U195" si="18">SUM(P187:P194)</f>
        <v>0</v>
      </c>
      <c r="Q195" s="252">
        <f t="shared" si="18"/>
        <v>208821.26811118308</v>
      </c>
      <c r="R195" s="252">
        <f t="shared" si="18"/>
        <v>227281.54702618564</v>
      </c>
      <c r="S195" s="252">
        <f t="shared" si="18"/>
        <v>266225.46226319933</v>
      </c>
      <c r="T195" s="252">
        <f t="shared" si="18"/>
        <v>275647.97628582211</v>
      </c>
      <c r="U195" s="253">
        <f t="shared" si="18"/>
        <v>269190.28792019375</v>
      </c>
    </row>
    <row r="196" spans="1:21" ht="11.25" customHeight="1" x14ac:dyDescent="0.3"/>
    <row r="197" spans="1:21" ht="12.75" x14ac:dyDescent="0.3">
      <c r="N197" s="347" t="s">
        <v>780</v>
      </c>
      <c r="O197" s="115">
        <v>0</v>
      </c>
      <c r="P197" s="116">
        <v>0</v>
      </c>
      <c r="Q197" s="117">
        <v>208821.2681111831</v>
      </c>
      <c r="R197" s="115">
        <v>227281.54702618564</v>
      </c>
      <c r="S197" s="115">
        <v>266225.46226319938</v>
      </c>
      <c r="T197" s="115">
        <v>275647.97628582211</v>
      </c>
      <c r="U197" s="115">
        <v>269190.2879201938</v>
      </c>
    </row>
    <row r="198" spans="1:21" ht="12.75" x14ac:dyDescent="0.3">
      <c r="A198" s="41">
        <f>IF(SUM(O198:U198)&gt;0,1,0)</f>
        <v>0</v>
      </c>
      <c r="N198" s="347" t="s">
        <v>193</v>
      </c>
      <c r="O198" s="62">
        <f>IF(ROUND(O195-O197,3)&lt;&gt;0,1,0)</f>
        <v>0</v>
      </c>
      <c r="P198" s="62">
        <f t="shared" ref="P198:U198" si="19">IF(ROUND(P195-P197,3)&lt;&gt;0,1,0)</f>
        <v>0</v>
      </c>
      <c r="Q198" s="62">
        <f t="shared" si="19"/>
        <v>0</v>
      </c>
      <c r="R198" s="62">
        <f t="shared" si="19"/>
        <v>0</v>
      </c>
      <c r="S198" s="62">
        <f t="shared" si="19"/>
        <v>0</v>
      </c>
      <c r="T198" s="62">
        <f t="shared" si="19"/>
        <v>0</v>
      </c>
      <c r="U198" s="62">
        <f t="shared" si="19"/>
        <v>0</v>
      </c>
    </row>
    <row r="199" spans="1:21" ht="11.25" customHeight="1" x14ac:dyDescent="0.3"/>
    <row r="200" spans="1:21" s="46" customFormat="1" ht="15" x14ac:dyDescent="0.3">
      <c r="B200" s="46" t="s">
        <v>16</v>
      </c>
    </row>
  </sheetData>
  <mergeCells count="42">
    <mergeCell ref="E78:L78"/>
    <mergeCell ref="N78:U78"/>
    <mergeCell ref="E79:L79"/>
    <mergeCell ref="N79:U79"/>
    <mergeCell ref="E80:L80"/>
    <mergeCell ref="N80:U80"/>
    <mergeCell ref="E91:L91"/>
    <mergeCell ref="N91:U91"/>
    <mergeCell ref="E92:L92"/>
    <mergeCell ref="N92:U92"/>
    <mergeCell ref="E93:L93"/>
    <mergeCell ref="N93:U93"/>
    <mergeCell ref="E104:L104"/>
    <mergeCell ref="N104:U104"/>
    <mergeCell ref="E105:L105"/>
    <mergeCell ref="N105:U105"/>
    <mergeCell ref="E106:L106"/>
    <mergeCell ref="N106:U106"/>
    <mergeCell ref="E117:L117"/>
    <mergeCell ref="N117:U117"/>
    <mergeCell ref="E118:L118"/>
    <mergeCell ref="N118:U118"/>
    <mergeCell ref="E119:L119"/>
    <mergeCell ref="N119:U119"/>
    <mergeCell ref="E130:L130"/>
    <mergeCell ref="N130:U130"/>
    <mergeCell ref="E131:L131"/>
    <mergeCell ref="N131:U131"/>
    <mergeCell ref="E132:L132"/>
    <mergeCell ref="N132:U132"/>
    <mergeCell ref="E143:L143"/>
    <mergeCell ref="N143:U143"/>
    <mergeCell ref="E144:L144"/>
    <mergeCell ref="N144:U144"/>
    <mergeCell ref="E145:L145"/>
    <mergeCell ref="N145:U145"/>
    <mergeCell ref="N171:U171"/>
    <mergeCell ref="N156:U156"/>
    <mergeCell ref="N157:U157"/>
    <mergeCell ref="N158:U158"/>
    <mergeCell ref="N169:U169"/>
    <mergeCell ref="N170:U170"/>
  </mergeCells>
  <conditionalFormatting sqref="B3">
    <cfRule type="cellIs" dxfId="460" priority="165" operator="notEqual">
      <formula>"No Errors Found"</formula>
    </cfRule>
  </conditionalFormatting>
  <conditionalFormatting sqref="K14:K47">
    <cfRule type="expression" dxfId="459" priority="156">
      <formula>(dms_FRCPlength_Num)&lt;5</formula>
    </cfRule>
  </conditionalFormatting>
  <conditionalFormatting sqref="S14:S47">
    <cfRule type="expression" dxfId="458" priority="148">
      <formula>(dms_FRCPlength_Num)&lt;5</formula>
    </cfRule>
  </conditionalFormatting>
  <conditionalFormatting sqref="L66:L73">
    <cfRule type="expression" dxfId="457" priority="147">
      <formula>(dms_FRCPlength_Num)&lt;5</formula>
    </cfRule>
  </conditionalFormatting>
  <conditionalFormatting sqref="L82:L87">
    <cfRule type="expression" dxfId="456" priority="139">
      <formula>(dms_FRCPlength_Num)&lt;5</formula>
    </cfRule>
  </conditionalFormatting>
  <conditionalFormatting sqref="I82:I87">
    <cfRule type="expression" dxfId="455" priority="142">
      <formula>(dms_FRCPlength_Num)&lt;4</formula>
    </cfRule>
  </conditionalFormatting>
  <conditionalFormatting sqref="J82:J87">
    <cfRule type="expression" dxfId="454" priority="141">
      <formula>(dms_FRCPlength_Num)&lt;5</formula>
    </cfRule>
  </conditionalFormatting>
  <conditionalFormatting sqref="K82:K87">
    <cfRule type="expression" dxfId="453" priority="140">
      <formula>(dms_FRCPlength_Num)&lt;3</formula>
    </cfRule>
  </conditionalFormatting>
  <conditionalFormatting sqref="H82:L87">
    <cfRule type="expression" dxfId="452" priority="138" stopIfTrue="1">
      <formula>dms_0707_flag="NO"</formula>
    </cfRule>
  </conditionalFormatting>
  <conditionalFormatting sqref="U66:U73">
    <cfRule type="expression" dxfId="451" priority="97">
      <formula>(dms_FRCPlength_Num)&lt;5</formula>
    </cfRule>
  </conditionalFormatting>
  <conditionalFormatting sqref="L95:L100">
    <cfRule type="expression" dxfId="450" priority="68">
      <formula>(dms_FRCPlength_Num)&lt;5</formula>
    </cfRule>
  </conditionalFormatting>
  <conditionalFormatting sqref="I95:I100">
    <cfRule type="expression" dxfId="449" priority="71">
      <formula>(dms_FRCPlength_Num)&lt;4</formula>
    </cfRule>
  </conditionalFormatting>
  <conditionalFormatting sqref="J95:J100">
    <cfRule type="expression" dxfId="448" priority="70">
      <formula>(dms_FRCPlength_Num)&lt;5</formula>
    </cfRule>
  </conditionalFormatting>
  <conditionalFormatting sqref="K95:K100">
    <cfRule type="expression" dxfId="447" priority="69">
      <formula>(dms_FRCPlength_Num)&lt;3</formula>
    </cfRule>
  </conditionalFormatting>
  <conditionalFormatting sqref="H95:L100">
    <cfRule type="expression" dxfId="446" priority="67" stopIfTrue="1">
      <formula>dms_0707_flag="NO"</formula>
    </cfRule>
  </conditionalFormatting>
  <conditionalFormatting sqref="L108:L113">
    <cfRule type="expression" dxfId="445" priority="63">
      <formula>(dms_FRCPlength_Num)&lt;5</formula>
    </cfRule>
  </conditionalFormatting>
  <conditionalFormatting sqref="I108:I113">
    <cfRule type="expression" dxfId="444" priority="66">
      <formula>(dms_FRCPlength_Num)&lt;4</formula>
    </cfRule>
  </conditionalFormatting>
  <conditionalFormatting sqref="J108:J113">
    <cfRule type="expression" dxfId="443" priority="65">
      <formula>(dms_FRCPlength_Num)&lt;5</formula>
    </cfRule>
  </conditionalFormatting>
  <conditionalFormatting sqref="K108:K113">
    <cfRule type="expression" dxfId="442" priority="64">
      <formula>(dms_FRCPlength_Num)&lt;3</formula>
    </cfRule>
  </conditionalFormatting>
  <conditionalFormatting sqref="H108:L113">
    <cfRule type="expression" dxfId="441" priority="62" stopIfTrue="1">
      <formula>dms_0707_flag="NO"</formula>
    </cfRule>
  </conditionalFormatting>
  <conditionalFormatting sqref="L121:L126">
    <cfRule type="expression" dxfId="440" priority="58">
      <formula>(dms_FRCPlength_Num)&lt;5</formula>
    </cfRule>
  </conditionalFormatting>
  <conditionalFormatting sqref="I121:I126">
    <cfRule type="expression" dxfId="439" priority="61">
      <formula>(dms_FRCPlength_Num)&lt;4</formula>
    </cfRule>
  </conditionalFormatting>
  <conditionalFormatting sqref="J121:J126">
    <cfRule type="expression" dxfId="438" priority="60">
      <formula>(dms_FRCPlength_Num)&lt;5</formula>
    </cfRule>
  </conditionalFormatting>
  <conditionalFormatting sqref="K121:K126">
    <cfRule type="expression" dxfId="437" priority="59">
      <formula>(dms_FRCPlength_Num)&lt;3</formula>
    </cfRule>
  </conditionalFormatting>
  <conditionalFormatting sqref="H121:L126">
    <cfRule type="expression" dxfId="436" priority="57" stopIfTrue="1">
      <formula>dms_0707_flag="NO"</formula>
    </cfRule>
  </conditionalFormatting>
  <conditionalFormatting sqref="L134:L139">
    <cfRule type="expression" dxfId="435" priority="53">
      <formula>(dms_FRCPlength_Num)&lt;5</formula>
    </cfRule>
  </conditionalFormatting>
  <conditionalFormatting sqref="I134:I139">
    <cfRule type="expression" dxfId="434" priority="56">
      <formula>(dms_FRCPlength_Num)&lt;4</formula>
    </cfRule>
  </conditionalFormatting>
  <conditionalFormatting sqref="J134:J139">
    <cfRule type="expression" dxfId="433" priority="55">
      <formula>(dms_FRCPlength_Num)&lt;5</formula>
    </cfRule>
  </conditionalFormatting>
  <conditionalFormatting sqref="K134:K139">
    <cfRule type="expression" dxfId="432" priority="54">
      <formula>(dms_FRCPlength_Num)&lt;3</formula>
    </cfRule>
  </conditionalFormatting>
  <conditionalFormatting sqref="H134:L139">
    <cfRule type="expression" dxfId="431" priority="52" stopIfTrue="1">
      <formula>dms_0707_flag="NO"</formula>
    </cfRule>
  </conditionalFormatting>
  <conditionalFormatting sqref="L147:L152">
    <cfRule type="expression" dxfId="430" priority="48">
      <formula>(dms_FRCPlength_Num)&lt;5</formula>
    </cfRule>
  </conditionalFormatting>
  <conditionalFormatting sqref="I147:I152">
    <cfRule type="expression" dxfId="429" priority="51">
      <formula>(dms_FRCPlength_Num)&lt;4</formula>
    </cfRule>
  </conditionalFormatting>
  <conditionalFormatting sqref="J147:J152">
    <cfRule type="expression" dxfId="428" priority="50">
      <formula>(dms_FRCPlength_Num)&lt;5</formula>
    </cfRule>
  </conditionalFormatting>
  <conditionalFormatting sqref="K147:K152">
    <cfRule type="expression" dxfId="427" priority="49">
      <formula>(dms_FRCPlength_Num)&lt;3</formula>
    </cfRule>
  </conditionalFormatting>
  <conditionalFormatting sqref="H147:L152">
    <cfRule type="expression" dxfId="426" priority="47" stopIfTrue="1">
      <formula>dms_0707_flag="NO"</formula>
    </cfRule>
  </conditionalFormatting>
  <conditionalFormatting sqref="U82:U87">
    <cfRule type="expression" dxfId="425" priority="43">
      <formula>(dms_FRCPlength_Num)&lt;5</formula>
    </cfRule>
  </conditionalFormatting>
  <conditionalFormatting sqref="R82:R87">
    <cfRule type="expression" dxfId="424" priority="46">
      <formula>(dms_FRCPlength_Num)&lt;4</formula>
    </cfRule>
  </conditionalFormatting>
  <conditionalFormatting sqref="S82:S87">
    <cfRule type="expression" dxfId="423" priority="45">
      <formula>(dms_FRCPlength_Num)&lt;5</formula>
    </cfRule>
  </conditionalFormatting>
  <conditionalFormatting sqref="T82:T87">
    <cfRule type="expression" dxfId="422" priority="44">
      <formula>(dms_FRCPlength_Num)&lt;3</formula>
    </cfRule>
  </conditionalFormatting>
  <conditionalFormatting sqref="Q82:U87">
    <cfRule type="expression" dxfId="421" priority="42" stopIfTrue="1">
      <formula>dms_0707_flag="NO"</formula>
    </cfRule>
  </conditionalFormatting>
  <conditionalFormatting sqref="U95:U100">
    <cfRule type="expression" dxfId="420" priority="38">
      <formula>(dms_FRCPlength_Num)&lt;5</formula>
    </cfRule>
  </conditionalFormatting>
  <conditionalFormatting sqref="R95:R100">
    <cfRule type="expression" dxfId="419" priority="41">
      <formula>(dms_FRCPlength_Num)&lt;4</formula>
    </cfRule>
  </conditionalFormatting>
  <conditionalFormatting sqref="S95:S100">
    <cfRule type="expression" dxfId="418" priority="40">
      <formula>(dms_FRCPlength_Num)&lt;5</formula>
    </cfRule>
  </conditionalFormatting>
  <conditionalFormatting sqref="T95:T100">
    <cfRule type="expression" dxfId="417" priority="39">
      <formula>(dms_FRCPlength_Num)&lt;3</formula>
    </cfRule>
  </conditionalFormatting>
  <conditionalFormatting sqref="Q95:U100">
    <cfRule type="expression" dxfId="416" priority="37" stopIfTrue="1">
      <formula>dms_0707_flag="NO"</formula>
    </cfRule>
  </conditionalFormatting>
  <conditionalFormatting sqref="U108:U113">
    <cfRule type="expression" dxfId="415" priority="33">
      <formula>(dms_FRCPlength_Num)&lt;5</formula>
    </cfRule>
  </conditionalFormatting>
  <conditionalFormatting sqref="R108:R113">
    <cfRule type="expression" dxfId="414" priority="36">
      <formula>(dms_FRCPlength_Num)&lt;4</formula>
    </cfRule>
  </conditionalFormatting>
  <conditionalFormatting sqref="S108:S113">
    <cfRule type="expression" dxfId="413" priority="35">
      <formula>(dms_FRCPlength_Num)&lt;5</formula>
    </cfRule>
  </conditionalFormatting>
  <conditionalFormatting sqref="T108:T113">
    <cfRule type="expression" dxfId="412" priority="34">
      <formula>(dms_FRCPlength_Num)&lt;3</formula>
    </cfRule>
  </conditionalFormatting>
  <conditionalFormatting sqref="Q108:U113">
    <cfRule type="expression" dxfId="411" priority="32" stopIfTrue="1">
      <formula>dms_0707_flag="NO"</formula>
    </cfRule>
  </conditionalFormatting>
  <conditionalFormatting sqref="U121:U126">
    <cfRule type="expression" dxfId="410" priority="28">
      <formula>(dms_FRCPlength_Num)&lt;5</formula>
    </cfRule>
  </conditionalFormatting>
  <conditionalFormatting sqref="R121:R126">
    <cfRule type="expression" dxfId="409" priority="31">
      <formula>(dms_FRCPlength_Num)&lt;4</formula>
    </cfRule>
  </conditionalFormatting>
  <conditionalFormatting sqref="S121:S126">
    <cfRule type="expression" dxfId="408" priority="30">
      <formula>(dms_FRCPlength_Num)&lt;5</formula>
    </cfRule>
  </conditionalFormatting>
  <conditionalFormatting sqref="T121:T126">
    <cfRule type="expression" dxfId="407" priority="29">
      <formula>(dms_FRCPlength_Num)&lt;3</formula>
    </cfRule>
  </conditionalFormatting>
  <conditionalFormatting sqref="Q121:U126">
    <cfRule type="expression" dxfId="406" priority="27" stopIfTrue="1">
      <formula>dms_0707_flag="NO"</formula>
    </cfRule>
  </conditionalFormatting>
  <conditionalFormatting sqref="U134:U139">
    <cfRule type="expression" dxfId="405" priority="23">
      <formula>(dms_FRCPlength_Num)&lt;5</formula>
    </cfRule>
  </conditionalFormatting>
  <conditionalFormatting sqref="R134:R139">
    <cfRule type="expression" dxfId="404" priority="26">
      <formula>(dms_FRCPlength_Num)&lt;4</formula>
    </cfRule>
  </conditionalFormatting>
  <conditionalFormatting sqref="S134:S139">
    <cfRule type="expression" dxfId="403" priority="25">
      <formula>(dms_FRCPlength_Num)&lt;5</formula>
    </cfRule>
  </conditionalFormatting>
  <conditionalFormatting sqref="T134:T139">
    <cfRule type="expression" dxfId="402" priority="24">
      <formula>(dms_FRCPlength_Num)&lt;3</formula>
    </cfRule>
  </conditionalFormatting>
  <conditionalFormatting sqref="Q134:U139">
    <cfRule type="expression" dxfId="401" priority="22" stopIfTrue="1">
      <formula>dms_0707_flag="NO"</formula>
    </cfRule>
  </conditionalFormatting>
  <conditionalFormatting sqref="U147:U152">
    <cfRule type="expression" dxfId="400" priority="18">
      <formula>(dms_FRCPlength_Num)&lt;5</formula>
    </cfRule>
  </conditionalFormatting>
  <conditionalFormatting sqref="R147:R152">
    <cfRule type="expression" dxfId="399" priority="21">
      <formula>(dms_FRCPlength_Num)&lt;4</formula>
    </cfRule>
  </conditionalFormatting>
  <conditionalFormatting sqref="S147:S152">
    <cfRule type="expression" dxfId="398" priority="20">
      <formula>(dms_FRCPlength_Num)&lt;5</formula>
    </cfRule>
  </conditionalFormatting>
  <conditionalFormatting sqref="T147:T152">
    <cfRule type="expression" dxfId="397" priority="19">
      <formula>(dms_FRCPlength_Num)&lt;3</formula>
    </cfRule>
  </conditionalFormatting>
  <conditionalFormatting sqref="Q147:U152">
    <cfRule type="expression" dxfId="396" priority="17" stopIfTrue="1">
      <formula>dms_0707_flag="NO"</formula>
    </cfRule>
  </conditionalFormatting>
  <conditionalFormatting sqref="U160:U165">
    <cfRule type="expression" dxfId="395" priority="13">
      <formula>(dms_FRCPlength_Num)&lt;5</formula>
    </cfRule>
  </conditionalFormatting>
  <conditionalFormatting sqref="R160:R165">
    <cfRule type="expression" dxfId="394" priority="16">
      <formula>(dms_FRCPlength_Num)&lt;4</formula>
    </cfRule>
  </conditionalFormatting>
  <conditionalFormatting sqref="S160:S165">
    <cfRule type="expression" dxfId="393" priority="15">
      <formula>(dms_FRCPlength_Num)&lt;5</formula>
    </cfRule>
  </conditionalFormatting>
  <conditionalFormatting sqref="T160:T165">
    <cfRule type="expression" dxfId="392" priority="14">
      <formula>(dms_FRCPlength_Num)&lt;3</formula>
    </cfRule>
  </conditionalFormatting>
  <conditionalFormatting sqref="Q160:U165">
    <cfRule type="expression" dxfId="391" priority="12" stopIfTrue="1">
      <formula>dms_0707_flag="NO"</formula>
    </cfRule>
  </conditionalFormatting>
  <conditionalFormatting sqref="U173:U178">
    <cfRule type="expression" dxfId="390" priority="8">
      <formula>(dms_FRCPlength_Num)&lt;5</formula>
    </cfRule>
  </conditionalFormatting>
  <conditionalFormatting sqref="R173:R178">
    <cfRule type="expression" dxfId="389" priority="11">
      <formula>(dms_FRCPlength_Num)&lt;4</formula>
    </cfRule>
  </conditionalFormatting>
  <conditionalFormatting sqref="S173:S178">
    <cfRule type="expression" dxfId="388" priority="10">
      <formula>(dms_FRCPlength_Num)&lt;5</formula>
    </cfRule>
  </conditionalFormatting>
  <conditionalFormatting sqref="T173:T178">
    <cfRule type="expression" dxfId="387" priority="9">
      <formula>(dms_FRCPlength_Num)&lt;3</formula>
    </cfRule>
  </conditionalFormatting>
  <conditionalFormatting sqref="Q173:U178">
    <cfRule type="expression" dxfId="386" priority="7" stopIfTrue="1">
      <formula>dms_0707_flag="NO"</formula>
    </cfRule>
  </conditionalFormatting>
  <conditionalFormatting sqref="U187:U194">
    <cfRule type="expression" dxfId="385" priority="1">
      <formula>(dms_FRCPlength_Num)&lt;5</formula>
    </cfRule>
  </conditionalFormatting>
  <hyperlinks>
    <hyperlink ref="B2:E2" location="TOC!A1" display="TOC!A1" xr:uid="{6ED46AA6-FC38-44DA-9060-3DB5965793C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8496-305C-440C-843E-4768BBEE8FF3}">
  <sheetPr codeName="Sheet35">
    <tabColor theme="4" tint="0.79998168889431442"/>
  </sheetPr>
  <dimension ref="A1:S40"/>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5.83203125" style="45" customWidth="1"/>
    <col min="5" max="11" width="15.6640625" style="45" customWidth="1"/>
    <col min="12" max="12" width="4.33203125" style="45" customWidth="1"/>
    <col min="13" max="19" width="17.6640625" style="45" customWidth="1"/>
    <col min="20" max="31" width="10.6640625" style="45" customWidth="1"/>
    <col min="32" max="16384" width="9.33203125" style="45"/>
  </cols>
  <sheetData>
    <row r="1" spans="1:19" ht="18.75" x14ac:dyDescent="0.3">
      <c r="A1" s="41">
        <f>IF(SUM($A3:$A40)&gt;0,1,0)</f>
        <v>0</v>
      </c>
      <c r="B1" s="3" t="s">
        <v>1108</v>
      </c>
    </row>
    <row r="2" spans="1:19" customFormat="1" x14ac:dyDescent="0.3">
      <c r="B2" s="34" t="str">
        <f>TOC!$B$1</f>
        <v>Table of contents</v>
      </c>
      <c r="C2" s="34"/>
      <c r="D2" s="34"/>
      <c r="E2" s="34"/>
    </row>
    <row r="3" spans="1:19" x14ac:dyDescent="0.3">
      <c r="B3" s="9" t="str">
        <f>Title_Msg</f>
        <v>No Errors Found</v>
      </c>
    </row>
    <row r="4" spans="1:19" s="46" customFormat="1" ht="15" x14ac:dyDescent="0.3">
      <c r="B4" s="46" t="str">
        <f>'WkB_1_2.1.1'!$B$4</f>
        <v>Data required to populate Power and Water Corporation 2024-29 regulatory submission</v>
      </c>
    </row>
    <row r="5" spans="1:19" ht="4.5" customHeight="1" x14ac:dyDescent="0.3"/>
    <row r="6" spans="1:19" s="7" customFormat="1" ht="13.9" x14ac:dyDescent="0.3">
      <c r="C6" s="7" t="str">
        <f>'WkB_1_2.1.1'!$C$6</f>
        <v>Output - RIN template</v>
      </c>
    </row>
    <row r="7" spans="1:19" ht="11.25" customHeight="1" x14ac:dyDescent="0.3"/>
    <row r="8" spans="1:19" ht="18" x14ac:dyDescent="0.3">
      <c r="D8" s="255" t="s">
        <v>495</v>
      </c>
      <c r="E8" s="183"/>
      <c r="F8" s="183"/>
      <c r="G8" s="183"/>
      <c r="H8" s="183"/>
      <c r="I8" s="183"/>
      <c r="J8" s="183"/>
      <c r="K8" s="183"/>
      <c r="L8" s="183"/>
      <c r="M8" s="183"/>
      <c r="N8" s="183"/>
      <c r="O8" s="183"/>
      <c r="P8" s="183"/>
      <c r="Q8" s="183"/>
      <c r="R8" s="183"/>
      <c r="S8" s="183"/>
    </row>
    <row r="9" spans="1:19" ht="14.65" thickBot="1" x14ac:dyDescent="0.5">
      <c r="D9"/>
      <c r="E9" s="600" t="s">
        <v>483</v>
      </c>
      <c r="F9" s="600"/>
      <c r="G9" s="600"/>
      <c r="H9" s="600"/>
      <c r="I9" s="600"/>
      <c r="J9" s="600"/>
      <c r="K9" s="600"/>
      <c r="M9" s="600" t="s">
        <v>484</v>
      </c>
      <c r="N9" s="600"/>
      <c r="O9" s="600"/>
      <c r="P9" s="600"/>
      <c r="Q9" s="600"/>
      <c r="R9" s="600"/>
      <c r="S9" s="600"/>
    </row>
    <row r="10" spans="1:19" ht="14.25" x14ac:dyDescent="0.3">
      <c r="D10"/>
      <c r="E10" s="607" t="s">
        <v>175</v>
      </c>
      <c r="F10" s="607"/>
      <c r="G10" s="607"/>
      <c r="H10" s="607"/>
      <c r="I10" s="607"/>
      <c r="J10" s="607"/>
      <c r="K10" s="608"/>
      <c r="M10" s="607" t="s">
        <v>175</v>
      </c>
      <c r="N10" s="607"/>
      <c r="O10" s="607"/>
      <c r="P10" s="607"/>
      <c r="Q10" s="607"/>
      <c r="R10" s="607"/>
      <c r="S10" s="608"/>
    </row>
    <row r="11" spans="1:19" ht="14.65" customHeight="1" x14ac:dyDescent="0.3">
      <c r="D11"/>
      <c r="E11" s="609" t="s">
        <v>466</v>
      </c>
      <c r="F11" s="609"/>
      <c r="G11" s="609"/>
      <c r="H11" s="609"/>
      <c r="I11" s="609"/>
      <c r="J11" s="609"/>
      <c r="K11" s="610"/>
      <c r="M11" s="609" t="s">
        <v>466</v>
      </c>
      <c r="N11" s="609"/>
      <c r="O11" s="609"/>
      <c r="P11" s="609"/>
      <c r="Q11" s="609"/>
      <c r="R11" s="609"/>
      <c r="S11" s="610"/>
    </row>
    <row r="12" spans="1:19" ht="14.65" thickBot="1" x14ac:dyDescent="0.35">
      <c r="D12" s="199"/>
      <c r="E12" s="611" t="s">
        <v>70</v>
      </c>
      <c r="F12" s="515" t="s">
        <v>71</v>
      </c>
      <c r="G12" s="516" t="s">
        <v>72</v>
      </c>
      <c r="H12" s="516" t="s">
        <v>73</v>
      </c>
      <c r="I12" s="516" t="s">
        <v>74</v>
      </c>
      <c r="J12" s="516" t="s">
        <v>82</v>
      </c>
      <c r="K12" s="612" t="s">
        <v>243</v>
      </c>
      <c r="M12" s="611" t="s">
        <v>70</v>
      </c>
      <c r="N12" s="515" t="s">
        <v>71</v>
      </c>
      <c r="O12" s="516" t="s">
        <v>72</v>
      </c>
      <c r="P12" s="516" t="s">
        <v>73</v>
      </c>
      <c r="Q12" s="516" t="s">
        <v>74</v>
      </c>
      <c r="R12" s="516" t="s">
        <v>82</v>
      </c>
      <c r="S12" s="612" t="s">
        <v>243</v>
      </c>
    </row>
    <row r="13" spans="1:19" ht="16.149999999999999" thickBot="1" x14ac:dyDescent="0.35">
      <c r="D13" s="613" t="s">
        <v>496</v>
      </c>
      <c r="E13" s="256"/>
      <c r="F13" s="256"/>
      <c r="G13" s="256"/>
      <c r="H13" s="256"/>
      <c r="I13" s="256"/>
      <c r="J13" s="256"/>
      <c r="K13" s="257"/>
      <c r="M13" s="256"/>
      <c r="N13" s="256"/>
      <c r="O13" s="256"/>
      <c r="P13" s="256"/>
      <c r="Q13" s="256"/>
      <c r="R13" s="256"/>
      <c r="S13" s="257"/>
    </row>
    <row r="14" spans="1:19" ht="14.25" x14ac:dyDescent="0.45">
      <c r="D14" s="614" t="s">
        <v>497</v>
      </c>
      <c r="E14" s="258">
        <f>'WkB_1_3.2.1'!E48</f>
        <v>72096304.304272711</v>
      </c>
      <c r="F14" s="259">
        <f>'WkB_1_3.2.1'!F48</f>
        <v>72352588.459241092</v>
      </c>
      <c r="G14" s="260">
        <f>'WkB_1_3.2.1'!G48</f>
        <v>81607591.039139658</v>
      </c>
      <c r="H14" s="261">
        <f>'WkB_1_3.2.1'!H48</f>
        <v>82476452.423404187</v>
      </c>
      <c r="I14" s="261">
        <f>'WkB_1_3.2.1'!I48</f>
        <v>82557722.186127469</v>
      </c>
      <c r="J14" s="261">
        <f>'WkB_1_3.2.1'!J48</f>
        <v>84206531.390962437</v>
      </c>
      <c r="K14" s="617">
        <f>'WkB_1_3.2.1'!K48</f>
        <v>84490640.772277281</v>
      </c>
      <c r="M14" s="258">
        <f>SUM('WkB_1_2.1.4'!E35:E38)</f>
        <v>3352825.9046719903</v>
      </c>
      <c r="N14" s="259">
        <f>SUM('WkB_1_2.1.4'!F35:F38)</f>
        <v>3319542.4788762936</v>
      </c>
      <c r="O14" s="260">
        <f>SUM('WkB_1_2.1.4'!G35:G38)</f>
        <v>4216487.6144452719</v>
      </c>
      <c r="P14" s="261">
        <f>SUM('WkB_1_2.1.4'!H35:H38)</f>
        <v>4216487.6144452719</v>
      </c>
      <c r="Q14" s="261">
        <f>SUM('WkB_1_2.1.4'!I35:I38)</f>
        <v>4216487.6144452719</v>
      </c>
      <c r="R14" s="261">
        <f>SUM('WkB_1_2.1.4'!J35:J38)</f>
        <v>4216487.6144452728</v>
      </c>
      <c r="S14" s="617">
        <f>SUM('WkB_1_2.1.4'!K35:K38)</f>
        <v>4216487.6144452728</v>
      </c>
    </row>
    <row r="15" spans="1:19" ht="14.25" x14ac:dyDescent="0.45">
      <c r="D15" s="615" t="s">
        <v>498</v>
      </c>
      <c r="E15" s="888"/>
      <c r="F15" s="847"/>
      <c r="G15" s="848"/>
      <c r="H15" s="849"/>
      <c r="I15" s="849"/>
      <c r="J15" s="849"/>
      <c r="K15" s="889"/>
      <c r="M15" s="262">
        <f>SUM('WkB_1_2.1.4'!E29:E31,'WkB_1_2.1.4'!E34)</f>
        <v>6423872.9639646709</v>
      </c>
      <c r="N15" s="263">
        <f>SUM('WkB_1_2.1.4'!F29:F31,'WkB_1_2.1.4'!F34)</f>
        <v>6460324.3388418574</v>
      </c>
      <c r="O15" s="264">
        <f>SUM('WkB_1_2.1.4'!G29:G31,'WkB_1_2.1.4'!G34)</f>
        <v>6687767.8311198801</v>
      </c>
      <c r="P15" s="265">
        <f>SUM('WkB_1_2.1.4'!H29:H31,'WkB_1_2.1.4'!H34)</f>
        <v>6806745.3256401988</v>
      </c>
      <c r="Q15" s="265">
        <f>SUM('WkB_1_2.1.4'!I29:I31,'WkB_1_2.1.4'!I34)</f>
        <v>6917744.288565021</v>
      </c>
      <c r="R15" s="265">
        <f>SUM('WkB_1_2.1.4'!J29:J31,'WkB_1_2.1.4'!J34)</f>
        <v>6989966.5113409795</v>
      </c>
      <c r="S15" s="618">
        <f>SUM('WkB_1_2.1.4'!K29:K31,'WkB_1_2.1.4'!K34)</f>
        <v>7059464.8815970635</v>
      </c>
    </row>
    <row r="16" spans="1:19" ht="14.25" x14ac:dyDescent="0.45">
      <c r="D16" s="615" t="s">
        <v>499</v>
      </c>
      <c r="E16" s="888"/>
      <c r="F16" s="847"/>
      <c r="G16" s="848"/>
      <c r="H16" s="849"/>
      <c r="I16" s="849"/>
      <c r="J16" s="849"/>
      <c r="K16" s="889"/>
      <c r="M16" s="262">
        <f>'WkB_1_2.1.4'!E11*($M$34/SUM($M$34,$M$37))</f>
        <v>1110151.0653903158</v>
      </c>
      <c r="N16" s="263">
        <f>'WkB_1_2.1.4'!F11*($M$34/SUM($M$34,$M$37))</f>
        <v>1099130.6212463342</v>
      </c>
      <c r="O16" s="264">
        <f>'WkB_1_2.1.4'!G11*($M$34/SUM($M$34,$M$37))</f>
        <v>1891471.8351161957</v>
      </c>
      <c r="P16" s="265">
        <f>'WkB_1_2.1.4'!H11*($M$34/SUM($M$34,$M$37))</f>
        <v>1891471.8351161953</v>
      </c>
      <c r="Q16" s="265">
        <f>'WkB_1_2.1.4'!I11*($M$34/SUM($M$34,$M$37))</f>
        <v>1891471.8351161957</v>
      </c>
      <c r="R16" s="265">
        <f>'WkB_1_2.1.4'!J11*($M$34/SUM($M$34,$M$37))</f>
        <v>1891471.8351161955</v>
      </c>
      <c r="S16" s="618">
        <f>'WkB_1_2.1.4'!K11*($M$34/SUM($M$34,$M$37))</f>
        <v>1891471.8351161955</v>
      </c>
    </row>
    <row r="17" spans="1:19" ht="14.25" x14ac:dyDescent="0.45">
      <c r="D17" s="615" t="s">
        <v>500</v>
      </c>
      <c r="E17" s="888"/>
      <c r="F17" s="847"/>
      <c r="G17" s="848"/>
      <c r="H17" s="849"/>
      <c r="I17" s="849"/>
      <c r="J17" s="849"/>
      <c r="K17" s="889"/>
      <c r="M17" s="888"/>
      <c r="N17" s="847"/>
      <c r="O17" s="848"/>
      <c r="P17" s="849"/>
      <c r="Q17" s="849"/>
      <c r="R17" s="849"/>
      <c r="S17" s="889"/>
    </row>
    <row r="18" spans="1:19" ht="14.25" x14ac:dyDescent="0.45">
      <c r="D18" s="615" t="s">
        <v>501</v>
      </c>
      <c r="E18" s="888"/>
      <c r="F18" s="847"/>
      <c r="G18" s="848"/>
      <c r="H18" s="849"/>
      <c r="I18" s="849"/>
      <c r="J18" s="849"/>
      <c r="K18" s="889"/>
      <c r="M18" s="888"/>
      <c r="N18" s="847"/>
      <c r="O18" s="848"/>
      <c r="P18" s="849"/>
      <c r="Q18" s="849"/>
      <c r="R18" s="849"/>
      <c r="S18" s="889"/>
    </row>
    <row r="19" spans="1:19" ht="14.65" thickBot="1" x14ac:dyDescent="0.5">
      <c r="D19" s="616" t="s">
        <v>502</v>
      </c>
      <c r="E19" s="890"/>
      <c r="F19" s="891"/>
      <c r="G19" s="892"/>
      <c r="H19" s="893"/>
      <c r="I19" s="893"/>
      <c r="J19" s="893"/>
      <c r="K19" s="894"/>
      <c r="M19" s="917">
        <f>'WkB_1_2.1.4'!E11*($M$37/SUM($M$34,$M$37))</f>
        <v>74826.624048592232</v>
      </c>
      <c r="N19" s="918">
        <f>'WkB_1_2.1.4'!F11*($M$37/SUM($M$34,$M$37))</f>
        <v>74083.821869214691</v>
      </c>
      <c r="O19" s="919">
        <f>'WkB_1_2.1.4'!G11*($M$37/SUM($M$34,$M$37))</f>
        <v>127489.36276972294</v>
      </c>
      <c r="P19" s="920">
        <f>'WkB_1_2.1.4'!H11*($M$37/SUM($M$34,$M$37))</f>
        <v>127489.36276972291</v>
      </c>
      <c r="Q19" s="920">
        <f>'WkB_1_2.1.4'!I11*($M$37/SUM($M$34,$M$37))</f>
        <v>127489.36276972294</v>
      </c>
      <c r="R19" s="920">
        <f>'WkB_1_2.1.4'!J11*($M$37/SUM($M$34,$M$37))</f>
        <v>127489.36276972292</v>
      </c>
      <c r="S19" s="921">
        <f>'WkB_1_2.1.4'!K11*($M$37/SUM($M$34,$M$37))</f>
        <v>127489.36276972292</v>
      </c>
    </row>
    <row r="20" spans="1:19" ht="11.25" customHeight="1" x14ac:dyDescent="0.3">
      <c r="D20"/>
      <c r="E20"/>
      <c r="F20"/>
      <c r="G20"/>
      <c r="H20"/>
      <c r="I20"/>
      <c r="J20"/>
      <c r="K20"/>
    </row>
    <row r="21" spans="1:19" ht="12.75" x14ac:dyDescent="0.3">
      <c r="D21" s="6" t="s">
        <v>451</v>
      </c>
      <c r="E21" s="118">
        <f>'WkB_1_3.2.1'!E50</f>
        <v>72096304.304272726</v>
      </c>
      <c r="F21" s="118">
        <f>'WkB_1_3.2.1'!F50</f>
        <v>72352588.459241107</v>
      </c>
      <c r="G21" s="118">
        <f>'WkB_1_3.2.1'!G50</f>
        <v>81607591.039139673</v>
      </c>
      <c r="H21" s="118">
        <f>'WkB_1_3.2.1'!H50</f>
        <v>82476452.423404187</v>
      </c>
      <c r="I21" s="118">
        <f>'WkB_1_3.2.1'!I50</f>
        <v>82557722.186127469</v>
      </c>
      <c r="J21" s="118">
        <f>'WkB_1_3.2.1'!J50</f>
        <v>84206531.390962437</v>
      </c>
      <c r="K21" s="118">
        <f>'WkB_1_3.2.1'!K50</f>
        <v>84490640.772277281</v>
      </c>
      <c r="M21" s="118">
        <f>SUM('WkB_1_2.1.4'!E17)</f>
        <v>10961676.55807557</v>
      </c>
      <c r="N21" s="118">
        <f>SUM('WkB_1_2.1.4'!F17)</f>
        <v>10953081.260833699</v>
      </c>
      <c r="O21" s="118">
        <f>SUM('WkB_1_2.1.4'!G17)</f>
        <v>12923216.64345107</v>
      </c>
      <c r="P21" s="118">
        <f>SUM('WkB_1_2.1.4'!H17)</f>
        <v>13042194.13797139</v>
      </c>
      <c r="Q21" s="118">
        <f>SUM('WkB_1_2.1.4'!I17)</f>
        <v>13153193.100896209</v>
      </c>
      <c r="R21" s="118">
        <f>SUM('WkB_1_2.1.4'!J17)</f>
        <v>13225415.32367217</v>
      </c>
      <c r="S21" s="118">
        <f>SUM('WkB_1_2.1.4'!K17)</f>
        <v>13294913.693928255</v>
      </c>
    </row>
    <row r="22" spans="1:19" ht="12.75" x14ac:dyDescent="0.3">
      <c r="D22" s="6" t="s">
        <v>695</v>
      </c>
      <c r="E22" s="115">
        <v>72096304.304272711</v>
      </c>
      <c r="F22" s="116">
        <v>72352588.459241092</v>
      </c>
      <c r="G22" s="117">
        <v>81607591.039139658</v>
      </c>
      <c r="H22" s="115">
        <v>82476452.423404187</v>
      </c>
      <c r="I22" s="115">
        <v>82557722.186127469</v>
      </c>
      <c r="J22" s="115">
        <v>84206531.390962437</v>
      </c>
      <c r="K22" s="115">
        <v>84490640.772277281</v>
      </c>
      <c r="M22" s="115">
        <v>10961676.558075568</v>
      </c>
      <c r="N22" s="116">
        <v>10953081.260833701</v>
      </c>
      <c r="O22" s="117">
        <v>12923216.643451072</v>
      </c>
      <c r="P22" s="115">
        <v>13042194.137971388</v>
      </c>
      <c r="Q22" s="115">
        <v>13153193.100896213</v>
      </c>
      <c r="R22" s="115">
        <v>13225415.323672172</v>
      </c>
      <c r="S22" s="115">
        <v>13294913.693928257</v>
      </c>
    </row>
    <row r="23" spans="1:19" ht="12.75" x14ac:dyDescent="0.3">
      <c r="A23" s="41">
        <f>IF(SUM(E23:K23,M23:S23)&gt;0,1,0)</f>
        <v>0</v>
      </c>
      <c r="D23" s="6" t="s">
        <v>126</v>
      </c>
      <c r="E23" s="62">
        <f>IF(OR(ROUND(E21-E22,3)&lt;&gt;0,ROUND(E21-SUM(E14:E19),3)&lt;&gt;0),1,0)</f>
        <v>0</v>
      </c>
      <c r="F23" s="62">
        <f t="shared" ref="F23:K23" si="0">IF(OR(ROUND(F21-F22,3)&lt;&gt;0,ROUND(F21-SUM(F14:F19),3)&lt;&gt;0),1,0)</f>
        <v>0</v>
      </c>
      <c r="G23" s="62">
        <f t="shared" si="0"/>
        <v>0</v>
      </c>
      <c r="H23" s="62">
        <f t="shared" si="0"/>
        <v>0</v>
      </c>
      <c r="I23" s="62">
        <f t="shared" si="0"/>
        <v>0</v>
      </c>
      <c r="J23" s="62">
        <f t="shared" si="0"/>
        <v>0</v>
      </c>
      <c r="K23" s="62">
        <f t="shared" si="0"/>
        <v>0</v>
      </c>
      <c r="M23" s="62">
        <f>IF(OR(ROUND(M21-M22,3)&lt;&gt;0,ROUND(M21-SUM(M14:M19),3)&lt;&gt;0),1,0)</f>
        <v>0</v>
      </c>
      <c r="N23" s="62">
        <f t="shared" ref="N23" si="1">IF(OR(ROUND(N21-N22,3)&lt;&gt;0,ROUND(N21-SUM(N14:N19),3)&lt;&gt;0),1,0)</f>
        <v>0</v>
      </c>
      <c r="O23" s="62">
        <f t="shared" ref="O23" si="2">IF(OR(ROUND(O21-O22,3)&lt;&gt;0,ROUND(O21-SUM(O14:O19),3)&lt;&gt;0),1,0)</f>
        <v>0</v>
      </c>
      <c r="P23" s="62">
        <f t="shared" ref="P23" si="3">IF(OR(ROUND(P21-P22,3)&lt;&gt;0,ROUND(P21-SUM(P14:P19),3)&lt;&gt;0),1,0)</f>
        <v>0</v>
      </c>
      <c r="Q23" s="62">
        <f t="shared" ref="Q23" si="4">IF(OR(ROUND(Q21-Q22,3)&lt;&gt;0,ROUND(Q21-SUM(Q14:Q19),3)&lt;&gt;0),1,0)</f>
        <v>0</v>
      </c>
      <c r="R23" s="62">
        <f t="shared" ref="R23" si="5">IF(OR(ROUND(R21-R22,3)&lt;&gt;0,ROUND(R21-SUM(R14:R19),3)&lt;&gt;0),1,0)</f>
        <v>0</v>
      </c>
      <c r="S23" s="62">
        <f t="shared" ref="S23" si="6">IF(OR(ROUND(S21-S22,3)&lt;&gt;0,ROUND(S21-SUM(S14:S19),3)&lt;&gt;0),1,0)</f>
        <v>0</v>
      </c>
    </row>
    <row r="25" spans="1:19" ht="11.25" customHeight="1" x14ac:dyDescent="0.3">
      <c r="D25" s="6" t="s">
        <v>839</v>
      </c>
    </row>
    <row r="26" spans="1:19" ht="11.25" customHeight="1" x14ac:dyDescent="0.3"/>
    <row r="27" spans="1:19" s="7" customFormat="1" ht="13.9" x14ac:dyDescent="0.3">
      <c r="C27" s="7" t="s">
        <v>653</v>
      </c>
    </row>
    <row r="28" spans="1:19" ht="11.25" customHeight="1" x14ac:dyDescent="0.3"/>
    <row r="29" spans="1:19" ht="11.25" customHeight="1" thickBot="1" x14ac:dyDescent="0.5">
      <c r="E29" s="600" t="s">
        <v>483</v>
      </c>
      <c r="F29" s="600"/>
      <c r="G29" s="600"/>
      <c r="M29" s="600" t="s">
        <v>484</v>
      </c>
      <c r="N29" s="600"/>
      <c r="O29" s="600"/>
      <c r="Q29" s="600"/>
      <c r="R29" s="600"/>
      <c r="S29" s="600"/>
    </row>
    <row r="30" spans="1:19" ht="26.65" customHeight="1" thickBot="1" x14ac:dyDescent="0.35">
      <c r="D30"/>
      <c r="E30" s="422" t="s">
        <v>409</v>
      </c>
      <c r="F30" s="423"/>
      <c r="G30" s="424"/>
      <c r="M30" s="422" t="s">
        <v>409</v>
      </c>
      <c r="N30" s="423"/>
      <c r="O30" s="424"/>
    </row>
    <row r="31" spans="1:19" ht="13.5" thickBot="1" x14ac:dyDescent="0.35">
      <c r="D31" s="909" t="s">
        <v>496</v>
      </c>
      <c r="E31" s="417" t="s">
        <v>69</v>
      </c>
      <c r="F31" s="418" t="s">
        <v>70</v>
      </c>
      <c r="G31" s="596" t="s">
        <v>71</v>
      </c>
      <c r="M31" s="417" t="s">
        <v>69</v>
      </c>
      <c r="N31" s="418" t="s">
        <v>70</v>
      </c>
      <c r="O31" s="596" t="s">
        <v>71</v>
      </c>
    </row>
    <row r="32" spans="1:19" ht="14.25" x14ac:dyDescent="0.45">
      <c r="D32" s="166" t="str">
        <f t="shared" ref="D32:D37" si="7">D14</f>
        <v>Opex for network services</v>
      </c>
      <c r="E32" s="258">
        <v>64246408.915718436</v>
      </c>
      <c r="F32" s="800"/>
      <c r="G32" s="910"/>
      <c r="M32" s="258">
        <v>7233331.4253400145</v>
      </c>
      <c r="N32" s="800"/>
      <c r="O32" s="910"/>
    </row>
    <row r="33" spans="2:15" ht="14.25" x14ac:dyDescent="0.45">
      <c r="D33" s="599" t="str">
        <f t="shared" si="7"/>
        <v>Opex for metering</v>
      </c>
      <c r="E33" s="262" t="s">
        <v>18</v>
      </c>
      <c r="F33" s="802"/>
      <c r="G33" s="910"/>
      <c r="M33" s="262">
        <v>5563008.5740484986</v>
      </c>
      <c r="N33" s="802"/>
      <c r="O33" s="910"/>
    </row>
    <row r="34" spans="2:15" ht="14.25" x14ac:dyDescent="0.45">
      <c r="D34" s="599" t="str">
        <f t="shared" si="7"/>
        <v>Opex for connection services</v>
      </c>
      <c r="E34" s="262" t="s">
        <v>18</v>
      </c>
      <c r="F34" s="802"/>
      <c r="G34" s="910"/>
      <c r="M34" s="262">
        <v>2845148.826497803</v>
      </c>
      <c r="N34" s="802"/>
      <c r="O34" s="910"/>
    </row>
    <row r="35" spans="2:15" ht="14.25" x14ac:dyDescent="0.45">
      <c r="D35" s="599" t="str">
        <f t="shared" si="7"/>
        <v>Opex for public lighting</v>
      </c>
      <c r="E35" s="262" t="s">
        <v>18</v>
      </c>
      <c r="F35" s="802"/>
      <c r="G35" s="910"/>
      <c r="M35" s="262" t="s">
        <v>18</v>
      </c>
      <c r="N35" s="802"/>
      <c r="O35" s="910"/>
    </row>
    <row r="36" spans="2:15" ht="14.25" x14ac:dyDescent="0.45">
      <c r="D36" s="599" t="str">
        <f t="shared" si="7"/>
        <v>Opex for amounts payable for easement levy or similar direct charges on DNSP</v>
      </c>
      <c r="E36" s="262" t="s">
        <v>18</v>
      </c>
      <c r="F36" s="802"/>
      <c r="G36" s="910"/>
      <c r="M36" s="262" t="s">
        <v>18</v>
      </c>
      <c r="N36" s="802"/>
      <c r="O36" s="910"/>
    </row>
    <row r="37" spans="2:15" ht="14.65" thickBot="1" x14ac:dyDescent="0.5">
      <c r="D37" s="167" t="str">
        <f t="shared" si="7"/>
        <v>Opex for transmission connection point planning</v>
      </c>
      <c r="E37" s="262" t="s">
        <v>18</v>
      </c>
      <c r="F37" s="802"/>
      <c r="G37" s="910"/>
      <c r="M37" s="262">
        <v>191769.29</v>
      </c>
      <c r="N37" s="802"/>
      <c r="O37" s="910"/>
    </row>
    <row r="38" spans="2:15" ht="13.5" thickBot="1" x14ac:dyDescent="0.35">
      <c r="D38" s="157" t="s">
        <v>81</v>
      </c>
      <c r="E38" s="157">
        <f t="shared" ref="E38:G38" si="8">SUM(E32:E37)</f>
        <v>64246408.915718436</v>
      </c>
      <c r="F38" s="59">
        <f t="shared" si="8"/>
        <v>0</v>
      </c>
      <c r="G38" s="60">
        <f t="shared" si="8"/>
        <v>0</v>
      </c>
      <c r="M38" s="157">
        <f t="shared" ref="M38" si="9">SUM(M32:M37)</f>
        <v>15833258.115886314</v>
      </c>
      <c r="N38" s="59">
        <f t="shared" ref="N38" si="10">SUM(N32:N37)</f>
        <v>0</v>
      </c>
      <c r="O38" s="60">
        <f t="shared" ref="O38" si="11">SUM(O32:O37)</f>
        <v>0</v>
      </c>
    </row>
    <row r="39" spans="2:15" ht="11.25" customHeight="1" x14ac:dyDescent="0.3"/>
    <row r="40" spans="2:15" s="46" customFormat="1" ht="15" x14ac:dyDescent="0.3">
      <c r="B40" s="46" t="s">
        <v>16</v>
      </c>
    </row>
  </sheetData>
  <conditionalFormatting sqref="B3">
    <cfRule type="cellIs" dxfId="384" priority="14" operator="notEqual">
      <formula>"No Errors Found"</formula>
    </cfRule>
  </conditionalFormatting>
  <conditionalFormatting sqref="K14:K19">
    <cfRule type="expression" dxfId="383" priority="13">
      <formula>(dms_FRCPlength_Num)&lt;5</formula>
    </cfRule>
  </conditionalFormatting>
  <conditionalFormatting sqref="S14:S16">
    <cfRule type="expression" dxfId="382" priority="11">
      <formula>(dms_FRCPlength_Num)&lt;5</formula>
    </cfRule>
  </conditionalFormatting>
  <conditionalFormatting sqref="S17:S18">
    <cfRule type="expression" dxfId="381" priority="8">
      <formula>(dms_FRCPlength_Num)&lt;5</formula>
    </cfRule>
  </conditionalFormatting>
  <conditionalFormatting sqref="K33:K36">
    <cfRule type="expression" dxfId="380" priority="4">
      <formula>(dms_FRCPlength_Num)&lt;5</formula>
    </cfRule>
  </conditionalFormatting>
  <conditionalFormatting sqref="K32">
    <cfRule type="expression" dxfId="379" priority="3">
      <formula>(dms_FRCPlength_Num)&lt;5</formula>
    </cfRule>
  </conditionalFormatting>
  <conditionalFormatting sqref="K37">
    <cfRule type="expression" dxfId="378" priority="2">
      <formula>(dms_FRCPlength_Num)&lt;5</formula>
    </cfRule>
  </conditionalFormatting>
  <conditionalFormatting sqref="S19">
    <cfRule type="expression" dxfId="377" priority="1">
      <formula>(dms_FRCPlength_Num)&lt;5</formula>
    </cfRule>
  </conditionalFormatting>
  <hyperlinks>
    <hyperlink ref="B2:E2" location="TOC!A1" display="TOC!A1" xr:uid="{5CCA4B36-DCFE-44D3-97F3-6BF06981798D}"/>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2D35-FE53-4E97-9F7A-21B03C31FEA1}">
  <sheetPr codeName="Sheet36">
    <tabColor theme="4" tint="0.79998168889431442"/>
  </sheetPr>
  <dimension ref="A1:AA139"/>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72.33203125" style="45" customWidth="1"/>
    <col min="5" max="11" width="20.6640625" style="45" customWidth="1"/>
    <col min="12" max="12" width="3.1640625" style="45" customWidth="1"/>
    <col min="13" max="19" width="20.6640625" style="45" customWidth="1"/>
    <col min="20" max="20" width="3.6640625" style="45" customWidth="1"/>
    <col min="21" max="27" width="20.6640625" style="45" customWidth="1"/>
    <col min="28" max="31" width="10.6640625" style="45" customWidth="1"/>
    <col min="32" max="16384" width="9.33203125" style="45"/>
  </cols>
  <sheetData>
    <row r="1" spans="1:27" ht="18.75" x14ac:dyDescent="0.3">
      <c r="A1" s="41">
        <f>IF(SUM($A3:$A139)&gt;0,1,0)</f>
        <v>0</v>
      </c>
      <c r="B1" s="3" t="s">
        <v>598</v>
      </c>
    </row>
    <row r="2" spans="1:27" customFormat="1" x14ac:dyDescent="0.3">
      <c r="B2" s="34" t="str">
        <f>TOC!$B$1</f>
        <v>Table of contents</v>
      </c>
      <c r="C2" s="34"/>
      <c r="D2" s="34"/>
      <c r="E2" s="34"/>
      <c r="F2" s="34"/>
      <c r="G2" s="34"/>
    </row>
    <row r="3" spans="1:27" x14ac:dyDescent="0.3">
      <c r="B3" s="9" t="str">
        <f>Title_Msg</f>
        <v>No Errors Found</v>
      </c>
    </row>
    <row r="4" spans="1:27" s="46" customFormat="1" ht="15" x14ac:dyDescent="0.3">
      <c r="B4" s="46" t="str">
        <f>'WkB_1_2.1.1'!$B$4</f>
        <v>Data required to populate Power and Water Corporation 2024-29 regulatory submission</v>
      </c>
    </row>
    <row r="5" spans="1:27" ht="4.5" customHeight="1" x14ac:dyDescent="0.3"/>
    <row r="6" spans="1:27" s="7" customFormat="1" ht="13.9" x14ac:dyDescent="0.3">
      <c r="C6" s="7" t="str">
        <f>'WkB_1_2.1.1'!$C$6</f>
        <v>Output - RIN template</v>
      </c>
    </row>
    <row r="7" spans="1:27" ht="11.25" customHeight="1" x14ac:dyDescent="0.3"/>
    <row r="8" spans="1:27" ht="18" x14ac:dyDescent="0.5">
      <c r="D8" s="48" t="s">
        <v>127</v>
      </c>
      <c r="E8" s="49"/>
      <c r="F8" s="49"/>
      <c r="G8" s="49"/>
      <c r="H8" s="49"/>
      <c r="I8" s="49"/>
      <c r="J8" s="49"/>
      <c r="K8" s="49"/>
      <c r="M8" s="49"/>
      <c r="N8" s="49"/>
      <c r="O8" s="49"/>
      <c r="P8" s="49"/>
      <c r="Q8" s="49"/>
      <c r="R8" s="49"/>
      <c r="S8" s="49"/>
      <c r="U8" s="49"/>
      <c r="V8" s="49"/>
      <c r="W8" s="49"/>
      <c r="X8" s="49"/>
      <c r="Y8" s="49"/>
      <c r="Z8" s="49"/>
      <c r="AA8" s="49"/>
    </row>
    <row r="9" spans="1:27" ht="14.65" thickBot="1" x14ac:dyDescent="0.5">
      <c r="D9"/>
      <c r="E9" s="619" t="s">
        <v>503</v>
      </c>
      <c r="F9" s="619"/>
      <c r="G9" s="619"/>
      <c r="H9" s="619"/>
      <c r="I9" s="619"/>
      <c r="J9" s="619"/>
      <c r="K9" s="619"/>
      <c r="M9" s="619" t="s">
        <v>454</v>
      </c>
      <c r="N9" s="619"/>
      <c r="O9" s="619"/>
      <c r="P9" s="619"/>
      <c r="Q9" s="619"/>
      <c r="R9" s="619"/>
      <c r="S9" s="619"/>
      <c r="U9" s="619" t="s">
        <v>456</v>
      </c>
      <c r="V9" s="619"/>
      <c r="W9" s="619"/>
      <c r="X9" s="619"/>
      <c r="Y9" s="619"/>
      <c r="Z9" s="619"/>
      <c r="AA9" s="619"/>
    </row>
    <row r="10" spans="1:27" ht="28.15" customHeight="1" thickBot="1" x14ac:dyDescent="0.35">
      <c r="D10"/>
      <c r="E10" s="422" t="str">
        <f>'WkB_1_2.1.1'!$E$9</f>
        <v>Forecast 
($0's. real June 2024)</v>
      </c>
      <c r="F10" s="423"/>
      <c r="G10" s="423"/>
      <c r="H10" s="423"/>
      <c r="I10" s="423"/>
      <c r="J10" s="423"/>
      <c r="K10" s="424"/>
      <c r="M10" s="422" t="str">
        <f>'WkB_1_2.1.1'!$E$9</f>
        <v>Forecast 
($0's. real June 2024)</v>
      </c>
      <c r="N10" s="423"/>
      <c r="O10" s="423"/>
      <c r="P10" s="423"/>
      <c r="Q10" s="423"/>
      <c r="R10" s="423"/>
      <c r="S10" s="424"/>
      <c r="U10" s="422" t="str">
        <f>'WkB_1_2.1.1'!$E$9</f>
        <v>Forecast 
($0's. real June 2024)</v>
      </c>
      <c r="V10" s="423"/>
      <c r="W10" s="423"/>
      <c r="X10" s="423"/>
      <c r="Y10" s="423"/>
      <c r="Z10" s="423"/>
      <c r="AA10" s="424"/>
    </row>
    <row r="11" spans="1:27" ht="18.600000000000001" customHeight="1" thickBot="1" x14ac:dyDescent="0.35">
      <c r="D11"/>
      <c r="E11" s="417" t="str">
        <f>'WkB_1_2.1.1'!$E$10</f>
        <v>2022-23</v>
      </c>
      <c r="F11" s="418" t="str">
        <f>'WkB_1_2.1.1'!$F$10</f>
        <v>2023-24</v>
      </c>
      <c r="G11" s="419" t="str">
        <f>'WkB_1_2.1.1'!$G$10</f>
        <v>2024-25</v>
      </c>
      <c r="H11" s="420" t="str">
        <f>'WkB_1_2.1.1'!$H$10</f>
        <v>2025-26</v>
      </c>
      <c r="I11" s="420" t="str">
        <f>'WkB_1_2.1.1'!$I$10</f>
        <v>2026-27</v>
      </c>
      <c r="J11" s="420" t="str">
        <f>'WkB_1_2.1.1'!$J$10</f>
        <v>2027-28</v>
      </c>
      <c r="K11" s="421" t="str">
        <f>'WkB_1_2.1.1'!$K$10</f>
        <v>2028-29</v>
      </c>
      <c r="M11" s="417" t="str">
        <f>'WkB_1_2.1.1'!$E$10</f>
        <v>2022-23</v>
      </c>
      <c r="N11" s="418" t="str">
        <f>'WkB_1_2.1.1'!$F$10</f>
        <v>2023-24</v>
      </c>
      <c r="O11" s="419" t="str">
        <f>'WkB_1_2.1.1'!$G$10</f>
        <v>2024-25</v>
      </c>
      <c r="P11" s="420" t="str">
        <f>'WkB_1_2.1.1'!$H$10</f>
        <v>2025-26</v>
      </c>
      <c r="Q11" s="420" t="str">
        <f>'WkB_1_2.1.1'!$I$10</f>
        <v>2026-27</v>
      </c>
      <c r="R11" s="420" t="str">
        <f>'WkB_1_2.1.1'!$J$10</f>
        <v>2027-28</v>
      </c>
      <c r="S11" s="421" t="str">
        <f>'WkB_1_2.1.1'!$K$10</f>
        <v>2028-29</v>
      </c>
      <c r="U11" s="417" t="str">
        <f>'WkB_1_2.1.1'!$E$10</f>
        <v>2022-23</v>
      </c>
      <c r="V11" s="418" t="str">
        <f>'WkB_1_2.1.1'!$F$10</f>
        <v>2023-24</v>
      </c>
      <c r="W11" s="419" t="str">
        <f>'WkB_1_2.1.1'!$G$10</f>
        <v>2024-25</v>
      </c>
      <c r="X11" s="420" t="str">
        <f>'WkB_1_2.1.1'!$H$10</f>
        <v>2025-26</v>
      </c>
      <c r="Y11" s="420" t="str">
        <f>'WkB_1_2.1.1'!$I$10</f>
        <v>2026-27</v>
      </c>
      <c r="Z11" s="420" t="str">
        <f>'WkB_1_2.1.1'!$J$10</f>
        <v>2027-28</v>
      </c>
      <c r="AA11" s="421" t="str">
        <f>'WkB_1_2.1.1'!$K$10</f>
        <v>2028-29</v>
      </c>
    </row>
    <row r="12" spans="1:27" ht="14.65" thickBot="1" x14ac:dyDescent="0.35">
      <c r="D12" s="176" t="s">
        <v>128</v>
      </c>
      <c r="E12" s="177"/>
      <c r="F12" s="178"/>
      <c r="G12" s="178"/>
      <c r="H12" s="178"/>
      <c r="I12" s="178"/>
      <c r="J12" s="178"/>
      <c r="K12" s="179"/>
      <c r="M12" s="177"/>
      <c r="N12" s="178"/>
      <c r="O12" s="178"/>
      <c r="P12" s="178"/>
      <c r="Q12" s="178"/>
      <c r="R12" s="178"/>
      <c r="S12" s="179"/>
      <c r="U12" s="177"/>
      <c r="V12" s="178"/>
      <c r="W12" s="178"/>
      <c r="X12" s="178"/>
      <c r="Y12" s="178"/>
      <c r="Z12" s="178"/>
      <c r="AA12" s="179"/>
    </row>
    <row r="13" spans="1:27" ht="14.25" x14ac:dyDescent="0.45">
      <c r="D13" s="95" t="s">
        <v>129</v>
      </c>
      <c r="E13" s="55">
        <v>1002438842.807703</v>
      </c>
      <c r="F13" s="56">
        <v>1070878514.6366583</v>
      </c>
      <c r="G13" s="55">
        <v>1136819608.4971156</v>
      </c>
      <c r="H13" s="57">
        <v>1169968790.7584202</v>
      </c>
      <c r="I13" s="57">
        <v>1203475388.2975955</v>
      </c>
      <c r="J13" s="57">
        <v>1222982514.1880846</v>
      </c>
      <c r="K13" s="56">
        <v>1266872041.4918635</v>
      </c>
      <c r="M13" s="55">
        <v>1108732594.9576221</v>
      </c>
      <c r="N13" s="56">
        <v>1177188330.9362364</v>
      </c>
      <c r="O13" s="55">
        <v>1243229189.628088</v>
      </c>
      <c r="P13" s="57">
        <v>1275858343.1676834</v>
      </c>
      <c r="Q13" s="57">
        <v>1309045134.8000355</v>
      </c>
      <c r="R13" s="57">
        <v>1328260669.0408943</v>
      </c>
      <c r="S13" s="56">
        <v>1371624075.1922164</v>
      </c>
      <c r="U13" s="55">
        <v>20914717.887212917</v>
      </c>
      <c r="V13" s="56">
        <v>31816341.28145916</v>
      </c>
      <c r="W13" s="55">
        <v>48482438.445999436</v>
      </c>
      <c r="X13" s="57">
        <v>50554362.620190971</v>
      </c>
      <c r="Y13" s="57">
        <v>52254551.272073068</v>
      </c>
      <c r="Z13" s="57">
        <v>56553023.783160724</v>
      </c>
      <c r="AA13" s="56">
        <v>61690283.952193581</v>
      </c>
    </row>
    <row r="14" spans="1:27" ht="14.25" x14ac:dyDescent="0.45">
      <c r="D14" s="180" t="s">
        <v>130</v>
      </c>
      <c r="E14" s="55">
        <v>85509102.68576175</v>
      </c>
      <c r="F14" s="56">
        <v>53313116.564162679</v>
      </c>
      <c r="G14" s="55">
        <v>34990804.531979427</v>
      </c>
      <c r="H14" s="57">
        <v>35907585.355256945</v>
      </c>
      <c r="I14" s="57">
        <v>36836249.781910703</v>
      </c>
      <c r="J14" s="57">
        <v>37357587.303914063</v>
      </c>
      <c r="K14" s="56">
        <v>38592170.537243158</v>
      </c>
      <c r="M14" s="55">
        <v>88698607.596609786</v>
      </c>
      <c r="N14" s="56">
        <v>55327851.554003119</v>
      </c>
      <c r="O14" s="55">
        <v>36297817.332033798</v>
      </c>
      <c r="P14" s="57">
        <v>37250471.166708842</v>
      </c>
      <c r="Q14" s="57">
        <v>38219406.026473299</v>
      </c>
      <c r="R14" s="57">
        <v>38780430.459965549</v>
      </c>
      <c r="S14" s="56">
        <v>40046485.832946584</v>
      </c>
      <c r="U14" s="55">
        <v>1673177.4309770337</v>
      </c>
      <c r="V14" s="56">
        <v>1495368.0402285806</v>
      </c>
      <c r="W14" s="55">
        <v>1415512.6900221081</v>
      </c>
      <c r="X14" s="57">
        <v>1476005.4180147052</v>
      </c>
      <c r="Y14" s="57">
        <v>1525644.8068183698</v>
      </c>
      <c r="Z14" s="57">
        <v>1651144.7317846613</v>
      </c>
      <c r="AA14" s="56">
        <v>1801134.2371456726</v>
      </c>
    </row>
    <row r="15" spans="1:27" ht="14.25" x14ac:dyDescent="0.45">
      <c r="D15" s="180" t="s">
        <v>131</v>
      </c>
      <c r="E15" s="55">
        <v>-58894596.024244539</v>
      </c>
      <c r="F15" s="56">
        <v>-63247169.340348519</v>
      </c>
      <c r="G15" s="55">
        <v>-68267876.221611008</v>
      </c>
      <c r="H15" s="57">
        <v>-69466320.258374944</v>
      </c>
      <c r="I15" s="57">
        <v>-72162965.094427288</v>
      </c>
      <c r="J15" s="57">
        <v>-77406812.178452313</v>
      </c>
      <c r="K15" s="56">
        <v>-81358119.735231757</v>
      </c>
      <c r="M15" s="55">
        <v>-60416370.199160136</v>
      </c>
      <c r="N15" s="56">
        <v>-64868412.268909223</v>
      </c>
      <c r="O15" s="55">
        <v>-69954760.816415787</v>
      </c>
      <c r="P15" s="57">
        <v>-71208707.414405271</v>
      </c>
      <c r="Q15" s="57">
        <v>-73964738.477443919</v>
      </c>
      <c r="R15" s="57">
        <v>-79268749.907365099</v>
      </c>
      <c r="S15" s="56">
        <v>-83276160.398204222</v>
      </c>
      <c r="U15" s="55">
        <v>-1647426.6875066215</v>
      </c>
      <c r="V15" s="56">
        <v>-2587451.1185804131</v>
      </c>
      <c r="W15" s="55">
        <v>-3718560.792054106</v>
      </c>
      <c r="X15" s="57">
        <v>-4091920.4357357654</v>
      </c>
      <c r="Y15" s="57">
        <v>-4429443.2114442363</v>
      </c>
      <c r="Z15" s="57">
        <v>-5060215.4938745787</v>
      </c>
      <c r="AA15" s="56">
        <v>-5672696.9777404368</v>
      </c>
    </row>
    <row r="16" spans="1:27" ht="14.25" x14ac:dyDescent="0.45">
      <c r="D16" s="180" t="s">
        <v>132</v>
      </c>
      <c r="E16" s="55">
        <v>92319581.88732487</v>
      </c>
      <c r="F16" s="56">
        <v>109227198.99430914</v>
      </c>
      <c r="G16" s="55">
        <v>100740883.81583539</v>
      </c>
      <c r="H16" s="57">
        <v>102353932.22431892</v>
      </c>
      <c r="I16" s="57">
        <v>90687795.378934592</v>
      </c>
      <c r="J16" s="57">
        <v>121070054.49532163</v>
      </c>
      <c r="K16" s="56">
        <v>147097450.90782094</v>
      </c>
      <c r="M16" s="55">
        <v>95674662.705652595</v>
      </c>
      <c r="N16" s="56">
        <v>112050302.49958976</v>
      </c>
      <c r="O16" s="55">
        <v>103702046.25340527</v>
      </c>
      <c r="P16" s="57">
        <v>105525341.20962483</v>
      </c>
      <c r="Q16" s="57">
        <v>93897759.762379572</v>
      </c>
      <c r="R16" s="57">
        <v>124050351.94539675</v>
      </c>
      <c r="S16" s="56">
        <v>150131281.94202423</v>
      </c>
      <c r="U16" s="55">
        <v>12371240.691004405</v>
      </c>
      <c r="V16" s="56">
        <v>19173692.932914227</v>
      </c>
      <c r="W16" s="55">
        <v>5850977.6942382315</v>
      </c>
      <c r="X16" s="57">
        <v>5841748.4764215238</v>
      </c>
      <c r="Y16" s="57">
        <v>8853415.6474981848</v>
      </c>
      <c r="Z16" s="57">
        <v>10347465.168268438</v>
      </c>
      <c r="AA16" s="56">
        <v>11266154.547522161</v>
      </c>
    </row>
    <row r="17" spans="4:27" ht="14.65" thickBot="1" x14ac:dyDescent="0.5">
      <c r="D17" s="180" t="s">
        <v>133</v>
      </c>
      <c r="E17" s="55">
        <v>-163126.53196379211</v>
      </c>
      <c r="F17" s="56">
        <v>-161011.77322957019</v>
      </c>
      <c r="G17" s="55">
        <v>-155752.47895677149</v>
      </c>
      <c r="H17" s="57">
        <v>-151450.35498234408</v>
      </c>
      <c r="I17" s="57">
        <v>-147266.88880805095</v>
      </c>
      <c r="J17" s="57">
        <v>-143198.81302467271</v>
      </c>
      <c r="K17" s="56">
        <v>-139242.95003214196</v>
      </c>
      <c r="M17" s="55">
        <v>-173312.57048500705</v>
      </c>
      <c r="N17" s="56">
        <v>-171065.76079824823</v>
      </c>
      <c r="O17" s="55">
        <v>-165478.06271883255</v>
      </c>
      <c r="P17" s="57">
        <v>-160907.30310310872</v>
      </c>
      <c r="Q17" s="57">
        <v>-156462.61058451369</v>
      </c>
      <c r="R17" s="57">
        <v>-152140.51372842662</v>
      </c>
      <c r="S17" s="56">
        <v>-147937.63651729218</v>
      </c>
      <c r="U17" s="55">
        <v>0</v>
      </c>
      <c r="V17" s="56">
        <v>0</v>
      </c>
      <c r="W17" s="55">
        <v>0</v>
      </c>
      <c r="X17" s="57">
        <v>0</v>
      </c>
      <c r="Y17" s="57">
        <v>0</v>
      </c>
      <c r="Z17" s="57">
        <v>0</v>
      </c>
      <c r="AA17" s="56">
        <v>0</v>
      </c>
    </row>
    <row r="18" spans="4:27" ht="13.5" thickBot="1" x14ac:dyDescent="0.35">
      <c r="D18" s="97" t="s">
        <v>134</v>
      </c>
      <c r="E18" s="59">
        <f>SUM(E13:E17)</f>
        <v>1121209804.8245811</v>
      </c>
      <c r="F18" s="59">
        <f t="shared" ref="F18:K18" si="0">SUM(F13:F17)</f>
        <v>1170010649.081552</v>
      </c>
      <c r="G18" s="59">
        <f t="shared" si="0"/>
        <v>1204127668.1443627</v>
      </c>
      <c r="H18" s="59">
        <f t="shared" si="0"/>
        <v>1238612537.7246389</v>
      </c>
      <c r="I18" s="59">
        <f t="shared" si="0"/>
        <v>1258689201.4752054</v>
      </c>
      <c r="J18" s="59">
        <f t="shared" si="0"/>
        <v>1303860144.9958432</v>
      </c>
      <c r="K18" s="60">
        <f t="shared" si="0"/>
        <v>1371064300.2516634</v>
      </c>
      <c r="M18" s="59">
        <f>SUM(M13:M17)</f>
        <v>1232516182.4902391</v>
      </c>
      <c r="N18" s="59">
        <f t="shared" ref="N18:S18" si="1">SUM(N13:N17)</f>
        <v>1279527006.9601219</v>
      </c>
      <c r="O18" s="59">
        <f t="shared" si="1"/>
        <v>1313108814.3343925</v>
      </c>
      <c r="P18" s="59">
        <f t="shared" si="1"/>
        <v>1347264540.8265085</v>
      </c>
      <c r="Q18" s="59">
        <f t="shared" si="1"/>
        <v>1367041099.50086</v>
      </c>
      <c r="R18" s="59">
        <f t="shared" si="1"/>
        <v>1411670561.0251629</v>
      </c>
      <c r="S18" s="60">
        <f t="shared" si="1"/>
        <v>1478377744.9324656</v>
      </c>
      <c r="U18" s="59">
        <f>SUM(U13:U17)</f>
        <v>33311709.321687736</v>
      </c>
      <c r="V18" s="59">
        <f t="shared" ref="V18:AA18" si="2">SUM(V13:V17)</f>
        <v>49897951.136021554</v>
      </c>
      <c r="W18" s="59">
        <f t="shared" si="2"/>
        <v>52030368.038205668</v>
      </c>
      <c r="X18" s="59">
        <f t="shared" si="2"/>
        <v>53780196.078891441</v>
      </c>
      <c r="Y18" s="59">
        <f t="shared" si="2"/>
        <v>58204168.514945388</v>
      </c>
      <c r="Z18" s="59">
        <f t="shared" si="2"/>
        <v>63491418.18933925</v>
      </c>
      <c r="AA18" s="60">
        <f t="shared" si="2"/>
        <v>69084875.759120971</v>
      </c>
    </row>
    <row r="19" spans="4:27" ht="11.25" customHeight="1" x14ac:dyDescent="0.3"/>
    <row r="20" spans="4:27" ht="18" x14ac:dyDescent="0.5">
      <c r="D20" s="48" t="s">
        <v>135</v>
      </c>
      <c r="E20" s="49"/>
      <c r="F20" s="49"/>
      <c r="G20" s="49"/>
      <c r="H20" s="49"/>
      <c r="I20" s="49"/>
      <c r="J20" s="49"/>
      <c r="K20" s="49"/>
      <c r="M20" s="49"/>
      <c r="N20" s="49"/>
      <c r="O20" s="49"/>
      <c r="P20" s="49"/>
      <c r="Q20" s="49"/>
      <c r="R20" s="49"/>
      <c r="S20" s="49"/>
      <c r="U20" s="49"/>
      <c r="V20" s="49"/>
      <c r="W20" s="49"/>
      <c r="X20" s="49"/>
      <c r="Y20" s="49"/>
      <c r="Z20" s="49"/>
      <c r="AA20" s="49"/>
    </row>
    <row r="21" spans="4:27" ht="14.65" thickBot="1" x14ac:dyDescent="0.5">
      <c r="D21"/>
      <c r="E21" s="619" t="s">
        <v>503</v>
      </c>
      <c r="F21" s="619"/>
      <c r="G21" s="619"/>
      <c r="H21" s="619"/>
      <c r="I21" s="619"/>
      <c r="J21" s="619"/>
      <c r="K21" s="619"/>
      <c r="M21" s="619" t="s">
        <v>454</v>
      </c>
      <c r="N21" s="619"/>
      <c r="O21" s="619"/>
      <c r="P21" s="619"/>
      <c r="Q21" s="619"/>
      <c r="R21" s="619"/>
      <c r="S21" s="619"/>
      <c r="U21" s="619" t="s">
        <v>456</v>
      </c>
      <c r="V21" s="619"/>
      <c r="W21" s="619"/>
      <c r="X21" s="619"/>
      <c r="Y21" s="619"/>
      <c r="Z21" s="619"/>
      <c r="AA21" s="619"/>
    </row>
    <row r="22" spans="4:27" ht="29.1" customHeight="1" thickBot="1" x14ac:dyDescent="0.35">
      <c r="D22"/>
      <c r="E22" s="422" t="str">
        <f>'WkB_1_2.1.1'!$E$9</f>
        <v>Forecast 
($0's. real June 2024)</v>
      </c>
      <c r="F22" s="423"/>
      <c r="G22" s="423"/>
      <c r="H22" s="423"/>
      <c r="I22" s="423"/>
      <c r="J22" s="423"/>
      <c r="K22" s="424"/>
      <c r="M22" s="422" t="str">
        <f>'WkB_1_2.1.1'!$E$9</f>
        <v>Forecast 
($0's. real June 2024)</v>
      </c>
      <c r="N22" s="423"/>
      <c r="O22" s="423"/>
      <c r="P22" s="423"/>
      <c r="Q22" s="423"/>
      <c r="R22" s="423"/>
      <c r="S22" s="424"/>
      <c r="U22" s="422" t="str">
        <f>'WkB_1_2.1.1'!$E$9</f>
        <v>Forecast 
($0's. real June 2024)</v>
      </c>
      <c r="V22" s="423"/>
      <c r="W22" s="423"/>
      <c r="X22" s="423"/>
      <c r="Y22" s="423"/>
      <c r="Z22" s="423"/>
      <c r="AA22" s="424"/>
    </row>
    <row r="23" spans="4:27" ht="13.5" thickBot="1" x14ac:dyDescent="0.35">
      <c r="D23"/>
      <c r="E23" s="417" t="str">
        <f>'WkB_1_2.1.1'!$E$10</f>
        <v>2022-23</v>
      </c>
      <c r="F23" s="418" t="str">
        <f>'WkB_1_2.1.1'!$F$10</f>
        <v>2023-24</v>
      </c>
      <c r="G23" s="419" t="str">
        <f>'WkB_1_2.1.1'!$G$10</f>
        <v>2024-25</v>
      </c>
      <c r="H23" s="420" t="str">
        <f>'WkB_1_2.1.1'!$H$10</f>
        <v>2025-26</v>
      </c>
      <c r="I23" s="420" t="str">
        <f>'WkB_1_2.1.1'!$I$10</f>
        <v>2026-27</v>
      </c>
      <c r="J23" s="420" t="str">
        <f>'WkB_1_2.1.1'!$J$10</f>
        <v>2027-28</v>
      </c>
      <c r="K23" s="421" t="str">
        <f>'WkB_1_2.1.1'!$K$10</f>
        <v>2028-29</v>
      </c>
      <c r="M23" s="417" t="str">
        <f>'WkB_1_2.1.1'!$E$10</f>
        <v>2022-23</v>
      </c>
      <c r="N23" s="418" t="str">
        <f>'WkB_1_2.1.1'!$F$10</f>
        <v>2023-24</v>
      </c>
      <c r="O23" s="419" t="str">
        <f>'WkB_1_2.1.1'!$G$10</f>
        <v>2024-25</v>
      </c>
      <c r="P23" s="420" t="str">
        <f>'WkB_1_2.1.1'!$H$10</f>
        <v>2025-26</v>
      </c>
      <c r="Q23" s="420" t="str">
        <f>'WkB_1_2.1.1'!$I$10</f>
        <v>2026-27</v>
      </c>
      <c r="R23" s="420" t="str">
        <f>'WkB_1_2.1.1'!$J$10</f>
        <v>2027-28</v>
      </c>
      <c r="S23" s="421" t="str">
        <f>'WkB_1_2.1.1'!$K$10</f>
        <v>2028-29</v>
      </c>
      <c r="U23" s="417" t="str">
        <f>'WkB_1_2.1.1'!$E$10</f>
        <v>2022-23</v>
      </c>
      <c r="V23" s="418" t="str">
        <f>'WkB_1_2.1.1'!$F$10</f>
        <v>2023-24</v>
      </c>
      <c r="W23" s="419" t="str">
        <f>'WkB_1_2.1.1'!$G$10</f>
        <v>2024-25</v>
      </c>
      <c r="X23" s="420" t="str">
        <f>'WkB_1_2.1.1'!$H$10</f>
        <v>2025-26</v>
      </c>
      <c r="Y23" s="420" t="str">
        <f>'WkB_1_2.1.1'!$I$10</f>
        <v>2026-27</v>
      </c>
      <c r="Z23" s="420" t="str">
        <f>'WkB_1_2.1.1'!$J$10</f>
        <v>2027-28</v>
      </c>
      <c r="AA23" s="421" t="str">
        <f>'WkB_1_2.1.1'!$K$10</f>
        <v>2028-29</v>
      </c>
    </row>
    <row r="24" spans="4:27" ht="14.65" thickBot="1" x14ac:dyDescent="0.35">
      <c r="D24" s="177" t="s">
        <v>514</v>
      </c>
      <c r="E24" s="178"/>
      <c r="F24" s="178"/>
      <c r="G24" s="178"/>
      <c r="H24" s="178"/>
      <c r="I24" s="178"/>
      <c r="J24" s="178"/>
      <c r="K24" s="179"/>
      <c r="M24" s="178"/>
      <c r="N24" s="178"/>
      <c r="O24" s="178"/>
      <c r="P24" s="178"/>
      <c r="Q24" s="178"/>
      <c r="R24" s="178"/>
      <c r="S24" s="179"/>
      <c r="U24" s="178"/>
      <c r="V24" s="178"/>
      <c r="W24" s="178"/>
      <c r="X24" s="178"/>
      <c r="Y24" s="178"/>
      <c r="Z24" s="178"/>
      <c r="AA24" s="179"/>
    </row>
    <row r="25" spans="4:27" ht="14.25" x14ac:dyDescent="0.45">
      <c r="D25" s="95" t="str">
        <f>$D$13</f>
        <v>Opening value</v>
      </c>
      <c r="E25" s="55">
        <v>73401717.641139552</v>
      </c>
      <c r="F25" s="56">
        <v>82465397.781562224</v>
      </c>
      <c r="G25" s="55">
        <v>88685270.176260993</v>
      </c>
      <c r="H25" s="57">
        <v>92446898.573287234</v>
      </c>
      <c r="I25" s="57">
        <v>96666762.256823465</v>
      </c>
      <c r="J25" s="57">
        <v>100781659.22078863</v>
      </c>
      <c r="K25" s="56">
        <v>103911770.89948921</v>
      </c>
      <c r="M25" s="55">
        <v>95582959.012167186</v>
      </c>
      <c r="N25" s="56">
        <v>104837908.56243229</v>
      </c>
      <c r="O25" s="55">
        <v>111245187.26564154</v>
      </c>
      <c r="P25" s="57">
        <v>114969750.69776298</v>
      </c>
      <c r="Q25" s="57">
        <v>119207861.00536314</v>
      </c>
      <c r="R25" s="57">
        <v>123341902.96114604</v>
      </c>
      <c r="S25" s="56">
        <v>126407244.48451048</v>
      </c>
      <c r="U25" s="55" t="s">
        <v>18</v>
      </c>
      <c r="V25" s="56" t="s">
        <v>18</v>
      </c>
      <c r="W25" s="55" t="s">
        <v>18</v>
      </c>
      <c r="X25" s="57" t="s">
        <v>18</v>
      </c>
      <c r="Y25" s="57" t="s">
        <v>18</v>
      </c>
      <c r="Z25" s="57" t="s">
        <v>18</v>
      </c>
      <c r="AA25" s="56" t="s">
        <v>18</v>
      </c>
    </row>
    <row r="26" spans="4:27" ht="14.25" x14ac:dyDescent="0.45">
      <c r="D26" s="180" t="str">
        <f>$D$14</f>
        <v>Inflation addition</v>
      </c>
      <c r="E26" s="55">
        <v>6976572.8746273825</v>
      </c>
      <c r="F26" s="56">
        <v>4495602.2866694601</v>
      </c>
      <c r="G26" s="55">
        <v>2963345.0325815803</v>
      </c>
      <c r="H26" s="57">
        <v>3062559.8104645694</v>
      </c>
      <c r="I26" s="57">
        <v>3175454.4303241256</v>
      </c>
      <c r="J26" s="57">
        <v>3285576.8814185713</v>
      </c>
      <c r="K26" s="56">
        <v>3367231.3313745712</v>
      </c>
      <c r="M26" s="55">
        <v>7646636.7209733753</v>
      </c>
      <c r="N26" s="56">
        <v>4927381.7024343181</v>
      </c>
      <c r="O26" s="55">
        <v>3247959.0409585736</v>
      </c>
      <c r="P26" s="57">
        <v>3356702.8866055384</v>
      </c>
      <c r="Q26" s="57">
        <v>3480440.4525038255</v>
      </c>
      <c r="R26" s="57">
        <v>3601139.5971232187</v>
      </c>
      <c r="S26" s="56">
        <v>3690636.5359046087</v>
      </c>
      <c r="U26" s="55" t="s">
        <v>18</v>
      </c>
      <c r="V26" s="56" t="s">
        <v>18</v>
      </c>
      <c r="W26" s="55" t="s">
        <v>18</v>
      </c>
      <c r="X26" s="57" t="s">
        <v>18</v>
      </c>
      <c r="Y26" s="57" t="s">
        <v>18</v>
      </c>
      <c r="Z26" s="57" t="s">
        <v>18</v>
      </c>
      <c r="AA26" s="56" t="s">
        <v>18</v>
      </c>
    </row>
    <row r="27" spans="4:27" ht="14.25" x14ac:dyDescent="0.45">
      <c r="D27" s="180" t="str">
        <f>$D$15</f>
        <v>Straight line depreciation</v>
      </c>
      <c r="E27" s="55">
        <v>-3111326.5314520057</v>
      </c>
      <c r="F27" s="56">
        <v>-3304199.5270363949</v>
      </c>
      <c r="G27" s="55">
        <v>-3506740.893862152</v>
      </c>
      <c r="H27" s="57">
        <v>-3632904.8125448213</v>
      </c>
      <c r="I27" s="57">
        <v>-3770036.2198990425</v>
      </c>
      <c r="J27" s="57">
        <v>-3907876.271138737</v>
      </c>
      <c r="K27" s="56">
        <v>-4030105.0830170806</v>
      </c>
      <c r="M27" s="55">
        <v>-3410153.3996533086</v>
      </c>
      <c r="N27" s="56">
        <v>-3621550.8518154491</v>
      </c>
      <c r="O27" s="55">
        <v>-3843545.2724167947</v>
      </c>
      <c r="P27" s="57">
        <v>-3981826.5848602368</v>
      </c>
      <c r="Q27" s="57">
        <v>-4132128.7567026778</v>
      </c>
      <c r="R27" s="57">
        <v>-4283207.6340213045</v>
      </c>
      <c r="S27" s="56">
        <v>-4417175.8929452561</v>
      </c>
      <c r="U27" s="55" t="s">
        <v>18</v>
      </c>
      <c r="V27" s="56" t="s">
        <v>18</v>
      </c>
      <c r="W27" s="55" t="s">
        <v>18</v>
      </c>
      <c r="X27" s="57" t="s">
        <v>18</v>
      </c>
      <c r="Y27" s="57" t="s">
        <v>18</v>
      </c>
      <c r="Z27" s="57" t="s">
        <v>18</v>
      </c>
      <c r="AA27" s="56" t="s">
        <v>18</v>
      </c>
    </row>
    <row r="28" spans="4:27" ht="14.25" x14ac:dyDescent="0.45">
      <c r="D28" s="180" t="str">
        <f>$D$16</f>
        <v>Actual additions (recognised in RAB)</v>
      </c>
      <c r="E28" s="55">
        <v>9103439.396515144</v>
      </c>
      <c r="F28" s="56">
        <v>7646514.5414360771</v>
      </c>
      <c r="G28" s="55">
        <v>7031955.9443695303</v>
      </c>
      <c r="H28" s="57">
        <v>7639576.9082941292</v>
      </c>
      <c r="I28" s="57">
        <v>7678240.0529172458</v>
      </c>
      <c r="J28" s="57">
        <v>6811833.8658625158</v>
      </c>
      <c r="K28" s="56">
        <v>6896551.0392307946</v>
      </c>
      <c r="M28" s="55">
        <v>9977777.8040147405</v>
      </c>
      <c r="N28" s="56">
        <v>8380922.8299826039</v>
      </c>
      <c r="O28" s="55">
        <v>7707339.0489531634</v>
      </c>
      <c r="P28" s="57">
        <v>8373318.8729548203</v>
      </c>
      <c r="Q28" s="57">
        <v>8415695.4132327307</v>
      </c>
      <c r="R28" s="57">
        <v>7466075.3799774963</v>
      </c>
      <c r="S28" s="56">
        <v>7558929.2009604173</v>
      </c>
      <c r="U28" s="55" t="s">
        <v>18</v>
      </c>
      <c r="V28" s="56" t="s">
        <v>18</v>
      </c>
      <c r="W28" s="55" t="s">
        <v>18</v>
      </c>
      <c r="X28" s="57" t="s">
        <v>18</v>
      </c>
      <c r="Y28" s="57" t="s">
        <v>18</v>
      </c>
      <c r="Z28" s="57" t="s">
        <v>18</v>
      </c>
      <c r="AA28" s="56" t="s">
        <v>18</v>
      </c>
    </row>
    <row r="29" spans="4:27" ht="14.65" thickBot="1" x14ac:dyDescent="0.5">
      <c r="D29" s="180" t="str">
        <f>$D$17</f>
        <v xml:space="preserve">Disposals </v>
      </c>
      <c r="E29" s="55">
        <v>-29131.903534426383</v>
      </c>
      <c r="F29" s="56">
        <v>-28754.239970429244</v>
      </c>
      <c r="G29" s="55">
        <v>-27815.010455954303</v>
      </c>
      <c r="H29" s="57">
        <v>-27046.71691653191</v>
      </c>
      <c r="I29" s="57">
        <v>-26299.613845303171</v>
      </c>
      <c r="J29" s="57">
        <v>-25573.117732957598</v>
      </c>
      <c r="K29" s="56">
        <v>-24866.661108725595</v>
      </c>
      <c r="M29" s="55">
        <v>-31929.872635365602</v>
      </c>
      <c r="N29" s="56">
        <v>-31515.936433661635</v>
      </c>
      <c r="O29" s="55">
        <v>-30486.49876793817</v>
      </c>
      <c r="P29" s="57">
        <v>-29644.414596152372</v>
      </c>
      <c r="Q29" s="57">
        <v>-28825.556127750744</v>
      </c>
      <c r="R29" s="57">
        <v>-28029.283810362707</v>
      </c>
      <c r="S29" s="56">
        <v>-27254.975670577704</v>
      </c>
      <c r="U29" s="55" t="s">
        <v>18</v>
      </c>
      <c r="V29" s="56" t="s">
        <v>18</v>
      </c>
      <c r="W29" s="55" t="s">
        <v>18</v>
      </c>
      <c r="X29" s="57" t="s">
        <v>18</v>
      </c>
      <c r="Y29" s="57" t="s">
        <v>18</v>
      </c>
      <c r="Z29" s="57" t="s">
        <v>18</v>
      </c>
      <c r="AA29" s="56" t="s">
        <v>18</v>
      </c>
    </row>
    <row r="30" spans="4:27" ht="13.5" thickBot="1" x14ac:dyDescent="0.35">
      <c r="D30" s="97" t="str">
        <f>$D$18</f>
        <v xml:space="preserve">Closing value </v>
      </c>
      <c r="E30" s="59">
        <f>SUM(E25:E29)</f>
        <v>86341271.477295652</v>
      </c>
      <c r="F30" s="59">
        <f t="shared" ref="F30" si="3">SUM(F25:F29)</f>
        <v>91274560.842660934</v>
      </c>
      <c r="G30" s="59">
        <f t="shared" ref="G30" si="4">SUM(G25:G29)</f>
        <v>95146015.248893991</v>
      </c>
      <c r="H30" s="59">
        <f t="shared" ref="H30" si="5">SUM(H25:H29)</f>
        <v>99489083.762584582</v>
      </c>
      <c r="I30" s="59">
        <f t="shared" ref="I30" si="6">SUM(I25:I29)</f>
        <v>103724120.90632048</v>
      </c>
      <c r="J30" s="59">
        <f t="shared" ref="J30" si="7">SUM(J25:J29)</f>
        <v>106945620.57919802</v>
      </c>
      <c r="K30" s="60">
        <f t="shared" ref="K30" si="8">SUM(K25:K29)</f>
        <v>110120581.52596876</v>
      </c>
      <c r="M30" s="59">
        <f>SUM(M25:M29)</f>
        <v>109765290.26486662</v>
      </c>
      <c r="N30" s="59">
        <f t="shared" ref="N30:S30" si="9">SUM(N25:N29)</f>
        <v>114493146.30660011</v>
      </c>
      <c r="O30" s="59">
        <f t="shared" si="9"/>
        <v>118326453.58436853</v>
      </c>
      <c r="P30" s="59">
        <f t="shared" si="9"/>
        <v>122688301.45786695</v>
      </c>
      <c r="Q30" s="59">
        <f t="shared" si="9"/>
        <v>126943042.55826926</v>
      </c>
      <c r="R30" s="59">
        <f t="shared" si="9"/>
        <v>130097881.02041508</v>
      </c>
      <c r="S30" s="60">
        <f t="shared" si="9"/>
        <v>133212379.35275967</v>
      </c>
      <c r="U30" s="59">
        <f>SUM(U25:U29)</f>
        <v>0</v>
      </c>
      <c r="V30" s="59">
        <f t="shared" ref="V30:AA30" si="10">SUM(V25:V29)</f>
        <v>0</v>
      </c>
      <c r="W30" s="59">
        <f t="shared" si="10"/>
        <v>0</v>
      </c>
      <c r="X30" s="59">
        <f t="shared" si="10"/>
        <v>0</v>
      </c>
      <c r="Y30" s="59">
        <f t="shared" si="10"/>
        <v>0</v>
      </c>
      <c r="Z30" s="59">
        <f t="shared" si="10"/>
        <v>0</v>
      </c>
      <c r="AA30" s="60">
        <f t="shared" si="10"/>
        <v>0</v>
      </c>
    </row>
    <row r="31" spans="4:27" ht="14.65" thickBot="1" x14ac:dyDescent="0.35">
      <c r="D31" s="177" t="s">
        <v>515</v>
      </c>
      <c r="E31" s="178"/>
      <c r="F31" s="178"/>
      <c r="G31" s="178"/>
      <c r="H31" s="178"/>
      <c r="I31" s="178"/>
      <c r="J31" s="178"/>
      <c r="K31" s="179"/>
      <c r="M31" s="178"/>
      <c r="N31" s="178"/>
      <c r="O31" s="178"/>
      <c r="P31" s="178"/>
      <c r="Q31" s="178"/>
      <c r="R31" s="178"/>
      <c r="S31" s="179"/>
      <c r="U31" s="178"/>
      <c r="V31" s="178"/>
      <c r="W31" s="178"/>
      <c r="X31" s="178"/>
      <c r="Y31" s="178"/>
      <c r="Z31" s="178"/>
      <c r="AA31" s="179"/>
    </row>
    <row r="32" spans="4:27" ht="14.25" x14ac:dyDescent="0.45">
      <c r="D32" s="95" t="str">
        <f>$D$13</f>
        <v>Opening value</v>
      </c>
      <c r="E32" s="55">
        <v>152048985.47158194</v>
      </c>
      <c r="F32" s="56">
        <v>170824068.86578572</v>
      </c>
      <c r="G32" s="55">
        <v>183708308.06030002</v>
      </c>
      <c r="H32" s="57">
        <v>191500384.32049334</v>
      </c>
      <c r="I32" s="57">
        <v>200241678.29193634</v>
      </c>
      <c r="J32" s="57">
        <v>208765537.52571982</v>
      </c>
      <c r="K32" s="56">
        <v>215249449.89798874</v>
      </c>
      <c r="M32" s="55">
        <v>197996619.33287409</v>
      </c>
      <c r="N32" s="56">
        <v>217167910.34527659</v>
      </c>
      <c r="O32" s="55">
        <v>230440354.88423952</v>
      </c>
      <c r="P32" s="57">
        <v>238155652.41920093</v>
      </c>
      <c r="Q32" s="57">
        <v>246934743.60801652</v>
      </c>
      <c r="R32" s="57">
        <v>255498260.99526423</v>
      </c>
      <c r="S32" s="56">
        <v>261848004.34909347</v>
      </c>
      <c r="U32" s="55" t="s">
        <v>18</v>
      </c>
      <c r="V32" s="56" t="s">
        <v>18</v>
      </c>
      <c r="W32" s="55" t="s">
        <v>18</v>
      </c>
      <c r="X32" s="57" t="s">
        <v>18</v>
      </c>
      <c r="Y32" s="57" t="s">
        <v>18</v>
      </c>
      <c r="Z32" s="57" t="s">
        <v>18</v>
      </c>
      <c r="AA32" s="56" t="s">
        <v>18</v>
      </c>
    </row>
    <row r="33" spans="4:27" ht="14.25" x14ac:dyDescent="0.45">
      <c r="D33" s="180" t="str">
        <f>$D$14</f>
        <v>Inflation addition</v>
      </c>
      <c r="E33" s="55">
        <v>14451716.686546776</v>
      </c>
      <c r="F33" s="56">
        <v>9312476.4479449168</v>
      </c>
      <c r="G33" s="55">
        <v>6138461.3369557932</v>
      </c>
      <c r="H33" s="57">
        <v>6343981.1368418075</v>
      </c>
      <c r="I33" s="57">
        <v>6577838.2312870296</v>
      </c>
      <c r="J33" s="57">
        <v>6805952.8790724631</v>
      </c>
      <c r="K33" s="56">
        <v>6975097.0990449302</v>
      </c>
      <c r="M33" s="55">
        <v>15839729.546629928</v>
      </c>
      <c r="N33" s="56">
        <v>10206891.786228001</v>
      </c>
      <c r="O33" s="55">
        <v>6728028.8922587167</v>
      </c>
      <c r="P33" s="57">
        <v>6953287.8090559468</v>
      </c>
      <c r="Q33" s="57">
        <v>7209605.6714190599</v>
      </c>
      <c r="R33" s="57">
        <v>7459629.5547345709</v>
      </c>
      <c r="S33" s="56">
        <v>7645019.2047568187</v>
      </c>
      <c r="U33" s="55" t="s">
        <v>18</v>
      </c>
      <c r="V33" s="56" t="s">
        <v>18</v>
      </c>
      <c r="W33" s="55" t="s">
        <v>18</v>
      </c>
      <c r="X33" s="57" t="s">
        <v>18</v>
      </c>
      <c r="Y33" s="57" t="s">
        <v>18</v>
      </c>
      <c r="Z33" s="57" t="s">
        <v>18</v>
      </c>
      <c r="AA33" s="56" t="s">
        <v>18</v>
      </c>
    </row>
    <row r="34" spans="4:27" ht="14.25" x14ac:dyDescent="0.45">
      <c r="D34" s="180" t="str">
        <f>$D$15</f>
        <v>Straight line depreciation</v>
      </c>
      <c r="E34" s="55">
        <v>-6444999.6237274548</v>
      </c>
      <c r="F34" s="56">
        <v>-6844529.0114026396</v>
      </c>
      <c r="G34" s="55">
        <v>-7264086.0780702932</v>
      </c>
      <c r="H34" s="57">
        <v>-7525430.0418805825</v>
      </c>
      <c r="I34" s="57">
        <v>-7809492.7591379415</v>
      </c>
      <c r="J34" s="57">
        <v>-8095023.4064017022</v>
      </c>
      <c r="K34" s="56">
        <v>-8348215.9397475822</v>
      </c>
      <c r="M34" s="55">
        <v>-7064008.6006535273</v>
      </c>
      <c r="N34" s="56">
        <v>-7501910.7256375281</v>
      </c>
      <c r="O34" s="55">
        <v>-7961764.0848982688</v>
      </c>
      <c r="P34" s="57">
        <v>-8248208.7886788798</v>
      </c>
      <c r="Q34" s="57">
        <v>-8559554.2650142964</v>
      </c>
      <c r="R34" s="57">
        <v>-8872508.6584630962</v>
      </c>
      <c r="S34" s="56">
        <v>-9150019.0289202072</v>
      </c>
      <c r="U34" s="55" t="s">
        <v>18</v>
      </c>
      <c r="V34" s="56" t="s">
        <v>18</v>
      </c>
      <c r="W34" s="55" t="s">
        <v>18</v>
      </c>
      <c r="X34" s="57" t="s">
        <v>18</v>
      </c>
      <c r="Y34" s="57" t="s">
        <v>18</v>
      </c>
      <c r="Z34" s="57" t="s">
        <v>18</v>
      </c>
      <c r="AA34" s="56" t="s">
        <v>18</v>
      </c>
    </row>
    <row r="35" spans="4:27" ht="14.25" x14ac:dyDescent="0.45">
      <c r="D35" s="180" t="str">
        <f>$D$16</f>
        <v>Actual additions (recognised in RAB)</v>
      </c>
      <c r="E35" s="55">
        <v>18857443.245529324</v>
      </c>
      <c r="F35" s="56">
        <v>15839476.45616708</v>
      </c>
      <c r="G35" s="55">
        <v>14566440.698970644</v>
      </c>
      <c r="H35" s="57">
        <v>15825105.401718948</v>
      </c>
      <c r="I35" s="57">
        <v>15905194.698046139</v>
      </c>
      <c r="J35" s="57">
        <v>14110465.828184666</v>
      </c>
      <c r="K35" s="56">
        <v>14285954.368189177</v>
      </c>
      <c r="M35" s="55">
        <v>20668603.421223108</v>
      </c>
      <c r="N35" s="56">
        <v>17360776.48543008</v>
      </c>
      <c r="O35" s="55">
        <v>15965472.208814131</v>
      </c>
      <c r="P35" s="57">
        <v>17345025.165313888</v>
      </c>
      <c r="Q35" s="57">
        <v>17432806.625531934</v>
      </c>
      <c r="R35" s="57">
        <v>15465703.303156512</v>
      </c>
      <c r="S35" s="56">
        <v>15658046.612432154</v>
      </c>
      <c r="U35" s="55" t="s">
        <v>18</v>
      </c>
      <c r="V35" s="56" t="s">
        <v>18</v>
      </c>
      <c r="W35" s="55" t="s">
        <v>18</v>
      </c>
      <c r="X35" s="57" t="s">
        <v>18</v>
      </c>
      <c r="Y35" s="57" t="s">
        <v>18</v>
      </c>
      <c r="Z35" s="57" t="s">
        <v>18</v>
      </c>
      <c r="AA35" s="56" t="s">
        <v>18</v>
      </c>
    </row>
    <row r="36" spans="4:27" ht="14.65" thickBot="1" x14ac:dyDescent="0.5">
      <c r="D36" s="180" t="str">
        <f>$D$17</f>
        <v xml:space="preserve">Disposals </v>
      </c>
      <c r="E36" s="55">
        <v>-60345.677452960961</v>
      </c>
      <c r="F36" s="56">
        <v>-59563.361131208265</v>
      </c>
      <c r="G36" s="55">
        <v>-57617.781390158161</v>
      </c>
      <c r="H36" s="57">
        <v>-56026.28929749802</v>
      </c>
      <c r="I36" s="57">
        <v>-54478.692488137174</v>
      </c>
      <c r="J36" s="57">
        <v>-52973.782243785055</v>
      </c>
      <c r="K36" s="56">
        <v>-51510.383069404561</v>
      </c>
      <c r="M36" s="55">
        <v>-66141.568569004856</v>
      </c>
      <c r="N36" s="56">
        <v>-65284.114798961557</v>
      </c>
      <c r="O36" s="55">
        <v>-63151.672157159424</v>
      </c>
      <c r="P36" s="57">
        <v>-61407.325456341248</v>
      </c>
      <c r="Q36" s="57">
        <v>-59711.08995441482</v>
      </c>
      <c r="R36" s="57">
        <v>-58061.640841931134</v>
      </c>
      <c r="S36" s="56">
        <v>-56457.689723616808</v>
      </c>
      <c r="U36" s="55" t="s">
        <v>18</v>
      </c>
      <c r="V36" s="56" t="s">
        <v>18</v>
      </c>
      <c r="W36" s="55" t="s">
        <v>18</v>
      </c>
      <c r="X36" s="57" t="s">
        <v>18</v>
      </c>
      <c r="Y36" s="57" t="s">
        <v>18</v>
      </c>
      <c r="Z36" s="57" t="s">
        <v>18</v>
      </c>
      <c r="AA36" s="56" t="s">
        <v>18</v>
      </c>
    </row>
    <row r="37" spans="4:27" ht="13.5" thickBot="1" x14ac:dyDescent="0.35">
      <c r="D37" s="97" t="str">
        <f>$D$18</f>
        <v xml:space="preserve">Closing value </v>
      </c>
      <c r="E37" s="59">
        <f>SUM(E32:E36)</f>
        <v>178852800.10247764</v>
      </c>
      <c r="F37" s="59">
        <f t="shared" ref="F37" si="11">SUM(F32:F36)</f>
        <v>189071929.39736384</v>
      </c>
      <c r="G37" s="59">
        <f t="shared" ref="G37" si="12">SUM(G32:G36)</f>
        <v>197091506.23676601</v>
      </c>
      <c r="H37" s="59">
        <f t="shared" ref="H37" si="13">SUM(H32:H36)</f>
        <v>206088014.52787602</v>
      </c>
      <c r="I37" s="59">
        <f t="shared" ref="I37" si="14">SUM(I32:I36)</f>
        <v>214860739.76964346</v>
      </c>
      <c r="J37" s="59">
        <f t="shared" ref="J37" si="15">SUM(J32:J36)</f>
        <v>221533959.04433146</v>
      </c>
      <c r="K37" s="60">
        <f t="shared" ref="K37" si="16">SUM(K32:K36)</f>
        <v>228110775.04240587</v>
      </c>
      <c r="M37" s="59">
        <f>SUM(M32:M36)</f>
        <v>227374802.1315046</v>
      </c>
      <c r="N37" s="59">
        <f t="shared" ref="N37:S37" si="17">SUM(N32:N36)</f>
        <v>237168383.7764982</v>
      </c>
      <c r="O37" s="59">
        <f t="shared" si="17"/>
        <v>245108940.22825694</v>
      </c>
      <c r="P37" s="59">
        <f t="shared" si="17"/>
        <v>254144349.27943555</v>
      </c>
      <c r="Q37" s="59">
        <f t="shared" si="17"/>
        <v>262957890.54999882</v>
      </c>
      <c r="R37" s="59">
        <f t="shared" si="17"/>
        <v>269493023.55385023</v>
      </c>
      <c r="S37" s="60">
        <f t="shared" si="17"/>
        <v>275944593.44763863</v>
      </c>
      <c r="U37" s="59">
        <f>SUM(U32:U36)</f>
        <v>0</v>
      </c>
      <c r="V37" s="59">
        <f t="shared" ref="V37:AA37" si="18">SUM(V32:V36)</f>
        <v>0</v>
      </c>
      <c r="W37" s="59">
        <f t="shared" si="18"/>
        <v>0</v>
      </c>
      <c r="X37" s="59">
        <f t="shared" si="18"/>
        <v>0</v>
      </c>
      <c r="Y37" s="59">
        <f t="shared" si="18"/>
        <v>0</v>
      </c>
      <c r="Z37" s="59">
        <f t="shared" si="18"/>
        <v>0</v>
      </c>
      <c r="AA37" s="60">
        <f t="shared" si="18"/>
        <v>0</v>
      </c>
    </row>
    <row r="38" spans="4:27" ht="14.65" thickBot="1" x14ac:dyDescent="0.35">
      <c r="D38" s="177" t="s">
        <v>516</v>
      </c>
      <c r="E38" s="178"/>
      <c r="F38" s="178"/>
      <c r="G38" s="178"/>
      <c r="H38" s="178"/>
      <c r="I38" s="178"/>
      <c r="J38" s="178"/>
      <c r="K38" s="179"/>
      <c r="M38" s="178"/>
      <c r="N38" s="178"/>
      <c r="O38" s="178"/>
      <c r="P38" s="178"/>
      <c r="Q38" s="178"/>
      <c r="R38" s="178"/>
      <c r="S38" s="179"/>
      <c r="U38" s="178"/>
      <c r="V38" s="178"/>
      <c r="W38" s="178"/>
      <c r="X38" s="178"/>
      <c r="Y38" s="178"/>
      <c r="Z38" s="178"/>
      <c r="AA38" s="179"/>
    </row>
    <row r="39" spans="4:27" ht="14.25" x14ac:dyDescent="0.45">
      <c r="D39" s="95" t="str">
        <f>$D$13</f>
        <v>Opening value</v>
      </c>
      <c r="E39" s="55">
        <v>123230572.60250303</v>
      </c>
      <c r="F39" s="56">
        <v>129587081.50323471</v>
      </c>
      <c r="G39" s="55">
        <v>132060253.6098319</v>
      </c>
      <c r="H39" s="57">
        <v>135048023.39814806</v>
      </c>
      <c r="I39" s="57">
        <v>138146908.39454034</v>
      </c>
      <c r="J39" s="57">
        <v>141311903.36996031</v>
      </c>
      <c r="K39" s="56">
        <v>144525306.68330657</v>
      </c>
      <c r="M39" s="55">
        <v>161395449.52010235</v>
      </c>
      <c r="N39" s="56">
        <v>167180545.54245165</v>
      </c>
      <c r="O39" s="55">
        <v>169177870.82748464</v>
      </c>
      <c r="P39" s="57">
        <v>171759455.58422774</v>
      </c>
      <c r="Q39" s="57">
        <v>174482490.83236068</v>
      </c>
      <c r="R39" s="57">
        <v>177297091.01286829</v>
      </c>
      <c r="S39" s="56">
        <v>180183312.34753343</v>
      </c>
      <c r="U39" s="55" t="s">
        <v>18</v>
      </c>
      <c r="V39" s="56" t="s">
        <v>18</v>
      </c>
      <c r="W39" s="55" t="s">
        <v>18</v>
      </c>
      <c r="X39" s="57" t="s">
        <v>18</v>
      </c>
      <c r="Y39" s="57" t="s">
        <v>18</v>
      </c>
      <c r="Z39" s="57" t="s">
        <v>18</v>
      </c>
      <c r="AA39" s="56" t="s">
        <v>18</v>
      </c>
    </row>
    <row r="40" spans="4:27" ht="14.25" x14ac:dyDescent="0.45">
      <c r="D40" s="180" t="str">
        <f>$D$14</f>
        <v>Inflation addition</v>
      </c>
      <c r="E40" s="55">
        <v>11780207.757189307</v>
      </c>
      <c r="F40" s="56">
        <v>7168945.404702724</v>
      </c>
      <c r="G40" s="55">
        <v>4506553.635819112</v>
      </c>
      <c r="H40" s="57">
        <v>4575321.7915759571</v>
      </c>
      <c r="I40" s="57">
        <v>4647857.9000983937</v>
      </c>
      <c r="J40" s="57">
        <v>4722833.1117782826</v>
      </c>
      <c r="K40" s="56">
        <v>4799716.1650162423</v>
      </c>
      <c r="M40" s="55">
        <v>12911635.96160819</v>
      </c>
      <c r="N40" s="56">
        <v>7857485.6404952276</v>
      </c>
      <c r="O40" s="55">
        <v>4939384.8721935684</v>
      </c>
      <c r="P40" s="57">
        <v>5014757.8546727328</v>
      </c>
      <c r="Q40" s="57">
        <v>5094260.6823492525</v>
      </c>
      <c r="R40" s="57">
        <v>5176436.8764630156</v>
      </c>
      <c r="S40" s="56">
        <v>5260704.1504777409</v>
      </c>
      <c r="U40" s="55" t="s">
        <v>18</v>
      </c>
      <c r="V40" s="56" t="s">
        <v>18</v>
      </c>
      <c r="W40" s="55" t="s">
        <v>18</v>
      </c>
      <c r="X40" s="57" t="s">
        <v>18</v>
      </c>
      <c r="Y40" s="57" t="s">
        <v>18</v>
      </c>
      <c r="Z40" s="57" t="s">
        <v>18</v>
      </c>
      <c r="AA40" s="56" t="s">
        <v>18</v>
      </c>
    </row>
    <row r="41" spans="4:27" ht="14.25" x14ac:dyDescent="0.45">
      <c r="D41" s="180" t="str">
        <f>$D$15</f>
        <v>Straight line depreciation</v>
      </c>
      <c r="E41" s="55">
        <v>-6288087.0121928249</v>
      </c>
      <c r="F41" s="56">
        <v>-6731333.7127300203</v>
      </c>
      <c r="G41" s="55">
        <v>-6792683.3874445995</v>
      </c>
      <c r="H41" s="57">
        <v>-6983057.2474601883</v>
      </c>
      <c r="I41" s="57">
        <v>-7180180.828808452</v>
      </c>
      <c r="J41" s="57">
        <v>-7383229.4571909299</v>
      </c>
      <c r="K41" s="56">
        <v>-7591940.8182485588</v>
      </c>
      <c r="M41" s="55">
        <v>-6892025.3419810357</v>
      </c>
      <c r="N41" s="56">
        <v>-7377843.6022767872</v>
      </c>
      <c r="O41" s="55">
        <v>-7445085.5968667632</v>
      </c>
      <c r="P41" s="57">
        <v>-7653743.8843767885</v>
      </c>
      <c r="Q41" s="57">
        <v>-7869800.1691451082</v>
      </c>
      <c r="R41" s="57">
        <v>-8092350.5711597456</v>
      </c>
      <c r="S41" s="56">
        <v>-8321107.5821202043</v>
      </c>
      <c r="U41" s="55" t="s">
        <v>18</v>
      </c>
      <c r="V41" s="56" t="s">
        <v>18</v>
      </c>
      <c r="W41" s="55" t="s">
        <v>18</v>
      </c>
      <c r="X41" s="57" t="s">
        <v>18</v>
      </c>
      <c r="Y41" s="57" t="s">
        <v>18</v>
      </c>
      <c r="Z41" s="57" t="s">
        <v>18</v>
      </c>
      <c r="AA41" s="56" t="s">
        <v>18</v>
      </c>
    </row>
    <row r="42" spans="4:27" ht="14.25" x14ac:dyDescent="0.45">
      <c r="D42" s="180" t="str">
        <f>$D$16</f>
        <v>Actual additions (recognised in RAB)</v>
      </c>
      <c r="E42" s="55">
        <v>6971558.4334908938</v>
      </c>
      <c r="F42" s="56">
        <v>5907607.0074388282</v>
      </c>
      <c r="G42" s="55">
        <v>9232643.7895566076</v>
      </c>
      <c r="H42" s="57">
        <v>9555403.7935579792</v>
      </c>
      <c r="I42" s="57">
        <v>9838082.5688930023</v>
      </c>
      <c r="J42" s="57">
        <v>10107970.722570501</v>
      </c>
      <c r="K42" s="56">
        <v>10405146.149736755</v>
      </c>
      <c r="M42" s="55">
        <v>7641140.6686252514</v>
      </c>
      <c r="N42" s="56">
        <v>6475002.1949099274</v>
      </c>
      <c r="O42" s="55">
        <v>10119391.612699376</v>
      </c>
      <c r="P42" s="57">
        <v>10473151.050608242</v>
      </c>
      <c r="Q42" s="57">
        <v>10782979.664536685</v>
      </c>
      <c r="R42" s="57">
        <v>11078789.183558771</v>
      </c>
      <c r="S42" s="56">
        <v>11404506.77796744</v>
      </c>
      <c r="U42" s="55" t="s">
        <v>18</v>
      </c>
      <c r="V42" s="56" t="s">
        <v>18</v>
      </c>
      <c r="W42" s="55" t="s">
        <v>18</v>
      </c>
      <c r="X42" s="57" t="s">
        <v>18</v>
      </c>
      <c r="Y42" s="57" t="s">
        <v>18</v>
      </c>
      <c r="Z42" s="57" t="s">
        <v>18</v>
      </c>
      <c r="AA42" s="56" t="s">
        <v>18</v>
      </c>
    </row>
    <row r="43" spans="4:27" ht="14.65" thickBot="1" x14ac:dyDescent="0.5">
      <c r="D43" s="180" t="str">
        <f>$D$17</f>
        <v xml:space="preserve">Disposals </v>
      </c>
      <c r="E43" s="55">
        <v>-16577.447103657512</v>
      </c>
      <c r="F43" s="56">
        <v>-16362.538464139916</v>
      </c>
      <c r="G43" s="55">
        <v>-15828.071927272444</v>
      </c>
      <c r="H43" s="57">
        <v>-15390.876139678079</v>
      </c>
      <c r="I43" s="57">
        <v>-14965.738742472349</v>
      </c>
      <c r="J43" s="57">
        <v>-14552.327690936039</v>
      </c>
      <c r="K43" s="56">
        <v>-14150.320067047171</v>
      </c>
      <c r="M43" s="55">
        <v>-18169.625407889336</v>
      </c>
      <c r="N43" s="56">
        <v>-17934.075901832261</v>
      </c>
      <c r="O43" s="55">
        <v>-17348.276610348392</v>
      </c>
      <c r="P43" s="57">
        <v>-16869.09042197901</v>
      </c>
      <c r="Q43" s="57">
        <v>-16403.120770209833</v>
      </c>
      <c r="R43" s="57">
        <v>-15950.003719138736</v>
      </c>
      <c r="S43" s="56">
        <v>-15509.38533613302</v>
      </c>
      <c r="U43" s="55" t="s">
        <v>18</v>
      </c>
      <c r="V43" s="56" t="s">
        <v>18</v>
      </c>
      <c r="W43" s="55" t="s">
        <v>18</v>
      </c>
      <c r="X43" s="57" t="s">
        <v>18</v>
      </c>
      <c r="Y43" s="57" t="s">
        <v>18</v>
      </c>
      <c r="Z43" s="57" t="s">
        <v>18</v>
      </c>
      <c r="AA43" s="56" t="s">
        <v>18</v>
      </c>
    </row>
    <row r="44" spans="4:27" ht="13.5" thickBot="1" x14ac:dyDescent="0.35">
      <c r="D44" s="97" t="str">
        <f>$D$18</f>
        <v xml:space="preserve">Closing value </v>
      </c>
      <c r="E44" s="59">
        <f>SUM(E39:E43)</f>
        <v>135677674.33388674</v>
      </c>
      <c r="F44" s="59">
        <f t="shared" ref="F44" si="19">SUM(F39:F43)</f>
        <v>135915937.66418213</v>
      </c>
      <c r="G44" s="59">
        <f t="shared" ref="G44" si="20">SUM(G39:G43)</f>
        <v>138990939.57583573</v>
      </c>
      <c r="H44" s="59">
        <f t="shared" ref="H44" si="21">SUM(H39:H43)</f>
        <v>142180300.85968214</v>
      </c>
      <c r="I44" s="59">
        <f t="shared" ref="I44" si="22">SUM(I39:I43)</f>
        <v>145437702.29598081</v>
      </c>
      <c r="J44" s="59">
        <f t="shared" ref="J44" si="23">SUM(J39:J43)</f>
        <v>148744925.41942725</v>
      </c>
      <c r="K44" s="60">
        <f t="shared" ref="K44" si="24">SUM(K39:K43)</f>
        <v>152124077.85974395</v>
      </c>
      <c r="M44" s="59">
        <f>SUM(M39:M43)</f>
        <v>175038031.18294692</v>
      </c>
      <c r="N44" s="59">
        <f t="shared" ref="N44:S44" si="25">SUM(N39:N43)</f>
        <v>174117255.69967821</v>
      </c>
      <c r="O44" s="59">
        <f t="shared" si="25"/>
        <v>176774213.4389005</v>
      </c>
      <c r="P44" s="59">
        <f t="shared" si="25"/>
        <v>179576751.51470995</v>
      </c>
      <c r="Q44" s="59">
        <f t="shared" si="25"/>
        <v>182473527.88933131</v>
      </c>
      <c r="R44" s="59">
        <f t="shared" si="25"/>
        <v>185444016.49801117</v>
      </c>
      <c r="S44" s="60">
        <f t="shared" si="25"/>
        <v>188511906.30852228</v>
      </c>
      <c r="U44" s="59">
        <f>SUM(U39:U43)</f>
        <v>0</v>
      </c>
      <c r="V44" s="59">
        <f t="shared" ref="V44:AA44" si="26">SUM(V39:V43)</f>
        <v>0</v>
      </c>
      <c r="W44" s="59">
        <f t="shared" si="26"/>
        <v>0</v>
      </c>
      <c r="X44" s="59">
        <f t="shared" si="26"/>
        <v>0</v>
      </c>
      <c r="Y44" s="59">
        <f t="shared" si="26"/>
        <v>0</v>
      </c>
      <c r="Z44" s="59">
        <f t="shared" si="26"/>
        <v>0</v>
      </c>
      <c r="AA44" s="60">
        <f t="shared" si="26"/>
        <v>0</v>
      </c>
    </row>
    <row r="45" spans="4:27" ht="14.65" thickBot="1" x14ac:dyDescent="0.35">
      <c r="D45" s="177" t="s">
        <v>517</v>
      </c>
      <c r="E45" s="178"/>
      <c r="F45" s="178"/>
      <c r="G45" s="178"/>
      <c r="H45" s="178"/>
      <c r="I45" s="178"/>
      <c r="J45" s="178"/>
      <c r="K45" s="179"/>
      <c r="M45" s="178"/>
      <c r="N45" s="178"/>
      <c r="O45" s="178"/>
      <c r="P45" s="178"/>
      <c r="Q45" s="178"/>
      <c r="R45" s="178"/>
      <c r="S45" s="179"/>
      <c r="U45" s="178"/>
      <c r="V45" s="178"/>
      <c r="W45" s="178"/>
      <c r="X45" s="178"/>
      <c r="Y45" s="178"/>
      <c r="Z45" s="178"/>
      <c r="AA45" s="179"/>
    </row>
    <row r="46" spans="4:27" ht="14.25" x14ac:dyDescent="0.45">
      <c r="D46" s="95" t="str">
        <f>$D$13</f>
        <v>Opening value</v>
      </c>
      <c r="E46" s="55">
        <v>121082277.65642171</v>
      </c>
      <c r="F46" s="56">
        <v>122170801.33819033</v>
      </c>
      <c r="G46" s="55">
        <v>125608480.99406415</v>
      </c>
      <c r="H46" s="57">
        <v>122674865.16502897</v>
      </c>
      <c r="I46" s="57">
        <v>122082928.74411343</v>
      </c>
      <c r="J46" s="57">
        <v>118677406.15168016</v>
      </c>
      <c r="K46" s="56">
        <v>114599588.17127085</v>
      </c>
      <c r="M46" s="55">
        <v>121082277.65642171</v>
      </c>
      <c r="N46" s="56">
        <v>122170801.33819033</v>
      </c>
      <c r="O46" s="55">
        <v>125608480.99406415</v>
      </c>
      <c r="P46" s="57">
        <v>122674865.16502897</v>
      </c>
      <c r="Q46" s="57">
        <v>122082928.74411343</v>
      </c>
      <c r="R46" s="57">
        <v>118677406.15168016</v>
      </c>
      <c r="S46" s="56">
        <v>114599588.17127085</v>
      </c>
      <c r="U46" s="55" t="s">
        <v>18</v>
      </c>
      <c r="V46" s="56" t="s">
        <v>18</v>
      </c>
      <c r="W46" s="55" t="s">
        <v>18</v>
      </c>
      <c r="X46" s="57" t="s">
        <v>18</v>
      </c>
      <c r="Y46" s="57" t="s">
        <v>18</v>
      </c>
      <c r="Z46" s="57" t="s">
        <v>18</v>
      </c>
      <c r="AA46" s="56" t="s">
        <v>18</v>
      </c>
    </row>
    <row r="47" spans="4:27" ht="14.25" x14ac:dyDescent="0.45">
      <c r="D47" s="180" t="str">
        <f>$D$14</f>
        <v>Inflation addition</v>
      </c>
      <c r="E47" s="55">
        <v>9686582.2125137355</v>
      </c>
      <c r="F47" s="56">
        <v>5742027.6628949465</v>
      </c>
      <c r="G47" s="55">
        <v>3667315.5171338106</v>
      </c>
      <c r="H47" s="57">
        <v>3581664.494480026</v>
      </c>
      <c r="I47" s="57">
        <v>3564382.0816652183</v>
      </c>
      <c r="J47" s="57">
        <v>3464953.0801492259</v>
      </c>
      <c r="K47" s="56">
        <v>3345895.4732324686</v>
      </c>
      <c r="M47" s="55">
        <v>9686582.2125137355</v>
      </c>
      <c r="N47" s="56">
        <v>5742027.6628949465</v>
      </c>
      <c r="O47" s="55">
        <v>3667315.5171338106</v>
      </c>
      <c r="P47" s="57">
        <v>3581664.494480026</v>
      </c>
      <c r="Q47" s="57">
        <v>3564382.0816652183</v>
      </c>
      <c r="R47" s="57">
        <v>3464953.0801492259</v>
      </c>
      <c r="S47" s="56">
        <v>3345895.4732324686</v>
      </c>
      <c r="U47" s="55" t="s">
        <v>18</v>
      </c>
      <c r="V47" s="56" t="s">
        <v>18</v>
      </c>
      <c r="W47" s="55" t="s">
        <v>18</v>
      </c>
      <c r="X47" s="57" t="s">
        <v>18</v>
      </c>
      <c r="Y47" s="57" t="s">
        <v>18</v>
      </c>
      <c r="Z47" s="57" t="s">
        <v>18</v>
      </c>
      <c r="AA47" s="56" t="s">
        <v>18</v>
      </c>
    </row>
    <row r="48" spans="4:27" ht="14.25" x14ac:dyDescent="0.45">
      <c r="D48" s="180" t="str">
        <f>$D$15</f>
        <v>Straight line depreciation</v>
      </c>
      <c r="E48" s="55">
        <v>-4957889.1574414382</v>
      </c>
      <c r="F48" s="56">
        <v>-5155321.6631726259</v>
      </c>
      <c r="G48" s="55">
        <v>-5384025.1328957332</v>
      </c>
      <c r="H48" s="57">
        <v>-5425863.4104563817</v>
      </c>
      <c r="I48" s="57">
        <v>-5511081.4702951321</v>
      </c>
      <c r="J48" s="57">
        <v>-5546574.746397092</v>
      </c>
      <c r="K48" s="56">
        <v>-5570454.1798636587</v>
      </c>
      <c r="M48" s="55">
        <v>-4957889.1574414382</v>
      </c>
      <c r="N48" s="56">
        <v>-5155321.6631726259</v>
      </c>
      <c r="O48" s="55">
        <v>-5384025.1328957332</v>
      </c>
      <c r="P48" s="57">
        <v>-5425863.4104563817</v>
      </c>
      <c r="Q48" s="57">
        <v>-5511081.4702951321</v>
      </c>
      <c r="R48" s="57">
        <v>-5546574.746397092</v>
      </c>
      <c r="S48" s="56">
        <v>-5570454.1798636587</v>
      </c>
      <c r="U48" s="55" t="s">
        <v>18</v>
      </c>
      <c r="V48" s="56" t="s">
        <v>18</v>
      </c>
      <c r="W48" s="55" t="s">
        <v>18</v>
      </c>
      <c r="X48" s="57" t="s">
        <v>18</v>
      </c>
      <c r="Y48" s="57" t="s">
        <v>18</v>
      </c>
      <c r="Z48" s="57" t="s">
        <v>18</v>
      </c>
      <c r="AA48" s="56" t="s">
        <v>18</v>
      </c>
    </row>
    <row r="49" spans="4:27" ht="14.25" x14ac:dyDescent="0.45">
      <c r="D49" s="180" t="str">
        <f>$D$16</f>
        <v>Actual additions (recognised in RAB)</v>
      </c>
      <c r="E49" s="55">
        <v>2110239.4037141493</v>
      </c>
      <c r="F49" s="56">
        <v>6526561.6353447773</v>
      </c>
      <c r="G49" s="55">
        <v>2372760.5312720402</v>
      </c>
      <c r="H49" s="57">
        <v>4824425.7922877744</v>
      </c>
      <c r="I49" s="57">
        <v>2013696.153803969</v>
      </c>
      <c r="J49" s="57">
        <v>1357056.4269524035</v>
      </c>
      <c r="K49" s="56">
        <v>1366129.0871605144</v>
      </c>
      <c r="M49" s="55">
        <v>2110239.4037141493</v>
      </c>
      <c r="N49" s="56">
        <v>6526561.6353447773</v>
      </c>
      <c r="O49" s="55">
        <v>2372760.5312720402</v>
      </c>
      <c r="P49" s="57">
        <v>4824425.7922877744</v>
      </c>
      <c r="Q49" s="57">
        <v>2013696.153803969</v>
      </c>
      <c r="R49" s="57">
        <v>1357056.4269524035</v>
      </c>
      <c r="S49" s="56">
        <v>1366129.0871605144</v>
      </c>
      <c r="U49" s="55" t="s">
        <v>18</v>
      </c>
      <c r="V49" s="56" t="s">
        <v>18</v>
      </c>
      <c r="W49" s="55" t="s">
        <v>18</v>
      </c>
      <c r="X49" s="57" t="s">
        <v>18</v>
      </c>
      <c r="Y49" s="57" t="s">
        <v>18</v>
      </c>
      <c r="Z49" s="57" t="s">
        <v>18</v>
      </c>
      <c r="AA49" s="56" t="s">
        <v>18</v>
      </c>
    </row>
    <row r="50" spans="4:27" ht="14.65" thickBot="1" x14ac:dyDescent="0.5">
      <c r="D50" s="180" t="str">
        <f>$D$17</f>
        <v xml:space="preserve">Disposals </v>
      </c>
      <c r="E50" s="55">
        <v>-8381.1141228523229</v>
      </c>
      <c r="F50" s="56">
        <v>-8272.4620594482731</v>
      </c>
      <c r="G50" s="55">
        <v>-8002.2500652659082</v>
      </c>
      <c r="H50" s="57">
        <v>-7781.2155617656545</v>
      </c>
      <c r="I50" s="57">
        <v>-7566.2774581123158</v>
      </c>
      <c r="J50" s="57">
        <v>-7357.267881371773</v>
      </c>
      <c r="K50" s="56">
        <v>-7154.0235728240541</v>
      </c>
      <c r="M50" s="55">
        <v>-8381.1141228523229</v>
      </c>
      <c r="N50" s="56">
        <v>-8272.4620594482731</v>
      </c>
      <c r="O50" s="55">
        <v>-8002.2500652659082</v>
      </c>
      <c r="P50" s="57">
        <v>-7781.2155617656545</v>
      </c>
      <c r="Q50" s="57">
        <v>-7566.2774581123158</v>
      </c>
      <c r="R50" s="57">
        <v>-7357.267881371773</v>
      </c>
      <c r="S50" s="56">
        <v>-7154.0235728240541</v>
      </c>
      <c r="U50" s="55" t="s">
        <v>18</v>
      </c>
      <c r="V50" s="56" t="s">
        <v>18</v>
      </c>
      <c r="W50" s="55" t="s">
        <v>18</v>
      </c>
      <c r="X50" s="57" t="s">
        <v>18</v>
      </c>
      <c r="Y50" s="57" t="s">
        <v>18</v>
      </c>
      <c r="Z50" s="57" t="s">
        <v>18</v>
      </c>
      <c r="AA50" s="56" t="s">
        <v>18</v>
      </c>
    </row>
    <row r="51" spans="4:27" ht="13.5" thickBot="1" x14ac:dyDescent="0.35">
      <c r="D51" s="97" t="str">
        <f>$D$18</f>
        <v xml:space="preserve">Closing value </v>
      </c>
      <c r="E51" s="59">
        <f>SUM(E46:E50)</f>
        <v>127912829.0010853</v>
      </c>
      <c r="F51" s="59">
        <f t="shared" ref="F51" si="27">SUM(F46:F50)</f>
        <v>129275796.51119797</v>
      </c>
      <c r="G51" s="59">
        <f t="shared" ref="G51" si="28">SUM(G46:G50)</f>
        <v>126256529.659509</v>
      </c>
      <c r="H51" s="59">
        <f t="shared" ref="H51" si="29">SUM(H46:H50)</f>
        <v>125647310.82577862</v>
      </c>
      <c r="I51" s="59">
        <f t="shared" ref="I51" si="30">SUM(I46:I50)</f>
        <v>122142359.23182938</v>
      </c>
      <c r="J51" s="59">
        <f t="shared" ref="J51" si="31">SUM(J46:J50)</f>
        <v>117945483.64450331</v>
      </c>
      <c r="K51" s="60">
        <f t="shared" ref="K51" si="32">SUM(K46:K50)</f>
        <v>113734004.52822734</v>
      </c>
      <c r="M51" s="59">
        <f>SUM(M46:M50)</f>
        <v>127912829.0010853</v>
      </c>
      <c r="N51" s="59">
        <f t="shared" ref="N51:S51" si="33">SUM(N46:N50)</f>
        <v>129275796.51119797</v>
      </c>
      <c r="O51" s="59">
        <f t="shared" si="33"/>
        <v>126256529.659509</v>
      </c>
      <c r="P51" s="59">
        <f t="shared" si="33"/>
        <v>125647310.82577862</v>
      </c>
      <c r="Q51" s="59">
        <f t="shared" si="33"/>
        <v>122142359.23182938</v>
      </c>
      <c r="R51" s="59">
        <f t="shared" si="33"/>
        <v>117945483.64450331</v>
      </c>
      <c r="S51" s="60">
        <f t="shared" si="33"/>
        <v>113734004.52822734</v>
      </c>
      <c r="U51" s="59">
        <f>SUM(U46:U50)</f>
        <v>0</v>
      </c>
      <c r="V51" s="59">
        <f t="shared" ref="V51:AA51" si="34">SUM(V46:V50)</f>
        <v>0</v>
      </c>
      <c r="W51" s="59">
        <f t="shared" si="34"/>
        <v>0</v>
      </c>
      <c r="X51" s="59">
        <f t="shared" si="34"/>
        <v>0</v>
      </c>
      <c r="Y51" s="59">
        <f t="shared" si="34"/>
        <v>0</v>
      </c>
      <c r="Z51" s="59">
        <f t="shared" si="34"/>
        <v>0</v>
      </c>
      <c r="AA51" s="60">
        <f t="shared" si="34"/>
        <v>0</v>
      </c>
    </row>
    <row r="52" spans="4:27" ht="14.65" thickBot="1" x14ac:dyDescent="0.35">
      <c r="D52" s="177" t="s">
        <v>518</v>
      </c>
      <c r="E52" s="178"/>
      <c r="F52" s="178"/>
      <c r="G52" s="178"/>
      <c r="H52" s="178"/>
      <c r="I52" s="178"/>
      <c r="J52" s="178"/>
      <c r="K52" s="179"/>
      <c r="M52" s="178"/>
      <c r="N52" s="178"/>
      <c r="O52" s="178"/>
      <c r="P52" s="178"/>
      <c r="Q52" s="178"/>
      <c r="R52" s="178"/>
      <c r="S52" s="179"/>
      <c r="U52" s="178"/>
      <c r="V52" s="178"/>
      <c r="W52" s="178"/>
      <c r="X52" s="178"/>
      <c r="Y52" s="178"/>
      <c r="Z52" s="178"/>
      <c r="AA52" s="179"/>
    </row>
    <row r="53" spans="4:27" ht="14.25" x14ac:dyDescent="0.45">
      <c r="D53" s="95" t="str">
        <f>$D$13</f>
        <v>Opening value</v>
      </c>
      <c r="E53" s="55">
        <v>60587870.116141267</v>
      </c>
      <c r="F53" s="56">
        <v>61132552.068990581</v>
      </c>
      <c r="G53" s="55">
        <v>62852718.657547809</v>
      </c>
      <c r="H53" s="57">
        <v>61384778.524107359</v>
      </c>
      <c r="I53" s="57">
        <v>61088581.857827157</v>
      </c>
      <c r="J53" s="57">
        <v>59384506.211898066</v>
      </c>
      <c r="K53" s="56">
        <v>57344023.401892059</v>
      </c>
      <c r="M53" s="55">
        <v>60587870.116141267</v>
      </c>
      <c r="N53" s="56">
        <v>61132552.068990581</v>
      </c>
      <c r="O53" s="55">
        <v>62852718.657547809</v>
      </c>
      <c r="P53" s="57">
        <v>61384778.524107359</v>
      </c>
      <c r="Q53" s="57">
        <v>61088581.857827157</v>
      </c>
      <c r="R53" s="57">
        <v>59384506.211898066</v>
      </c>
      <c r="S53" s="56">
        <v>57344023.401892059</v>
      </c>
      <c r="U53" s="55" t="s">
        <v>18</v>
      </c>
      <c r="V53" s="56" t="s">
        <v>18</v>
      </c>
      <c r="W53" s="55" t="s">
        <v>18</v>
      </c>
      <c r="X53" s="57" t="s">
        <v>18</v>
      </c>
      <c r="Y53" s="57" t="s">
        <v>18</v>
      </c>
      <c r="Z53" s="57" t="s">
        <v>18</v>
      </c>
      <c r="AA53" s="56" t="s">
        <v>18</v>
      </c>
    </row>
    <row r="54" spans="4:27" ht="14.25" x14ac:dyDescent="0.45">
      <c r="D54" s="180" t="str">
        <f>$D$14</f>
        <v>Inflation addition</v>
      </c>
      <c r="E54" s="55">
        <v>4847029.6092913011</v>
      </c>
      <c r="F54" s="56">
        <v>2873229.9472425575</v>
      </c>
      <c r="G54" s="55">
        <v>1835073.1463567615</v>
      </c>
      <c r="H54" s="57">
        <v>1792214.5783127458</v>
      </c>
      <c r="I54" s="57">
        <v>1783566.7018176545</v>
      </c>
      <c r="J54" s="57">
        <v>1733813.8267790584</v>
      </c>
      <c r="K54" s="56">
        <v>1674239.0734474459</v>
      </c>
      <c r="M54" s="55">
        <v>4847029.6092913011</v>
      </c>
      <c r="N54" s="56">
        <v>2873229.9472425575</v>
      </c>
      <c r="O54" s="55">
        <v>1835073.1463567615</v>
      </c>
      <c r="P54" s="57">
        <v>1792214.5783127458</v>
      </c>
      <c r="Q54" s="57">
        <v>1783566.7018176545</v>
      </c>
      <c r="R54" s="57">
        <v>1733813.8267790584</v>
      </c>
      <c r="S54" s="56">
        <v>1674239.0734474459</v>
      </c>
      <c r="U54" s="55" t="s">
        <v>18</v>
      </c>
      <c r="V54" s="56" t="s">
        <v>18</v>
      </c>
      <c r="W54" s="55" t="s">
        <v>18</v>
      </c>
      <c r="X54" s="57" t="s">
        <v>18</v>
      </c>
      <c r="Y54" s="57" t="s">
        <v>18</v>
      </c>
      <c r="Z54" s="57" t="s">
        <v>18</v>
      </c>
      <c r="AA54" s="56" t="s">
        <v>18</v>
      </c>
    </row>
    <row r="55" spans="4:27" ht="14.25" x14ac:dyDescent="0.45">
      <c r="D55" s="180" t="str">
        <f>$D$15</f>
        <v>Straight line depreciation</v>
      </c>
      <c r="E55" s="55">
        <v>-2480858.058960998</v>
      </c>
      <c r="F55" s="56">
        <v>-2579650.5102220196</v>
      </c>
      <c r="G55" s="55">
        <v>-2694090.5123998248</v>
      </c>
      <c r="H55" s="57">
        <v>-2715025.7985192402</v>
      </c>
      <c r="I55" s="57">
        <v>-2757667.7180552315</v>
      </c>
      <c r="J55" s="57">
        <v>-2775428.0546138482</v>
      </c>
      <c r="K55" s="56">
        <v>-2787376.9875322119</v>
      </c>
      <c r="M55" s="55">
        <v>-2480858.058960998</v>
      </c>
      <c r="N55" s="56">
        <v>-2579650.5102220196</v>
      </c>
      <c r="O55" s="55">
        <v>-2694090.5123998248</v>
      </c>
      <c r="P55" s="57">
        <v>-2715025.7985192402</v>
      </c>
      <c r="Q55" s="57">
        <v>-2757667.7180552315</v>
      </c>
      <c r="R55" s="57">
        <v>-2775428.0546138482</v>
      </c>
      <c r="S55" s="56">
        <v>-2787376.9875322119</v>
      </c>
      <c r="U55" s="55" t="s">
        <v>18</v>
      </c>
      <c r="V55" s="56" t="s">
        <v>18</v>
      </c>
      <c r="W55" s="55" t="s">
        <v>18</v>
      </c>
      <c r="X55" s="57" t="s">
        <v>18</v>
      </c>
      <c r="Y55" s="57" t="s">
        <v>18</v>
      </c>
      <c r="Z55" s="57" t="s">
        <v>18</v>
      </c>
      <c r="AA55" s="56" t="s">
        <v>18</v>
      </c>
    </row>
    <row r="56" spans="4:27" ht="14.25" x14ac:dyDescent="0.45">
      <c r="D56" s="180" t="str">
        <f>$D$16</f>
        <v>Actual additions (recognised in RAB)</v>
      </c>
      <c r="E56" s="55">
        <v>1055934.1414851178</v>
      </c>
      <c r="F56" s="56">
        <v>3265799.7216514037</v>
      </c>
      <c r="G56" s="55">
        <v>1187296.0243888532</v>
      </c>
      <c r="H56" s="57">
        <v>2414074.8666581693</v>
      </c>
      <c r="I56" s="57">
        <v>1007625.2559953183</v>
      </c>
      <c r="J56" s="57">
        <v>679051.96472909523</v>
      </c>
      <c r="K56" s="56">
        <v>683591.79639510263</v>
      </c>
      <c r="M56" s="55">
        <v>1055934.1414851178</v>
      </c>
      <c r="N56" s="56">
        <v>3265799.7216514037</v>
      </c>
      <c r="O56" s="55">
        <v>1187296.0243888532</v>
      </c>
      <c r="P56" s="57">
        <v>2414074.8666581693</v>
      </c>
      <c r="Q56" s="57">
        <v>1007625.2559953183</v>
      </c>
      <c r="R56" s="57">
        <v>679051.96472909523</v>
      </c>
      <c r="S56" s="56">
        <v>683591.79639510263</v>
      </c>
      <c r="U56" s="55" t="s">
        <v>18</v>
      </c>
      <c r="V56" s="56" t="s">
        <v>18</v>
      </c>
      <c r="W56" s="55" t="s">
        <v>18</v>
      </c>
      <c r="X56" s="57" t="s">
        <v>18</v>
      </c>
      <c r="Y56" s="57" t="s">
        <v>18</v>
      </c>
      <c r="Z56" s="57" t="s">
        <v>18</v>
      </c>
      <c r="AA56" s="56" t="s">
        <v>18</v>
      </c>
    </row>
    <row r="57" spans="4:27" ht="14.65" thickBot="1" x14ac:dyDescent="0.5">
      <c r="D57" s="180" t="str">
        <f>$D$17</f>
        <v xml:space="preserve">Disposals </v>
      </c>
      <c r="E57" s="55">
        <v>-4193.7917235487566</v>
      </c>
      <c r="F57" s="56">
        <v>-4139.4237579571691</v>
      </c>
      <c r="G57" s="55">
        <v>-4004.2134734777183</v>
      </c>
      <c r="H57" s="57">
        <v>-3893.610914222435</v>
      </c>
      <c r="I57" s="57">
        <v>-3786.0589077751274</v>
      </c>
      <c r="J57" s="57">
        <v>-3681.4734528787553</v>
      </c>
      <c r="K57" s="56">
        <v>-3579.7728571641915</v>
      </c>
      <c r="M57" s="55">
        <v>-4193.7917235487566</v>
      </c>
      <c r="N57" s="56">
        <v>-4139.4237579571691</v>
      </c>
      <c r="O57" s="55">
        <v>-4004.2134734777183</v>
      </c>
      <c r="P57" s="57">
        <v>-3893.610914222435</v>
      </c>
      <c r="Q57" s="57">
        <v>-3786.0589077751274</v>
      </c>
      <c r="R57" s="57">
        <v>-3681.4734528787553</v>
      </c>
      <c r="S57" s="56">
        <v>-3579.7728571641915</v>
      </c>
      <c r="U57" s="55" t="s">
        <v>18</v>
      </c>
      <c r="V57" s="56" t="s">
        <v>18</v>
      </c>
      <c r="W57" s="55" t="s">
        <v>18</v>
      </c>
      <c r="X57" s="57" t="s">
        <v>18</v>
      </c>
      <c r="Y57" s="57" t="s">
        <v>18</v>
      </c>
      <c r="Z57" s="57" t="s">
        <v>18</v>
      </c>
      <c r="AA57" s="56" t="s">
        <v>18</v>
      </c>
    </row>
    <row r="58" spans="4:27" ht="13.5" thickBot="1" x14ac:dyDescent="0.35">
      <c r="D58" s="97" t="str">
        <f>$D$18</f>
        <v xml:space="preserve">Closing value </v>
      </c>
      <c r="E58" s="59">
        <f>SUM(E53:E57)</f>
        <v>64005782.016233139</v>
      </c>
      <c r="F58" s="59">
        <f t="shared" ref="F58" si="35">SUM(F53:F57)</f>
        <v>64687791.803904571</v>
      </c>
      <c r="G58" s="59">
        <f t="shared" ref="G58" si="36">SUM(G53:G57)</f>
        <v>63176993.102420121</v>
      </c>
      <c r="H58" s="59">
        <f t="shared" ref="H58" si="37">SUM(H53:H57)</f>
        <v>62872148.559644811</v>
      </c>
      <c r="I58" s="59">
        <f t="shared" ref="I58" si="38">SUM(I53:I57)</f>
        <v>61118320.038677119</v>
      </c>
      <c r="J58" s="59">
        <f t="shared" ref="J58" si="39">SUM(J53:J57)</f>
        <v>59018262.475339487</v>
      </c>
      <c r="K58" s="60">
        <f t="shared" ref="K58" si="40">SUM(K53:K57)</f>
        <v>56910897.511345223</v>
      </c>
      <c r="M58" s="59">
        <f>SUM(M53:M57)</f>
        <v>64005782.016233139</v>
      </c>
      <c r="N58" s="59">
        <f t="shared" ref="N58:S58" si="41">SUM(N53:N57)</f>
        <v>64687791.803904571</v>
      </c>
      <c r="O58" s="59">
        <f t="shared" si="41"/>
        <v>63176993.102420121</v>
      </c>
      <c r="P58" s="59">
        <f t="shared" si="41"/>
        <v>62872148.559644811</v>
      </c>
      <c r="Q58" s="59">
        <f t="shared" si="41"/>
        <v>61118320.038677119</v>
      </c>
      <c r="R58" s="59">
        <f t="shared" si="41"/>
        <v>59018262.475339487</v>
      </c>
      <c r="S58" s="60">
        <f t="shared" si="41"/>
        <v>56910897.511345223</v>
      </c>
      <c r="U58" s="59">
        <f>SUM(U53:U57)</f>
        <v>0</v>
      </c>
      <c r="V58" s="59">
        <f t="shared" ref="V58:AA58" si="42">SUM(V53:V57)</f>
        <v>0</v>
      </c>
      <c r="W58" s="59">
        <f t="shared" si="42"/>
        <v>0</v>
      </c>
      <c r="X58" s="59">
        <f t="shared" si="42"/>
        <v>0</v>
      </c>
      <c r="Y58" s="59">
        <f t="shared" si="42"/>
        <v>0</v>
      </c>
      <c r="Z58" s="59">
        <f t="shared" si="42"/>
        <v>0</v>
      </c>
      <c r="AA58" s="60">
        <f t="shared" si="42"/>
        <v>0</v>
      </c>
    </row>
    <row r="59" spans="4:27" ht="14.65" thickBot="1" x14ac:dyDescent="0.35">
      <c r="D59" s="177" t="s">
        <v>509</v>
      </c>
      <c r="E59" s="178"/>
      <c r="F59" s="178"/>
      <c r="G59" s="178"/>
      <c r="H59" s="178"/>
      <c r="I59" s="178"/>
      <c r="J59" s="178"/>
      <c r="K59" s="179"/>
      <c r="M59" s="178"/>
      <c r="N59" s="178"/>
      <c r="O59" s="178"/>
      <c r="P59" s="178"/>
      <c r="Q59" s="178"/>
      <c r="R59" s="178"/>
      <c r="S59" s="179"/>
      <c r="U59" s="178"/>
      <c r="V59" s="178"/>
      <c r="W59" s="178"/>
      <c r="X59" s="178"/>
      <c r="Y59" s="178"/>
      <c r="Z59" s="178"/>
      <c r="AA59" s="179"/>
    </row>
    <row r="60" spans="4:27" ht="14.25" x14ac:dyDescent="0.45">
      <c r="D60" s="95" t="str">
        <f>$D$13</f>
        <v>Opening value</v>
      </c>
      <c r="E60" s="55">
        <v>347994354.97277731</v>
      </c>
      <c r="F60" s="56">
        <v>358677926.3658036</v>
      </c>
      <c r="G60" s="55">
        <v>370257725.66143417</v>
      </c>
      <c r="H60" s="57">
        <v>380423606.45519209</v>
      </c>
      <c r="I60" s="57">
        <v>379004032.98961341</v>
      </c>
      <c r="J60" s="57">
        <v>364208905.05189818</v>
      </c>
      <c r="K60" s="56">
        <v>346027101.68040866</v>
      </c>
      <c r="M60" s="55">
        <v>347994354.97277731</v>
      </c>
      <c r="N60" s="56">
        <v>358677926.3658036</v>
      </c>
      <c r="O60" s="55">
        <v>370257725.66143417</v>
      </c>
      <c r="P60" s="57">
        <v>380423606.45519209</v>
      </c>
      <c r="Q60" s="57">
        <v>379004032.98961341</v>
      </c>
      <c r="R60" s="57">
        <v>364208905.05189818</v>
      </c>
      <c r="S60" s="56">
        <v>346027101.68040866</v>
      </c>
      <c r="U60" s="55" t="s">
        <v>18</v>
      </c>
      <c r="V60" s="56" t="s">
        <v>18</v>
      </c>
      <c r="W60" s="55" t="s">
        <v>18</v>
      </c>
      <c r="X60" s="57" t="s">
        <v>18</v>
      </c>
      <c r="Y60" s="57" t="s">
        <v>18</v>
      </c>
      <c r="Z60" s="57" t="s">
        <v>18</v>
      </c>
      <c r="AA60" s="56" t="s">
        <v>18</v>
      </c>
    </row>
    <row r="61" spans="4:27" ht="14.25" x14ac:dyDescent="0.45">
      <c r="D61" s="180" t="str">
        <f>$D$14</f>
        <v>Inflation addition</v>
      </c>
      <c r="E61" s="55">
        <v>27839548.397822198</v>
      </c>
      <c r="F61" s="56">
        <v>16857862.539192781</v>
      </c>
      <c r="G61" s="55">
        <v>10810192.846142443</v>
      </c>
      <c r="H61" s="57">
        <v>11106999.973218864</v>
      </c>
      <c r="I61" s="57">
        <v>11065553.537780527</v>
      </c>
      <c r="J61" s="57">
        <v>10633589.057081752</v>
      </c>
      <c r="K61" s="56">
        <v>10102745.844059451</v>
      </c>
      <c r="M61" s="55">
        <v>27839548.397822198</v>
      </c>
      <c r="N61" s="56">
        <v>16857862.539192781</v>
      </c>
      <c r="O61" s="55">
        <v>10810192.846142443</v>
      </c>
      <c r="P61" s="57">
        <v>11106999.973218864</v>
      </c>
      <c r="Q61" s="57">
        <v>11065553.537780527</v>
      </c>
      <c r="R61" s="57">
        <v>10633589.057081752</v>
      </c>
      <c r="S61" s="56">
        <v>10102745.844059451</v>
      </c>
      <c r="U61" s="55" t="s">
        <v>18</v>
      </c>
      <c r="V61" s="56" t="s">
        <v>18</v>
      </c>
      <c r="W61" s="55" t="s">
        <v>18</v>
      </c>
      <c r="X61" s="57" t="s">
        <v>18</v>
      </c>
      <c r="Y61" s="57" t="s">
        <v>18</v>
      </c>
      <c r="Z61" s="57" t="s">
        <v>18</v>
      </c>
      <c r="AA61" s="56" t="s">
        <v>18</v>
      </c>
    </row>
    <row r="62" spans="4:27" ht="14.25" x14ac:dyDescent="0.45">
      <c r="D62" s="180" t="str">
        <f>$D$15</f>
        <v>Straight line depreciation</v>
      </c>
      <c r="E62" s="55">
        <v>-22348285.535282984</v>
      </c>
      <c r="F62" s="56">
        <v>-23427732.582046077</v>
      </c>
      <c r="G62" s="55">
        <v>-26611222.548982546</v>
      </c>
      <c r="H62" s="57">
        <v>-27851243.101890091</v>
      </c>
      <c r="I62" s="57">
        <v>-28595254.996794142</v>
      </c>
      <c r="J62" s="57">
        <v>-29096027.890583135</v>
      </c>
      <c r="K62" s="56">
        <v>-29391030.705994993</v>
      </c>
      <c r="M62" s="55">
        <v>-22348285.535282984</v>
      </c>
      <c r="N62" s="56">
        <v>-23427732.582046077</v>
      </c>
      <c r="O62" s="55">
        <v>-26611222.548982546</v>
      </c>
      <c r="P62" s="57">
        <v>-27851243.101890091</v>
      </c>
      <c r="Q62" s="57">
        <v>-28595254.996794142</v>
      </c>
      <c r="R62" s="57">
        <v>-29096027.890583135</v>
      </c>
      <c r="S62" s="56">
        <v>-29391030.705994993</v>
      </c>
      <c r="U62" s="55" t="s">
        <v>18</v>
      </c>
      <c r="V62" s="56" t="s">
        <v>18</v>
      </c>
      <c r="W62" s="55" t="s">
        <v>18</v>
      </c>
      <c r="X62" s="57" t="s">
        <v>18</v>
      </c>
      <c r="Y62" s="57" t="s">
        <v>18</v>
      </c>
      <c r="Z62" s="57" t="s">
        <v>18</v>
      </c>
      <c r="AA62" s="56" t="s">
        <v>18</v>
      </c>
    </row>
    <row r="63" spans="4:27" ht="14.25" x14ac:dyDescent="0.45">
      <c r="D63" s="180" t="str">
        <f>$D$16</f>
        <v>Actual additions (recognised in RAB)</v>
      </c>
      <c r="E63" s="55">
        <v>22094667.667706184</v>
      </c>
      <c r="F63" s="56">
        <v>29003781.932472613</v>
      </c>
      <c r="G63" s="55">
        <v>37116395.621461548</v>
      </c>
      <c r="H63" s="57">
        <v>26431534.847025726</v>
      </c>
      <c r="I63" s="57">
        <v>13408333.085746367</v>
      </c>
      <c r="J63" s="57">
        <v>10422442.150094057</v>
      </c>
      <c r="K63" s="56">
        <v>8936948.3772441745</v>
      </c>
      <c r="M63" s="55">
        <v>22094667.667706184</v>
      </c>
      <c r="N63" s="56">
        <v>29003781.932472613</v>
      </c>
      <c r="O63" s="55">
        <v>37116395.621461548</v>
      </c>
      <c r="P63" s="57">
        <v>26431534.847025726</v>
      </c>
      <c r="Q63" s="57">
        <v>13408333.085746367</v>
      </c>
      <c r="R63" s="57">
        <v>10422442.150094057</v>
      </c>
      <c r="S63" s="56">
        <v>8936948.3772441745</v>
      </c>
      <c r="U63" s="55" t="s">
        <v>18</v>
      </c>
      <c r="V63" s="56" t="s">
        <v>18</v>
      </c>
      <c r="W63" s="55" t="s">
        <v>18</v>
      </c>
      <c r="X63" s="57" t="s">
        <v>18</v>
      </c>
      <c r="Y63" s="57" t="s">
        <v>18</v>
      </c>
      <c r="Z63" s="57" t="s">
        <v>18</v>
      </c>
      <c r="AA63" s="56" t="s">
        <v>18</v>
      </c>
    </row>
    <row r="64" spans="4:27" ht="14.65" thickBot="1" x14ac:dyDescent="0.5">
      <c r="D64" s="180" t="str">
        <f>$D$17</f>
        <v xml:space="preserve">Disposals </v>
      </c>
      <c r="E64" s="55">
        <v>-44496.598026346197</v>
      </c>
      <c r="F64" s="56">
        <v>-43919.747846387327</v>
      </c>
      <c r="G64" s="55">
        <v>-42485.151644642952</v>
      </c>
      <c r="H64" s="57">
        <v>-41311.646152647983</v>
      </c>
      <c r="I64" s="57">
        <v>-40170.507366250837</v>
      </c>
      <c r="J64" s="57">
        <v>-39060.84402274352</v>
      </c>
      <c r="K64" s="56">
        <v>-37981.789356976391</v>
      </c>
      <c r="M64" s="55">
        <v>-44496.598026346197</v>
      </c>
      <c r="N64" s="56">
        <v>-43919.747846387327</v>
      </c>
      <c r="O64" s="55">
        <v>-42485.151644642952</v>
      </c>
      <c r="P64" s="57">
        <v>-41311.646152647983</v>
      </c>
      <c r="Q64" s="57">
        <v>-40170.507366250837</v>
      </c>
      <c r="R64" s="57">
        <v>-39060.84402274352</v>
      </c>
      <c r="S64" s="56">
        <v>-37981.789356976391</v>
      </c>
      <c r="U64" s="55" t="s">
        <v>18</v>
      </c>
      <c r="V64" s="56" t="s">
        <v>18</v>
      </c>
      <c r="W64" s="55" t="s">
        <v>18</v>
      </c>
      <c r="X64" s="57" t="s">
        <v>18</v>
      </c>
      <c r="Y64" s="57" t="s">
        <v>18</v>
      </c>
      <c r="Z64" s="57" t="s">
        <v>18</v>
      </c>
      <c r="AA64" s="56" t="s">
        <v>18</v>
      </c>
    </row>
    <row r="65" spans="4:27" ht="13.5" thickBot="1" x14ac:dyDescent="0.35">
      <c r="D65" s="97" t="str">
        <f>$D$18</f>
        <v xml:space="preserve">Closing value </v>
      </c>
      <c r="E65" s="59">
        <f>SUM(E60:E64)</f>
        <v>375535788.9049964</v>
      </c>
      <c r="F65" s="59">
        <f t="shared" ref="F65" si="43">SUM(F60:F64)</f>
        <v>381067918.50757653</v>
      </c>
      <c r="G65" s="59">
        <f t="shared" ref="G65" si="44">SUM(G60:G64)</f>
        <v>391530606.42841101</v>
      </c>
      <c r="H65" s="59">
        <f t="shared" ref="H65" si="45">SUM(H60:H64)</f>
        <v>390069586.52739394</v>
      </c>
      <c r="I65" s="59">
        <f t="shared" ref="I65" si="46">SUM(I60:I64)</f>
        <v>374842494.10897988</v>
      </c>
      <c r="J65" s="59">
        <f t="shared" ref="J65" si="47">SUM(J60:J64)</f>
        <v>356129847.52446806</v>
      </c>
      <c r="K65" s="60">
        <f t="shared" ref="K65" si="48">SUM(K60:K64)</f>
        <v>335637783.40636033</v>
      </c>
      <c r="M65" s="59">
        <f>SUM(M60:M64)</f>
        <v>375535788.9049964</v>
      </c>
      <c r="N65" s="59">
        <f t="shared" ref="N65:S65" si="49">SUM(N60:N64)</f>
        <v>381067918.50757653</v>
      </c>
      <c r="O65" s="59">
        <f t="shared" si="49"/>
        <v>391530606.42841101</v>
      </c>
      <c r="P65" s="59">
        <f t="shared" si="49"/>
        <v>390069586.52739394</v>
      </c>
      <c r="Q65" s="59">
        <f t="shared" si="49"/>
        <v>374842494.10897988</v>
      </c>
      <c r="R65" s="59">
        <f t="shared" si="49"/>
        <v>356129847.52446806</v>
      </c>
      <c r="S65" s="60">
        <f t="shared" si="49"/>
        <v>335637783.40636033</v>
      </c>
      <c r="U65" s="59">
        <f>SUM(U60:U64)</f>
        <v>0</v>
      </c>
      <c r="V65" s="59">
        <f t="shared" ref="V65:AA65" si="50">SUM(V60:V64)</f>
        <v>0</v>
      </c>
      <c r="W65" s="59">
        <f t="shared" si="50"/>
        <v>0</v>
      </c>
      <c r="X65" s="59">
        <f t="shared" si="50"/>
        <v>0</v>
      </c>
      <c r="Y65" s="59">
        <f t="shared" si="50"/>
        <v>0</v>
      </c>
      <c r="Z65" s="59">
        <f t="shared" si="50"/>
        <v>0</v>
      </c>
      <c r="AA65" s="60">
        <f t="shared" si="50"/>
        <v>0</v>
      </c>
    </row>
    <row r="66" spans="4:27" ht="14.65" thickBot="1" x14ac:dyDescent="0.35">
      <c r="D66" s="177" t="s">
        <v>136</v>
      </c>
      <c r="E66" s="178"/>
      <c r="F66" s="178"/>
      <c r="G66" s="178"/>
      <c r="H66" s="178"/>
      <c r="I66" s="178"/>
      <c r="J66" s="178"/>
      <c r="K66" s="179"/>
      <c r="M66" s="178"/>
      <c r="N66" s="178"/>
      <c r="O66" s="178"/>
      <c r="P66" s="178"/>
      <c r="Q66" s="178"/>
      <c r="R66" s="178"/>
      <c r="S66" s="179"/>
      <c r="U66" s="178"/>
      <c r="V66" s="178"/>
      <c r="W66" s="178"/>
      <c r="X66" s="178"/>
      <c r="Y66" s="178"/>
      <c r="Z66" s="178"/>
      <c r="AA66" s="179"/>
    </row>
    <row r="67" spans="4:27" ht="14.25" x14ac:dyDescent="0.45">
      <c r="D67" s="95" t="str">
        <f>$D$13</f>
        <v>Opening value</v>
      </c>
      <c r="E67" s="55">
        <v>50996073.921066396</v>
      </c>
      <c r="F67" s="56">
        <v>52603400.033191696</v>
      </c>
      <c r="G67" s="55">
        <v>53684008.843402699</v>
      </c>
      <c r="H67" s="57">
        <v>53684008.843402699</v>
      </c>
      <c r="I67" s="57">
        <v>53684008.843402699</v>
      </c>
      <c r="J67" s="57">
        <v>53684008.843402706</v>
      </c>
      <c r="K67" s="56">
        <v>53684008.843402706</v>
      </c>
      <c r="M67" s="55">
        <v>50996073.921066396</v>
      </c>
      <c r="N67" s="56">
        <v>52603400.033191696</v>
      </c>
      <c r="O67" s="55">
        <v>53684008.843402699</v>
      </c>
      <c r="P67" s="57">
        <v>53684008.843402699</v>
      </c>
      <c r="Q67" s="57">
        <v>53684008.843402699</v>
      </c>
      <c r="R67" s="57">
        <v>53684008.843402706</v>
      </c>
      <c r="S67" s="56">
        <v>53684008.843402706</v>
      </c>
      <c r="U67" s="55" t="s">
        <v>18</v>
      </c>
      <c r="V67" s="56" t="s">
        <v>18</v>
      </c>
      <c r="W67" s="55" t="s">
        <v>18</v>
      </c>
      <c r="X67" s="57" t="s">
        <v>18</v>
      </c>
      <c r="Y67" s="57" t="s">
        <v>18</v>
      </c>
      <c r="Z67" s="57" t="s">
        <v>18</v>
      </c>
      <c r="AA67" s="56" t="s">
        <v>18</v>
      </c>
    </row>
    <row r="68" spans="4:27" ht="14.25" x14ac:dyDescent="0.45">
      <c r="D68" s="180" t="str">
        <f>$D$14</f>
        <v>Inflation addition</v>
      </c>
      <c r="E68" s="55">
        <v>4079685.9136853116</v>
      </c>
      <c r="F68" s="56">
        <v>2472359.8015600098</v>
      </c>
      <c r="G68" s="55">
        <v>1567379.8225667833</v>
      </c>
      <c r="H68" s="57">
        <v>1567379.8225667833</v>
      </c>
      <c r="I68" s="57">
        <v>1567379.8225667831</v>
      </c>
      <c r="J68" s="57">
        <v>1567379.8225667833</v>
      </c>
      <c r="K68" s="56">
        <v>1567379.8225667835</v>
      </c>
      <c r="M68" s="55">
        <v>4079685.9136853116</v>
      </c>
      <c r="N68" s="56">
        <v>2472359.8015600098</v>
      </c>
      <c r="O68" s="55">
        <v>1567379.8225667833</v>
      </c>
      <c r="P68" s="57">
        <v>1567379.8225667833</v>
      </c>
      <c r="Q68" s="57">
        <v>1567379.8225667831</v>
      </c>
      <c r="R68" s="57">
        <v>1567379.8225667833</v>
      </c>
      <c r="S68" s="56">
        <v>1567379.8225667835</v>
      </c>
      <c r="U68" s="55" t="s">
        <v>18</v>
      </c>
      <c r="V68" s="56" t="s">
        <v>18</v>
      </c>
      <c r="W68" s="55" t="s">
        <v>18</v>
      </c>
      <c r="X68" s="57" t="s">
        <v>18</v>
      </c>
      <c r="Y68" s="57" t="s">
        <v>18</v>
      </c>
      <c r="Z68" s="57" t="s">
        <v>18</v>
      </c>
      <c r="AA68" s="56" t="s">
        <v>18</v>
      </c>
    </row>
    <row r="69" spans="4:27" ht="14.25" x14ac:dyDescent="0.45">
      <c r="D69" s="180" t="str">
        <f>$D$16</f>
        <v>Actual additions (recognised in RAB)</v>
      </c>
      <c r="E69" s="55">
        <v>0</v>
      </c>
      <c r="F69" s="56">
        <v>0</v>
      </c>
      <c r="G69" s="55">
        <v>0</v>
      </c>
      <c r="H69" s="57">
        <v>0</v>
      </c>
      <c r="I69" s="57">
        <v>0</v>
      </c>
      <c r="J69" s="57">
        <v>0</v>
      </c>
      <c r="K69" s="56">
        <v>0</v>
      </c>
      <c r="M69" s="55">
        <v>0</v>
      </c>
      <c r="N69" s="56">
        <v>0</v>
      </c>
      <c r="O69" s="55">
        <v>0</v>
      </c>
      <c r="P69" s="57">
        <v>0</v>
      </c>
      <c r="Q69" s="57">
        <v>0</v>
      </c>
      <c r="R69" s="57">
        <v>0</v>
      </c>
      <c r="S69" s="56">
        <v>0</v>
      </c>
      <c r="U69" s="55" t="s">
        <v>18</v>
      </c>
      <c r="V69" s="56" t="s">
        <v>18</v>
      </c>
      <c r="W69" s="55" t="s">
        <v>18</v>
      </c>
      <c r="X69" s="57" t="s">
        <v>18</v>
      </c>
      <c r="Y69" s="57" t="s">
        <v>18</v>
      </c>
      <c r="Z69" s="57" t="s">
        <v>18</v>
      </c>
      <c r="AA69" s="56" t="s">
        <v>18</v>
      </c>
    </row>
    <row r="70" spans="4:27" ht="14.65" thickBot="1" x14ac:dyDescent="0.5">
      <c r="D70" s="180" t="str">
        <f>$D$17</f>
        <v xml:space="preserve">Disposals </v>
      </c>
      <c r="E70" s="55">
        <v>0</v>
      </c>
      <c r="F70" s="56">
        <v>175628.83121777981</v>
      </c>
      <c r="G70" s="55">
        <v>0</v>
      </c>
      <c r="H70" s="57">
        <v>0</v>
      </c>
      <c r="I70" s="57">
        <v>0</v>
      </c>
      <c r="J70" s="57">
        <v>0</v>
      </c>
      <c r="K70" s="56">
        <v>0</v>
      </c>
      <c r="M70" s="55">
        <v>0</v>
      </c>
      <c r="N70" s="56">
        <v>175628.83121777981</v>
      </c>
      <c r="O70" s="55">
        <v>0</v>
      </c>
      <c r="P70" s="57">
        <v>0</v>
      </c>
      <c r="Q70" s="57">
        <v>0</v>
      </c>
      <c r="R70" s="57">
        <v>0</v>
      </c>
      <c r="S70" s="56">
        <v>0</v>
      </c>
      <c r="U70" s="55" t="s">
        <v>18</v>
      </c>
      <c r="V70" s="56" t="s">
        <v>18</v>
      </c>
      <c r="W70" s="55" t="s">
        <v>18</v>
      </c>
      <c r="X70" s="57" t="s">
        <v>18</v>
      </c>
      <c r="Y70" s="57" t="s">
        <v>18</v>
      </c>
      <c r="Z70" s="57" t="s">
        <v>18</v>
      </c>
      <c r="AA70" s="56" t="s">
        <v>18</v>
      </c>
    </row>
    <row r="71" spans="4:27" ht="13.5" thickBot="1" x14ac:dyDescent="0.35">
      <c r="D71" s="97" t="str">
        <f>$D$18</f>
        <v xml:space="preserve">Closing value </v>
      </c>
      <c r="E71" s="59">
        <f t="shared" ref="E71:K71" si="51">SUM(E67:E70)</f>
        <v>55075759.83475171</v>
      </c>
      <c r="F71" s="59">
        <f t="shared" si="51"/>
        <v>55251388.665969484</v>
      </c>
      <c r="G71" s="59">
        <f t="shared" si="51"/>
        <v>55251388.665969484</v>
      </c>
      <c r="H71" s="59">
        <f t="shared" si="51"/>
        <v>55251388.665969484</v>
      </c>
      <c r="I71" s="59">
        <f t="shared" si="51"/>
        <v>55251388.665969484</v>
      </c>
      <c r="J71" s="59">
        <f t="shared" si="51"/>
        <v>55251388.665969491</v>
      </c>
      <c r="K71" s="60">
        <f t="shared" si="51"/>
        <v>55251388.665969491</v>
      </c>
      <c r="M71" s="59">
        <f t="shared" ref="M71:S71" si="52">SUM(M67:M70)</f>
        <v>55075759.83475171</v>
      </c>
      <c r="N71" s="59">
        <f t="shared" si="52"/>
        <v>55251388.665969484</v>
      </c>
      <c r="O71" s="59">
        <f t="shared" si="52"/>
        <v>55251388.665969484</v>
      </c>
      <c r="P71" s="59">
        <f t="shared" si="52"/>
        <v>55251388.665969484</v>
      </c>
      <c r="Q71" s="59">
        <f t="shared" si="52"/>
        <v>55251388.665969484</v>
      </c>
      <c r="R71" s="59">
        <f t="shared" si="52"/>
        <v>55251388.665969491</v>
      </c>
      <c r="S71" s="60">
        <f t="shared" si="52"/>
        <v>55251388.665969491</v>
      </c>
      <c r="U71" s="59">
        <f t="shared" ref="U71:AA71" si="53">SUM(U67:U70)</f>
        <v>0</v>
      </c>
      <c r="V71" s="59">
        <f t="shared" si="53"/>
        <v>0</v>
      </c>
      <c r="W71" s="59">
        <f t="shared" si="53"/>
        <v>0</v>
      </c>
      <c r="X71" s="59">
        <f t="shared" si="53"/>
        <v>0</v>
      </c>
      <c r="Y71" s="59">
        <f t="shared" si="53"/>
        <v>0</v>
      </c>
      <c r="Z71" s="59">
        <f t="shared" si="53"/>
        <v>0</v>
      </c>
      <c r="AA71" s="60">
        <f t="shared" si="53"/>
        <v>0</v>
      </c>
    </row>
    <row r="72" spans="4:27" ht="14.65" thickBot="1" x14ac:dyDescent="0.35">
      <c r="D72" s="177" t="s">
        <v>519</v>
      </c>
      <c r="E72" s="178"/>
      <c r="F72" s="178"/>
      <c r="G72" s="178"/>
      <c r="H72" s="178"/>
      <c r="I72" s="178"/>
      <c r="J72" s="178"/>
      <c r="K72" s="179"/>
      <c r="M72" s="178"/>
      <c r="N72" s="178"/>
      <c r="O72" s="178"/>
      <c r="P72" s="178"/>
      <c r="Q72" s="178"/>
      <c r="R72" s="178"/>
      <c r="S72" s="179"/>
      <c r="U72" s="178"/>
      <c r="V72" s="178"/>
      <c r="W72" s="178"/>
      <c r="X72" s="178"/>
      <c r="Y72" s="178"/>
      <c r="Z72" s="178"/>
      <c r="AA72" s="179"/>
    </row>
    <row r="73" spans="4:27" ht="14.25" x14ac:dyDescent="0.45">
      <c r="D73" s="95" t="str">
        <f>$D$13</f>
        <v>Opening value</v>
      </c>
      <c r="E73" s="55">
        <v>0</v>
      </c>
      <c r="F73" s="56">
        <v>0</v>
      </c>
      <c r="G73" s="55">
        <v>0</v>
      </c>
      <c r="H73" s="57">
        <v>0</v>
      </c>
      <c r="I73" s="57">
        <v>0</v>
      </c>
      <c r="J73" s="57">
        <v>0</v>
      </c>
      <c r="K73" s="56">
        <v>0</v>
      </c>
      <c r="M73" s="55">
        <v>0</v>
      </c>
      <c r="N73" s="56">
        <v>0</v>
      </c>
      <c r="O73" s="55">
        <v>0</v>
      </c>
      <c r="P73" s="57">
        <v>0</v>
      </c>
      <c r="Q73" s="57">
        <v>0</v>
      </c>
      <c r="R73" s="57">
        <v>0</v>
      </c>
      <c r="S73" s="56">
        <v>0</v>
      </c>
      <c r="U73" s="55">
        <v>18459324.479427431</v>
      </c>
      <c r="V73" s="56">
        <v>28081094.405855302</v>
      </c>
      <c r="W73" s="55">
        <v>42790587.358375885</v>
      </c>
      <c r="X73" s="57">
        <v>44619267.086901158</v>
      </c>
      <c r="Y73" s="57">
        <v>46119853.141687013</v>
      </c>
      <c r="Z73" s="57">
        <v>49913683.843872972</v>
      </c>
      <c r="AA73" s="56">
        <v>54447828.311267108</v>
      </c>
    </row>
    <row r="74" spans="4:27" ht="14.25" x14ac:dyDescent="0.45">
      <c r="D74" s="180" t="str">
        <f>$D$14</f>
        <v>Inflation addition</v>
      </c>
      <c r="E74" s="55">
        <v>0</v>
      </c>
      <c r="F74" s="56">
        <v>0</v>
      </c>
      <c r="G74" s="55">
        <v>0</v>
      </c>
      <c r="H74" s="57">
        <v>0</v>
      </c>
      <c r="I74" s="57">
        <v>0</v>
      </c>
      <c r="J74" s="57">
        <v>0</v>
      </c>
      <c r="K74" s="56">
        <v>0</v>
      </c>
      <c r="M74" s="55">
        <v>0</v>
      </c>
      <c r="N74" s="56">
        <v>0</v>
      </c>
      <c r="O74" s="55">
        <v>0</v>
      </c>
      <c r="P74" s="57">
        <v>0</v>
      </c>
      <c r="Q74" s="57">
        <v>0</v>
      </c>
      <c r="R74" s="57">
        <v>0</v>
      </c>
      <c r="S74" s="56">
        <v>0</v>
      </c>
      <c r="U74" s="55">
        <v>1476745.9583541946</v>
      </c>
      <c r="V74" s="56">
        <v>1319811.4370751993</v>
      </c>
      <c r="W74" s="55">
        <v>1249331.1260889908</v>
      </c>
      <c r="X74" s="57">
        <v>1302721.9918268358</v>
      </c>
      <c r="Y74" s="57">
        <v>1346533.7032651012</v>
      </c>
      <c r="Z74" s="57">
        <v>1457299.9038703195</v>
      </c>
      <c r="AA74" s="56">
        <v>1589680.601659243</v>
      </c>
    </row>
    <row r="75" spans="4:27" ht="14.25" x14ac:dyDescent="0.45">
      <c r="D75" s="180" t="str">
        <f>$D$15</f>
        <v>Straight line depreciation</v>
      </c>
      <c r="E75" s="55">
        <v>0</v>
      </c>
      <c r="F75" s="56">
        <v>0</v>
      </c>
      <c r="G75" s="55">
        <v>0</v>
      </c>
      <c r="H75" s="57">
        <v>0</v>
      </c>
      <c r="I75" s="57">
        <v>0</v>
      </c>
      <c r="J75" s="57">
        <v>0</v>
      </c>
      <c r="K75" s="56">
        <v>0</v>
      </c>
      <c r="M75" s="55">
        <v>0</v>
      </c>
      <c r="N75" s="56">
        <v>0</v>
      </c>
      <c r="O75" s="55">
        <v>0</v>
      </c>
      <c r="P75" s="57">
        <v>0</v>
      </c>
      <c r="Q75" s="57">
        <v>0</v>
      </c>
      <c r="R75" s="57">
        <v>0</v>
      </c>
      <c r="S75" s="56">
        <v>0</v>
      </c>
      <c r="U75" s="55">
        <v>-1454018.3589732125</v>
      </c>
      <c r="V75" s="56">
        <v>-2283683.6733874837</v>
      </c>
      <c r="W75" s="55">
        <v>-3282000.7722394676</v>
      </c>
      <c r="X75" s="57">
        <v>-3611527.8950727554</v>
      </c>
      <c r="Y75" s="57">
        <v>-3909425.4077047058</v>
      </c>
      <c r="Z75" s="57">
        <v>-4466144.8574625971</v>
      </c>
      <c r="AA75" s="56">
        <v>-5006720.853241791</v>
      </c>
    </row>
    <row r="76" spans="4:27" ht="14.25" x14ac:dyDescent="0.45">
      <c r="D76" s="180" t="str">
        <f>$D$16</f>
        <v>Actual additions (recognised in RAB)</v>
      </c>
      <c r="E76" s="55">
        <v>0</v>
      </c>
      <c r="F76" s="56">
        <v>0</v>
      </c>
      <c r="G76" s="55">
        <v>0</v>
      </c>
      <c r="H76" s="57">
        <v>0</v>
      </c>
      <c r="I76" s="57">
        <v>0</v>
      </c>
      <c r="J76" s="57">
        <v>0</v>
      </c>
      <c r="K76" s="56">
        <v>0</v>
      </c>
      <c r="M76" s="55">
        <v>0</v>
      </c>
      <c r="N76" s="56">
        <v>0</v>
      </c>
      <c r="O76" s="55">
        <v>0</v>
      </c>
      <c r="P76" s="57">
        <v>0</v>
      </c>
      <c r="Q76" s="57">
        <v>0</v>
      </c>
      <c r="R76" s="57">
        <v>0</v>
      </c>
      <c r="S76" s="56">
        <v>0</v>
      </c>
      <c r="U76" s="55">
        <v>10918853.764122089</v>
      </c>
      <c r="V76" s="56">
        <v>16922696.31492186</v>
      </c>
      <c r="W76" s="55">
        <v>5164071.3665025849</v>
      </c>
      <c r="X76" s="57">
        <v>5155925.6612968706</v>
      </c>
      <c r="Y76" s="57">
        <v>7814022.3104958842</v>
      </c>
      <c r="Z76" s="57">
        <v>9132670.0226456523</v>
      </c>
      <c r="AA76" s="56">
        <v>9943505.0259624533</v>
      </c>
    </row>
    <row r="77" spans="4:27" ht="14.65" thickBot="1" x14ac:dyDescent="0.5">
      <c r="D77" s="180" t="str">
        <f>$D$17</f>
        <v xml:space="preserve">Disposals </v>
      </c>
      <c r="E77" s="55">
        <v>0</v>
      </c>
      <c r="F77" s="56">
        <v>0</v>
      </c>
      <c r="G77" s="55">
        <v>0</v>
      </c>
      <c r="H77" s="57">
        <v>0</v>
      </c>
      <c r="I77" s="57">
        <v>0</v>
      </c>
      <c r="J77" s="57">
        <v>0</v>
      </c>
      <c r="K77" s="56">
        <v>0</v>
      </c>
      <c r="M77" s="55">
        <v>0</v>
      </c>
      <c r="N77" s="56">
        <v>0</v>
      </c>
      <c r="O77" s="55">
        <v>0</v>
      </c>
      <c r="P77" s="57">
        <v>0</v>
      </c>
      <c r="Q77" s="57">
        <v>0</v>
      </c>
      <c r="R77" s="57">
        <v>0</v>
      </c>
      <c r="S77" s="56">
        <v>0</v>
      </c>
      <c r="U77" s="55">
        <v>0</v>
      </c>
      <c r="V77" s="56">
        <v>0</v>
      </c>
      <c r="W77" s="55">
        <v>0</v>
      </c>
      <c r="X77" s="57">
        <v>0</v>
      </c>
      <c r="Y77" s="57">
        <v>0</v>
      </c>
      <c r="Z77" s="57">
        <v>0</v>
      </c>
      <c r="AA77" s="56">
        <v>0</v>
      </c>
    </row>
    <row r="78" spans="4:27" ht="13.5" thickBot="1" x14ac:dyDescent="0.35">
      <c r="D78" s="97" t="str">
        <f>$D$18</f>
        <v xml:space="preserve">Closing value </v>
      </c>
      <c r="E78" s="59">
        <f>SUM(E73:E77)</f>
        <v>0</v>
      </c>
      <c r="F78" s="59">
        <f t="shared" ref="F78:K78" si="54">SUM(F73:F77)</f>
        <v>0</v>
      </c>
      <c r="G78" s="59">
        <f t="shared" si="54"/>
        <v>0</v>
      </c>
      <c r="H78" s="59">
        <f t="shared" si="54"/>
        <v>0</v>
      </c>
      <c r="I78" s="59">
        <f t="shared" si="54"/>
        <v>0</v>
      </c>
      <c r="J78" s="59">
        <f t="shared" si="54"/>
        <v>0</v>
      </c>
      <c r="K78" s="60">
        <f t="shared" si="54"/>
        <v>0</v>
      </c>
      <c r="M78" s="59">
        <f>SUM(M73:M77)</f>
        <v>0</v>
      </c>
      <c r="N78" s="59">
        <f t="shared" ref="N78:S78" si="55">SUM(N73:N77)</f>
        <v>0</v>
      </c>
      <c r="O78" s="59">
        <f t="shared" si="55"/>
        <v>0</v>
      </c>
      <c r="P78" s="59">
        <f t="shared" si="55"/>
        <v>0</v>
      </c>
      <c r="Q78" s="59">
        <f t="shared" si="55"/>
        <v>0</v>
      </c>
      <c r="R78" s="59">
        <f t="shared" si="55"/>
        <v>0</v>
      </c>
      <c r="S78" s="60">
        <f t="shared" si="55"/>
        <v>0</v>
      </c>
      <c r="U78" s="59">
        <f>SUM(U73:U77)</f>
        <v>29400905.842930503</v>
      </c>
      <c r="V78" s="59">
        <f t="shared" ref="V78:AA78" si="56">SUM(V73:V77)</f>
        <v>44039918.484464876</v>
      </c>
      <c r="W78" s="59">
        <f t="shared" si="56"/>
        <v>45921989.07872799</v>
      </c>
      <c r="X78" s="59">
        <f t="shared" si="56"/>
        <v>47466386.844952106</v>
      </c>
      <c r="Y78" s="59">
        <f t="shared" si="56"/>
        <v>51370983.747743294</v>
      </c>
      <c r="Z78" s="59">
        <f t="shared" si="56"/>
        <v>56037508.912926346</v>
      </c>
      <c r="AA78" s="60">
        <f t="shared" si="56"/>
        <v>60974293.085647017</v>
      </c>
    </row>
    <row r="79" spans="4:27" ht="14.65" thickBot="1" x14ac:dyDescent="0.35">
      <c r="D79" s="177" t="s">
        <v>520</v>
      </c>
      <c r="E79" s="178"/>
      <c r="F79" s="178"/>
      <c r="G79" s="178"/>
      <c r="H79" s="178"/>
      <c r="I79" s="178"/>
      <c r="J79" s="178"/>
      <c r="K79" s="179"/>
      <c r="M79" s="178"/>
      <c r="N79" s="178"/>
      <c r="O79" s="178"/>
      <c r="P79" s="178"/>
      <c r="Q79" s="178"/>
      <c r="R79" s="178"/>
      <c r="S79" s="179"/>
      <c r="U79" s="178"/>
      <c r="V79" s="178"/>
      <c r="W79" s="178"/>
      <c r="X79" s="178"/>
      <c r="Y79" s="178"/>
      <c r="Z79" s="178"/>
      <c r="AA79" s="179"/>
    </row>
    <row r="80" spans="4:27" ht="14.25" x14ac:dyDescent="0.45">
      <c r="D80" s="95" t="str">
        <f>$D$13</f>
        <v>Opening value</v>
      </c>
      <c r="E80" s="55">
        <v>36329288.343468398</v>
      </c>
      <c r="F80" s="56">
        <v>57958728.795606546</v>
      </c>
      <c r="G80" s="55">
        <v>83047127.300026506</v>
      </c>
      <c r="H80" s="57">
        <v>96425784.924518213</v>
      </c>
      <c r="I80" s="57">
        <v>114949649.50492749</v>
      </c>
      <c r="J80" s="57">
        <v>129465284.13793604</v>
      </c>
      <c r="K80" s="56">
        <v>185947242.69553289</v>
      </c>
      <c r="M80" s="55">
        <v>36329288.343468398</v>
      </c>
      <c r="N80" s="56">
        <v>57958728.795606546</v>
      </c>
      <c r="O80" s="55">
        <v>83047127.300026506</v>
      </c>
      <c r="P80" s="57">
        <v>96425784.924518213</v>
      </c>
      <c r="Q80" s="57">
        <v>114949649.50492749</v>
      </c>
      <c r="R80" s="57">
        <v>129465284.13793604</v>
      </c>
      <c r="S80" s="56">
        <v>185947242.69553289</v>
      </c>
      <c r="U80" s="55">
        <v>1172830.2420887772</v>
      </c>
      <c r="V80" s="56">
        <v>1784158.2874195534</v>
      </c>
      <c r="W80" s="55">
        <v>2718739.5176121653</v>
      </c>
      <c r="X80" s="57">
        <v>2834926.3743467871</v>
      </c>
      <c r="Y80" s="57">
        <v>2930267.4962752168</v>
      </c>
      <c r="Z80" s="57">
        <v>3171312.036439593</v>
      </c>
      <c r="AA80" s="56">
        <v>3459393.0959218028</v>
      </c>
    </row>
    <row r="81" spans="4:27" ht="14.25" x14ac:dyDescent="0.45">
      <c r="D81" s="180" t="str">
        <f>$D$14</f>
        <v>Inflation addition</v>
      </c>
      <c r="E81" s="55">
        <v>2906343.0674774712</v>
      </c>
      <c r="F81" s="56">
        <v>2724060.2533935071</v>
      </c>
      <c r="G81" s="55">
        <v>2424677.1889166189</v>
      </c>
      <c r="H81" s="57">
        <v>2815285.8350560269</v>
      </c>
      <c r="I81" s="57">
        <v>3356116.0041290103</v>
      </c>
      <c r="J81" s="57">
        <v>3779920.2863668711</v>
      </c>
      <c r="K81" s="56">
        <v>5428990.1693644403</v>
      </c>
      <c r="M81" s="55">
        <v>2906343.0674774712</v>
      </c>
      <c r="N81" s="56">
        <v>2724060.2533935071</v>
      </c>
      <c r="O81" s="55">
        <v>2424677.1889166189</v>
      </c>
      <c r="P81" s="57">
        <v>2815285.8350560269</v>
      </c>
      <c r="Q81" s="57">
        <v>3356116.0041290103</v>
      </c>
      <c r="R81" s="57">
        <v>3779920.2863668711</v>
      </c>
      <c r="S81" s="56">
        <v>5428990.1693644403</v>
      </c>
      <c r="U81" s="55">
        <v>93826.419367102193</v>
      </c>
      <c r="V81" s="56">
        <v>83855.439508719021</v>
      </c>
      <c r="W81" s="55">
        <v>79377.407807798852</v>
      </c>
      <c r="X81" s="57">
        <v>82769.645809705893</v>
      </c>
      <c r="Y81" s="57">
        <v>85553.263389522021</v>
      </c>
      <c r="Z81" s="57">
        <v>92590.896322181841</v>
      </c>
      <c r="AA81" s="56">
        <v>101001.82631090915</v>
      </c>
    </row>
    <row r="82" spans="4:27" ht="14.25" x14ac:dyDescent="0.45">
      <c r="D82" s="180" t="str">
        <f>$D$15</f>
        <v>Straight line depreciation</v>
      </c>
      <c r="E82" s="55">
        <v>-4965803.8049874427</v>
      </c>
      <c r="F82" s="56">
        <v>-5965735.1271392852</v>
      </c>
      <c r="G82" s="55">
        <v>-10728265.567784952</v>
      </c>
      <c r="H82" s="57">
        <v>-9102722.5127220806</v>
      </c>
      <c r="I82" s="57">
        <v>-11253711.861318009</v>
      </c>
      <c r="J82" s="57">
        <v>-13167010.301418211</v>
      </c>
      <c r="K82" s="56">
        <v>-15958701.519060312</v>
      </c>
      <c r="M82" s="55">
        <v>-4965803.8049874427</v>
      </c>
      <c r="N82" s="56">
        <v>-5965735.1271392852</v>
      </c>
      <c r="O82" s="55">
        <v>-10728265.567784952</v>
      </c>
      <c r="P82" s="57">
        <v>-9102722.5127220806</v>
      </c>
      <c r="Q82" s="57">
        <v>-11253711.861318009</v>
      </c>
      <c r="R82" s="57">
        <v>-13167010.301418211</v>
      </c>
      <c r="S82" s="56">
        <v>-15958701.519060312</v>
      </c>
      <c r="U82" s="55">
        <v>-92382.400334130478</v>
      </c>
      <c r="V82" s="56">
        <v>-145095.95291519075</v>
      </c>
      <c r="W82" s="55">
        <v>-208524.95249926735</v>
      </c>
      <c r="X82" s="57">
        <v>-229461.76281852403</v>
      </c>
      <c r="Y82" s="57">
        <v>-248388.9566195299</v>
      </c>
      <c r="Z82" s="57">
        <v>-283760.64141562115</v>
      </c>
      <c r="AA82" s="56">
        <v>-318106.63694236323</v>
      </c>
    </row>
    <row r="83" spans="4:27" ht="14.25" x14ac:dyDescent="0.45">
      <c r="D83" s="180" t="str">
        <f>$D$16</f>
        <v>Actual additions (recognised in RAB)</v>
      </c>
      <c r="E83" s="55">
        <v>26412961.44304163</v>
      </c>
      <c r="F83" s="56">
        <v>30754750.56708236</v>
      </c>
      <c r="G83" s="55">
        <v>24497531.838416077</v>
      </c>
      <c r="H83" s="57">
        <v>28167417.26220433</v>
      </c>
      <c r="I83" s="57">
        <v>26193150.776564442</v>
      </c>
      <c r="J83" s="57">
        <v>71298038.742012605</v>
      </c>
      <c r="K83" s="56">
        <v>98043719.17405352</v>
      </c>
      <c r="M83" s="55">
        <v>26412961.44304163</v>
      </c>
      <c r="N83" s="56">
        <v>30754750.56708236</v>
      </c>
      <c r="O83" s="55">
        <v>24497531.838416077</v>
      </c>
      <c r="P83" s="57">
        <v>28167417.26220433</v>
      </c>
      <c r="Q83" s="57">
        <v>26193150.776564442</v>
      </c>
      <c r="R83" s="57">
        <v>71298038.742012605</v>
      </c>
      <c r="S83" s="56">
        <v>98043719.17405352</v>
      </c>
      <c r="U83" s="55">
        <v>693739.46580652345</v>
      </c>
      <c r="V83" s="56">
        <v>1075199.1514068823</v>
      </c>
      <c r="W83" s="55">
        <v>328104.04723579629</v>
      </c>
      <c r="X83" s="57">
        <v>327586.50232676946</v>
      </c>
      <c r="Y83" s="57">
        <v>496471.12971656572</v>
      </c>
      <c r="Z83" s="57">
        <v>580252.63088655856</v>
      </c>
      <c r="AA83" s="56">
        <v>631769.78224786301</v>
      </c>
    </row>
    <row r="84" spans="4:27" ht="14.65" thickBot="1" x14ac:dyDescent="0.5">
      <c r="D84" s="180" t="str">
        <f>$D$17</f>
        <v xml:space="preserve">Disposals </v>
      </c>
      <c r="E84" s="55">
        <v>0</v>
      </c>
      <c r="F84" s="56">
        <v>0</v>
      </c>
      <c r="G84" s="55">
        <v>0</v>
      </c>
      <c r="H84" s="57">
        <v>0</v>
      </c>
      <c r="I84" s="57">
        <v>0</v>
      </c>
      <c r="J84" s="57">
        <v>0</v>
      </c>
      <c r="K84" s="56">
        <v>0</v>
      </c>
      <c r="M84" s="55">
        <v>0</v>
      </c>
      <c r="N84" s="56">
        <v>0</v>
      </c>
      <c r="O84" s="55">
        <v>0</v>
      </c>
      <c r="P84" s="57">
        <v>0</v>
      </c>
      <c r="Q84" s="57">
        <v>0</v>
      </c>
      <c r="R84" s="57">
        <v>0</v>
      </c>
      <c r="S84" s="56">
        <v>0</v>
      </c>
      <c r="U84" s="55">
        <v>0</v>
      </c>
      <c r="V84" s="56">
        <v>0</v>
      </c>
      <c r="W84" s="55">
        <v>0</v>
      </c>
      <c r="X84" s="57">
        <v>0</v>
      </c>
      <c r="Y84" s="57">
        <v>0</v>
      </c>
      <c r="Z84" s="57">
        <v>0</v>
      </c>
      <c r="AA84" s="56">
        <v>0</v>
      </c>
    </row>
    <row r="85" spans="4:27" ht="13.5" thickBot="1" x14ac:dyDescent="0.35">
      <c r="D85" s="97" t="str">
        <f>$D$18</f>
        <v xml:space="preserve">Closing value </v>
      </c>
      <c r="E85" s="59">
        <f>SUM(E80:E84)</f>
        <v>60682789.049000055</v>
      </c>
      <c r="F85" s="59">
        <f t="shared" ref="F85:K85" si="57">SUM(F80:F84)</f>
        <v>85471804.48894313</v>
      </c>
      <c r="G85" s="59">
        <f t="shared" si="57"/>
        <v>99241070.759574264</v>
      </c>
      <c r="H85" s="59">
        <f t="shared" si="57"/>
        <v>118305765.50905649</v>
      </c>
      <c r="I85" s="59">
        <f t="shared" si="57"/>
        <v>133245204.42430294</v>
      </c>
      <c r="J85" s="59">
        <f t="shared" si="57"/>
        <v>191376232.86489731</v>
      </c>
      <c r="K85" s="60">
        <f t="shared" si="57"/>
        <v>273461250.51989055</v>
      </c>
      <c r="M85" s="59">
        <f>SUM(M80:M84)</f>
        <v>60682789.049000055</v>
      </c>
      <c r="N85" s="59">
        <f t="shared" ref="N85:S85" si="58">SUM(N80:N84)</f>
        <v>85471804.48894313</v>
      </c>
      <c r="O85" s="59">
        <f t="shared" si="58"/>
        <v>99241070.759574264</v>
      </c>
      <c r="P85" s="59">
        <f t="shared" si="58"/>
        <v>118305765.50905649</v>
      </c>
      <c r="Q85" s="59">
        <f t="shared" si="58"/>
        <v>133245204.42430294</v>
      </c>
      <c r="R85" s="59">
        <f t="shared" si="58"/>
        <v>191376232.86489731</v>
      </c>
      <c r="S85" s="60">
        <f t="shared" si="58"/>
        <v>273461250.51989055</v>
      </c>
      <c r="U85" s="59">
        <f>SUM(U80:U84)</f>
        <v>1868013.7269282723</v>
      </c>
      <c r="V85" s="59">
        <f t="shared" ref="V85:AA85" si="59">SUM(V80:V84)</f>
        <v>2798116.9254199639</v>
      </c>
      <c r="W85" s="59">
        <f t="shared" si="59"/>
        <v>2917696.0201564934</v>
      </c>
      <c r="X85" s="59">
        <f t="shared" si="59"/>
        <v>3015820.7596647381</v>
      </c>
      <c r="Y85" s="59">
        <f t="shared" si="59"/>
        <v>3263902.9327617749</v>
      </c>
      <c r="Z85" s="59">
        <f t="shared" si="59"/>
        <v>3560394.9222327122</v>
      </c>
      <c r="AA85" s="60">
        <f t="shared" si="59"/>
        <v>3874058.0675382121</v>
      </c>
    </row>
    <row r="86" spans="4:27" ht="14.65" thickBot="1" x14ac:dyDescent="0.35">
      <c r="D86" s="177" t="s">
        <v>521</v>
      </c>
      <c r="E86" s="178"/>
      <c r="F86" s="178"/>
      <c r="G86" s="178"/>
      <c r="H86" s="178"/>
      <c r="I86" s="178"/>
      <c r="J86" s="178"/>
      <c r="K86" s="179"/>
      <c r="M86" s="178"/>
      <c r="N86" s="178"/>
      <c r="O86" s="178"/>
      <c r="P86" s="178"/>
      <c r="Q86" s="178"/>
      <c r="R86" s="178"/>
      <c r="S86" s="179"/>
      <c r="U86" s="178"/>
      <c r="V86" s="178"/>
      <c r="W86" s="178"/>
      <c r="X86" s="178"/>
      <c r="Y86" s="178"/>
      <c r="Z86" s="178"/>
      <c r="AA86" s="179"/>
    </row>
    <row r="87" spans="4:27" ht="14.25" x14ac:dyDescent="0.45">
      <c r="D87" s="95" t="str">
        <f>$D$13</f>
        <v>Opening value</v>
      </c>
      <c r="E87" s="55">
        <v>36767702.08260341</v>
      </c>
      <c r="F87" s="56">
        <v>35458557.884292945</v>
      </c>
      <c r="G87" s="55">
        <v>36915715.194246948</v>
      </c>
      <c r="H87" s="57">
        <v>36380440.554242469</v>
      </c>
      <c r="I87" s="57">
        <v>37610837.414410971</v>
      </c>
      <c r="J87" s="57">
        <v>46703303.674800634</v>
      </c>
      <c r="K87" s="56">
        <v>45583549.218572013</v>
      </c>
      <c r="M87" s="55">
        <v>36767702.08260341</v>
      </c>
      <c r="N87" s="56">
        <v>35458557.884292945</v>
      </c>
      <c r="O87" s="55">
        <v>36915715.194246948</v>
      </c>
      <c r="P87" s="57">
        <v>36380440.554242469</v>
      </c>
      <c r="Q87" s="57">
        <v>37610837.414410971</v>
      </c>
      <c r="R87" s="57">
        <v>46703303.674800634</v>
      </c>
      <c r="S87" s="56">
        <v>45583549.218572013</v>
      </c>
      <c r="U87" s="55">
        <v>1282563.1656967106</v>
      </c>
      <c r="V87" s="56">
        <v>1951088.588184301</v>
      </c>
      <c r="W87" s="55">
        <v>2973111.5700113932</v>
      </c>
      <c r="X87" s="57">
        <v>3100169.1589430291</v>
      </c>
      <c r="Y87" s="57">
        <v>3204430.6341108447</v>
      </c>
      <c r="Z87" s="57">
        <v>3468027.9028481632</v>
      </c>
      <c r="AA87" s="56">
        <v>3783062.5450046691</v>
      </c>
    </row>
    <row r="88" spans="4:27" ht="14.25" x14ac:dyDescent="0.45">
      <c r="D88" s="180" t="str">
        <f>$D$14</f>
        <v>Inflation addition</v>
      </c>
      <c r="E88" s="55">
        <v>2941416.166608274</v>
      </c>
      <c r="F88" s="56">
        <v>1666552.2205617684</v>
      </c>
      <c r="G88" s="55">
        <v>1077806.0055065227</v>
      </c>
      <c r="H88" s="57">
        <v>1062177.912740164</v>
      </c>
      <c r="I88" s="57">
        <v>1098101.0722419645</v>
      </c>
      <c r="J88" s="57">
        <v>1363568.3587010568</v>
      </c>
      <c r="K88" s="56">
        <v>1330875.5591368221</v>
      </c>
      <c r="M88" s="55">
        <v>2941416.166608274</v>
      </c>
      <c r="N88" s="56">
        <v>1666552.2205617684</v>
      </c>
      <c r="O88" s="55">
        <v>1077806.0055065227</v>
      </c>
      <c r="P88" s="57">
        <v>1062177.912740164</v>
      </c>
      <c r="Q88" s="57">
        <v>1098101.0722419645</v>
      </c>
      <c r="R88" s="57">
        <v>1363568.3587010568</v>
      </c>
      <c r="S88" s="56">
        <v>1330875.5591368221</v>
      </c>
      <c r="U88" s="55">
        <v>102605.05325573687</v>
      </c>
      <c r="V88" s="56">
        <v>91701.163644662141</v>
      </c>
      <c r="W88" s="55">
        <v>86804.156125318492</v>
      </c>
      <c r="X88" s="57">
        <v>90513.780378163457</v>
      </c>
      <c r="Y88" s="57">
        <v>93557.840163746441</v>
      </c>
      <c r="Z88" s="57">
        <v>101253.93159215996</v>
      </c>
      <c r="AA88" s="56">
        <v>110451.80917552038</v>
      </c>
    </row>
    <row r="89" spans="4:27" ht="14.25" x14ac:dyDescent="0.45">
      <c r="D89" s="180" t="str">
        <f>$D$15</f>
        <v>Straight line depreciation</v>
      </c>
      <c r="E89" s="55">
        <v>-8297346.3001993988</v>
      </c>
      <c r="F89" s="56">
        <v>-9238667.2065994553</v>
      </c>
      <c r="G89" s="55">
        <v>-5286762.1001709132</v>
      </c>
      <c r="H89" s="57">
        <v>-6230073.3329015775</v>
      </c>
      <c r="I89" s="57">
        <v>-5285539.2401193436</v>
      </c>
      <c r="J89" s="57">
        <v>-7435642.050708659</v>
      </c>
      <c r="K89" s="56">
        <v>-7680294.5017673615</v>
      </c>
      <c r="M89" s="55">
        <v>-8297346.3001993988</v>
      </c>
      <c r="N89" s="56">
        <v>-9238667.2065994553</v>
      </c>
      <c r="O89" s="55">
        <v>-5286762.1001709132</v>
      </c>
      <c r="P89" s="57">
        <v>-6230073.3329015775</v>
      </c>
      <c r="Q89" s="57">
        <v>-5285539.2401193436</v>
      </c>
      <c r="R89" s="57">
        <v>-7435642.050708659</v>
      </c>
      <c r="S89" s="56">
        <v>-7680294.5017673615</v>
      </c>
      <c r="U89" s="55">
        <v>-101025.9281992785</v>
      </c>
      <c r="V89" s="56">
        <v>-158671.49227773878</v>
      </c>
      <c r="W89" s="55">
        <v>-228035.06731537048</v>
      </c>
      <c r="X89" s="57">
        <v>-250930.77784448621</v>
      </c>
      <c r="Y89" s="57">
        <v>-271628.8471200018</v>
      </c>
      <c r="Z89" s="57">
        <v>-310309.9949963601</v>
      </c>
      <c r="AA89" s="56">
        <v>-347869.48755628074</v>
      </c>
    </row>
    <row r="90" spans="4:27" ht="14.25" x14ac:dyDescent="0.45">
      <c r="D90" s="180" t="str">
        <f>$D$16</f>
        <v>Actual additions (recognised in RAB)</v>
      </c>
      <c r="E90" s="55">
        <v>5713338.1558424197</v>
      </c>
      <c r="F90" s="56">
        <v>10107078.301498223</v>
      </c>
      <c r="G90" s="55">
        <v>4735859.367400079</v>
      </c>
      <c r="H90" s="57">
        <v>7496393.3525718749</v>
      </c>
      <c r="I90" s="57">
        <v>14643472.78696811</v>
      </c>
      <c r="J90" s="57">
        <v>6283194.7949157953</v>
      </c>
      <c r="K90" s="56">
        <v>6479410.9158108933</v>
      </c>
      <c r="M90" s="55">
        <v>5713338.1558424197</v>
      </c>
      <c r="N90" s="56">
        <v>10107078.301498223</v>
      </c>
      <c r="O90" s="55">
        <v>4735859.367400079</v>
      </c>
      <c r="P90" s="57">
        <v>7496393.3525718749</v>
      </c>
      <c r="Q90" s="57">
        <v>14643472.78696811</v>
      </c>
      <c r="R90" s="57">
        <v>6283194.7949157953</v>
      </c>
      <c r="S90" s="56">
        <v>6479410.9158108933</v>
      </c>
      <c r="U90" s="55">
        <v>758647.46107579395</v>
      </c>
      <c r="V90" s="56">
        <v>1175797.4665854874</v>
      </c>
      <c r="W90" s="55">
        <v>358802.28049985133</v>
      </c>
      <c r="X90" s="57">
        <v>358236.31279788486</v>
      </c>
      <c r="Y90" s="57">
        <v>542922.20728573413</v>
      </c>
      <c r="Z90" s="57">
        <v>634542.51473622606</v>
      </c>
      <c r="AA90" s="56">
        <v>690879.73931184353</v>
      </c>
    </row>
    <row r="91" spans="4:27" ht="14.65" thickBot="1" x14ac:dyDescent="0.5">
      <c r="D91" s="180" t="str">
        <f>$D$17</f>
        <v xml:space="preserve">Disposals </v>
      </c>
      <c r="E91" s="55">
        <v>0</v>
      </c>
      <c r="F91" s="56">
        <v>0</v>
      </c>
      <c r="G91" s="55">
        <v>0</v>
      </c>
      <c r="H91" s="57">
        <v>0</v>
      </c>
      <c r="I91" s="57">
        <v>0</v>
      </c>
      <c r="J91" s="57">
        <v>0</v>
      </c>
      <c r="K91" s="56">
        <v>0</v>
      </c>
      <c r="M91" s="55">
        <v>0</v>
      </c>
      <c r="N91" s="56">
        <v>0</v>
      </c>
      <c r="O91" s="55">
        <v>0</v>
      </c>
      <c r="P91" s="57">
        <v>0</v>
      </c>
      <c r="Q91" s="57">
        <v>0</v>
      </c>
      <c r="R91" s="57">
        <v>0</v>
      </c>
      <c r="S91" s="56">
        <v>0</v>
      </c>
      <c r="U91" s="55">
        <v>0</v>
      </c>
      <c r="V91" s="56">
        <v>0</v>
      </c>
      <c r="W91" s="55">
        <v>0</v>
      </c>
      <c r="X91" s="57">
        <v>0</v>
      </c>
      <c r="Y91" s="57">
        <v>0</v>
      </c>
      <c r="Z91" s="57">
        <v>0</v>
      </c>
      <c r="AA91" s="56">
        <v>0</v>
      </c>
    </row>
    <row r="92" spans="4:27" ht="13.5" thickBot="1" x14ac:dyDescent="0.35">
      <c r="D92" s="97" t="str">
        <f>$D$18</f>
        <v xml:space="preserve">Closing value </v>
      </c>
      <c r="E92" s="59">
        <f>SUM(E87:E91)</f>
        <v>37125110.104854703</v>
      </c>
      <c r="F92" s="59">
        <f t="shared" ref="F92:K92" si="60">SUM(F87:F91)</f>
        <v>37993521.199753478</v>
      </c>
      <c r="G92" s="59">
        <f t="shared" si="60"/>
        <v>37442618.466982633</v>
      </c>
      <c r="H92" s="59">
        <f t="shared" si="60"/>
        <v>38708938.486652926</v>
      </c>
      <c r="I92" s="59">
        <f t="shared" si="60"/>
        <v>48066872.0335017</v>
      </c>
      <c r="J92" s="59">
        <f t="shared" si="60"/>
        <v>46914424.777708828</v>
      </c>
      <c r="K92" s="60">
        <f t="shared" si="60"/>
        <v>45713541.191752367</v>
      </c>
      <c r="M92" s="59">
        <f>SUM(M87:M91)</f>
        <v>37125110.104854703</v>
      </c>
      <c r="N92" s="59">
        <f t="shared" ref="N92:S92" si="61">SUM(N87:N91)</f>
        <v>37993521.199753478</v>
      </c>
      <c r="O92" s="59">
        <f t="shared" si="61"/>
        <v>37442618.466982633</v>
      </c>
      <c r="P92" s="59">
        <f t="shared" si="61"/>
        <v>38708938.486652926</v>
      </c>
      <c r="Q92" s="59">
        <f t="shared" si="61"/>
        <v>48066872.0335017</v>
      </c>
      <c r="R92" s="59">
        <f t="shared" si="61"/>
        <v>46914424.777708828</v>
      </c>
      <c r="S92" s="60">
        <f t="shared" si="61"/>
        <v>45713541.191752367</v>
      </c>
      <c r="U92" s="59">
        <f>SUM(U87:U91)</f>
        <v>2042789.7518289629</v>
      </c>
      <c r="V92" s="59">
        <f t="shared" ref="V92:AA92" si="62">SUM(V87:V91)</f>
        <v>3059915.7261367114</v>
      </c>
      <c r="W92" s="59">
        <f t="shared" si="62"/>
        <v>3190682.9393211924</v>
      </c>
      <c r="X92" s="59">
        <f t="shared" si="62"/>
        <v>3297988.4742745911</v>
      </c>
      <c r="Y92" s="59">
        <f t="shared" si="62"/>
        <v>3569281.8344403235</v>
      </c>
      <c r="Z92" s="59">
        <f t="shared" si="62"/>
        <v>3893514.3541801888</v>
      </c>
      <c r="AA92" s="60">
        <f t="shared" si="62"/>
        <v>4236524.6059357524</v>
      </c>
    </row>
    <row r="93" spans="4:27" ht="11.25" customHeight="1" x14ac:dyDescent="0.3"/>
    <row r="94" spans="4:27" ht="18" x14ac:dyDescent="0.5">
      <c r="D94" s="48" t="s">
        <v>137</v>
      </c>
      <c r="E94" s="49"/>
      <c r="F94" s="49"/>
      <c r="G94" s="49"/>
      <c r="H94" s="49"/>
      <c r="I94" s="49"/>
      <c r="J94" s="49"/>
      <c r="K94" s="49"/>
      <c r="M94" s="49"/>
      <c r="N94" s="49"/>
      <c r="O94" s="49"/>
      <c r="P94" s="49"/>
      <c r="Q94" s="49"/>
      <c r="R94" s="49"/>
      <c r="S94" s="49"/>
      <c r="U94" s="49"/>
      <c r="V94" s="49"/>
      <c r="W94" s="49"/>
      <c r="X94" s="49"/>
      <c r="Y94" s="49"/>
      <c r="Z94" s="49"/>
      <c r="AA94" s="49"/>
    </row>
    <row r="95" spans="4:27" ht="14.65" thickBot="1" x14ac:dyDescent="0.5">
      <c r="D95"/>
      <c r="E95" s="619" t="s">
        <v>503</v>
      </c>
      <c r="F95" s="619"/>
      <c r="G95" s="619"/>
      <c r="H95" s="619"/>
      <c r="I95" s="619"/>
      <c r="J95" s="619"/>
      <c r="K95" s="619"/>
      <c r="M95" s="619" t="s">
        <v>454</v>
      </c>
      <c r="N95" s="619"/>
      <c r="O95" s="619"/>
      <c r="P95" s="619"/>
      <c r="Q95" s="619"/>
      <c r="R95" s="619"/>
      <c r="S95" s="619"/>
      <c r="U95" s="619" t="s">
        <v>456</v>
      </c>
      <c r="V95" s="619"/>
      <c r="W95" s="619"/>
      <c r="X95" s="619"/>
      <c r="Y95" s="619"/>
      <c r="Z95" s="619"/>
      <c r="AA95" s="619"/>
    </row>
    <row r="96" spans="4:27" ht="26.1" customHeight="1" thickBot="1" x14ac:dyDescent="0.35">
      <c r="D96"/>
      <c r="E96" s="422" t="str">
        <f>'WkB_1_2.1.1'!$E$9</f>
        <v>Forecast 
($0's. real June 2024)</v>
      </c>
      <c r="F96" s="423"/>
      <c r="G96" s="423"/>
      <c r="H96" s="423"/>
      <c r="I96" s="423"/>
      <c r="J96" s="423"/>
      <c r="K96" s="424"/>
      <c r="M96" s="422" t="str">
        <f>'WkB_1_2.1.1'!$E$9</f>
        <v>Forecast 
($0's. real June 2024)</v>
      </c>
      <c r="N96" s="423"/>
      <c r="O96" s="423"/>
      <c r="P96" s="423"/>
      <c r="Q96" s="423"/>
      <c r="R96" s="423"/>
      <c r="S96" s="424"/>
      <c r="U96" s="422" t="str">
        <f>'WkB_1_2.1.1'!$E$9</f>
        <v>Forecast 
($0's. real June 2024)</v>
      </c>
      <c r="V96" s="423"/>
      <c r="W96" s="423"/>
      <c r="X96" s="423"/>
      <c r="Y96" s="423"/>
      <c r="Z96" s="423"/>
      <c r="AA96" s="424"/>
    </row>
    <row r="97" spans="4:27" ht="13.5" thickBot="1" x14ac:dyDescent="0.35">
      <c r="D97"/>
      <c r="E97" s="417" t="str">
        <f>'WkB_1_2.1.1'!$E$10</f>
        <v>2022-23</v>
      </c>
      <c r="F97" s="418" t="str">
        <f>'WkB_1_2.1.1'!$F$10</f>
        <v>2023-24</v>
      </c>
      <c r="G97" s="419" t="str">
        <f>'WkB_1_2.1.1'!$G$10</f>
        <v>2024-25</v>
      </c>
      <c r="H97" s="420" t="str">
        <f>'WkB_1_2.1.1'!$H$10</f>
        <v>2025-26</v>
      </c>
      <c r="I97" s="420" t="str">
        <f>'WkB_1_2.1.1'!$I$10</f>
        <v>2026-27</v>
      </c>
      <c r="J97" s="420" t="str">
        <f>'WkB_1_2.1.1'!$J$10</f>
        <v>2027-28</v>
      </c>
      <c r="K97" s="421" t="str">
        <f>'WkB_1_2.1.1'!$K$10</f>
        <v>2028-29</v>
      </c>
      <c r="M97" s="417" t="str">
        <f>'WkB_1_2.1.1'!$E$10</f>
        <v>2022-23</v>
      </c>
      <c r="N97" s="418" t="str">
        <f>'WkB_1_2.1.1'!$F$10</f>
        <v>2023-24</v>
      </c>
      <c r="O97" s="419" t="str">
        <f>'WkB_1_2.1.1'!$G$10</f>
        <v>2024-25</v>
      </c>
      <c r="P97" s="420" t="str">
        <f>'WkB_1_2.1.1'!$H$10</f>
        <v>2025-26</v>
      </c>
      <c r="Q97" s="420" t="str">
        <f>'WkB_1_2.1.1'!$I$10</f>
        <v>2026-27</v>
      </c>
      <c r="R97" s="420" t="str">
        <f>'WkB_1_2.1.1'!$J$10</f>
        <v>2027-28</v>
      </c>
      <c r="S97" s="421" t="str">
        <f>'WkB_1_2.1.1'!$K$10</f>
        <v>2028-29</v>
      </c>
      <c r="U97" s="417" t="str">
        <f>'WkB_1_2.1.1'!$E$10</f>
        <v>2022-23</v>
      </c>
      <c r="V97" s="418" t="str">
        <f>'WkB_1_2.1.1'!$F$10</f>
        <v>2023-24</v>
      </c>
      <c r="W97" s="419" t="str">
        <f>'WkB_1_2.1.1'!$G$10</f>
        <v>2024-25</v>
      </c>
      <c r="X97" s="420" t="str">
        <f>'WkB_1_2.1.1'!$H$10</f>
        <v>2025-26</v>
      </c>
      <c r="Y97" s="420" t="str">
        <f>'WkB_1_2.1.1'!$I$10</f>
        <v>2026-27</v>
      </c>
      <c r="Z97" s="420" t="str">
        <f>'WkB_1_2.1.1'!$J$10</f>
        <v>2027-28</v>
      </c>
      <c r="AA97" s="421" t="str">
        <f>'WkB_1_2.1.1'!$K$10</f>
        <v>2028-29</v>
      </c>
    </row>
    <row r="98" spans="4:27" ht="14.25" x14ac:dyDescent="0.45">
      <c r="D98" s="95" t="s">
        <v>504</v>
      </c>
      <c r="E98" s="404">
        <v>79871494.559217602</v>
      </c>
      <c r="F98" s="405">
        <v>86869979.312111586</v>
      </c>
      <c r="G98" s="406">
        <v>91915642.712577492</v>
      </c>
      <c r="H98" s="407">
        <v>95967991.167935908</v>
      </c>
      <c r="I98" s="407">
        <v>100195441.58157197</v>
      </c>
      <c r="J98" s="407">
        <v>103863639.89999333</v>
      </c>
      <c r="K98" s="405">
        <v>107016176.21272898</v>
      </c>
      <c r="M98" s="404">
        <v>102674124.6385169</v>
      </c>
      <c r="N98" s="405">
        <v>109665527.43451619</v>
      </c>
      <c r="O98" s="406">
        <v>114785820.42500503</v>
      </c>
      <c r="P98" s="407">
        <v>118829026.07781497</v>
      </c>
      <c r="Q98" s="407">
        <v>123075451.7818162</v>
      </c>
      <c r="R98" s="407">
        <v>126719891.99078056</v>
      </c>
      <c r="S98" s="405">
        <v>129809811.91863507</v>
      </c>
      <c r="U98" s="404">
        <v>0</v>
      </c>
      <c r="V98" s="405">
        <v>0</v>
      </c>
      <c r="W98" s="406">
        <v>0</v>
      </c>
      <c r="X98" s="407">
        <v>0</v>
      </c>
      <c r="Y98" s="407">
        <v>0</v>
      </c>
      <c r="Z98" s="407">
        <v>0</v>
      </c>
      <c r="AA98" s="405">
        <v>0</v>
      </c>
    </row>
    <row r="99" spans="4:27" ht="14.25" x14ac:dyDescent="0.45">
      <c r="D99" s="181" t="s">
        <v>505</v>
      </c>
      <c r="E99" s="408">
        <v>165450892.7870298</v>
      </c>
      <c r="F99" s="56">
        <v>179947999.13157478</v>
      </c>
      <c r="G99" s="55">
        <v>190399907.14853302</v>
      </c>
      <c r="H99" s="57">
        <v>198794199.42418468</v>
      </c>
      <c r="I99" s="57">
        <v>207551209.03078991</v>
      </c>
      <c r="J99" s="57">
        <v>215149748.28502566</v>
      </c>
      <c r="K99" s="56">
        <v>221680112.47019732</v>
      </c>
      <c r="M99" s="408">
        <v>212685710.73218936</v>
      </c>
      <c r="N99" s="56">
        <v>227168147.0608874</v>
      </c>
      <c r="O99" s="55">
        <v>237774647.55624825</v>
      </c>
      <c r="P99" s="57">
        <v>246150000.84931824</v>
      </c>
      <c r="Q99" s="57">
        <v>254946317.07900769</v>
      </c>
      <c r="R99" s="57">
        <v>262495642.27455723</v>
      </c>
      <c r="S99" s="56">
        <v>268896298.89836603</v>
      </c>
      <c r="U99" s="408">
        <v>0</v>
      </c>
      <c r="V99" s="56">
        <v>0</v>
      </c>
      <c r="W99" s="55">
        <v>0</v>
      </c>
      <c r="X99" s="57">
        <v>0</v>
      </c>
      <c r="Y99" s="57">
        <v>0</v>
      </c>
      <c r="Z99" s="57">
        <v>0</v>
      </c>
      <c r="AA99" s="56">
        <v>0</v>
      </c>
    </row>
    <row r="100" spans="4:27" ht="14.25" x14ac:dyDescent="0.45">
      <c r="D100" s="181" t="s">
        <v>506</v>
      </c>
      <c r="E100" s="408">
        <v>129454123.46819489</v>
      </c>
      <c r="F100" s="56">
        <v>132751509.58370842</v>
      </c>
      <c r="G100" s="55">
        <v>135525596.59283382</v>
      </c>
      <c r="H100" s="57">
        <v>138614162.1289151</v>
      </c>
      <c r="I100" s="57">
        <v>141792305.34526056</v>
      </c>
      <c r="J100" s="57">
        <v>145028414.39469379</v>
      </c>
      <c r="K100" s="56">
        <v>148324692.27152526</v>
      </c>
      <c r="M100" s="408">
        <v>168216740.35152465</v>
      </c>
      <c r="N100" s="56">
        <v>170648900.62106493</v>
      </c>
      <c r="O100" s="55">
        <v>172976042.13319257</v>
      </c>
      <c r="P100" s="57">
        <v>175668103.54946885</v>
      </c>
      <c r="Q100" s="57">
        <v>178478009.36084598</v>
      </c>
      <c r="R100" s="57">
        <v>181370553.75543973</v>
      </c>
      <c r="S100" s="56">
        <v>184347609.32802784</v>
      </c>
      <c r="U100" s="408">
        <v>0</v>
      </c>
      <c r="V100" s="56">
        <v>0</v>
      </c>
      <c r="W100" s="55">
        <v>0</v>
      </c>
      <c r="X100" s="57">
        <v>0</v>
      </c>
      <c r="Y100" s="57">
        <v>0</v>
      </c>
      <c r="Z100" s="57">
        <v>0</v>
      </c>
      <c r="AA100" s="56">
        <v>0</v>
      </c>
    </row>
    <row r="101" spans="4:27" ht="14.25" x14ac:dyDescent="0.45">
      <c r="D101" s="181" t="s">
        <v>507</v>
      </c>
      <c r="E101" s="408">
        <v>124497553.3287535</v>
      </c>
      <c r="F101" s="56">
        <v>125723298.92469415</v>
      </c>
      <c r="G101" s="55">
        <v>125932505.32678658</v>
      </c>
      <c r="H101" s="57">
        <v>124161087.9954038</v>
      </c>
      <c r="I101" s="57">
        <v>122112643.9879714</v>
      </c>
      <c r="J101" s="57">
        <v>118311444.89809173</v>
      </c>
      <c r="K101" s="56">
        <v>114166796.34974909</v>
      </c>
      <c r="M101" s="408">
        <v>124497553.3287535</v>
      </c>
      <c r="N101" s="56">
        <v>125723298.92469415</v>
      </c>
      <c r="O101" s="55">
        <v>125932505.32678658</v>
      </c>
      <c r="P101" s="57">
        <v>124161087.9954038</v>
      </c>
      <c r="Q101" s="57">
        <v>122112643.9879714</v>
      </c>
      <c r="R101" s="57">
        <v>118311444.89809173</v>
      </c>
      <c r="S101" s="56">
        <v>114166796.34974909</v>
      </c>
      <c r="U101" s="408">
        <v>0</v>
      </c>
      <c r="V101" s="56">
        <v>0</v>
      </c>
      <c r="W101" s="55">
        <v>0</v>
      </c>
      <c r="X101" s="57">
        <v>0</v>
      </c>
      <c r="Y101" s="57">
        <v>0</v>
      </c>
      <c r="Z101" s="57">
        <v>0</v>
      </c>
      <c r="AA101" s="56">
        <v>0</v>
      </c>
    </row>
    <row r="102" spans="4:27" ht="14.25" x14ac:dyDescent="0.45">
      <c r="D102" s="181" t="s">
        <v>508</v>
      </c>
      <c r="E102" s="408">
        <v>62296826.066187203</v>
      </c>
      <c r="F102" s="56">
        <v>62910171.936447576</v>
      </c>
      <c r="G102" s="55">
        <v>63014855.879983962</v>
      </c>
      <c r="H102" s="57">
        <v>62128463.541876085</v>
      </c>
      <c r="I102" s="57">
        <v>61103450.948252141</v>
      </c>
      <c r="J102" s="57">
        <v>59201384.34361878</v>
      </c>
      <c r="K102" s="56">
        <v>57127460.456618637</v>
      </c>
      <c r="M102" s="408">
        <v>62296826.066187203</v>
      </c>
      <c r="N102" s="56">
        <v>62910171.936447576</v>
      </c>
      <c r="O102" s="55">
        <v>63014855.879983962</v>
      </c>
      <c r="P102" s="57">
        <v>62128463.541876085</v>
      </c>
      <c r="Q102" s="57">
        <v>61103450.948252141</v>
      </c>
      <c r="R102" s="57">
        <v>59201384.34361878</v>
      </c>
      <c r="S102" s="56">
        <v>57127460.456618637</v>
      </c>
      <c r="U102" s="408">
        <v>0</v>
      </c>
      <c r="V102" s="56">
        <v>0</v>
      </c>
      <c r="W102" s="55">
        <v>0</v>
      </c>
      <c r="X102" s="57">
        <v>0</v>
      </c>
      <c r="Y102" s="57">
        <v>0</v>
      </c>
      <c r="Z102" s="57">
        <v>0</v>
      </c>
      <c r="AA102" s="56">
        <v>0</v>
      </c>
    </row>
    <row r="103" spans="4:27" ht="14.25" x14ac:dyDescent="0.45">
      <c r="D103" s="620" t="s">
        <v>509</v>
      </c>
      <c r="E103" s="408">
        <v>361765071.93888688</v>
      </c>
      <c r="F103" s="56">
        <v>369872922.43669009</v>
      </c>
      <c r="G103" s="55">
        <v>380894166.04492259</v>
      </c>
      <c r="H103" s="57">
        <v>385246596.49129301</v>
      </c>
      <c r="I103" s="57">
        <v>376923263.54929662</v>
      </c>
      <c r="J103" s="57">
        <v>360169376.28818309</v>
      </c>
      <c r="K103" s="56">
        <v>340832442.54338449</v>
      </c>
      <c r="M103" s="408">
        <v>361765071.93888688</v>
      </c>
      <c r="N103" s="56">
        <v>369872922.43669009</v>
      </c>
      <c r="O103" s="55">
        <v>380894166.04492259</v>
      </c>
      <c r="P103" s="57">
        <v>385246596.49129301</v>
      </c>
      <c r="Q103" s="57">
        <v>376923263.54929662</v>
      </c>
      <c r="R103" s="57">
        <v>360169376.28818309</v>
      </c>
      <c r="S103" s="56">
        <v>340832442.54338449</v>
      </c>
      <c r="U103" s="408">
        <v>0</v>
      </c>
      <c r="V103" s="56">
        <v>0</v>
      </c>
      <c r="W103" s="55">
        <v>0</v>
      </c>
      <c r="X103" s="57">
        <v>0</v>
      </c>
      <c r="Y103" s="57">
        <v>0</v>
      </c>
      <c r="Z103" s="57">
        <v>0</v>
      </c>
      <c r="AA103" s="56">
        <v>0</v>
      </c>
    </row>
    <row r="104" spans="4:27" ht="14.25" x14ac:dyDescent="0.45">
      <c r="D104" s="620" t="s">
        <v>510</v>
      </c>
      <c r="E104" s="408">
        <v>53035916.877909049</v>
      </c>
      <c r="F104" s="56">
        <v>53927394.349580586</v>
      </c>
      <c r="G104" s="55">
        <v>54467698.754686087</v>
      </c>
      <c r="H104" s="57">
        <v>54467698.754686087</v>
      </c>
      <c r="I104" s="57">
        <v>54467698.754686087</v>
      </c>
      <c r="J104" s="57">
        <v>54467698.754686102</v>
      </c>
      <c r="K104" s="56">
        <v>54467698.754686102</v>
      </c>
      <c r="M104" s="408">
        <v>53035916.877909049</v>
      </c>
      <c r="N104" s="56">
        <v>53927394.349580586</v>
      </c>
      <c r="O104" s="55">
        <v>54467698.754686087</v>
      </c>
      <c r="P104" s="57">
        <v>54467698.754686087</v>
      </c>
      <c r="Q104" s="57">
        <v>54467698.754686087</v>
      </c>
      <c r="R104" s="57">
        <v>54467698.754686102</v>
      </c>
      <c r="S104" s="56">
        <v>54467698.754686102</v>
      </c>
      <c r="U104" s="408">
        <v>0</v>
      </c>
      <c r="V104" s="56">
        <v>0</v>
      </c>
      <c r="W104" s="55">
        <v>0</v>
      </c>
      <c r="X104" s="57">
        <v>0</v>
      </c>
      <c r="Y104" s="57">
        <v>0</v>
      </c>
      <c r="Z104" s="57">
        <v>0</v>
      </c>
      <c r="AA104" s="56">
        <v>0</v>
      </c>
    </row>
    <row r="105" spans="4:27" ht="14.25" x14ac:dyDescent="0.45">
      <c r="D105" s="620" t="s">
        <v>511</v>
      </c>
      <c r="E105" s="408">
        <v>0</v>
      </c>
      <c r="F105" s="56">
        <v>0</v>
      </c>
      <c r="G105" s="55">
        <v>0</v>
      </c>
      <c r="H105" s="57">
        <v>0</v>
      </c>
      <c r="I105" s="57">
        <v>0</v>
      </c>
      <c r="J105" s="57">
        <v>0</v>
      </c>
      <c r="K105" s="56">
        <v>0</v>
      </c>
      <c r="M105" s="408">
        <v>0</v>
      </c>
      <c r="N105" s="56">
        <v>0</v>
      </c>
      <c r="O105" s="55">
        <v>0</v>
      </c>
      <c r="P105" s="57">
        <v>0</v>
      </c>
      <c r="Q105" s="57">
        <v>0</v>
      </c>
      <c r="R105" s="57">
        <v>0</v>
      </c>
      <c r="S105" s="56">
        <v>0</v>
      </c>
      <c r="U105" s="408">
        <v>23930115.161178969</v>
      </c>
      <c r="V105" s="56">
        <v>36060506.445160091</v>
      </c>
      <c r="W105" s="55">
        <v>44356288.218551934</v>
      </c>
      <c r="X105" s="57">
        <v>46042826.965926632</v>
      </c>
      <c r="Y105" s="57">
        <v>48745418.444715157</v>
      </c>
      <c r="Z105" s="57">
        <v>52975596.378399655</v>
      </c>
      <c r="AA105" s="56">
        <v>57711060.698457062</v>
      </c>
    </row>
    <row r="106" spans="4:27" ht="14.25" x14ac:dyDescent="0.45">
      <c r="D106" s="620" t="s">
        <v>512</v>
      </c>
      <c r="E106" s="408">
        <v>48506038.696234226</v>
      </c>
      <c r="F106" s="56">
        <v>71715266.642274842</v>
      </c>
      <c r="G106" s="55">
        <v>91144099.029800385</v>
      </c>
      <c r="H106" s="57">
        <v>107365775.21678735</v>
      </c>
      <c r="I106" s="57">
        <v>124097426.96461521</v>
      </c>
      <c r="J106" s="57">
        <v>160420758.50141668</v>
      </c>
      <c r="K106" s="56">
        <v>229704246.60771173</v>
      </c>
      <c r="M106" s="408">
        <v>48506038.696234226</v>
      </c>
      <c r="N106" s="56">
        <v>71715266.642274842</v>
      </c>
      <c r="O106" s="55">
        <v>91144099.029800385</v>
      </c>
      <c r="P106" s="57">
        <v>107365775.21678735</v>
      </c>
      <c r="Q106" s="57">
        <v>124097426.96461521</v>
      </c>
      <c r="R106" s="57">
        <v>160420758.50141668</v>
      </c>
      <c r="S106" s="56">
        <v>229704246.60771173</v>
      </c>
      <c r="U106" s="408">
        <v>1520421.9845085246</v>
      </c>
      <c r="V106" s="56">
        <v>2291137.6064197589</v>
      </c>
      <c r="W106" s="55">
        <v>2818217.7688843291</v>
      </c>
      <c r="X106" s="57">
        <v>2925373.5670057628</v>
      </c>
      <c r="Y106" s="57">
        <v>3097085.2145184958</v>
      </c>
      <c r="Z106" s="57">
        <v>3365853.4793361528</v>
      </c>
      <c r="AA106" s="56">
        <v>3666725.5817300072</v>
      </c>
    </row>
    <row r="107" spans="4:27" ht="14.65" thickBot="1" x14ac:dyDescent="0.5">
      <c r="D107" s="97" t="s">
        <v>513</v>
      </c>
      <c r="E107" s="409">
        <v>36946406.093729056</v>
      </c>
      <c r="F107" s="410">
        <v>36726039.542023212</v>
      </c>
      <c r="G107" s="411">
        <v>37179166.83061479</v>
      </c>
      <c r="H107" s="412">
        <v>37544689.520447701</v>
      </c>
      <c r="I107" s="412">
        <v>42838854.723956332</v>
      </c>
      <c r="J107" s="412">
        <v>46808864.226254731</v>
      </c>
      <c r="K107" s="410">
        <v>45648545.20516219</v>
      </c>
      <c r="M107" s="409">
        <v>36946406.093729056</v>
      </c>
      <c r="N107" s="410">
        <v>36726039.542023212</v>
      </c>
      <c r="O107" s="411">
        <v>37179166.83061479</v>
      </c>
      <c r="P107" s="412">
        <v>37544689.520447701</v>
      </c>
      <c r="Q107" s="412">
        <v>42838854.723956332</v>
      </c>
      <c r="R107" s="412">
        <v>46808864.226254731</v>
      </c>
      <c r="S107" s="410">
        <v>45648545.20516219</v>
      </c>
      <c r="U107" s="409">
        <v>1662676.4587628366</v>
      </c>
      <c r="V107" s="410">
        <v>2505502.1571605061</v>
      </c>
      <c r="W107" s="411">
        <v>3081897.254666293</v>
      </c>
      <c r="X107" s="412">
        <v>3199078.8166088099</v>
      </c>
      <c r="Y107" s="412">
        <v>3386856.2342755841</v>
      </c>
      <c r="Z107" s="412">
        <v>3680771.1285141762</v>
      </c>
      <c r="AA107" s="410">
        <v>4009793.575470211</v>
      </c>
    </row>
    <row r="108" spans="4:27" ht="11.25" customHeight="1" thickBot="1" x14ac:dyDescent="0.5">
      <c r="D108" s="97" t="s">
        <v>727</v>
      </c>
      <c r="E108" s="409">
        <v>0</v>
      </c>
      <c r="F108" s="410">
        <v>0</v>
      </c>
      <c r="G108" s="411">
        <v>0</v>
      </c>
      <c r="H108" s="412">
        <v>0</v>
      </c>
      <c r="I108" s="412">
        <v>0</v>
      </c>
      <c r="J108" s="412">
        <v>0</v>
      </c>
      <c r="K108" s="410">
        <v>0</v>
      </c>
      <c r="M108" s="409">
        <v>-6415341.617651633</v>
      </c>
      <c r="N108" s="410">
        <v>-14039473.671079667</v>
      </c>
      <c r="O108" s="411">
        <v>-4830604.7236713273</v>
      </c>
      <c r="P108" s="412">
        <v>-243726.99101115938</v>
      </c>
      <c r="Q108" s="412">
        <v>-239129.56606432417</v>
      </c>
      <c r="R108" s="412">
        <v>-234194.83054661637</v>
      </c>
      <c r="S108" s="410">
        <v>-229866.14077328573</v>
      </c>
      <c r="U108" s="409">
        <v>0</v>
      </c>
      <c r="V108" s="410">
        <v>0</v>
      </c>
      <c r="W108" s="411">
        <v>0</v>
      </c>
      <c r="X108" s="412">
        <v>0</v>
      </c>
      <c r="Y108" s="412">
        <v>0</v>
      </c>
      <c r="Z108" s="412">
        <v>0</v>
      </c>
      <c r="AA108" s="410">
        <v>0</v>
      </c>
    </row>
    <row r="109" spans="4:27" ht="11.25" customHeight="1" x14ac:dyDescent="0.3"/>
    <row r="110" spans="4:27" ht="18" x14ac:dyDescent="0.5">
      <c r="D110" s="48" t="s">
        <v>138</v>
      </c>
      <c r="E110" s="49"/>
      <c r="F110" s="49"/>
      <c r="G110" s="49"/>
      <c r="H110" s="49"/>
      <c r="I110" s="49"/>
      <c r="J110" s="49"/>
      <c r="K110" s="49"/>
      <c r="M110" s="49"/>
      <c r="N110" s="49"/>
      <c r="O110" s="49"/>
      <c r="P110" s="49"/>
      <c r="Q110" s="49"/>
      <c r="R110" s="49"/>
      <c r="S110" s="49"/>
      <c r="U110" s="49"/>
      <c r="V110" s="49"/>
      <c r="W110" s="49"/>
      <c r="X110" s="49"/>
      <c r="Y110" s="49"/>
      <c r="Z110" s="49"/>
      <c r="AA110" s="49"/>
    </row>
    <row r="111" spans="4:27" ht="14.65" thickBot="1" x14ac:dyDescent="0.5">
      <c r="D111"/>
      <c r="E111" s="619" t="s">
        <v>503</v>
      </c>
      <c r="F111" s="619"/>
      <c r="G111" s="619"/>
      <c r="H111" s="619"/>
      <c r="I111" s="619"/>
      <c r="J111" s="619"/>
      <c r="K111" s="619"/>
      <c r="M111" s="619" t="s">
        <v>454</v>
      </c>
      <c r="N111" s="619"/>
      <c r="O111" s="619"/>
      <c r="P111" s="619"/>
      <c r="Q111" s="619"/>
      <c r="R111" s="619"/>
      <c r="S111" s="619"/>
      <c r="U111" s="619" t="s">
        <v>456</v>
      </c>
      <c r="V111" s="619"/>
      <c r="W111" s="619"/>
      <c r="X111" s="619"/>
      <c r="Y111" s="619"/>
      <c r="Z111" s="619"/>
      <c r="AA111" s="619"/>
    </row>
    <row r="112" spans="4:27" ht="32.1" customHeight="1" thickBot="1" x14ac:dyDescent="0.35">
      <c r="D112"/>
      <c r="E112" s="422" t="s">
        <v>141</v>
      </c>
      <c r="F112" s="423"/>
      <c r="G112" s="423"/>
      <c r="H112" s="423"/>
      <c r="I112" s="423"/>
      <c r="J112" s="423"/>
      <c r="K112" s="424"/>
      <c r="M112" s="422" t="s">
        <v>141</v>
      </c>
      <c r="N112" s="423"/>
      <c r="O112" s="423"/>
      <c r="P112" s="423"/>
      <c r="Q112" s="423"/>
      <c r="R112" s="423"/>
      <c r="S112" s="424"/>
      <c r="U112" s="422" t="s">
        <v>141</v>
      </c>
      <c r="V112" s="423"/>
      <c r="W112" s="423"/>
      <c r="X112" s="423"/>
      <c r="Y112" s="423"/>
      <c r="Z112" s="423"/>
      <c r="AA112" s="424"/>
    </row>
    <row r="113" spans="4:27" ht="13.5" thickBot="1" x14ac:dyDescent="0.35">
      <c r="D113"/>
      <c r="E113" s="417" t="str">
        <f>'WkB_1_2.1.1'!$E$10</f>
        <v>2022-23</v>
      </c>
      <c r="F113" s="418" t="str">
        <f>'WkB_1_2.1.1'!$F$10</f>
        <v>2023-24</v>
      </c>
      <c r="G113" s="419" t="str">
        <f>'WkB_1_2.1.1'!$G$10</f>
        <v>2024-25</v>
      </c>
      <c r="H113" s="420" t="str">
        <f>'WkB_1_2.1.1'!$H$10</f>
        <v>2025-26</v>
      </c>
      <c r="I113" s="420" t="str">
        <f>'WkB_1_2.1.1'!$I$10</f>
        <v>2026-27</v>
      </c>
      <c r="J113" s="420" t="str">
        <f>'WkB_1_2.1.1'!$J$10</f>
        <v>2027-28</v>
      </c>
      <c r="K113" s="421" t="str">
        <f>'WkB_1_2.1.1'!$K$10</f>
        <v>2028-29</v>
      </c>
      <c r="M113" s="417" t="str">
        <f>'WkB_1_2.1.1'!$E$10</f>
        <v>2022-23</v>
      </c>
      <c r="N113" s="418" t="str">
        <f>'WkB_1_2.1.1'!$F$10</f>
        <v>2023-24</v>
      </c>
      <c r="O113" s="419" t="str">
        <f>'WkB_1_2.1.1'!$G$10</f>
        <v>2024-25</v>
      </c>
      <c r="P113" s="420" t="str">
        <f>'WkB_1_2.1.1'!$H$10</f>
        <v>2025-26</v>
      </c>
      <c r="Q113" s="420" t="str">
        <f>'WkB_1_2.1.1'!$I$10</f>
        <v>2026-27</v>
      </c>
      <c r="R113" s="420" t="str">
        <f>'WkB_1_2.1.1'!$J$10</f>
        <v>2027-28</v>
      </c>
      <c r="S113" s="421" t="str">
        <f>'WkB_1_2.1.1'!$K$10</f>
        <v>2028-29</v>
      </c>
      <c r="U113" s="417" t="str">
        <f>'WkB_1_2.1.1'!$E$10</f>
        <v>2022-23</v>
      </c>
      <c r="V113" s="418" t="str">
        <f>'WkB_1_2.1.1'!$F$10</f>
        <v>2023-24</v>
      </c>
      <c r="W113" s="419" t="str">
        <f>'WkB_1_2.1.1'!$G$10</f>
        <v>2024-25</v>
      </c>
      <c r="X113" s="420" t="str">
        <f>'WkB_1_2.1.1'!$H$10</f>
        <v>2025-26</v>
      </c>
      <c r="Y113" s="420" t="str">
        <f>'WkB_1_2.1.1'!$I$10</f>
        <v>2026-27</v>
      </c>
      <c r="Z113" s="420" t="str">
        <f>'WkB_1_2.1.1'!$J$10</f>
        <v>2027-28</v>
      </c>
      <c r="AA113" s="421" t="str">
        <f>'WkB_1_2.1.1'!$K$10</f>
        <v>2028-29</v>
      </c>
    </row>
    <row r="114" spans="4:27" ht="14.65" thickBot="1" x14ac:dyDescent="0.35">
      <c r="D114" s="177" t="s">
        <v>139</v>
      </c>
      <c r="E114" s="178"/>
      <c r="F114" s="178"/>
      <c r="G114" s="178"/>
      <c r="H114" s="178"/>
      <c r="I114" s="178"/>
      <c r="J114" s="178"/>
      <c r="K114" s="179"/>
      <c r="M114" s="178"/>
      <c r="N114" s="178"/>
      <c r="O114" s="178"/>
      <c r="P114" s="178"/>
      <c r="Q114" s="178"/>
      <c r="R114" s="178"/>
      <c r="S114" s="179"/>
      <c r="U114" s="178"/>
      <c r="V114" s="178"/>
      <c r="W114" s="178"/>
      <c r="X114" s="178"/>
      <c r="Y114" s="178"/>
      <c r="Z114" s="178"/>
      <c r="AA114" s="179"/>
    </row>
    <row r="115" spans="4:27" ht="14.25" x14ac:dyDescent="0.45">
      <c r="D115" s="95" t="s">
        <v>504</v>
      </c>
      <c r="E115" s="55">
        <v>49.792725031645205</v>
      </c>
      <c r="F115" s="56">
        <v>49.792725031645205</v>
      </c>
      <c r="G115" s="55">
        <v>49.792725031645205</v>
      </c>
      <c r="H115" s="57">
        <v>49.792725031645205</v>
      </c>
      <c r="I115" s="57">
        <v>49.792725031645205</v>
      </c>
      <c r="J115" s="57">
        <v>49.792725031645205</v>
      </c>
      <c r="K115" s="99">
        <v>49.792725031645205</v>
      </c>
      <c r="M115" s="55">
        <v>49.792725031645205</v>
      </c>
      <c r="N115" s="56">
        <v>49.792725031645205</v>
      </c>
      <c r="O115" s="55">
        <v>49.792725031645205</v>
      </c>
      <c r="P115" s="57">
        <v>49.792725031645205</v>
      </c>
      <c r="Q115" s="57">
        <v>49.792725031645205</v>
      </c>
      <c r="R115" s="57">
        <v>49.792725031645205</v>
      </c>
      <c r="S115" s="99">
        <v>49.792725031645205</v>
      </c>
      <c r="U115" s="55">
        <v>0</v>
      </c>
      <c r="V115" s="56">
        <v>0</v>
      </c>
      <c r="W115" s="55">
        <v>0</v>
      </c>
      <c r="X115" s="57">
        <v>0</v>
      </c>
      <c r="Y115" s="57">
        <v>0</v>
      </c>
      <c r="Z115" s="57">
        <v>0</v>
      </c>
      <c r="AA115" s="99">
        <v>0</v>
      </c>
    </row>
    <row r="116" spans="4:27" ht="14.25" x14ac:dyDescent="0.45">
      <c r="D116" s="181" t="s">
        <v>505</v>
      </c>
      <c r="E116" s="55">
        <v>52.300284796833004</v>
      </c>
      <c r="F116" s="56">
        <v>52.300284796833004</v>
      </c>
      <c r="G116" s="55">
        <v>52.300284796833004</v>
      </c>
      <c r="H116" s="57">
        <v>52.300284796833004</v>
      </c>
      <c r="I116" s="57">
        <v>52.300284796833004</v>
      </c>
      <c r="J116" s="57">
        <v>52.300284796833004</v>
      </c>
      <c r="K116" s="99">
        <v>52.300284796833004</v>
      </c>
      <c r="M116" s="55">
        <v>52.300284796833004</v>
      </c>
      <c r="N116" s="56">
        <v>52.300284796833004</v>
      </c>
      <c r="O116" s="55">
        <v>52.300284796833004</v>
      </c>
      <c r="P116" s="57">
        <v>52.300284796833004</v>
      </c>
      <c r="Q116" s="57">
        <v>52.300284796833004</v>
      </c>
      <c r="R116" s="57">
        <v>52.300284796833004</v>
      </c>
      <c r="S116" s="99">
        <v>52.300284796833004</v>
      </c>
      <c r="U116" s="55">
        <v>0</v>
      </c>
      <c r="V116" s="56">
        <v>0</v>
      </c>
      <c r="W116" s="55">
        <v>0</v>
      </c>
      <c r="X116" s="57">
        <v>0</v>
      </c>
      <c r="Y116" s="57">
        <v>0</v>
      </c>
      <c r="Z116" s="57">
        <v>0</v>
      </c>
      <c r="AA116" s="99">
        <v>0</v>
      </c>
    </row>
    <row r="117" spans="4:27" ht="14.25" x14ac:dyDescent="0.45">
      <c r="D117" s="181" t="s">
        <v>506</v>
      </c>
      <c r="E117" s="55">
        <v>44.555321903731347</v>
      </c>
      <c r="F117" s="56">
        <v>44.555321903731347</v>
      </c>
      <c r="G117" s="55">
        <v>44.555321903731347</v>
      </c>
      <c r="H117" s="57">
        <v>44.555321903731347</v>
      </c>
      <c r="I117" s="57">
        <v>44.555321903731347</v>
      </c>
      <c r="J117" s="57">
        <v>44.555321903731347</v>
      </c>
      <c r="K117" s="99">
        <v>44.555321903731347</v>
      </c>
      <c r="M117" s="55">
        <v>44.555321903731347</v>
      </c>
      <c r="N117" s="56">
        <v>44.555321903731347</v>
      </c>
      <c r="O117" s="55">
        <v>44.555321903731347</v>
      </c>
      <c r="P117" s="57">
        <v>44.555321903731347</v>
      </c>
      <c r="Q117" s="57">
        <v>44.555321903731347</v>
      </c>
      <c r="R117" s="57">
        <v>44.555321903731347</v>
      </c>
      <c r="S117" s="99">
        <v>44.555321903731347</v>
      </c>
      <c r="U117" s="55">
        <v>0</v>
      </c>
      <c r="V117" s="56">
        <v>0</v>
      </c>
      <c r="W117" s="55">
        <v>0</v>
      </c>
      <c r="X117" s="57">
        <v>0</v>
      </c>
      <c r="Y117" s="57">
        <v>0</v>
      </c>
      <c r="Z117" s="57">
        <v>0</v>
      </c>
      <c r="AA117" s="99">
        <v>0</v>
      </c>
    </row>
    <row r="118" spans="4:27" ht="14.25" x14ac:dyDescent="0.45">
      <c r="D118" s="181" t="s">
        <v>507</v>
      </c>
      <c r="E118" s="55">
        <v>54.343924174110775</v>
      </c>
      <c r="F118" s="56">
        <v>54.343924174110775</v>
      </c>
      <c r="G118" s="55">
        <v>54.343924174110775</v>
      </c>
      <c r="H118" s="57">
        <v>54.343924174110775</v>
      </c>
      <c r="I118" s="57">
        <v>54.343924174110775</v>
      </c>
      <c r="J118" s="57">
        <v>54.343924174110775</v>
      </c>
      <c r="K118" s="99">
        <v>54.343924174110775</v>
      </c>
      <c r="M118" s="55">
        <v>54.343924174110775</v>
      </c>
      <c r="N118" s="56">
        <v>54.343924174110775</v>
      </c>
      <c r="O118" s="55">
        <v>54.343924174110775</v>
      </c>
      <c r="P118" s="57">
        <v>54.343924174110775</v>
      </c>
      <c r="Q118" s="57">
        <v>54.343924174110775</v>
      </c>
      <c r="R118" s="57">
        <v>54.343924174110775</v>
      </c>
      <c r="S118" s="99">
        <v>54.343924174110775</v>
      </c>
      <c r="U118" s="55">
        <v>0</v>
      </c>
      <c r="V118" s="56">
        <v>0</v>
      </c>
      <c r="W118" s="55">
        <v>0</v>
      </c>
      <c r="X118" s="57">
        <v>0</v>
      </c>
      <c r="Y118" s="57">
        <v>0</v>
      </c>
      <c r="Z118" s="57">
        <v>0</v>
      </c>
      <c r="AA118" s="99">
        <v>0</v>
      </c>
    </row>
    <row r="119" spans="4:27" ht="14.25" x14ac:dyDescent="0.45">
      <c r="D119" s="181" t="s">
        <v>508</v>
      </c>
      <c r="E119" s="55">
        <v>49.613725933874562</v>
      </c>
      <c r="F119" s="56">
        <v>49.613725933874562</v>
      </c>
      <c r="G119" s="55">
        <v>49.613725933874562</v>
      </c>
      <c r="H119" s="57">
        <v>49.613725933874562</v>
      </c>
      <c r="I119" s="57">
        <v>49.613725933874562</v>
      </c>
      <c r="J119" s="57">
        <v>49.613725933874562</v>
      </c>
      <c r="K119" s="99">
        <v>49.613725933874562</v>
      </c>
      <c r="M119" s="55">
        <v>49.613725933874562</v>
      </c>
      <c r="N119" s="56">
        <v>49.613725933874562</v>
      </c>
      <c r="O119" s="55">
        <v>49.613725933874562</v>
      </c>
      <c r="P119" s="57">
        <v>49.613725933874562</v>
      </c>
      <c r="Q119" s="57">
        <v>49.613725933874562</v>
      </c>
      <c r="R119" s="57">
        <v>49.613725933874562</v>
      </c>
      <c r="S119" s="99">
        <v>49.613725933874562</v>
      </c>
      <c r="U119" s="55">
        <v>0</v>
      </c>
      <c r="V119" s="56">
        <v>0</v>
      </c>
      <c r="W119" s="55">
        <v>0</v>
      </c>
      <c r="X119" s="57">
        <v>0</v>
      </c>
      <c r="Y119" s="57">
        <v>0</v>
      </c>
      <c r="Z119" s="57">
        <v>0</v>
      </c>
      <c r="AA119" s="99">
        <v>0</v>
      </c>
    </row>
    <row r="120" spans="4:27" ht="14.25" x14ac:dyDescent="0.45">
      <c r="D120" s="181" t="s">
        <v>509</v>
      </c>
      <c r="E120" s="55">
        <v>45.619061322390586</v>
      </c>
      <c r="F120" s="56">
        <v>45.619061322390586</v>
      </c>
      <c r="G120" s="55">
        <v>45.619061322390586</v>
      </c>
      <c r="H120" s="57">
        <v>45.619061322390586</v>
      </c>
      <c r="I120" s="57">
        <v>45.619061322390586</v>
      </c>
      <c r="J120" s="57">
        <v>45.619061322390586</v>
      </c>
      <c r="K120" s="99">
        <v>45.619061322390586</v>
      </c>
      <c r="M120" s="55">
        <v>45.619061322390586</v>
      </c>
      <c r="N120" s="56">
        <v>45.619061322390586</v>
      </c>
      <c r="O120" s="55">
        <v>45.619061322390586</v>
      </c>
      <c r="P120" s="57">
        <v>45.619061322390586</v>
      </c>
      <c r="Q120" s="57">
        <v>45.619061322390586</v>
      </c>
      <c r="R120" s="57">
        <v>45.619061322390586</v>
      </c>
      <c r="S120" s="99">
        <v>45.619061322390586</v>
      </c>
      <c r="U120" s="55">
        <v>0</v>
      </c>
      <c r="V120" s="56">
        <v>0</v>
      </c>
      <c r="W120" s="55">
        <v>0</v>
      </c>
      <c r="X120" s="57">
        <v>0</v>
      </c>
      <c r="Y120" s="57">
        <v>0</v>
      </c>
      <c r="Z120" s="57">
        <v>0</v>
      </c>
      <c r="AA120" s="99">
        <v>0</v>
      </c>
    </row>
    <row r="121" spans="4:27" ht="14.25" x14ac:dyDescent="0.45">
      <c r="D121" s="181" t="s">
        <v>511</v>
      </c>
      <c r="E121" s="55">
        <v>16</v>
      </c>
      <c r="F121" s="56">
        <v>16</v>
      </c>
      <c r="G121" s="55">
        <v>16</v>
      </c>
      <c r="H121" s="57">
        <v>16</v>
      </c>
      <c r="I121" s="57">
        <v>16</v>
      </c>
      <c r="J121" s="57">
        <v>16</v>
      </c>
      <c r="K121" s="99">
        <v>16</v>
      </c>
      <c r="M121" s="55">
        <v>16</v>
      </c>
      <c r="N121" s="56">
        <v>16</v>
      </c>
      <c r="O121" s="55">
        <v>16</v>
      </c>
      <c r="P121" s="57">
        <v>16</v>
      </c>
      <c r="Q121" s="57">
        <v>16</v>
      </c>
      <c r="R121" s="57">
        <v>16</v>
      </c>
      <c r="S121" s="99">
        <v>16</v>
      </c>
      <c r="U121" s="55">
        <v>16</v>
      </c>
      <c r="V121" s="56">
        <v>16</v>
      </c>
      <c r="W121" s="55">
        <v>16</v>
      </c>
      <c r="X121" s="57">
        <v>16</v>
      </c>
      <c r="Y121" s="57">
        <v>16</v>
      </c>
      <c r="Z121" s="57">
        <v>16</v>
      </c>
      <c r="AA121" s="99">
        <v>16</v>
      </c>
    </row>
    <row r="122" spans="4:27" ht="14.25" x14ac:dyDescent="0.45">
      <c r="D122" s="181" t="s">
        <v>512</v>
      </c>
      <c r="E122" s="55">
        <v>29.023808433625259</v>
      </c>
      <c r="F122" s="56">
        <v>29.023808433625259</v>
      </c>
      <c r="G122" s="55">
        <v>29.023808433625259</v>
      </c>
      <c r="H122" s="57">
        <v>29.023808433625259</v>
      </c>
      <c r="I122" s="57">
        <v>29.023808433625259</v>
      </c>
      <c r="J122" s="57">
        <v>29.023808433625259</v>
      </c>
      <c r="K122" s="99">
        <v>29.023808433625259</v>
      </c>
      <c r="M122" s="55">
        <v>29.023808433625259</v>
      </c>
      <c r="N122" s="56">
        <v>29.023808433625259</v>
      </c>
      <c r="O122" s="55">
        <v>29.023808433625259</v>
      </c>
      <c r="P122" s="57">
        <v>29.023808433625259</v>
      </c>
      <c r="Q122" s="57">
        <v>29.023808433625259</v>
      </c>
      <c r="R122" s="57">
        <v>29.023808433625259</v>
      </c>
      <c r="S122" s="99">
        <v>29.023808433625259</v>
      </c>
      <c r="U122" s="55">
        <v>29.023808433625259</v>
      </c>
      <c r="V122" s="56">
        <v>29.023808433625259</v>
      </c>
      <c r="W122" s="55">
        <v>29.023808433625259</v>
      </c>
      <c r="X122" s="57">
        <v>29.023808433625259</v>
      </c>
      <c r="Y122" s="57">
        <v>29.023808433625259</v>
      </c>
      <c r="Z122" s="57">
        <v>29.023808433625259</v>
      </c>
      <c r="AA122" s="99">
        <v>29.023808433625259</v>
      </c>
    </row>
    <row r="123" spans="4:27" ht="14.65" thickBot="1" x14ac:dyDescent="0.5">
      <c r="D123" s="181" t="s">
        <v>513</v>
      </c>
      <c r="E123" s="55">
        <v>6.9300161354856167</v>
      </c>
      <c r="F123" s="56">
        <v>6.9300161354856167</v>
      </c>
      <c r="G123" s="55">
        <v>6.9300161354856167</v>
      </c>
      <c r="H123" s="57">
        <v>6.9300161354856167</v>
      </c>
      <c r="I123" s="57">
        <v>6.9300161354856167</v>
      </c>
      <c r="J123" s="57">
        <v>6.9300161354856167</v>
      </c>
      <c r="K123" s="99">
        <v>6.9300161354856167</v>
      </c>
      <c r="M123" s="55">
        <v>6.9300161354856167</v>
      </c>
      <c r="N123" s="56">
        <v>6.9300161354856167</v>
      </c>
      <c r="O123" s="55">
        <v>6.9300161354856167</v>
      </c>
      <c r="P123" s="57">
        <v>6.9300161354856167</v>
      </c>
      <c r="Q123" s="57">
        <v>6.9300161354856167</v>
      </c>
      <c r="R123" s="57">
        <v>6.9300161354856167</v>
      </c>
      <c r="S123" s="99">
        <v>6.9300161354856167</v>
      </c>
      <c r="U123" s="55">
        <v>6.9300161354856167</v>
      </c>
      <c r="V123" s="56">
        <v>6.9300161354856167</v>
      </c>
      <c r="W123" s="55">
        <v>6.9300161354856167</v>
      </c>
      <c r="X123" s="57">
        <v>6.9300161354856167</v>
      </c>
      <c r="Y123" s="57">
        <v>6.9300161354856167</v>
      </c>
      <c r="Z123" s="57">
        <v>6.9300161354856167</v>
      </c>
      <c r="AA123" s="99">
        <v>6.9300161354856167</v>
      </c>
    </row>
    <row r="124" spans="4:27" ht="14.65" thickBot="1" x14ac:dyDescent="0.35">
      <c r="D124" s="177" t="s">
        <v>140</v>
      </c>
      <c r="E124" s="178"/>
      <c r="F124" s="178"/>
      <c r="G124" s="178"/>
      <c r="H124" s="178"/>
      <c r="I124" s="178"/>
      <c r="J124" s="178"/>
      <c r="K124" s="179"/>
      <c r="M124" s="178"/>
      <c r="N124" s="178"/>
      <c r="O124" s="178"/>
      <c r="P124" s="178"/>
      <c r="Q124" s="178"/>
      <c r="R124" s="178"/>
      <c r="S124" s="179"/>
      <c r="U124" s="178"/>
      <c r="V124" s="178"/>
      <c r="W124" s="178"/>
      <c r="X124" s="178"/>
      <c r="Y124" s="178"/>
      <c r="Z124" s="178"/>
      <c r="AA124" s="179"/>
    </row>
    <row r="125" spans="4:27" ht="14.25" x14ac:dyDescent="0.45">
      <c r="D125" s="95" t="str">
        <f>D115</f>
        <v>Overhead network assets less than 33kV (wires and poles)</v>
      </c>
      <c r="E125" s="55">
        <v>27.750630030143952</v>
      </c>
      <c r="F125" s="56">
        <v>27.623804221207845</v>
      </c>
      <c r="G125" s="55">
        <v>27.13231976033018</v>
      </c>
      <c r="H125" s="57">
        <v>27.385546524378451</v>
      </c>
      <c r="I125" s="57">
        <v>27.51276509197519</v>
      </c>
      <c r="J125" s="57">
        <v>27.366685421704656</v>
      </c>
      <c r="K125" s="99">
        <v>27.324493842609325</v>
      </c>
      <c r="M125" s="55">
        <v>32.187786706611455</v>
      </c>
      <c r="N125" s="56">
        <v>31.614396978356876</v>
      </c>
      <c r="O125" s="55">
        <v>30.78575773089975</v>
      </c>
      <c r="P125" s="57">
        <v>30.812065478781605</v>
      </c>
      <c r="Q125" s="57">
        <v>30.720979435201876</v>
      </c>
      <c r="R125" s="57">
        <v>30.373937510536287</v>
      </c>
      <c r="S125" s="99">
        <v>30.157816347208485</v>
      </c>
      <c r="U125" s="55" t="s">
        <v>218</v>
      </c>
      <c r="V125" s="56" t="s">
        <v>218</v>
      </c>
      <c r="W125" s="55" t="s">
        <v>218</v>
      </c>
      <c r="X125" s="57" t="s">
        <v>218</v>
      </c>
      <c r="Y125" s="57" t="s">
        <v>218</v>
      </c>
      <c r="Z125" s="57" t="s">
        <v>218</v>
      </c>
      <c r="AA125" s="99" t="s">
        <v>218</v>
      </c>
    </row>
    <row r="126" spans="4:27" ht="14.25" x14ac:dyDescent="0.45">
      <c r="D126" s="181" t="str">
        <f t="shared" ref="D126:D133" si="63">D116</f>
        <v>Underground network assets less than 33kV (cables)</v>
      </c>
      <c r="E126" s="55">
        <v>27.750630030143963</v>
      </c>
      <c r="F126" s="56">
        <v>27.623804221207852</v>
      </c>
      <c r="G126" s="55">
        <v>27.132319760330184</v>
      </c>
      <c r="H126" s="57">
        <v>27.385546524378459</v>
      </c>
      <c r="I126" s="57">
        <v>27.512765091975201</v>
      </c>
      <c r="J126" s="57">
        <v>27.366685421704659</v>
      </c>
      <c r="K126" s="99">
        <v>27.324493842609332</v>
      </c>
      <c r="M126" s="55">
        <v>32.187786706611455</v>
      </c>
      <c r="N126" s="56">
        <v>31.614396978356886</v>
      </c>
      <c r="O126" s="55">
        <v>30.785757730899761</v>
      </c>
      <c r="P126" s="57">
        <v>30.812065478781605</v>
      </c>
      <c r="Q126" s="57">
        <v>30.72097943520189</v>
      </c>
      <c r="R126" s="57">
        <v>30.373937510536287</v>
      </c>
      <c r="S126" s="99">
        <v>30.157816347208495</v>
      </c>
      <c r="U126" s="55" t="s">
        <v>218</v>
      </c>
      <c r="V126" s="56" t="s">
        <v>218</v>
      </c>
      <c r="W126" s="55" t="s">
        <v>218</v>
      </c>
      <c r="X126" s="57" t="s">
        <v>218</v>
      </c>
      <c r="Y126" s="57" t="s">
        <v>218</v>
      </c>
      <c r="Z126" s="57" t="s">
        <v>218</v>
      </c>
      <c r="AA126" s="99" t="s">
        <v>218</v>
      </c>
    </row>
    <row r="127" spans="4:27" ht="14.25" x14ac:dyDescent="0.45">
      <c r="D127" s="181" t="str">
        <f t="shared" si="63"/>
        <v>Distribution substations including transformers</v>
      </c>
      <c r="E127" s="55">
        <v>21.576939706909734</v>
      </c>
      <c r="F127" s="56">
        <v>20.19153164359442</v>
      </c>
      <c r="G127" s="55">
        <v>20.461860453078469</v>
      </c>
      <c r="H127" s="57">
        <v>20.360752578878632</v>
      </c>
      <c r="I127" s="57">
        <v>20.255437260361607</v>
      </c>
      <c r="J127" s="57">
        <v>20.146322998881804</v>
      </c>
      <c r="K127" s="99">
        <v>20.037574251644205</v>
      </c>
      <c r="M127" s="55">
        <v>25.397183338364538</v>
      </c>
      <c r="N127" s="56">
        <v>23.600019881953852</v>
      </c>
      <c r="O127" s="55">
        <v>23.74374493602804</v>
      </c>
      <c r="P127" s="57">
        <v>23.462602646173092</v>
      </c>
      <c r="Q127" s="57">
        <v>23.186551623604096</v>
      </c>
      <c r="R127" s="57">
        <v>22.915964263697795</v>
      </c>
      <c r="S127" s="99">
        <v>22.654665193078753</v>
      </c>
      <c r="U127" s="55" t="s">
        <v>218</v>
      </c>
      <c r="V127" s="56" t="s">
        <v>218</v>
      </c>
      <c r="W127" s="55" t="s">
        <v>218</v>
      </c>
      <c r="X127" s="57" t="s">
        <v>218</v>
      </c>
      <c r="Y127" s="57" t="s">
        <v>218</v>
      </c>
      <c r="Z127" s="57" t="s">
        <v>218</v>
      </c>
      <c r="AA127" s="99" t="s">
        <v>218</v>
      </c>
    </row>
    <row r="128" spans="4:27" ht="14.25" x14ac:dyDescent="0.45">
      <c r="D128" s="181" t="str">
        <f t="shared" si="63"/>
        <v xml:space="preserve">Overhead network assets 33kV and above (wires and towers / poles etc) </v>
      </c>
      <c r="E128" s="55">
        <v>25.799856539571334</v>
      </c>
      <c r="F128" s="56">
        <v>25.076184369772307</v>
      </c>
      <c r="G128" s="55">
        <v>23.450211791935573</v>
      </c>
      <c r="H128" s="57">
        <v>23.157109075698266</v>
      </c>
      <c r="I128" s="57">
        <v>22.163047287575001</v>
      </c>
      <c r="J128" s="57">
        <v>21.264562191489002</v>
      </c>
      <c r="K128" s="99">
        <v>20.417366493985071</v>
      </c>
      <c r="M128" s="55">
        <v>25.799856539571334</v>
      </c>
      <c r="N128" s="56">
        <v>25.076184369772307</v>
      </c>
      <c r="O128" s="55">
        <v>23.450211791935573</v>
      </c>
      <c r="P128" s="57">
        <v>23.157109075698266</v>
      </c>
      <c r="Q128" s="57">
        <v>22.163047287575001</v>
      </c>
      <c r="R128" s="57">
        <v>21.264562191489002</v>
      </c>
      <c r="S128" s="99">
        <v>20.417366493985071</v>
      </c>
      <c r="U128" s="55" t="s">
        <v>218</v>
      </c>
      <c r="V128" s="56" t="s">
        <v>218</v>
      </c>
      <c r="W128" s="55" t="s">
        <v>218</v>
      </c>
      <c r="X128" s="57" t="s">
        <v>218</v>
      </c>
      <c r="Y128" s="57" t="s">
        <v>218</v>
      </c>
      <c r="Z128" s="57" t="s">
        <v>218</v>
      </c>
      <c r="AA128" s="99" t="s">
        <v>218</v>
      </c>
    </row>
    <row r="129" spans="1:27" ht="14.25" x14ac:dyDescent="0.45">
      <c r="D129" s="620" t="str">
        <f t="shared" si="63"/>
        <v>Underground network assets 33kV and above(cables, ducts etc)</v>
      </c>
      <c r="E129" s="55">
        <v>25.79985653957133</v>
      </c>
      <c r="F129" s="56">
        <v>25.07618436977231</v>
      </c>
      <c r="G129" s="55">
        <v>23.450211791935573</v>
      </c>
      <c r="H129" s="57">
        <v>23.157109075698258</v>
      </c>
      <c r="I129" s="57">
        <v>22.163047287574994</v>
      </c>
      <c r="J129" s="57">
        <v>21.264562191488995</v>
      </c>
      <c r="K129" s="99">
        <v>20.417366493985071</v>
      </c>
      <c r="M129" s="55">
        <v>25.79985653957133</v>
      </c>
      <c r="N129" s="56">
        <v>25.07618436977231</v>
      </c>
      <c r="O129" s="55">
        <v>23.450211791935573</v>
      </c>
      <c r="P129" s="57">
        <v>23.157109075698258</v>
      </c>
      <c r="Q129" s="57">
        <v>22.163047287574994</v>
      </c>
      <c r="R129" s="57">
        <v>21.264562191488995</v>
      </c>
      <c r="S129" s="99">
        <v>20.417366493985071</v>
      </c>
      <c r="U129" s="55" t="s">
        <v>218</v>
      </c>
      <c r="V129" s="56" t="s">
        <v>218</v>
      </c>
      <c r="W129" s="55" t="s">
        <v>218</v>
      </c>
      <c r="X129" s="57" t="s">
        <v>218</v>
      </c>
      <c r="Y129" s="57" t="s">
        <v>218</v>
      </c>
      <c r="Z129" s="57" t="s">
        <v>218</v>
      </c>
      <c r="AA129" s="99" t="s">
        <v>218</v>
      </c>
    </row>
    <row r="130" spans="1:27" ht="14.25" x14ac:dyDescent="0.45">
      <c r="D130" s="620" t="str">
        <f t="shared" si="63"/>
        <v>Zone substations and transformers</v>
      </c>
      <c r="E130" s="55">
        <v>16.803785163390216</v>
      </c>
      <c r="F130" s="56">
        <v>16.265676465831323</v>
      </c>
      <c r="G130" s="55">
        <v>14.712988315652593</v>
      </c>
      <c r="H130" s="57">
        <v>14.005464140339299</v>
      </c>
      <c r="I130" s="57">
        <v>13.108555742937213</v>
      </c>
      <c r="J130" s="57">
        <v>12.239809807156828</v>
      </c>
      <c r="K130" s="99">
        <v>11.419735046511965</v>
      </c>
      <c r="M130" s="55">
        <v>16.803785163390216</v>
      </c>
      <c r="N130" s="56">
        <v>16.265676465831323</v>
      </c>
      <c r="O130" s="55">
        <v>14.712988315652593</v>
      </c>
      <c r="P130" s="57">
        <v>14.005464140339299</v>
      </c>
      <c r="Q130" s="57">
        <v>13.108555742937213</v>
      </c>
      <c r="R130" s="57">
        <v>12.239809807156828</v>
      </c>
      <c r="S130" s="99">
        <v>11.419735046511965</v>
      </c>
      <c r="U130" s="55" t="s">
        <v>218</v>
      </c>
      <c r="V130" s="56" t="s">
        <v>218</v>
      </c>
      <c r="W130" s="55" t="s">
        <v>218</v>
      </c>
      <c r="X130" s="57" t="s">
        <v>218</v>
      </c>
      <c r="Y130" s="57" t="s">
        <v>218</v>
      </c>
      <c r="Z130" s="57" t="s">
        <v>218</v>
      </c>
      <c r="AA130" s="99" t="s">
        <v>218</v>
      </c>
    </row>
    <row r="131" spans="1:27" ht="14.25" x14ac:dyDescent="0.45">
      <c r="D131" s="620" t="str">
        <f t="shared" si="63"/>
        <v>Meters</v>
      </c>
      <c r="E131" s="55" t="s">
        <v>218</v>
      </c>
      <c r="F131" s="56" t="s">
        <v>218</v>
      </c>
      <c r="G131" s="55" t="s">
        <v>218</v>
      </c>
      <c r="H131" s="57" t="s">
        <v>218</v>
      </c>
      <c r="I131" s="57" t="s">
        <v>218</v>
      </c>
      <c r="J131" s="57" t="s">
        <v>218</v>
      </c>
      <c r="K131" s="99" t="s">
        <v>218</v>
      </c>
      <c r="M131" s="55" t="s">
        <v>218</v>
      </c>
      <c r="N131" s="56" t="s">
        <v>218</v>
      </c>
      <c r="O131" s="55" t="s">
        <v>218</v>
      </c>
      <c r="P131" s="57" t="s">
        <v>218</v>
      </c>
      <c r="Q131" s="57" t="s">
        <v>218</v>
      </c>
      <c r="R131" s="57" t="s">
        <v>218</v>
      </c>
      <c r="S131" s="99" t="s">
        <v>218</v>
      </c>
      <c r="U131" s="55">
        <v>16</v>
      </c>
      <c r="V131" s="56">
        <v>16</v>
      </c>
      <c r="W131" s="55">
        <v>13.992071381321827</v>
      </c>
      <c r="X131" s="57">
        <v>13.14302096619854</v>
      </c>
      <c r="Y131" s="57">
        <v>13.140290040193944</v>
      </c>
      <c r="Z131" s="57">
        <v>12.547176748934112</v>
      </c>
      <c r="AA131" s="99">
        <v>12.178488650144516</v>
      </c>
    </row>
    <row r="132" spans="1:27" ht="14.25" x14ac:dyDescent="0.45">
      <c r="D132" s="620" t="str">
        <f t="shared" si="63"/>
        <v>“Other” assets with long lives</v>
      </c>
      <c r="E132" s="55">
        <v>12.220134228431021</v>
      </c>
      <c r="F132" s="56">
        <v>14.327120240406806</v>
      </c>
      <c r="G132" s="55">
        <v>9.2504301028469431</v>
      </c>
      <c r="H132" s="57">
        <v>12.996745242284476</v>
      </c>
      <c r="I132" s="57">
        <v>11.840111606402687</v>
      </c>
      <c r="J132" s="57">
        <v>14.53452442763596</v>
      </c>
      <c r="K132" s="99">
        <v>17.135557688906047</v>
      </c>
      <c r="M132" s="55">
        <v>12.220134228431021</v>
      </c>
      <c r="N132" s="56">
        <v>14.327120240406806</v>
      </c>
      <c r="O132" s="55">
        <v>9.2504301028469431</v>
      </c>
      <c r="P132" s="57">
        <v>12.996745242284476</v>
      </c>
      <c r="Q132" s="57">
        <v>11.840111606402687</v>
      </c>
      <c r="R132" s="57">
        <v>14.53452442763596</v>
      </c>
      <c r="S132" s="99">
        <v>17.135557688906047</v>
      </c>
      <c r="U132" s="55">
        <v>20.220450217487354</v>
      </c>
      <c r="V132" s="56">
        <v>19.284596635548311</v>
      </c>
      <c r="W132" s="55">
        <v>13.992071381321834</v>
      </c>
      <c r="X132" s="57">
        <v>13.14302096619854</v>
      </c>
      <c r="Y132" s="57">
        <v>13.140290040193946</v>
      </c>
      <c r="Z132" s="57">
        <v>12.547176748934113</v>
      </c>
      <c r="AA132" s="99">
        <v>12.178488650144514</v>
      </c>
    </row>
    <row r="133" spans="1:27" ht="14.65" thickBot="1" x14ac:dyDescent="0.5">
      <c r="D133" s="182" t="str">
        <f t="shared" si="63"/>
        <v>“Other” assets with short lives</v>
      </c>
      <c r="E133" s="162">
        <v>4.4743353792480045</v>
      </c>
      <c r="F133" s="161">
        <v>4.1124461299583963</v>
      </c>
      <c r="G133" s="162">
        <v>6.9300161354856167</v>
      </c>
      <c r="H133" s="100">
        <v>6.2132396230759506</v>
      </c>
      <c r="I133" s="100">
        <v>6.9300161354856167</v>
      </c>
      <c r="J133" s="100">
        <v>6.309397958880715</v>
      </c>
      <c r="K133" s="101">
        <v>5.9520557683345254</v>
      </c>
      <c r="M133" s="162">
        <v>4.4743353792480045</v>
      </c>
      <c r="N133" s="161">
        <v>4.1124461299583963</v>
      </c>
      <c r="O133" s="162">
        <v>6.9300161354856167</v>
      </c>
      <c r="P133" s="100">
        <v>6.2132396230759506</v>
      </c>
      <c r="Q133" s="100">
        <v>6.9300161354856167</v>
      </c>
      <c r="R133" s="100">
        <v>6.309397958880715</v>
      </c>
      <c r="S133" s="101">
        <v>5.9520557683345254</v>
      </c>
      <c r="U133" s="162">
        <v>6.9300161354856167</v>
      </c>
      <c r="V133" s="161">
        <v>6.9300161354856167</v>
      </c>
      <c r="W133" s="162">
        <v>6.9300161354856167</v>
      </c>
      <c r="X133" s="100">
        <v>6.9300161354856167</v>
      </c>
      <c r="Y133" s="100">
        <v>6.9300161354856167</v>
      </c>
      <c r="Z133" s="100">
        <v>6.9300161354856167</v>
      </c>
      <c r="AA133" s="101">
        <v>6.9300161354856167</v>
      </c>
    </row>
    <row r="134" spans="1:27" ht="11.25" customHeight="1" x14ac:dyDescent="0.3"/>
    <row r="135" spans="1:27" ht="12.75" x14ac:dyDescent="0.3">
      <c r="D135" s="6" t="s">
        <v>83</v>
      </c>
      <c r="E135" s="115">
        <v>1121209804.8245811</v>
      </c>
      <c r="F135" s="115">
        <v>1170010649.0815525</v>
      </c>
      <c r="G135" s="117">
        <v>1204127668.144362</v>
      </c>
      <c r="H135" s="115">
        <v>1238612537.7246392</v>
      </c>
      <c r="I135" s="115">
        <v>1258689201.4752054</v>
      </c>
      <c r="J135" s="115">
        <v>1303860144.9958432</v>
      </c>
      <c r="K135" s="115">
        <v>1371064300.2516637</v>
      </c>
      <c r="M135" s="115">
        <v>1232516182.4902394</v>
      </c>
      <c r="N135" s="115">
        <v>1279527006.9601219</v>
      </c>
      <c r="O135" s="117">
        <v>1313108814.3343923</v>
      </c>
      <c r="P135" s="115">
        <v>1347264540.8265088</v>
      </c>
      <c r="Q135" s="115">
        <v>1367041099.50086</v>
      </c>
      <c r="R135" s="115">
        <v>1411670561.0251629</v>
      </c>
      <c r="S135" s="115">
        <v>1478377744.9324658</v>
      </c>
      <c r="U135" s="115">
        <v>33311709.321687739</v>
      </c>
      <c r="V135" s="115">
        <v>49897951.136021547</v>
      </c>
      <c r="W135" s="117">
        <v>52030368.038205683</v>
      </c>
      <c r="X135" s="115">
        <v>53780196.078891434</v>
      </c>
      <c r="Y135" s="115">
        <v>58204168.514945388</v>
      </c>
      <c r="Z135" s="115">
        <v>63491418.18933925</v>
      </c>
      <c r="AA135" s="115">
        <v>69084875.759120971</v>
      </c>
    </row>
    <row r="136" spans="1:27" ht="12.75" x14ac:dyDescent="0.3">
      <c r="D136" s="6" t="s">
        <v>199</v>
      </c>
      <c r="E136" s="118">
        <f t="shared" ref="E136:K136" si="64">E30+E37+E44+E51+E58+E65+E71+E78+E85+E92</f>
        <v>1121209804.8245811</v>
      </c>
      <c r="F136" s="118">
        <f t="shared" si="64"/>
        <v>1170010649.0815523</v>
      </c>
      <c r="G136" s="118">
        <f t="shared" si="64"/>
        <v>1204127668.1443622</v>
      </c>
      <c r="H136" s="118">
        <f t="shared" si="64"/>
        <v>1238612537.7246389</v>
      </c>
      <c r="I136" s="118">
        <f t="shared" si="64"/>
        <v>1258689201.4752049</v>
      </c>
      <c r="J136" s="118">
        <f t="shared" si="64"/>
        <v>1303860144.9958432</v>
      </c>
      <c r="K136" s="118">
        <f t="shared" si="64"/>
        <v>1371064300.2516642</v>
      </c>
      <c r="M136" s="118">
        <f t="shared" ref="M136:S136" si="65">M30+M37+M44+M51+M58+M65+M71+M78+M85+M92</f>
        <v>1232516182.4902391</v>
      </c>
      <c r="N136" s="118">
        <f t="shared" si="65"/>
        <v>1279527006.9601214</v>
      </c>
      <c r="O136" s="118">
        <f t="shared" si="65"/>
        <v>1313108814.3343923</v>
      </c>
      <c r="P136" s="118">
        <f t="shared" si="65"/>
        <v>1347264540.8265085</v>
      </c>
      <c r="Q136" s="118">
        <f t="shared" si="65"/>
        <v>1367041099.5008597</v>
      </c>
      <c r="R136" s="118">
        <f t="shared" si="65"/>
        <v>1411670561.0251629</v>
      </c>
      <c r="S136" s="118">
        <f t="shared" si="65"/>
        <v>1478377744.9324658</v>
      </c>
      <c r="U136" s="118">
        <f t="shared" ref="U136:AA136" si="66">U30+U37+U44+U51+U58+U65+U71+U78+U85+U92</f>
        <v>33311709.321687736</v>
      </c>
      <c r="V136" s="118">
        <f t="shared" si="66"/>
        <v>49897951.136021554</v>
      </c>
      <c r="W136" s="118">
        <f t="shared" si="66"/>
        <v>52030368.038205676</v>
      </c>
      <c r="X136" s="118">
        <f t="shared" si="66"/>
        <v>53780196.078891434</v>
      </c>
      <c r="Y136" s="118">
        <f t="shared" si="66"/>
        <v>58204168.514945388</v>
      </c>
      <c r="Z136" s="118">
        <f t="shared" si="66"/>
        <v>63491418.189339243</v>
      </c>
      <c r="AA136" s="118">
        <f t="shared" si="66"/>
        <v>69084875.759120971</v>
      </c>
    </row>
    <row r="137" spans="1:27" ht="12.75" x14ac:dyDescent="0.3">
      <c r="A137" s="41">
        <f>IF(SUM($E137:$K137)&gt;0,1,0)</f>
        <v>0</v>
      </c>
      <c r="D137" s="6" t="s">
        <v>84</v>
      </c>
      <c r="E137" s="62">
        <f t="shared" ref="E137:K137" si="67">IF(OR(ROUND(E18-E135,3)&lt;&gt;0,ROUND(E135-E136,3)&lt;&gt;0),1,0)</f>
        <v>0</v>
      </c>
      <c r="F137" s="62">
        <f t="shared" si="67"/>
        <v>0</v>
      </c>
      <c r="G137" s="62">
        <f t="shared" si="67"/>
        <v>0</v>
      </c>
      <c r="H137" s="62">
        <f t="shared" si="67"/>
        <v>0</v>
      </c>
      <c r="I137" s="62">
        <f t="shared" si="67"/>
        <v>0</v>
      </c>
      <c r="J137" s="62">
        <f t="shared" si="67"/>
        <v>0</v>
      </c>
      <c r="K137" s="62">
        <f t="shared" si="67"/>
        <v>0</v>
      </c>
      <c r="M137" s="62">
        <f t="shared" ref="M137:S137" si="68">IF(OR(ROUND(M18-M135,3)&lt;&gt;0,ROUND(M135-M136,3)&lt;&gt;0),1,0)</f>
        <v>0</v>
      </c>
      <c r="N137" s="62">
        <f t="shared" si="68"/>
        <v>0</v>
      </c>
      <c r="O137" s="62">
        <f t="shared" si="68"/>
        <v>0</v>
      </c>
      <c r="P137" s="62">
        <f t="shared" si="68"/>
        <v>0</v>
      </c>
      <c r="Q137" s="62">
        <f t="shared" si="68"/>
        <v>0</v>
      </c>
      <c r="R137" s="62">
        <f t="shared" si="68"/>
        <v>0</v>
      </c>
      <c r="S137" s="62">
        <f t="shared" si="68"/>
        <v>0</v>
      </c>
      <c r="U137" s="62">
        <f t="shared" ref="U137:AA137" si="69">IF(OR(ROUND(U18-U135,3)&lt;&gt;0,ROUND(U135-U136,3)&lt;&gt;0),1,0)</f>
        <v>0</v>
      </c>
      <c r="V137" s="62">
        <f t="shared" si="69"/>
        <v>0</v>
      </c>
      <c r="W137" s="62">
        <f t="shared" si="69"/>
        <v>0</v>
      </c>
      <c r="X137" s="62">
        <f t="shared" si="69"/>
        <v>0</v>
      </c>
      <c r="Y137" s="62">
        <f t="shared" si="69"/>
        <v>0</v>
      </c>
      <c r="Z137" s="62">
        <f t="shared" si="69"/>
        <v>0</v>
      </c>
      <c r="AA137" s="62">
        <f t="shared" si="69"/>
        <v>0</v>
      </c>
    </row>
    <row r="139" spans="1:27" s="46" customFormat="1" ht="15" x14ac:dyDescent="0.3">
      <c r="B139" s="46" t="s">
        <v>16</v>
      </c>
    </row>
  </sheetData>
  <conditionalFormatting sqref="B3">
    <cfRule type="cellIs" dxfId="376" priority="241" operator="notEqual">
      <formula>"No Errors Found"</formula>
    </cfRule>
  </conditionalFormatting>
  <conditionalFormatting sqref="K13:K17 K67:K69 S67:S69 AA67:AA69">
    <cfRule type="expression" dxfId="375" priority="238">
      <formula>(dms_FRCPlength_Num)&lt;5</formula>
    </cfRule>
  </conditionalFormatting>
  <conditionalFormatting sqref="K14:K15">
    <cfRule type="expression" dxfId="374" priority="239">
      <formula>(dms_FRCPlength_Num)&lt;5</formula>
    </cfRule>
  </conditionalFormatting>
  <conditionalFormatting sqref="K29">
    <cfRule type="expression" dxfId="373" priority="236">
      <formula>(dms_FRCPlength_Num)&lt;5</formula>
    </cfRule>
  </conditionalFormatting>
  <conditionalFormatting sqref="K98:K106">
    <cfRule type="expression" dxfId="372" priority="224">
      <formula>(dms_FRCPlength_Num)&lt;5</formula>
    </cfRule>
  </conditionalFormatting>
  <conditionalFormatting sqref="K99:K100">
    <cfRule type="expression" dxfId="371" priority="225">
      <formula>(dms_FRCPlength_Num)&lt;5</formula>
    </cfRule>
  </conditionalFormatting>
  <conditionalFormatting sqref="K115:K123">
    <cfRule type="expression" dxfId="370" priority="222">
      <formula>(dms_FRCPlength_Num)&lt;5</formula>
    </cfRule>
  </conditionalFormatting>
  <conditionalFormatting sqref="K116:K117">
    <cfRule type="expression" dxfId="369" priority="223">
      <formula>(dms_FRCPlength_Num)&lt;5</formula>
    </cfRule>
  </conditionalFormatting>
  <conditionalFormatting sqref="K125:K133">
    <cfRule type="expression" dxfId="368" priority="220">
      <formula>(dms_FRCPlength_Num)&lt;5</formula>
    </cfRule>
  </conditionalFormatting>
  <conditionalFormatting sqref="K126:K127">
    <cfRule type="expression" dxfId="367" priority="221">
      <formula>(dms_FRCPlength_Num)&lt;5</formula>
    </cfRule>
  </conditionalFormatting>
  <conditionalFormatting sqref="K107:K108">
    <cfRule type="expression" dxfId="366" priority="219">
      <formula>(dms_FRCPlength_Num)&lt;5</formula>
    </cfRule>
  </conditionalFormatting>
  <conditionalFormatting sqref="K25:K28">
    <cfRule type="expression" dxfId="365" priority="175">
      <formula>(dms_FRCPlength_Num)&lt;5</formula>
    </cfRule>
  </conditionalFormatting>
  <conditionalFormatting sqref="K26:K27">
    <cfRule type="expression" dxfId="364" priority="176">
      <formula>(dms_FRCPlength_Num)&lt;5</formula>
    </cfRule>
  </conditionalFormatting>
  <conditionalFormatting sqref="K36">
    <cfRule type="expression" dxfId="363" priority="174">
      <formula>(dms_FRCPlength_Num)&lt;5</formula>
    </cfRule>
  </conditionalFormatting>
  <conditionalFormatting sqref="K32:K35">
    <cfRule type="expression" dxfId="362" priority="172">
      <formula>(dms_FRCPlength_Num)&lt;5</formula>
    </cfRule>
  </conditionalFormatting>
  <conditionalFormatting sqref="K33:K34">
    <cfRule type="expression" dxfId="361" priority="173">
      <formula>(dms_FRCPlength_Num)&lt;5</formula>
    </cfRule>
  </conditionalFormatting>
  <conditionalFormatting sqref="K43">
    <cfRule type="expression" dxfId="360" priority="171">
      <formula>(dms_FRCPlength_Num)&lt;5</formula>
    </cfRule>
  </conditionalFormatting>
  <conditionalFormatting sqref="K39:K42">
    <cfRule type="expression" dxfId="359" priority="169">
      <formula>(dms_FRCPlength_Num)&lt;5</formula>
    </cfRule>
  </conditionalFormatting>
  <conditionalFormatting sqref="K40:K41">
    <cfRule type="expression" dxfId="358" priority="170">
      <formula>(dms_FRCPlength_Num)&lt;5</formula>
    </cfRule>
  </conditionalFormatting>
  <conditionalFormatting sqref="K50">
    <cfRule type="expression" dxfId="357" priority="168">
      <formula>(dms_FRCPlength_Num)&lt;5</formula>
    </cfRule>
  </conditionalFormatting>
  <conditionalFormatting sqref="K46:K49">
    <cfRule type="expression" dxfId="356" priority="166">
      <formula>(dms_FRCPlength_Num)&lt;5</formula>
    </cfRule>
  </conditionalFormatting>
  <conditionalFormatting sqref="K47:K48">
    <cfRule type="expression" dxfId="355" priority="167">
      <formula>(dms_FRCPlength_Num)&lt;5</formula>
    </cfRule>
  </conditionalFormatting>
  <conditionalFormatting sqref="K57">
    <cfRule type="expression" dxfId="354" priority="165">
      <formula>(dms_FRCPlength_Num)&lt;5</formula>
    </cfRule>
  </conditionalFormatting>
  <conditionalFormatting sqref="K53:K56">
    <cfRule type="expression" dxfId="353" priority="163">
      <formula>(dms_FRCPlength_Num)&lt;5</formula>
    </cfRule>
  </conditionalFormatting>
  <conditionalFormatting sqref="K54:K55">
    <cfRule type="expression" dxfId="352" priority="164">
      <formula>(dms_FRCPlength_Num)&lt;5</formula>
    </cfRule>
  </conditionalFormatting>
  <conditionalFormatting sqref="K64">
    <cfRule type="expression" dxfId="351" priority="162">
      <formula>(dms_FRCPlength_Num)&lt;5</formula>
    </cfRule>
  </conditionalFormatting>
  <conditionalFormatting sqref="K60:K63">
    <cfRule type="expression" dxfId="350" priority="160">
      <formula>(dms_FRCPlength_Num)&lt;5</formula>
    </cfRule>
  </conditionalFormatting>
  <conditionalFormatting sqref="K61:K62">
    <cfRule type="expression" dxfId="349" priority="161">
      <formula>(dms_FRCPlength_Num)&lt;5</formula>
    </cfRule>
  </conditionalFormatting>
  <conditionalFormatting sqref="K70">
    <cfRule type="expression" dxfId="348" priority="155">
      <formula>(dms_FRCPlength_Num)&lt;5</formula>
    </cfRule>
  </conditionalFormatting>
  <conditionalFormatting sqref="K68">
    <cfRule type="expression" dxfId="347" priority="154">
      <formula>(dms_FRCPlength_Num)&lt;5</formula>
    </cfRule>
  </conditionalFormatting>
  <conditionalFormatting sqref="K77">
    <cfRule type="expression" dxfId="346" priority="148">
      <formula>(dms_FRCPlength_Num)&lt;5</formula>
    </cfRule>
  </conditionalFormatting>
  <conditionalFormatting sqref="K73:K76">
    <cfRule type="expression" dxfId="345" priority="146">
      <formula>(dms_FRCPlength_Num)&lt;5</formula>
    </cfRule>
  </conditionalFormatting>
  <conditionalFormatting sqref="K74:K75">
    <cfRule type="expression" dxfId="344" priority="147">
      <formula>(dms_FRCPlength_Num)&lt;5</formula>
    </cfRule>
  </conditionalFormatting>
  <conditionalFormatting sqref="K84">
    <cfRule type="expression" dxfId="343" priority="141">
      <formula>(dms_FRCPlength_Num)&lt;5</formula>
    </cfRule>
  </conditionalFormatting>
  <conditionalFormatting sqref="K80:K83">
    <cfRule type="expression" dxfId="342" priority="139">
      <formula>(dms_FRCPlength_Num)&lt;5</formula>
    </cfRule>
  </conditionalFormatting>
  <conditionalFormatting sqref="K81:K82">
    <cfRule type="expression" dxfId="341" priority="140">
      <formula>(dms_FRCPlength_Num)&lt;5</formula>
    </cfRule>
  </conditionalFormatting>
  <conditionalFormatting sqref="K91">
    <cfRule type="expression" dxfId="340" priority="134">
      <formula>(dms_FRCPlength_Num)&lt;5</formula>
    </cfRule>
  </conditionalFormatting>
  <conditionalFormatting sqref="K87:K90">
    <cfRule type="expression" dxfId="339" priority="132">
      <formula>(dms_FRCPlength_Num)&lt;5</formula>
    </cfRule>
  </conditionalFormatting>
  <conditionalFormatting sqref="K88:K89">
    <cfRule type="expression" dxfId="338" priority="133">
      <formula>(dms_FRCPlength_Num)&lt;5</formula>
    </cfRule>
  </conditionalFormatting>
  <conditionalFormatting sqref="S115:S123">
    <cfRule type="expression" dxfId="337" priority="79">
      <formula>(dms_FRCPlength_Num)&lt;5</formula>
    </cfRule>
  </conditionalFormatting>
  <conditionalFormatting sqref="S116:S117">
    <cfRule type="expression" dxfId="336" priority="80">
      <formula>(dms_FRCPlength_Num)&lt;5</formula>
    </cfRule>
  </conditionalFormatting>
  <conditionalFormatting sqref="S125:S133">
    <cfRule type="expression" dxfId="335" priority="77">
      <formula>(dms_FRCPlength_Num)&lt;5</formula>
    </cfRule>
  </conditionalFormatting>
  <conditionalFormatting sqref="S126:S127">
    <cfRule type="expression" dxfId="334" priority="78">
      <formula>(dms_FRCPlength_Num)&lt;5</formula>
    </cfRule>
  </conditionalFormatting>
  <conditionalFormatting sqref="AA115:AA123">
    <cfRule type="expression" dxfId="333" priority="75">
      <formula>(dms_FRCPlength_Num)&lt;5</formula>
    </cfRule>
  </conditionalFormatting>
  <conditionalFormatting sqref="AA116:AA117">
    <cfRule type="expression" dxfId="332" priority="76">
      <formula>(dms_FRCPlength_Num)&lt;5</formula>
    </cfRule>
  </conditionalFormatting>
  <conditionalFormatting sqref="AA125:AA133">
    <cfRule type="expression" dxfId="331" priority="73">
      <formula>(dms_FRCPlength_Num)&lt;5</formula>
    </cfRule>
  </conditionalFormatting>
  <conditionalFormatting sqref="AA126:AA127">
    <cfRule type="expression" dxfId="330" priority="74">
      <formula>(dms_FRCPlength_Num)&lt;5</formula>
    </cfRule>
  </conditionalFormatting>
  <conditionalFormatting sqref="S98:S106">
    <cfRule type="expression" dxfId="329" priority="71">
      <formula>(dms_FRCPlength_Num)&lt;5</formula>
    </cfRule>
  </conditionalFormatting>
  <conditionalFormatting sqref="S99:S100">
    <cfRule type="expression" dxfId="328" priority="72">
      <formula>(dms_FRCPlength_Num)&lt;5</formula>
    </cfRule>
  </conditionalFormatting>
  <conditionalFormatting sqref="S107">
    <cfRule type="expression" dxfId="327" priority="70">
      <formula>(dms_FRCPlength_Num)&lt;5</formula>
    </cfRule>
  </conditionalFormatting>
  <conditionalFormatting sqref="AA98:AA106">
    <cfRule type="expression" dxfId="326" priority="68">
      <formula>(dms_FRCPlength_Num)&lt;5</formula>
    </cfRule>
  </conditionalFormatting>
  <conditionalFormatting sqref="AA99:AA100">
    <cfRule type="expression" dxfId="325" priority="69">
      <formula>(dms_FRCPlength_Num)&lt;5</formula>
    </cfRule>
  </conditionalFormatting>
  <conditionalFormatting sqref="AA107">
    <cfRule type="expression" dxfId="324" priority="67">
      <formula>(dms_FRCPlength_Num)&lt;5</formula>
    </cfRule>
  </conditionalFormatting>
  <conditionalFormatting sqref="S29">
    <cfRule type="expression" dxfId="323" priority="66">
      <formula>(dms_FRCPlength_Num)&lt;5</formula>
    </cfRule>
  </conditionalFormatting>
  <conditionalFormatting sqref="S25:S28">
    <cfRule type="expression" dxfId="322" priority="64">
      <formula>(dms_FRCPlength_Num)&lt;5</formula>
    </cfRule>
  </conditionalFormatting>
  <conditionalFormatting sqref="S26:S27">
    <cfRule type="expression" dxfId="321" priority="65">
      <formula>(dms_FRCPlength_Num)&lt;5</formula>
    </cfRule>
  </conditionalFormatting>
  <conditionalFormatting sqref="S36">
    <cfRule type="expression" dxfId="320" priority="63">
      <formula>(dms_FRCPlength_Num)&lt;5</formula>
    </cfRule>
  </conditionalFormatting>
  <conditionalFormatting sqref="S32:S35">
    <cfRule type="expression" dxfId="319" priority="61">
      <formula>(dms_FRCPlength_Num)&lt;5</formula>
    </cfRule>
  </conditionalFormatting>
  <conditionalFormatting sqref="S33:S34">
    <cfRule type="expression" dxfId="318" priority="62">
      <formula>(dms_FRCPlength_Num)&lt;5</formula>
    </cfRule>
  </conditionalFormatting>
  <conditionalFormatting sqref="S43">
    <cfRule type="expression" dxfId="317" priority="60">
      <formula>(dms_FRCPlength_Num)&lt;5</formula>
    </cfRule>
  </conditionalFormatting>
  <conditionalFormatting sqref="S39:S42">
    <cfRule type="expression" dxfId="316" priority="58">
      <formula>(dms_FRCPlength_Num)&lt;5</formula>
    </cfRule>
  </conditionalFormatting>
  <conditionalFormatting sqref="S40:S41">
    <cfRule type="expression" dxfId="315" priority="59">
      <formula>(dms_FRCPlength_Num)&lt;5</formula>
    </cfRule>
  </conditionalFormatting>
  <conditionalFormatting sqref="S50">
    <cfRule type="expression" dxfId="314" priority="57">
      <formula>(dms_FRCPlength_Num)&lt;5</formula>
    </cfRule>
  </conditionalFormatting>
  <conditionalFormatting sqref="S46:S49">
    <cfRule type="expression" dxfId="313" priority="55">
      <formula>(dms_FRCPlength_Num)&lt;5</formula>
    </cfRule>
  </conditionalFormatting>
  <conditionalFormatting sqref="S47:S48">
    <cfRule type="expression" dxfId="312" priority="56">
      <formula>(dms_FRCPlength_Num)&lt;5</formula>
    </cfRule>
  </conditionalFormatting>
  <conditionalFormatting sqref="S57">
    <cfRule type="expression" dxfId="311" priority="54">
      <formula>(dms_FRCPlength_Num)&lt;5</formula>
    </cfRule>
  </conditionalFormatting>
  <conditionalFormatting sqref="S53:S56">
    <cfRule type="expression" dxfId="310" priority="52">
      <formula>(dms_FRCPlength_Num)&lt;5</formula>
    </cfRule>
  </conditionalFormatting>
  <conditionalFormatting sqref="S54:S55">
    <cfRule type="expression" dxfId="309" priority="53">
      <formula>(dms_FRCPlength_Num)&lt;5</formula>
    </cfRule>
  </conditionalFormatting>
  <conditionalFormatting sqref="S64">
    <cfRule type="expression" dxfId="308" priority="51">
      <formula>(dms_FRCPlength_Num)&lt;5</formula>
    </cfRule>
  </conditionalFormatting>
  <conditionalFormatting sqref="S60:S63">
    <cfRule type="expression" dxfId="307" priority="49">
      <formula>(dms_FRCPlength_Num)&lt;5</formula>
    </cfRule>
  </conditionalFormatting>
  <conditionalFormatting sqref="S61:S62">
    <cfRule type="expression" dxfId="306" priority="50">
      <formula>(dms_FRCPlength_Num)&lt;5</formula>
    </cfRule>
  </conditionalFormatting>
  <conditionalFormatting sqref="S70">
    <cfRule type="expression" dxfId="305" priority="48">
      <formula>(dms_FRCPlength_Num)&lt;5</formula>
    </cfRule>
  </conditionalFormatting>
  <conditionalFormatting sqref="S68">
    <cfRule type="expression" dxfId="304" priority="47">
      <formula>(dms_FRCPlength_Num)&lt;5</formula>
    </cfRule>
  </conditionalFormatting>
  <conditionalFormatting sqref="S77">
    <cfRule type="expression" dxfId="303" priority="45">
      <formula>(dms_FRCPlength_Num)&lt;5</formula>
    </cfRule>
  </conditionalFormatting>
  <conditionalFormatting sqref="S73:S76">
    <cfRule type="expression" dxfId="302" priority="43">
      <formula>(dms_FRCPlength_Num)&lt;5</formula>
    </cfRule>
  </conditionalFormatting>
  <conditionalFormatting sqref="S74:S75">
    <cfRule type="expression" dxfId="301" priority="44">
      <formula>(dms_FRCPlength_Num)&lt;5</formula>
    </cfRule>
  </conditionalFormatting>
  <conditionalFormatting sqref="S84">
    <cfRule type="expression" dxfId="300" priority="42">
      <formula>(dms_FRCPlength_Num)&lt;5</formula>
    </cfRule>
  </conditionalFormatting>
  <conditionalFormatting sqref="S80:S83">
    <cfRule type="expression" dxfId="299" priority="40">
      <formula>(dms_FRCPlength_Num)&lt;5</formula>
    </cfRule>
  </conditionalFormatting>
  <conditionalFormatting sqref="S81:S82">
    <cfRule type="expression" dxfId="298" priority="41">
      <formula>(dms_FRCPlength_Num)&lt;5</formula>
    </cfRule>
  </conditionalFormatting>
  <conditionalFormatting sqref="S91">
    <cfRule type="expression" dxfId="297" priority="39">
      <formula>(dms_FRCPlength_Num)&lt;5</formula>
    </cfRule>
  </conditionalFormatting>
  <conditionalFormatting sqref="S87:S90">
    <cfRule type="expression" dxfId="296" priority="37">
      <formula>(dms_FRCPlength_Num)&lt;5</formula>
    </cfRule>
  </conditionalFormatting>
  <conditionalFormatting sqref="S88:S89">
    <cfRule type="expression" dxfId="295" priority="38">
      <formula>(dms_FRCPlength_Num)&lt;5</formula>
    </cfRule>
  </conditionalFormatting>
  <conditionalFormatting sqref="AA29">
    <cfRule type="expression" dxfId="294" priority="36">
      <formula>(dms_FRCPlength_Num)&lt;5</formula>
    </cfRule>
  </conditionalFormatting>
  <conditionalFormatting sqref="AA25:AA28">
    <cfRule type="expression" dxfId="293" priority="34">
      <formula>(dms_FRCPlength_Num)&lt;5</formula>
    </cfRule>
  </conditionalFormatting>
  <conditionalFormatting sqref="AA26:AA27">
    <cfRule type="expression" dxfId="292" priority="35">
      <formula>(dms_FRCPlength_Num)&lt;5</formula>
    </cfRule>
  </conditionalFormatting>
  <conditionalFormatting sqref="AA36">
    <cfRule type="expression" dxfId="291" priority="33">
      <formula>(dms_FRCPlength_Num)&lt;5</formula>
    </cfRule>
  </conditionalFormatting>
  <conditionalFormatting sqref="AA32:AA35">
    <cfRule type="expression" dxfId="290" priority="31">
      <formula>(dms_FRCPlength_Num)&lt;5</formula>
    </cfRule>
  </conditionalFormatting>
  <conditionalFormatting sqref="AA33:AA34">
    <cfRule type="expression" dxfId="289" priority="32">
      <formula>(dms_FRCPlength_Num)&lt;5</formula>
    </cfRule>
  </conditionalFormatting>
  <conditionalFormatting sqref="AA43">
    <cfRule type="expression" dxfId="288" priority="30">
      <formula>(dms_FRCPlength_Num)&lt;5</formula>
    </cfRule>
  </conditionalFormatting>
  <conditionalFormatting sqref="AA39:AA42">
    <cfRule type="expression" dxfId="287" priority="28">
      <formula>(dms_FRCPlength_Num)&lt;5</formula>
    </cfRule>
  </conditionalFormatting>
  <conditionalFormatting sqref="AA40:AA41">
    <cfRule type="expression" dxfId="286" priority="29">
      <formula>(dms_FRCPlength_Num)&lt;5</formula>
    </cfRule>
  </conditionalFormatting>
  <conditionalFormatting sqref="AA50">
    <cfRule type="expression" dxfId="285" priority="27">
      <formula>(dms_FRCPlength_Num)&lt;5</formula>
    </cfRule>
  </conditionalFormatting>
  <conditionalFormatting sqref="AA46:AA49">
    <cfRule type="expression" dxfId="284" priority="25">
      <formula>(dms_FRCPlength_Num)&lt;5</formula>
    </cfRule>
  </conditionalFormatting>
  <conditionalFormatting sqref="AA47:AA48">
    <cfRule type="expression" dxfId="283" priority="26">
      <formula>(dms_FRCPlength_Num)&lt;5</formula>
    </cfRule>
  </conditionalFormatting>
  <conditionalFormatting sqref="AA57">
    <cfRule type="expression" dxfId="282" priority="24">
      <formula>(dms_FRCPlength_Num)&lt;5</formula>
    </cfRule>
  </conditionalFormatting>
  <conditionalFormatting sqref="AA53:AA56">
    <cfRule type="expression" dxfId="281" priority="22">
      <formula>(dms_FRCPlength_Num)&lt;5</formula>
    </cfRule>
  </conditionalFormatting>
  <conditionalFormatting sqref="AA54:AA55">
    <cfRule type="expression" dxfId="280" priority="23">
      <formula>(dms_FRCPlength_Num)&lt;5</formula>
    </cfRule>
  </conditionalFormatting>
  <conditionalFormatting sqref="AA64">
    <cfRule type="expression" dxfId="279" priority="21">
      <formula>(dms_FRCPlength_Num)&lt;5</formula>
    </cfRule>
  </conditionalFormatting>
  <conditionalFormatting sqref="AA60:AA63">
    <cfRule type="expression" dxfId="278" priority="19">
      <formula>(dms_FRCPlength_Num)&lt;5</formula>
    </cfRule>
  </conditionalFormatting>
  <conditionalFormatting sqref="AA61:AA62">
    <cfRule type="expression" dxfId="277" priority="20">
      <formula>(dms_FRCPlength_Num)&lt;5</formula>
    </cfRule>
  </conditionalFormatting>
  <conditionalFormatting sqref="AA70">
    <cfRule type="expression" dxfId="276" priority="18">
      <formula>(dms_FRCPlength_Num)&lt;5</formula>
    </cfRule>
  </conditionalFormatting>
  <conditionalFormatting sqref="AA68">
    <cfRule type="expression" dxfId="275" priority="17">
      <formula>(dms_FRCPlength_Num)&lt;5</formula>
    </cfRule>
  </conditionalFormatting>
  <conditionalFormatting sqref="AA77">
    <cfRule type="expression" dxfId="274" priority="15">
      <formula>(dms_FRCPlength_Num)&lt;5</formula>
    </cfRule>
  </conditionalFormatting>
  <conditionalFormatting sqref="AA73:AA76">
    <cfRule type="expression" dxfId="273" priority="13">
      <formula>(dms_FRCPlength_Num)&lt;5</formula>
    </cfRule>
  </conditionalFormatting>
  <conditionalFormatting sqref="AA74:AA75">
    <cfRule type="expression" dxfId="272" priority="14">
      <formula>(dms_FRCPlength_Num)&lt;5</formula>
    </cfRule>
  </conditionalFormatting>
  <conditionalFormatting sqref="AA84">
    <cfRule type="expression" dxfId="271" priority="12">
      <formula>(dms_FRCPlength_Num)&lt;5</formula>
    </cfRule>
  </conditionalFormatting>
  <conditionalFormatting sqref="AA80:AA83">
    <cfRule type="expression" dxfId="270" priority="10">
      <formula>(dms_FRCPlength_Num)&lt;5</formula>
    </cfRule>
  </conditionalFormatting>
  <conditionalFormatting sqref="AA81:AA82">
    <cfRule type="expression" dxfId="269" priority="11">
      <formula>(dms_FRCPlength_Num)&lt;5</formula>
    </cfRule>
  </conditionalFormatting>
  <conditionalFormatting sqref="AA91">
    <cfRule type="expression" dxfId="268" priority="9">
      <formula>(dms_FRCPlength_Num)&lt;5</formula>
    </cfRule>
  </conditionalFormatting>
  <conditionalFormatting sqref="AA87:AA90">
    <cfRule type="expression" dxfId="267" priority="7">
      <formula>(dms_FRCPlength_Num)&lt;5</formula>
    </cfRule>
  </conditionalFormatting>
  <conditionalFormatting sqref="AA88:AA89">
    <cfRule type="expression" dxfId="266" priority="8">
      <formula>(dms_FRCPlength_Num)&lt;5</formula>
    </cfRule>
  </conditionalFormatting>
  <conditionalFormatting sqref="S13:S17">
    <cfRule type="expression" dxfId="265" priority="5">
      <formula>(dms_FRCPlength_Num)&lt;5</formula>
    </cfRule>
  </conditionalFormatting>
  <conditionalFormatting sqref="S14:S15">
    <cfRule type="expression" dxfId="264" priority="6">
      <formula>(dms_FRCPlength_Num)&lt;5</formula>
    </cfRule>
  </conditionalFormatting>
  <conditionalFormatting sqref="AA13:AA17">
    <cfRule type="expression" dxfId="263" priority="3">
      <formula>(dms_FRCPlength_Num)&lt;5</formula>
    </cfRule>
  </conditionalFormatting>
  <conditionalFormatting sqref="AA14:AA15">
    <cfRule type="expression" dxfId="262" priority="4">
      <formula>(dms_FRCPlength_Num)&lt;5</formula>
    </cfRule>
  </conditionalFormatting>
  <conditionalFormatting sqref="S108">
    <cfRule type="expression" dxfId="261" priority="2">
      <formula>(dms_FRCPlength_Num)&lt;5</formula>
    </cfRule>
  </conditionalFormatting>
  <conditionalFormatting sqref="AA108">
    <cfRule type="expression" dxfId="260" priority="1">
      <formula>(dms_FRCPlength_Num)&lt;5</formula>
    </cfRule>
  </conditionalFormatting>
  <dataValidations count="1">
    <dataValidation allowBlank="1" showInputMessage="1" showErrorMessage="1" sqref="E111:K111 E95:K95 E21:K21 E9:K9 M95:S95 U95:AA95 M21:S21 M9:S9 M111:S111 U21:AA21 U9:AA9 U111:AA111" xr:uid="{622C430A-9041-452D-B82A-A8E71B195944}"/>
  </dataValidations>
  <hyperlinks>
    <hyperlink ref="B2:E2" location="TOC!A1" display="TOC!A1" xr:uid="{14D6681D-7102-4C00-9AF6-AA4B181E5B56}"/>
    <hyperlink ref="F2" location="TOC!A1" display="TOC!A1" xr:uid="{A22A3D3B-3754-4E00-8D61-E0BF9FDA2896}"/>
    <hyperlink ref="G2" location="TOC!A1" display="TOC!A1" xr:uid="{5B9202D3-D325-4566-BA6A-0A7C020642D4}"/>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C316-9825-4045-9335-48927413DA57}">
  <sheetPr codeName="Sheet37">
    <tabColor rgb="FFFFFF00"/>
  </sheetPr>
  <dimension ref="A1:W60"/>
  <sheetViews>
    <sheetView showGridLines="0" zoomScaleNormal="100" workbookViewId="0">
      <pane xSplit="4" ySplit="3" topLeftCell="E4" activePane="bottomRight" state="frozen"/>
      <selection activeCell="D11" sqref="D11"/>
      <selection pane="topRight" activeCell="D11" sqref="D11"/>
      <selection pane="bottomLeft" activeCell="D11" sqref="D11"/>
      <selection pane="bottomRight" activeCell="F58" sqref="F58"/>
    </sheetView>
  </sheetViews>
  <sheetFormatPr defaultColWidth="9.33203125" defaultRowHeight="10.15" outlineLevelRow="1" x14ac:dyDescent="0.3"/>
  <cols>
    <col min="1" max="3" width="3.6640625" style="45" customWidth="1"/>
    <col min="4" max="4" width="79" style="45" customWidth="1"/>
    <col min="5" max="5" width="24.6640625" style="45" customWidth="1"/>
    <col min="6" max="6" width="73.6640625" style="45" customWidth="1"/>
    <col min="7" max="8" width="24.6640625" style="45" customWidth="1"/>
    <col min="9" max="9" width="15.6640625" style="45" customWidth="1"/>
    <col min="10" max="10" width="55.33203125" style="45" customWidth="1"/>
    <col min="11" max="11" width="15.6640625" style="45" customWidth="1"/>
    <col min="12" max="23" width="17.6640625" style="45" customWidth="1"/>
    <col min="24" max="32" width="10.6640625" style="45" customWidth="1"/>
    <col min="33" max="16384" width="9.33203125" style="45"/>
  </cols>
  <sheetData>
    <row r="1" spans="1:23" ht="18.75" x14ac:dyDescent="0.3">
      <c r="A1" s="41">
        <f>IF(SUM($A3:$A60)&gt;0,1,0)</f>
        <v>0</v>
      </c>
      <c r="B1" s="3" t="s">
        <v>1109</v>
      </c>
    </row>
    <row r="2" spans="1:23" customFormat="1" x14ac:dyDescent="0.3">
      <c r="B2" s="34" t="str">
        <f>TOC!$B$1</f>
        <v>Table of contents</v>
      </c>
      <c r="C2" s="34"/>
      <c r="D2" s="34"/>
      <c r="E2" s="34"/>
      <c r="F2" s="45"/>
    </row>
    <row r="3" spans="1:23" x14ac:dyDescent="0.3">
      <c r="B3" s="9" t="str">
        <f>Title_Msg</f>
        <v>No Errors Found</v>
      </c>
    </row>
    <row r="4" spans="1:23" s="46" customFormat="1" ht="15" x14ac:dyDescent="0.3">
      <c r="B4" s="46" t="str">
        <f>'WkB_1_2.1.1'!$B$4</f>
        <v>Data required to populate Power and Water Corporation 2024-29 regulatory submission</v>
      </c>
    </row>
    <row r="5" spans="1:23" ht="4.5" customHeight="1" x14ac:dyDescent="0.3"/>
    <row r="6" spans="1:23" s="7" customFormat="1" ht="13.9" x14ac:dyDescent="0.3">
      <c r="C6" s="7" t="str">
        <f>'WkB_1_2.1.1'!$C$6</f>
        <v>Output - RIN template</v>
      </c>
    </row>
    <row r="7" spans="1:23" ht="11.25" customHeight="1" x14ac:dyDescent="0.3"/>
    <row r="8" spans="1:23" ht="18" x14ac:dyDescent="0.5">
      <c r="D8" s="352" t="s">
        <v>201</v>
      </c>
      <c r="E8" s="49"/>
      <c r="F8" s="49"/>
      <c r="G8" s="49"/>
      <c r="H8" s="49"/>
    </row>
    <row r="9" spans="1:23" ht="48" customHeight="1" thickBot="1" x14ac:dyDescent="0.35">
      <c r="D9" s="353" t="s">
        <v>202</v>
      </c>
      <c r="E9" s="354" t="s">
        <v>203</v>
      </c>
      <c r="F9" s="354" t="s">
        <v>204</v>
      </c>
      <c r="G9" s="354" t="s">
        <v>530</v>
      </c>
      <c r="H9" s="355" t="s">
        <v>531</v>
      </c>
      <c r="J9" s="369" t="s">
        <v>701</v>
      </c>
      <c r="K9" s="369" t="s">
        <v>205</v>
      </c>
      <c r="L9" s="370" t="s">
        <v>807</v>
      </c>
      <c r="M9" s="370" t="s">
        <v>808</v>
      </c>
      <c r="N9" s="370" t="s">
        <v>809</v>
      </c>
      <c r="O9" s="370" t="s">
        <v>810</v>
      </c>
      <c r="P9" s="370" t="s">
        <v>811</v>
      </c>
      <c r="Q9" s="370" t="s">
        <v>702</v>
      </c>
      <c r="R9" s="370" t="s">
        <v>206</v>
      </c>
      <c r="S9" s="370" t="s">
        <v>207</v>
      </c>
      <c r="T9" s="370" t="s">
        <v>208</v>
      </c>
      <c r="U9" s="370" t="s">
        <v>209</v>
      </c>
      <c r="V9" s="370" t="s">
        <v>532</v>
      </c>
      <c r="W9" s="370" t="s">
        <v>533</v>
      </c>
    </row>
    <row r="10" spans="1:23" ht="229.5" x14ac:dyDescent="0.45">
      <c r="D10" s="356" t="str">
        <f>D39</f>
        <v>Renewable Energy Hub</v>
      </c>
      <c r="E10" s="377">
        <f>W10</f>
        <v>126197065.91371663</v>
      </c>
      <c r="F10" s="357" t="str">
        <f>IFERROR(INDEX($F$39:$F$58,MATCH(D10,$D$39:$D$58,0)),0)</f>
        <v xml:space="preserve">We have identified two triggers for the project:
1. A formal notification from a NTG Minister to Power and Water Corporation, advising that the NTG wishes to provide for a Renewable Energy Hub at a site near Darwin and advising the approximate required capacity and location of that hub; and 
2. The completion of a RIT-T by Power and Water that meets the following: 
a) Identifies a need to undertake shared transmission works to convey generation from a Renewable Energy Hub near Darwin within the regulatory period. 
b) Identifies a preferred option consistent with the RIT‐T guidelines that maximises the net economic benefit to all those who produce, consume and transport electricity.
c) Determines that the preferred option has a positive net economic benefit and/or is otherwise consistent with the National Electricity Objective at that time. </v>
      </c>
      <c r="G10" s="380">
        <v>175968438.25887242</v>
      </c>
      <c r="H10" s="381">
        <f t="shared" ref="H10:H29" si="0">+G10*0.05</f>
        <v>8798421.9129436221</v>
      </c>
      <c r="J10" s="922" t="s">
        <v>1132</v>
      </c>
      <c r="K10" s="368"/>
      <c r="L10" s="371">
        <v>60072475.202550665</v>
      </c>
      <c r="M10" s="371">
        <v>60770337.967557013</v>
      </c>
      <c r="N10" s="371">
        <v>0</v>
      </c>
      <c r="O10" s="371">
        <v>0</v>
      </c>
      <c r="P10" s="371">
        <v>0</v>
      </c>
      <c r="Q10" s="372">
        <f>SUM(L10:P10)</f>
        <v>120842813.17010768</v>
      </c>
      <c r="R10" s="372">
        <f>L10/Input_CPI!T$18</f>
        <v>61826375.247511491</v>
      </c>
      <c r="S10" s="372">
        <f>M10/Input_CPI!U$18</f>
        <v>64370690.666205138</v>
      </c>
      <c r="T10" s="372">
        <f>N10/Input_CPI!V$18</f>
        <v>0</v>
      </c>
      <c r="U10" s="372">
        <f>O10/Input_CPI!W$18</f>
        <v>0</v>
      </c>
      <c r="V10" s="372">
        <f>P10/Input_CPI!X$18</f>
        <v>0</v>
      </c>
      <c r="W10" s="372">
        <f>SUM(R10:V10)</f>
        <v>126197065.91371663</v>
      </c>
    </row>
    <row r="11" spans="1:23" ht="227.65" customHeight="1" x14ac:dyDescent="0.45">
      <c r="D11" s="360" t="str">
        <f>D40</f>
        <v>Unlocking existing large scale renewable generation on DKTL</v>
      </c>
      <c r="E11" s="378">
        <f t="shared" ref="E11:E13" si="1">W11</f>
        <v>49123439.5208482</v>
      </c>
      <c r="F11" s="361" t="str">
        <f>IFERROR(INDEX($F$39:$F$58,MATCH(D11,$D$39:$D$58,0)),0)</f>
        <v xml:space="preserve">We have identified two triggers for the project:
1. A formal notification from a NTG Minister to Power and Water Corporation, advising that it wishes to accommodate more renewable energy in an area that requires transport of generation on the DKTL and advising the approximate required additional capacity and location of that generation; and
2. the completion of a RIT-T by Power and Water that meets the following: 
a) Identifies a need to relieve transmission constraints on the DKTL within the next regulatory period, and 
b) Identifies a preferred option consistent with the RIT‐T guidelines that maximises the net economic benefit to all those who produce, consume and transport electricity in the NEM, and 
c) Determines that the preferred option has a positive net economic benefit and/or is otherwise consistent with the National Electricity Objective at that time. </v>
      </c>
      <c r="G11" s="382">
        <f>+$G$10</f>
        <v>175968438.25887242</v>
      </c>
      <c r="H11" s="383">
        <f t="shared" si="0"/>
        <v>8798421.9129436221</v>
      </c>
      <c r="J11" s="923" t="s">
        <v>1133</v>
      </c>
      <c r="K11" s="361"/>
      <c r="L11" s="373">
        <v>0</v>
      </c>
      <c r="M11" s="373">
        <v>22788876.737833884</v>
      </c>
      <c r="N11" s="373">
        <v>22917892.550880603</v>
      </c>
      <c r="O11" s="373">
        <v>0</v>
      </c>
      <c r="P11" s="373">
        <v>0</v>
      </c>
      <c r="Q11" s="374">
        <f t="shared" ref="Q11:Q29" si="2">SUM(L11:P11)</f>
        <v>45706769.288714483</v>
      </c>
      <c r="R11" s="374">
        <f>L11/Input_CPI!T$18</f>
        <v>0</v>
      </c>
      <c r="S11" s="374">
        <f>M11/Input_CPI!U$18</f>
        <v>24139008.99982693</v>
      </c>
      <c r="T11" s="374">
        <f>N11/Input_CPI!V$18</f>
        <v>24984430.521021273</v>
      </c>
      <c r="U11" s="374">
        <f>O11/Input_CPI!W$18</f>
        <v>0</v>
      </c>
      <c r="V11" s="374">
        <f>P11/Input_CPI!X$18</f>
        <v>0</v>
      </c>
      <c r="W11" s="374">
        <f t="shared" ref="W11:W29" si="3">SUM(R11:V11)</f>
        <v>49123439.5208482</v>
      </c>
    </row>
    <row r="12" spans="1:23" ht="240.4" customHeight="1" x14ac:dyDescent="0.45">
      <c r="D12" s="360" t="str">
        <f>D41</f>
        <v>Holtze-Kowani land release</v>
      </c>
      <c r="E12" s="378">
        <f t="shared" si="1"/>
        <v>64898072.760062784</v>
      </c>
      <c r="F12" s="361" t="str">
        <f>IFERROR(INDEX($F$39:$F$58,MATCH(D12,$D$39:$D$58,0)),0)</f>
        <v>We have identified three triggers for the project:
1. An executed Connection Application and an approved HV Master Plan for Stage 3 of the land development in the Greater Holtze Area.
2. A Power and Water planning study demonstrating a likely material constraint in meeting the expected demand arising from Stage 3 of the land development. 
3. The completion of a Regulatory Investment Test for Distribution (RIT-D) by Power and Water that meets the following: 
a). Identifies a need to undertake augmentation distribution works in the next regulatory period to meet demand for standard control services arising from Stage 3 land release in the Greater Holtze Area, and
b). Identifies the preferred option consistent with the RIT‐D guidelines that maximises the net economic benefit to all those who produce, consume and transport electricity.</v>
      </c>
      <c r="G12" s="382">
        <f t="shared" ref="G12:G29" si="4">+$G$10</f>
        <v>175968438.25887242</v>
      </c>
      <c r="H12" s="383">
        <f t="shared" si="0"/>
        <v>8798421.9129436221</v>
      </c>
      <c r="J12" s="923" t="s">
        <v>1134</v>
      </c>
      <c r="K12" s="361"/>
      <c r="L12" s="373">
        <v>7509059.4003188331</v>
      </c>
      <c r="M12" s="373">
        <v>30385168.983778507</v>
      </c>
      <c r="N12" s="373">
        <v>22917892.550880603</v>
      </c>
      <c r="O12" s="373">
        <v>0</v>
      </c>
      <c r="P12" s="373">
        <v>0</v>
      </c>
      <c r="Q12" s="374">
        <f t="shared" si="2"/>
        <v>60812120.934977941</v>
      </c>
      <c r="R12" s="374">
        <f>L12/Input_CPI!T$18</f>
        <v>7728296.9059389364</v>
      </c>
      <c r="S12" s="374">
        <f>M12/Input_CPI!U$18</f>
        <v>32185345.333102569</v>
      </c>
      <c r="T12" s="374">
        <f>N12/Input_CPI!V$18</f>
        <v>24984430.521021273</v>
      </c>
      <c r="U12" s="374">
        <f>O12/Input_CPI!W$18</f>
        <v>0</v>
      </c>
      <c r="V12" s="374">
        <f>P12/Input_CPI!X$18</f>
        <v>0</v>
      </c>
      <c r="W12" s="374">
        <f t="shared" si="3"/>
        <v>64898072.760062784</v>
      </c>
    </row>
    <row r="13" spans="1:23" ht="178.5" x14ac:dyDescent="0.45">
      <c r="D13" s="360" t="str">
        <f>D42</f>
        <v xml:space="preserve">Commercial development in Middle Arm </v>
      </c>
      <c r="E13" s="378">
        <f t="shared" si="1"/>
        <v>48523592.919780053</v>
      </c>
      <c r="F13" s="361" t="str">
        <f>IFERROR(INDEX($F$39:$F$58,MATCH(D13,$D$39:$D$58,0)),0)</f>
        <v>We have identified two triggers for the project:
1. Committed customer connections in the Middle Arm Peninsula in Darwin that, in aggregate, exceeds the existing capacity (15 MVA) of the Weddell zone substation.
2. The completion of a regulatory investment test for distribution by Power and Water that meets the following:
a). Identifies a need to undertake augmentation distribution works to meet demand for standard control services arising from new customer connections in the Middle Arm Peninsula.
b). Identifies the preferred option consistent with the RIT‐D guidelines that maximise the net economic benefit to all those who produce, consume and transport electricity.</v>
      </c>
      <c r="G13" s="382">
        <f t="shared" si="4"/>
        <v>175968438.25887242</v>
      </c>
      <c r="H13" s="383">
        <f t="shared" si="0"/>
        <v>8798421.9129436221</v>
      </c>
      <c r="J13" s="923" t="s">
        <v>1135</v>
      </c>
      <c r="K13" s="361"/>
      <c r="L13" s="373">
        <v>7509059.4003188331</v>
      </c>
      <c r="M13" s="373">
        <v>22788876.737833884</v>
      </c>
      <c r="N13" s="373">
        <v>15278595.033920405</v>
      </c>
      <c r="O13" s="373">
        <v>0</v>
      </c>
      <c r="P13" s="373">
        <v>0</v>
      </c>
      <c r="Q13" s="374">
        <f t="shared" si="2"/>
        <v>45576531.172073126</v>
      </c>
      <c r="R13" s="374">
        <f>L13/Input_CPI!T$18</f>
        <v>7728296.9059389364</v>
      </c>
      <c r="S13" s="374">
        <f>M13/Input_CPI!U$18</f>
        <v>24139008.99982693</v>
      </c>
      <c r="T13" s="374">
        <f>N13/Input_CPI!V$18</f>
        <v>16656287.014014186</v>
      </c>
      <c r="U13" s="374">
        <f>O13/Input_CPI!W$18</f>
        <v>0</v>
      </c>
      <c r="V13" s="374">
        <f>P13/Input_CPI!X$18</f>
        <v>0</v>
      </c>
      <c r="W13" s="374">
        <f t="shared" si="3"/>
        <v>48523592.919780053</v>
      </c>
    </row>
    <row r="14" spans="1:23" ht="14.25" x14ac:dyDescent="0.45">
      <c r="D14" s="360" t="str">
        <f>D43</f>
        <v>Wishart ZSS</v>
      </c>
      <c r="E14" s="378">
        <f t="shared" ref="E14" si="5">W14</f>
        <v>78310016.423248395</v>
      </c>
      <c r="F14" s="1020" t="s">
        <v>1172</v>
      </c>
      <c r="G14" s="382">
        <f t="shared" si="4"/>
        <v>175968438.25887242</v>
      </c>
      <c r="H14" s="383">
        <f t="shared" si="0"/>
        <v>8798421.9129436221</v>
      </c>
      <c r="J14" s="923" t="s">
        <v>1136</v>
      </c>
      <c r="K14" s="361"/>
      <c r="L14" s="373">
        <v>0</v>
      </c>
      <c r="M14" s="373">
        <v>0</v>
      </c>
      <c r="N14" s="373">
        <v>7639297.5169602027</v>
      </c>
      <c r="O14" s="373">
        <v>30651429.629596721</v>
      </c>
      <c r="P14" s="373">
        <v>30821114.993080821</v>
      </c>
      <c r="Q14" s="374">
        <f t="shared" si="2"/>
        <v>69111842.139637738</v>
      </c>
      <c r="R14" s="374">
        <f>L14/Input_CPI!T$18</f>
        <v>0</v>
      </c>
      <c r="S14" s="374">
        <f>M14/Input_CPI!U$18</f>
        <v>0</v>
      </c>
      <c r="T14" s="374">
        <f>N14/Input_CPI!V$18</f>
        <v>8328143.5070070932</v>
      </c>
      <c r="U14" s="374">
        <f>O14/Input_CPI!W$18</f>
        <v>34390918.11253608</v>
      </c>
      <c r="V14" s="374">
        <f>P14/Input_CPI!X$18</f>
        <v>35590954.803705223</v>
      </c>
      <c r="W14" s="374">
        <f t="shared" si="3"/>
        <v>78310016.423248395</v>
      </c>
    </row>
    <row r="15" spans="1:23" ht="11.25" hidden="1" customHeight="1" outlineLevel="1" x14ac:dyDescent="0.45">
      <c r="D15" s="360"/>
      <c r="E15" s="378"/>
      <c r="F15" s="361"/>
      <c r="G15" s="382">
        <f t="shared" si="4"/>
        <v>175968438.25887242</v>
      </c>
      <c r="H15" s="383">
        <f t="shared" si="0"/>
        <v>8798421.9129436221</v>
      </c>
      <c r="J15" s="923"/>
      <c r="K15" s="361"/>
      <c r="L15" s="373"/>
      <c r="M15" s="373"/>
      <c r="N15" s="373"/>
      <c r="O15" s="373"/>
      <c r="P15" s="373"/>
      <c r="Q15" s="374">
        <f t="shared" si="2"/>
        <v>0</v>
      </c>
      <c r="R15" s="374">
        <f>L15/Input_CPI!T$18</f>
        <v>0</v>
      </c>
      <c r="S15" s="374">
        <f>M15/Input_CPI!U$18</f>
        <v>0</v>
      </c>
      <c r="T15" s="374">
        <f>N15/Input_CPI!V$18</f>
        <v>0</v>
      </c>
      <c r="U15" s="374">
        <f>O15/Input_CPI!W$18</f>
        <v>0</v>
      </c>
      <c r="V15" s="374">
        <f>P15/Input_CPI!X$18</f>
        <v>0</v>
      </c>
      <c r="W15" s="374">
        <f t="shared" si="3"/>
        <v>0</v>
      </c>
    </row>
    <row r="16" spans="1:23" ht="11.25" hidden="1" customHeight="1" outlineLevel="1" x14ac:dyDescent="0.45">
      <c r="D16" s="360"/>
      <c r="E16" s="378"/>
      <c r="F16" s="361"/>
      <c r="G16" s="382">
        <f t="shared" si="4"/>
        <v>175968438.25887242</v>
      </c>
      <c r="H16" s="383">
        <f t="shared" si="0"/>
        <v>8798421.9129436221</v>
      </c>
      <c r="J16" s="923"/>
      <c r="K16" s="361"/>
      <c r="L16" s="373"/>
      <c r="M16" s="373"/>
      <c r="N16" s="373"/>
      <c r="O16" s="373"/>
      <c r="P16" s="373"/>
      <c r="Q16" s="374">
        <f t="shared" si="2"/>
        <v>0</v>
      </c>
      <c r="R16" s="374">
        <f>L16/Input_CPI!T$18</f>
        <v>0</v>
      </c>
      <c r="S16" s="374">
        <f>M16/Input_CPI!U$18</f>
        <v>0</v>
      </c>
      <c r="T16" s="374">
        <f>N16/Input_CPI!V$18</f>
        <v>0</v>
      </c>
      <c r="U16" s="374">
        <f>O16/Input_CPI!W$18</f>
        <v>0</v>
      </c>
      <c r="V16" s="374">
        <f>P16/Input_CPI!X$18</f>
        <v>0</v>
      </c>
      <c r="W16" s="374">
        <f t="shared" si="3"/>
        <v>0</v>
      </c>
    </row>
    <row r="17" spans="4:23" ht="11.25" hidden="1" customHeight="1" outlineLevel="1" x14ac:dyDescent="0.45">
      <c r="D17" s="360"/>
      <c r="E17" s="378"/>
      <c r="F17" s="361"/>
      <c r="G17" s="382">
        <f t="shared" si="4"/>
        <v>175968438.25887242</v>
      </c>
      <c r="H17" s="383">
        <f t="shared" si="0"/>
        <v>8798421.9129436221</v>
      </c>
      <c r="J17" s="923"/>
      <c r="K17" s="361"/>
      <c r="L17" s="373"/>
      <c r="M17" s="373"/>
      <c r="N17" s="373"/>
      <c r="O17" s="373"/>
      <c r="P17" s="373"/>
      <c r="Q17" s="374">
        <f t="shared" si="2"/>
        <v>0</v>
      </c>
      <c r="R17" s="374">
        <f>L17/Input_CPI!T$18</f>
        <v>0</v>
      </c>
      <c r="S17" s="374">
        <f>M17/Input_CPI!U$18</f>
        <v>0</v>
      </c>
      <c r="T17" s="374">
        <f>N17/Input_CPI!V$18</f>
        <v>0</v>
      </c>
      <c r="U17" s="374">
        <f>O17/Input_CPI!W$18</f>
        <v>0</v>
      </c>
      <c r="V17" s="374">
        <f>P17/Input_CPI!X$18</f>
        <v>0</v>
      </c>
      <c r="W17" s="374">
        <f t="shared" si="3"/>
        <v>0</v>
      </c>
    </row>
    <row r="18" spans="4:23" ht="11.25" hidden="1" customHeight="1" outlineLevel="1" x14ac:dyDescent="0.45">
      <c r="D18" s="360"/>
      <c r="E18" s="378"/>
      <c r="F18" s="361"/>
      <c r="G18" s="382">
        <f t="shared" si="4"/>
        <v>175968438.25887242</v>
      </c>
      <c r="H18" s="383">
        <f t="shared" si="0"/>
        <v>8798421.9129436221</v>
      </c>
      <c r="J18" s="361"/>
      <c r="K18" s="361"/>
      <c r="L18" s="373"/>
      <c r="M18" s="373"/>
      <c r="N18" s="373"/>
      <c r="O18" s="373"/>
      <c r="P18" s="373"/>
      <c r="Q18" s="374">
        <f t="shared" si="2"/>
        <v>0</v>
      </c>
      <c r="R18" s="374">
        <f>L18/Input_CPI!T$18</f>
        <v>0</v>
      </c>
      <c r="S18" s="374">
        <f>M18/Input_CPI!U$18</f>
        <v>0</v>
      </c>
      <c r="T18" s="374">
        <f>N18/Input_CPI!V$18</f>
        <v>0</v>
      </c>
      <c r="U18" s="374">
        <f>O18/Input_CPI!W$18</f>
        <v>0</v>
      </c>
      <c r="V18" s="374">
        <f>P18/Input_CPI!X$18</f>
        <v>0</v>
      </c>
      <c r="W18" s="374">
        <f t="shared" si="3"/>
        <v>0</v>
      </c>
    </row>
    <row r="19" spans="4:23" ht="11.25" hidden="1" customHeight="1" outlineLevel="1" x14ac:dyDescent="0.45">
      <c r="D19" s="360"/>
      <c r="E19" s="378"/>
      <c r="F19" s="361"/>
      <c r="G19" s="382">
        <f t="shared" si="4"/>
        <v>175968438.25887242</v>
      </c>
      <c r="H19" s="383">
        <f t="shared" si="0"/>
        <v>8798421.9129436221</v>
      </c>
      <c r="J19" s="361"/>
      <c r="K19" s="361"/>
      <c r="L19" s="373"/>
      <c r="M19" s="373"/>
      <c r="N19" s="373"/>
      <c r="O19" s="373"/>
      <c r="P19" s="373"/>
      <c r="Q19" s="374">
        <f t="shared" si="2"/>
        <v>0</v>
      </c>
      <c r="R19" s="374">
        <f>L19/Input_CPI!T$18</f>
        <v>0</v>
      </c>
      <c r="S19" s="374">
        <f>M19/Input_CPI!U$18</f>
        <v>0</v>
      </c>
      <c r="T19" s="374">
        <f>N19/Input_CPI!V$18</f>
        <v>0</v>
      </c>
      <c r="U19" s="374">
        <f>O19/Input_CPI!W$18</f>
        <v>0</v>
      </c>
      <c r="V19" s="374">
        <f>P19/Input_CPI!X$18</f>
        <v>0</v>
      </c>
      <c r="W19" s="374">
        <f t="shared" si="3"/>
        <v>0</v>
      </c>
    </row>
    <row r="20" spans="4:23" ht="11.25" hidden="1" customHeight="1" outlineLevel="1" x14ac:dyDescent="0.45">
      <c r="D20" s="360"/>
      <c r="E20" s="378"/>
      <c r="F20" s="361"/>
      <c r="G20" s="382">
        <f t="shared" si="4"/>
        <v>175968438.25887242</v>
      </c>
      <c r="H20" s="383">
        <f t="shared" si="0"/>
        <v>8798421.9129436221</v>
      </c>
      <c r="J20" s="389"/>
      <c r="K20" s="361"/>
      <c r="L20" s="373"/>
      <c r="M20" s="373"/>
      <c r="N20" s="373"/>
      <c r="O20" s="373"/>
      <c r="P20" s="373"/>
      <c r="Q20" s="374">
        <f t="shared" si="2"/>
        <v>0</v>
      </c>
      <c r="R20" s="374">
        <f>L20/Input_CPI!T$18</f>
        <v>0</v>
      </c>
      <c r="S20" s="374">
        <f>M20/Input_CPI!U$18</f>
        <v>0</v>
      </c>
      <c r="T20" s="374">
        <f>N20/Input_CPI!V$18</f>
        <v>0</v>
      </c>
      <c r="U20" s="374">
        <f>O20/Input_CPI!W$18</f>
        <v>0</v>
      </c>
      <c r="V20" s="374">
        <f>P20/Input_CPI!X$18</f>
        <v>0</v>
      </c>
      <c r="W20" s="374">
        <f t="shared" si="3"/>
        <v>0</v>
      </c>
    </row>
    <row r="21" spans="4:23" ht="11.25" hidden="1" customHeight="1" outlineLevel="1" x14ac:dyDescent="0.45">
      <c r="D21" s="360"/>
      <c r="E21" s="378"/>
      <c r="F21" s="361"/>
      <c r="G21" s="382">
        <f t="shared" si="4"/>
        <v>175968438.25887242</v>
      </c>
      <c r="H21" s="383">
        <f t="shared" si="0"/>
        <v>8798421.9129436221</v>
      </c>
      <c r="J21" s="361"/>
      <c r="K21" s="361"/>
      <c r="L21" s="373"/>
      <c r="M21" s="373"/>
      <c r="N21" s="373"/>
      <c r="O21" s="373"/>
      <c r="P21" s="373"/>
      <c r="Q21" s="374">
        <f t="shared" si="2"/>
        <v>0</v>
      </c>
      <c r="R21" s="374">
        <f>L21/Input_CPI!T$18</f>
        <v>0</v>
      </c>
      <c r="S21" s="374">
        <f>M21/Input_CPI!U$18</f>
        <v>0</v>
      </c>
      <c r="T21" s="374">
        <f>N21/Input_CPI!V$18</f>
        <v>0</v>
      </c>
      <c r="U21" s="374">
        <f>O21/Input_CPI!W$18</f>
        <v>0</v>
      </c>
      <c r="V21" s="374">
        <f>P21/Input_CPI!X$18</f>
        <v>0</v>
      </c>
      <c r="W21" s="374">
        <f t="shared" si="3"/>
        <v>0</v>
      </c>
    </row>
    <row r="22" spans="4:23" ht="11.25" hidden="1" customHeight="1" outlineLevel="1" x14ac:dyDescent="0.45">
      <c r="D22" s="360"/>
      <c r="E22" s="378"/>
      <c r="F22" s="361"/>
      <c r="G22" s="382">
        <f t="shared" si="4"/>
        <v>175968438.25887242</v>
      </c>
      <c r="H22" s="383">
        <f t="shared" si="0"/>
        <v>8798421.9129436221</v>
      </c>
      <c r="J22" s="361"/>
      <c r="K22" s="361"/>
      <c r="L22" s="373"/>
      <c r="M22" s="373"/>
      <c r="N22" s="373"/>
      <c r="O22" s="373"/>
      <c r="P22" s="373"/>
      <c r="Q22" s="374">
        <f t="shared" si="2"/>
        <v>0</v>
      </c>
      <c r="R22" s="374">
        <f>L22/Input_CPI!T$18</f>
        <v>0</v>
      </c>
      <c r="S22" s="374">
        <f>M22/Input_CPI!U$18</f>
        <v>0</v>
      </c>
      <c r="T22" s="374">
        <f>N22/Input_CPI!V$18</f>
        <v>0</v>
      </c>
      <c r="U22" s="374">
        <f>O22/Input_CPI!W$18</f>
        <v>0</v>
      </c>
      <c r="V22" s="374">
        <f>P22/Input_CPI!X$18</f>
        <v>0</v>
      </c>
      <c r="W22" s="374">
        <f t="shared" si="3"/>
        <v>0</v>
      </c>
    </row>
    <row r="23" spans="4:23" ht="11.25" hidden="1" customHeight="1" outlineLevel="1" x14ac:dyDescent="0.45">
      <c r="D23" s="360"/>
      <c r="E23" s="378"/>
      <c r="F23" s="361"/>
      <c r="G23" s="382">
        <f t="shared" si="4"/>
        <v>175968438.25887242</v>
      </c>
      <c r="H23" s="383">
        <f t="shared" si="0"/>
        <v>8798421.9129436221</v>
      </c>
      <c r="J23" s="389"/>
      <c r="K23" s="361"/>
      <c r="L23" s="373"/>
      <c r="M23" s="373"/>
      <c r="N23" s="373"/>
      <c r="O23" s="373"/>
      <c r="P23" s="373"/>
      <c r="Q23" s="374">
        <f t="shared" si="2"/>
        <v>0</v>
      </c>
      <c r="R23" s="374">
        <f>L23/Input_CPI!T$18</f>
        <v>0</v>
      </c>
      <c r="S23" s="374">
        <f>M23/Input_CPI!U$18</f>
        <v>0</v>
      </c>
      <c r="T23" s="374">
        <f>N23/Input_CPI!V$18</f>
        <v>0</v>
      </c>
      <c r="U23" s="374">
        <f>O23/Input_CPI!W$18</f>
        <v>0</v>
      </c>
      <c r="V23" s="374">
        <f>P23/Input_CPI!X$18</f>
        <v>0</v>
      </c>
      <c r="W23" s="374">
        <f t="shared" si="3"/>
        <v>0</v>
      </c>
    </row>
    <row r="24" spans="4:23" ht="11.25" hidden="1" customHeight="1" outlineLevel="1" x14ac:dyDescent="0.45">
      <c r="D24" s="360"/>
      <c r="E24" s="378"/>
      <c r="F24" s="361"/>
      <c r="G24" s="382">
        <f t="shared" si="4"/>
        <v>175968438.25887242</v>
      </c>
      <c r="H24" s="383">
        <f t="shared" si="0"/>
        <v>8798421.9129436221</v>
      </c>
      <c r="J24" s="389"/>
      <c r="K24" s="361"/>
      <c r="L24" s="373"/>
      <c r="M24" s="373"/>
      <c r="N24" s="373"/>
      <c r="O24" s="373"/>
      <c r="P24" s="373"/>
      <c r="Q24" s="374">
        <f t="shared" si="2"/>
        <v>0</v>
      </c>
      <c r="R24" s="374">
        <f>L24/Input_CPI!T$18</f>
        <v>0</v>
      </c>
      <c r="S24" s="374">
        <f>M24/Input_CPI!U$18</f>
        <v>0</v>
      </c>
      <c r="T24" s="374">
        <f>N24/Input_CPI!V$18</f>
        <v>0</v>
      </c>
      <c r="U24" s="374">
        <f>O24/Input_CPI!W$18</f>
        <v>0</v>
      </c>
      <c r="V24" s="374">
        <f>P24/Input_CPI!X$18</f>
        <v>0</v>
      </c>
      <c r="W24" s="374">
        <f t="shared" si="3"/>
        <v>0</v>
      </c>
    </row>
    <row r="25" spans="4:23" ht="11.25" hidden="1" customHeight="1" outlineLevel="1" x14ac:dyDescent="0.45">
      <c r="D25" s="360"/>
      <c r="E25" s="378"/>
      <c r="F25" s="361"/>
      <c r="G25" s="382">
        <f t="shared" si="4"/>
        <v>175968438.25887242</v>
      </c>
      <c r="H25" s="383">
        <f t="shared" si="0"/>
        <v>8798421.9129436221</v>
      </c>
      <c r="J25" s="389"/>
      <c r="K25" s="361"/>
      <c r="L25" s="373"/>
      <c r="M25" s="373"/>
      <c r="N25" s="373"/>
      <c r="O25" s="373"/>
      <c r="P25" s="373"/>
      <c r="Q25" s="374">
        <f t="shared" si="2"/>
        <v>0</v>
      </c>
      <c r="R25" s="374">
        <f>L25/Input_CPI!T$18</f>
        <v>0</v>
      </c>
      <c r="S25" s="374">
        <f>M25/Input_CPI!U$18</f>
        <v>0</v>
      </c>
      <c r="T25" s="374">
        <f>N25/Input_CPI!V$18</f>
        <v>0</v>
      </c>
      <c r="U25" s="374">
        <f>O25/Input_CPI!W$18</f>
        <v>0</v>
      </c>
      <c r="V25" s="374">
        <f>P25/Input_CPI!X$18</f>
        <v>0</v>
      </c>
      <c r="W25" s="374">
        <f t="shared" si="3"/>
        <v>0</v>
      </c>
    </row>
    <row r="26" spans="4:23" ht="11.25" hidden="1" customHeight="1" outlineLevel="1" x14ac:dyDescent="0.45">
      <c r="D26" s="360"/>
      <c r="E26" s="378"/>
      <c r="F26" s="361"/>
      <c r="G26" s="382">
        <f t="shared" si="4"/>
        <v>175968438.25887242</v>
      </c>
      <c r="H26" s="383">
        <f t="shared" si="0"/>
        <v>8798421.9129436221</v>
      </c>
      <c r="J26" s="361"/>
      <c r="K26" s="361"/>
      <c r="L26" s="373"/>
      <c r="M26" s="373"/>
      <c r="N26" s="373"/>
      <c r="O26" s="373"/>
      <c r="P26" s="373"/>
      <c r="Q26" s="374">
        <f t="shared" si="2"/>
        <v>0</v>
      </c>
      <c r="R26" s="374">
        <f>L26/Input_CPI!T$18</f>
        <v>0</v>
      </c>
      <c r="S26" s="374">
        <f>M26/Input_CPI!U$18</f>
        <v>0</v>
      </c>
      <c r="T26" s="374">
        <f>N26/Input_CPI!V$18</f>
        <v>0</v>
      </c>
      <c r="U26" s="374">
        <f>O26/Input_CPI!W$18</f>
        <v>0</v>
      </c>
      <c r="V26" s="374">
        <f>P26/Input_CPI!X$18</f>
        <v>0</v>
      </c>
      <c r="W26" s="374">
        <f t="shared" si="3"/>
        <v>0</v>
      </c>
    </row>
    <row r="27" spans="4:23" ht="11.25" hidden="1" customHeight="1" outlineLevel="1" x14ac:dyDescent="0.45">
      <c r="D27" s="360"/>
      <c r="E27" s="378"/>
      <c r="F27" s="361"/>
      <c r="G27" s="382">
        <f t="shared" si="4"/>
        <v>175968438.25887242</v>
      </c>
      <c r="H27" s="383">
        <f t="shared" si="0"/>
        <v>8798421.9129436221</v>
      </c>
      <c r="J27" s="361"/>
      <c r="K27" s="361"/>
      <c r="L27" s="373"/>
      <c r="M27" s="373"/>
      <c r="N27" s="373"/>
      <c r="O27" s="373"/>
      <c r="P27" s="373"/>
      <c r="Q27" s="374">
        <f t="shared" si="2"/>
        <v>0</v>
      </c>
      <c r="R27" s="374">
        <f>L27/Input_CPI!T$18</f>
        <v>0</v>
      </c>
      <c r="S27" s="374">
        <f>M27/Input_CPI!U$18</f>
        <v>0</v>
      </c>
      <c r="T27" s="374">
        <f>N27/Input_CPI!V$18</f>
        <v>0</v>
      </c>
      <c r="U27" s="374">
        <f>O27/Input_CPI!W$18</f>
        <v>0</v>
      </c>
      <c r="V27" s="374">
        <f>P27/Input_CPI!X$18</f>
        <v>0</v>
      </c>
      <c r="W27" s="374">
        <f t="shared" si="3"/>
        <v>0</v>
      </c>
    </row>
    <row r="28" spans="4:23" ht="11.25" hidden="1" customHeight="1" outlineLevel="1" x14ac:dyDescent="0.45">
      <c r="D28" s="360"/>
      <c r="E28" s="378"/>
      <c r="F28" s="361"/>
      <c r="G28" s="382">
        <f t="shared" si="4"/>
        <v>175968438.25887242</v>
      </c>
      <c r="H28" s="383">
        <f t="shared" si="0"/>
        <v>8798421.9129436221</v>
      </c>
      <c r="J28" s="361"/>
      <c r="K28" s="361"/>
      <c r="L28" s="373"/>
      <c r="M28" s="373"/>
      <c r="N28" s="373"/>
      <c r="O28" s="373"/>
      <c r="P28" s="373"/>
      <c r="Q28" s="374">
        <f t="shared" si="2"/>
        <v>0</v>
      </c>
      <c r="R28" s="374">
        <f>L28/Input_CPI!T$18</f>
        <v>0</v>
      </c>
      <c r="S28" s="374">
        <f>M28/Input_CPI!U$18</f>
        <v>0</v>
      </c>
      <c r="T28" s="374">
        <f>N28/Input_CPI!V$18</f>
        <v>0</v>
      </c>
      <c r="U28" s="374">
        <f>O28/Input_CPI!W$18</f>
        <v>0</v>
      </c>
      <c r="V28" s="374">
        <f>P28/Input_CPI!X$18</f>
        <v>0</v>
      </c>
      <c r="W28" s="374">
        <f t="shared" si="3"/>
        <v>0</v>
      </c>
    </row>
    <row r="29" spans="4:23" ht="11.25" customHeight="1" collapsed="1" thickBot="1" x14ac:dyDescent="0.5">
      <c r="D29" s="364"/>
      <c r="E29" s="379"/>
      <c r="F29" s="365"/>
      <c r="G29" s="384">
        <f t="shared" si="4"/>
        <v>175968438.25887242</v>
      </c>
      <c r="H29" s="385">
        <f t="shared" si="0"/>
        <v>8798421.9129436221</v>
      </c>
      <c r="J29" s="365"/>
      <c r="K29" s="365"/>
      <c r="L29" s="375"/>
      <c r="M29" s="375"/>
      <c r="N29" s="375"/>
      <c r="O29" s="375"/>
      <c r="P29" s="375"/>
      <c r="Q29" s="376">
        <f t="shared" si="2"/>
        <v>0</v>
      </c>
      <c r="R29" s="376">
        <f>L29/Input_CPI!T$18</f>
        <v>0</v>
      </c>
      <c r="S29" s="376">
        <f>M29/Input_CPI!U$18</f>
        <v>0</v>
      </c>
      <c r="T29" s="376">
        <f>N29/Input_CPI!V$18</f>
        <v>0</v>
      </c>
      <c r="U29" s="376">
        <f>O29/Input_CPI!W$18</f>
        <v>0</v>
      </c>
      <c r="V29" s="376">
        <f>P29/Input_CPI!X$18</f>
        <v>0</v>
      </c>
      <c r="W29" s="376">
        <f t="shared" si="3"/>
        <v>0</v>
      </c>
    </row>
    <row r="30" spans="4:23" ht="11.25" customHeight="1" x14ac:dyDescent="0.3"/>
    <row r="31" spans="4:23" ht="12.75" x14ac:dyDescent="0.3">
      <c r="D31" s="6" t="s">
        <v>81</v>
      </c>
      <c r="L31" s="118">
        <f>SUM(L10:L29)</f>
        <v>75090594.003188327</v>
      </c>
      <c r="M31" s="118">
        <f t="shared" ref="M31:P31" si="6">SUM(M10:M29)</f>
        <v>136733260.42700329</v>
      </c>
      <c r="N31" s="118">
        <f t="shared" si="6"/>
        <v>68753677.652641818</v>
      </c>
      <c r="O31" s="118">
        <f t="shared" si="6"/>
        <v>30651429.629596721</v>
      </c>
      <c r="P31" s="118">
        <f t="shared" si="6"/>
        <v>30821114.993080821</v>
      </c>
    </row>
    <row r="32" spans="4:23" ht="12.75" x14ac:dyDescent="0.3">
      <c r="D32" s="6" t="s">
        <v>211</v>
      </c>
      <c r="J32" s="6" t="s">
        <v>812</v>
      </c>
      <c r="K32" s="6"/>
      <c r="L32" s="117">
        <v>75090594.003188327</v>
      </c>
      <c r="M32" s="117">
        <v>136733260.42700326</v>
      </c>
      <c r="N32" s="117">
        <v>68753677.652641818</v>
      </c>
      <c r="O32" s="117">
        <v>30651429.629596721</v>
      </c>
      <c r="P32" s="117">
        <v>30821114.993080821</v>
      </c>
      <c r="Q32" s="62"/>
      <c r="R32" s="62"/>
    </row>
    <row r="33" spans="1:16" ht="12.75" x14ac:dyDescent="0.3">
      <c r="A33" s="41">
        <f>IF(SUM(L33:P33)=0,0,1)</f>
        <v>0</v>
      </c>
      <c r="D33" s="6" t="s">
        <v>210</v>
      </c>
      <c r="L33" s="62">
        <f>IF(ROUND(L32-L31,4)&lt;&gt;0,1,0)</f>
        <v>0</v>
      </c>
      <c r="M33" s="62">
        <f t="shared" ref="M33:P33" si="7">IF(ROUND(M32-M31,4)&lt;&gt;0,1,0)</f>
        <v>0</v>
      </c>
      <c r="N33" s="62">
        <f t="shared" si="7"/>
        <v>0</v>
      </c>
      <c r="O33" s="62">
        <f t="shared" si="7"/>
        <v>0</v>
      </c>
      <c r="P33" s="62">
        <f t="shared" si="7"/>
        <v>0</v>
      </c>
    </row>
    <row r="34" spans="1:16" ht="11.25" customHeight="1" x14ac:dyDescent="0.3">
      <c r="L34" s="386"/>
      <c r="M34" s="386"/>
    </row>
    <row r="35" spans="1:16" s="7" customFormat="1" ht="13.9" x14ac:dyDescent="0.3">
      <c r="C35" s="7" t="s">
        <v>654</v>
      </c>
    </row>
    <row r="36" spans="1:16" ht="11.25" customHeight="1" x14ac:dyDescent="0.3"/>
    <row r="37" spans="1:16" ht="18" x14ac:dyDescent="0.5">
      <c r="D37" s="352" t="s">
        <v>201</v>
      </c>
      <c r="E37" s="49"/>
      <c r="F37" s="49"/>
      <c r="G37" s="49"/>
      <c r="H37" s="49"/>
    </row>
    <row r="38" spans="1:16" ht="43.15" thickBot="1" x14ac:dyDescent="0.35">
      <c r="D38" s="353" t="s">
        <v>202</v>
      </c>
      <c r="E38" s="354" t="s">
        <v>203</v>
      </c>
      <c r="F38" s="354" t="s">
        <v>204</v>
      </c>
      <c r="G38" s="354" t="s">
        <v>530</v>
      </c>
      <c r="H38" s="355" t="s">
        <v>531</v>
      </c>
    </row>
    <row r="39" spans="1:16" ht="229.5" x14ac:dyDescent="0.45">
      <c r="D39" s="356" t="s">
        <v>1132</v>
      </c>
      <c r="E39" s="357"/>
      <c r="F39" s="906" t="s">
        <v>1168</v>
      </c>
      <c r="G39" s="358"/>
      <c r="H39" s="359">
        <f t="shared" ref="H39:H58" si="8">+G39*0.05</f>
        <v>0</v>
      </c>
    </row>
    <row r="40" spans="1:16" ht="229.5" x14ac:dyDescent="0.45">
      <c r="D40" s="360" t="s">
        <v>1133</v>
      </c>
      <c r="E40" s="361"/>
      <c r="F40" s="361" t="s">
        <v>1169</v>
      </c>
      <c r="G40" s="362">
        <f>+$G$39</f>
        <v>0</v>
      </c>
      <c r="H40" s="363">
        <f t="shared" si="8"/>
        <v>0</v>
      </c>
    </row>
    <row r="41" spans="1:16" ht="242.25" x14ac:dyDescent="0.45">
      <c r="D41" s="360" t="s">
        <v>1134</v>
      </c>
      <c r="E41" s="361"/>
      <c r="F41" s="361" t="s">
        <v>1170</v>
      </c>
      <c r="G41" s="362">
        <f t="shared" ref="G41:G58" si="9">+$G$39</f>
        <v>0</v>
      </c>
      <c r="H41" s="363">
        <f t="shared" si="8"/>
        <v>0</v>
      </c>
    </row>
    <row r="42" spans="1:16" ht="178.5" x14ac:dyDescent="0.45">
      <c r="D42" s="360" t="s">
        <v>1136</v>
      </c>
      <c r="E42" s="361"/>
      <c r="F42" s="361" t="s">
        <v>1171</v>
      </c>
      <c r="G42" s="362">
        <f t="shared" si="9"/>
        <v>0</v>
      </c>
      <c r="H42" s="363">
        <f t="shared" si="8"/>
        <v>0</v>
      </c>
    </row>
    <row r="43" spans="1:16" ht="14.25" x14ac:dyDescent="0.45">
      <c r="D43" s="360" t="s">
        <v>1135</v>
      </c>
      <c r="E43" s="361"/>
      <c r="F43" s="1020" t="s">
        <v>1172</v>
      </c>
      <c r="G43" s="362">
        <f t="shared" si="9"/>
        <v>0</v>
      </c>
      <c r="H43" s="363">
        <f t="shared" si="8"/>
        <v>0</v>
      </c>
    </row>
    <row r="44" spans="1:16" ht="14.25" hidden="1" outlineLevel="1" x14ac:dyDescent="0.45">
      <c r="D44" s="360"/>
      <c r="E44" s="361"/>
      <c r="F44" s="361"/>
      <c r="G44" s="362">
        <f t="shared" si="9"/>
        <v>0</v>
      </c>
      <c r="H44" s="363">
        <f t="shared" si="8"/>
        <v>0</v>
      </c>
    </row>
    <row r="45" spans="1:16" ht="14.25" hidden="1" outlineLevel="1" x14ac:dyDescent="0.45">
      <c r="D45" s="360"/>
      <c r="E45" s="361"/>
      <c r="F45" s="361"/>
      <c r="G45" s="362">
        <f t="shared" si="9"/>
        <v>0</v>
      </c>
      <c r="H45" s="363">
        <f t="shared" si="8"/>
        <v>0</v>
      </c>
    </row>
    <row r="46" spans="1:16" ht="14.25" hidden="1" outlineLevel="1" x14ac:dyDescent="0.45">
      <c r="D46" s="360"/>
      <c r="E46" s="361"/>
      <c r="F46" s="361"/>
      <c r="G46" s="362">
        <f t="shared" si="9"/>
        <v>0</v>
      </c>
      <c r="H46" s="363">
        <f t="shared" si="8"/>
        <v>0</v>
      </c>
    </row>
    <row r="47" spans="1:16" ht="14.25" hidden="1" outlineLevel="1" x14ac:dyDescent="0.45">
      <c r="D47" s="360"/>
      <c r="E47" s="361"/>
      <c r="F47" s="361"/>
      <c r="G47" s="362">
        <f t="shared" si="9"/>
        <v>0</v>
      </c>
      <c r="H47" s="363">
        <f t="shared" si="8"/>
        <v>0</v>
      </c>
    </row>
    <row r="48" spans="1:16" ht="14.25" hidden="1" outlineLevel="1" x14ac:dyDescent="0.45">
      <c r="D48" s="360"/>
      <c r="E48" s="361"/>
      <c r="F48" s="361"/>
      <c r="G48" s="362">
        <f t="shared" si="9"/>
        <v>0</v>
      </c>
      <c r="H48" s="363">
        <f t="shared" si="8"/>
        <v>0</v>
      </c>
    </row>
    <row r="49" spans="2:8" ht="14.25" hidden="1" outlineLevel="1" x14ac:dyDescent="0.45">
      <c r="D49" s="360"/>
      <c r="E49" s="361"/>
      <c r="F49" s="361"/>
      <c r="G49" s="362">
        <f t="shared" si="9"/>
        <v>0</v>
      </c>
      <c r="H49" s="363">
        <f t="shared" si="8"/>
        <v>0</v>
      </c>
    </row>
    <row r="50" spans="2:8" ht="14.25" hidden="1" outlineLevel="1" x14ac:dyDescent="0.45">
      <c r="D50" s="360"/>
      <c r="E50" s="361"/>
      <c r="F50" s="361"/>
      <c r="G50" s="362">
        <f t="shared" si="9"/>
        <v>0</v>
      </c>
      <c r="H50" s="363">
        <f t="shared" si="8"/>
        <v>0</v>
      </c>
    </row>
    <row r="51" spans="2:8" ht="14.25" hidden="1" outlineLevel="1" x14ac:dyDescent="0.45">
      <c r="D51" s="360"/>
      <c r="E51" s="361"/>
      <c r="F51" s="361"/>
      <c r="G51" s="362">
        <f t="shared" si="9"/>
        <v>0</v>
      </c>
      <c r="H51" s="363">
        <f t="shared" si="8"/>
        <v>0</v>
      </c>
    </row>
    <row r="52" spans="2:8" ht="14.25" hidden="1" outlineLevel="1" x14ac:dyDescent="0.45">
      <c r="D52" s="360"/>
      <c r="E52" s="361"/>
      <c r="F52" s="361"/>
      <c r="G52" s="362">
        <f t="shared" si="9"/>
        <v>0</v>
      </c>
      <c r="H52" s="363">
        <f t="shared" si="8"/>
        <v>0</v>
      </c>
    </row>
    <row r="53" spans="2:8" ht="14.25" hidden="1" outlineLevel="1" x14ac:dyDescent="0.45">
      <c r="D53" s="360"/>
      <c r="E53" s="361"/>
      <c r="F53" s="361"/>
      <c r="G53" s="362">
        <f t="shared" si="9"/>
        <v>0</v>
      </c>
      <c r="H53" s="363">
        <f t="shared" si="8"/>
        <v>0</v>
      </c>
    </row>
    <row r="54" spans="2:8" ht="14.25" hidden="1" outlineLevel="1" x14ac:dyDescent="0.45">
      <c r="D54" s="360"/>
      <c r="E54" s="361"/>
      <c r="F54" s="361"/>
      <c r="G54" s="362">
        <f t="shared" si="9"/>
        <v>0</v>
      </c>
      <c r="H54" s="363">
        <f t="shared" si="8"/>
        <v>0</v>
      </c>
    </row>
    <row r="55" spans="2:8" ht="14.25" hidden="1" outlineLevel="1" x14ac:dyDescent="0.45">
      <c r="D55" s="360"/>
      <c r="E55" s="361"/>
      <c r="F55" s="361"/>
      <c r="G55" s="362">
        <f t="shared" si="9"/>
        <v>0</v>
      </c>
      <c r="H55" s="363">
        <f t="shared" si="8"/>
        <v>0</v>
      </c>
    </row>
    <row r="56" spans="2:8" ht="14.25" hidden="1" outlineLevel="1" x14ac:dyDescent="0.45">
      <c r="D56" s="360"/>
      <c r="E56" s="361"/>
      <c r="F56" s="361"/>
      <c r="G56" s="362">
        <f t="shared" si="9"/>
        <v>0</v>
      </c>
      <c r="H56" s="363">
        <f t="shared" si="8"/>
        <v>0</v>
      </c>
    </row>
    <row r="57" spans="2:8" ht="14.25" hidden="1" outlineLevel="1" x14ac:dyDescent="0.45">
      <c r="D57" s="360"/>
      <c r="E57" s="361"/>
      <c r="F57" s="361"/>
      <c r="G57" s="362">
        <f t="shared" si="9"/>
        <v>0</v>
      </c>
      <c r="H57" s="363">
        <f t="shared" si="8"/>
        <v>0</v>
      </c>
    </row>
    <row r="58" spans="2:8" ht="14.65" collapsed="1" thickBot="1" x14ac:dyDescent="0.5">
      <c r="D58" s="364"/>
      <c r="E58" s="365"/>
      <c r="F58" s="365"/>
      <c r="G58" s="366">
        <f t="shared" si="9"/>
        <v>0</v>
      </c>
      <c r="H58" s="367">
        <f t="shared" si="8"/>
        <v>0</v>
      </c>
    </row>
    <row r="60" spans="2:8" s="46" customFormat="1" ht="15" x14ac:dyDescent="0.3">
      <c r="B60" s="46" t="s">
        <v>16</v>
      </c>
    </row>
  </sheetData>
  <conditionalFormatting sqref="B3">
    <cfRule type="cellIs" dxfId="259" priority="5" operator="notEqual">
      <formula>"No Errors Found"</formula>
    </cfRule>
  </conditionalFormatting>
  <hyperlinks>
    <hyperlink ref="B2:E2" location="TOC!A1" display="TOC!A1" xr:uid="{1ACD000F-3DE5-473B-965B-465F7BBC548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2114-3760-4934-964C-463B3417FF7D}">
  <sheetPr codeName="Sheet38">
    <tabColor theme="4" tint="0.79998168889431442"/>
  </sheetPr>
  <dimension ref="A1:M69"/>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44.5" style="45" customWidth="1"/>
    <col min="5" max="5" width="37.1640625" style="45" customWidth="1"/>
    <col min="6" max="21" width="14.6640625" style="45" customWidth="1"/>
    <col min="22" max="31" width="10.6640625" style="45" customWidth="1"/>
    <col min="32" max="16384" width="9.33203125" style="45"/>
  </cols>
  <sheetData>
    <row r="1" spans="1:13" ht="18.75" x14ac:dyDescent="0.3">
      <c r="A1" s="41">
        <f>IF(SUM($A3:$A69)&gt;0,1,0)</f>
        <v>0</v>
      </c>
      <c r="B1" s="3" t="s">
        <v>1110</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x14ac:dyDescent="0.3"/>
    <row r="8" spans="1:13" ht="16.149999999999999" thickBot="1" x14ac:dyDescent="0.35">
      <c r="D8" s="183" t="s">
        <v>177</v>
      </c>
      <c r="E8" s="183"/>
      <c r="F8" s="183"/>
      <c r="G8" s="183"/>
      <c r="H8" s="183"/>
      <c r="I8" s="183"/>
      <c r="J8" s="183"/>
      <c r="K8" s="183"/>
      <c r="L8" s="183"/>
      <c r="M8" s="183"/>
    </row>
    <row r="9" spans="1:13" ht="12" thickBot="1" x14ac:dyDescent="0.35">
      <c r="D9" s="1088" t="s">
        <v>178</v>
      </c>
      <c r="E9" s="1090" t="s">
        <v>179</v>
      </c>
      <c r="F9" s="794" t="s">
        <v>528</v>
      </c>
      <c r="G9" s="795"/>
      <c r="H9" s="795"/>
      <c r="I9" s="795"/>
      <c r="J9" s="795"/>
      <c r="K9" s="795"/>
      <c r="L9" s="795"/>
      <c r="M9" s="796"/>
    </row>
    <row r="10" spans="1:13" ht="35.25" thickBot="1" x14ac:dyDescent="0.35">
      <c r="D10" s="1089"/>
      <c r="E10" s="1091"/>
      <c r="F10" s="641" t="s">
        <v>70</v>
      </c>
      <c r="G10" s="639" t="s">
        <v>71</v>
      </c>
      <c r="H10" s="639" t="s">
        <v>72</v>
      </c>
      <c r="I10" s="639" t="s">
        <v>73</v>
      </c>
      <c r="J10" s="639" t="s">
        <v>74</v>
      </c>
      <c r="K10" s="639" t="s">
        <v>82</v>
      </c>
      <c r="L10" s="640" t="s">
        <v>243</v>
      </c>
      <c r="M10" s="274" t="s">
        <v>529</v>
      </c>
    </row>
    <row r="11" spans="1:13" ht="38.25" x14ac:dyDescent="0.3">
      <c r="D11" s="275" t="str">
        <f t="shared" ref="D11" si="0">D53</f>
        <v>Shared Asset</v>
      </c>
      <c r="E11" s="276" t="str">
        <f>E53</f>
        <v>Fibre optic cable used for PWC's communications network is also used by a third party</v>
      </c>
      <c r="F11" s="291">
        <f>F53*Input_CPI!R$17</f>
        <v>1099094.0194298832</v>
      </c>
      <c r="G11" s="292">
        <f>G53*Input_CPI!S$17</f>
        <v>1075651.4695242832</v>
      </c>
      <c r="H11" s="293">
        <f>H53*Input_CPI!T$17</f>
        <v>1069857.1933278237</v>
      </c>
      <c r="I11" s="291">
        <f>I53*Input_CPI!U$17</f>
        <v>1070692.5460646558</v>
      </c>
      <c r="J11" s="291">
        <f>J53*Input_CPI!V$17</f>
        <v>1071528.5446656896</v>
      </c>
      <c r="K11" s="291">
        <f>K53*Input_CPI!W$17</f>
        <v>1072365.1948757102</v>
      </c>
      <c r="L11" s="294">
        <f>L53*Input_CPI!X$17</f>
        <v>1073202.5026282601</v>
      </c>
      <c r="M11" s="279">
        <f t="shared" ref="M11:M25" si="1">SUM(H11:L11)</f>
        <v>5357645.9815621395</v>
      </c>
    </row>
    <row r="12" spans="1:13" ht="12.75" hidden="1" outlineLevel="1" x14ac:dyDescent="0.3">
      <c r="D12" s="280"/>
      <c r="E12" s="281"/>
      <c r="F12" s="291"/>
      <c r="G12" s="292"/>
      <c r="H12" s="293"/>
      <c r="I12" s="291"/>
      <c r="J12" s="291"/>
      <c r="K12" s="291"/>
      <c r="L12" s="294"/>
      <c r="M12" s="284">
        <f t="shared" si="1"/>
        <v>0</v>
      </c>
    </row>
    <row r="13" spans="1:13" ht="12.75" hidden="1" outlineLevel="1" x14ac:dyDescent="0.3">
      <c r="D13" s="280"/>
      <c r="E13" s="281"/>
      <c r="F13" s="291"/>
      <c r="G13" s="292"/>
      <c r="H13" s="293"/>
      <c r="I13" s="291"/>
      <c r="J13" s="291"/>
      <c r="K13" s="291"/>
      <c r="L13" s="294"/>
      <c r="M13" s="284">
        <f t="shared" si="1"/>
        <v>0</v>
      </c>
    </row>
    <row r="14" spans="1:13" ht="12.75" hidden="1" outlineLevel="1" x14ac:dyDescent="0.3">
      <c r="D14" s="280"/>
      <c r="E14" s="281"/>
      <c r="F14" s="291"/>
      <c r="G14" s="292"/>
      <c r="H14" s="293"/>
      <c r="I14" s="291"/>
      <c r="J14" s="291"/>
      <c r="K14" s="291"/>
      <c r="L14" s="294"/>
      <c r="M14" s="284">
        <f t="shared" si="1"/>
        <v>0</v>
      </c>
    </row>
    <row r="15" spans="1:13" ht="12.75" hidden="1" outlineLevel="1" x14ac:dyDescent="0.3">
      <c r="D15" s="285"/>
      <c r="E15" s="286"/>
      <c r="F15" s="291"/>
      <c r="G15" s="292"/>
      <c r="H15" s="293"/>
      <c r="I15" s="291"/>
      <c r="J15" s="291"/>
      <c r="K15" s="291"/>
      <c r="L15" s="294"/>
      <c r="M15" s="284">
        <f t="shared" si="1"/>
        <v>0</v>
      </c>
    </row>
    <row r="16" spans="1:13" ht="12.75" hidden="1" outlineLevel="1" x14ac:dyDescent="0.3">
      <c r="D16" s="285"/>
      <c r="E16" s="286"/>
      <c r="F16" s="291"/>
      <c r="G16" s="292"/>
      <c r="H16" s="293"/>
      <c r="I16" s="291"/>
      <c r="J16" s="291"/>
      <c r="K16" s="291"/>
      <c r="L16" s="294"/>
      <c r="M16" s="284">
        <f t="shared" si="1"/>
        <v>0</v>
      </c>
    </row>
    <row r="17" spans="1:13" ht="12.75" hidden="1" outlineLevel="1" x14ac:dyDescent="0.3">
      <c r="D17" s="285"/>
      <c r="E17" s="286"/>
      <c r="F17" s="291"/>
      <c r="G17" s="292"/>
      <c r="H17" s="293"/>
      <c r="I17" s="291"/>
      <c r="J17" s="291"/>
      <c r="K17" s="291"/>
      <c r="L17" s="294"/>
      <c r="M17" s="284">
        <f t="shared" si="1"/>
        <v>0</v>
      </c>
    </row>
    <row r="18" spans="1:13" ht="12.75" hidden="1" outlineLevel="1" x14ac:dyDescent="0.3">
      <c r="D18" s="285"/>
      <c r="E18" s="286"/>
      <c r="F18" s="291"/>
      <c r="G18" s="292"/>
      <c r="H18" s="293"/>
      <c r="I18" s="291"/>
      <c r="J18" s="291"/>
      <c r="K18" s="291"/>
      <c r="L18" s="294"/>
      <c r="M18" s="284">
        <f t="shared" si="1"/>
        <v>0</v>
      </c>
    </row>
    <row r="19" spans="1:13" ht="12.75" hidden="1" outlineLevel="1" x14ac:dyDescent="0.3">
      <c r="D19" s="285"/>
      <c r="E19" s="286"/>
      <c r="F19" s="291"/>
      <c r="G19" s="292"/>
      <c r="H19" s="293"/>
      <c r="I19" s="291"/>
      <c r="J19" s="291"/>
      <c r="K19" s="291"/>
      <c r="L19" s="294"/>
      <c r="M19" s="284">
        <f t="shared" si="1"/>
        <v>0</v>
      </c>
    </row>
    <row r="20" spans="1:13" ht="12.75" hidden="1" outlineLevel="1" x14ac:dyDescent="0.3">
      <c r="D20" s="285"/>
      <c r="E20" s="286"/>
      <c r="F20" s="291"/>
      <c r="G20" s="292"/>
      <c r="H20" s="293"/>
      <c r="I20" s="291"/>
      <c r="J20" s="291"/>
      <c r="K20" s="291"/>
      <c r="L20" s="294"/>
      <c r="M20" s="284">
        <f t="shared" si="1"/>
        <v>0</v>
      </c>
    </row>
    <row r="21" spans="1:13" ht="12.75" hidden="1" outlineLevel="1" x14ac:dyDescent="0.3">
      <c r="D21" s="285"/>
      <c r="E21" s="286"/>
      <c r="F21" s="291"/>
      <c r="G21" s="292"/>
      <c r="H21" s="293"/>
      <c r="I21" s="291"/>
      <c r="J21" s="291"/>
      <c r="K21" s="291"/>
      <c r="L21" s="294"/>
      <c r="M21" s="284">
        <f t="shared" si="1"/>
        <v>0</v>
      </c>
    </row>
    <row r="22" spans="1:13" ht="12.75" hidden="1" outlineLevel="1" x14ac:dyDescent="0.3">
      <c r="D22" s="285"/>
      <c r="E22" s="286"/>
      <c r="F22" s="291"/>
      <c r="G22" s="292"/>
      <c r="H22" s="293"/>
      <c r="I22" s="291"/>
      <c r="J22" s="291"/>
      <c r="K22" s="291"/>
      <c r="L22" s="294"/>
      <c r="M22" s="284">
        <f t="shared" si="1"/>
        <v>0</v>
      </c>
    </row>
    <row r="23" spans="1:13" ht="12.75" hidden="1" outlineLevel="1" x14ac:dyDescent="0.3">
      <c r="D23" s="285"/>
      <c r="E23" s="286"/>
      <c r="F23" s="291"/>
      <c r="G23" s="292"/>
      <c r="H23" s="293"/>
      <c r="I23" s="291"/>
      <c r="J23" s="291"/>
      <c r="K23" s="291"/>
      <c r="L23" s="294"/>
      <c r="M23" s="284">
        <f t="shared" si="1"/>
        <v>0</v>
      </c>
    </row>
    <row r="24" spans="1:13" ht="12.75" hidden="1" outlineLevel="1" x14ac:dyDescent="0.3">
      <c r="D24" s="285"/>
      <c r="E24" s="286"/>
      <c r="F24" s="291"/>
      <c r="G24" s="292"/>
      <c r="H24" s="293"/>
      <c r="I24" s="291"/>
      <c r="J24" s="291"/>
      <c r="K24" s="291"/>
      <c r="L24" s="294"/>
      <c r="M24" s="284">
        <f t="shared" si="1"/>
        <v>0</v>
      </c>
    </row>
    <row r="25" spans="1:13" ht="13.15" collapsed="1" thickBot="1" x14ac:dyDescent="0.35">
      <c r="D25" s="295"/>
      <c r="E25" s="296"/>
      <c r="F25" s="301"/>
      <c r="G25" s="302"/>
      <c r="H25" s="303"/>
      <c r="I25" s="301"/>
      <c r="J25" s="301"/>
      <c r="K25" s="301"/>
      <c r="L25" s="304"/>
      <c r="M25" s="305">
        <f t="shared" si="1"/>
        <v>0</v>
      </c>
    </row>
    <row r="26" spans="1:13" ht="11.25" customHeight="1" x14ac:dyDescent="0.3"/>
    <row r="27" spans="1:13" ht="12.75" x14ac:dyDescent="0.3">
      <c r="D27" s="6" t="s">
        <v>83</v>
      </c>
      <c r="F27" s="115">
        <v>1099094.0194298832</v>
      </c>
      <c r="G27" s="115">
        <v>1075651.4695242832</v>
      </c>
      <c r="H27" s="115">
        <v>1069857.1933278237</v>
      </c>
      <c r="I27" s="115">
        <v>1070692.5460646558</v>
      </c>
      <c r="J27" s="115">
        <v>1071528.5446656896</v>
      </c>
      <c r="K27" s="115">
        <v>1072365.1948757102</v>
      </c>
      <c r="L27" s="115">
        <v>1073202.5026282601</v>
      </c>
    </row>
    <row r="28" spans="1:13" ht="12.75" x14ac:dyDescent="0.3">
      <c r="A28" s="41">
        <f>IF(SUM($F28:$L28)&gt;0,1,0)</f>
        <v>0</v>
      </c>
      <c r="D28" s="6" t="s">
        <v>84</v>
      </c>
      <c r="E28" s="62"/>
      <c r="F28" s="62">
        <f t="shared" ref="F28:L28" si="2">IF(ROUND(SUM(F11:F25)-F27,3)&lt;&gt;0,1,0)</f>
        <v>0</v>
      </c>
      <c r="G28" s="62">
        <f t="shared" si="2"/>
        <v>0</v>
      </c>
      <c r="H28" s="62">
        <f t="shared" si="2"/>
        <v>0</v>
      </c>
      <c r="I28" s="62">
        <f t="shared" si="2"/>
        <v>0</v>
      </c>
      <c r="J28" s="62">
        <f t="shared" si="2"/>
        <v>0</v>
      </c>
      <c r="K28" s="62">
        <f t="shared" si="2"/>
        <v>0</v>
      </c>
      <c r="L28" s="62">
        <f t="shared" si="2"/>
        <v>0</v>
      </c>
    </row>
    <row r="29" spans="1:13" ht="11.25" customHeight="1" x14ac:dyDescent="0.3"/>
    <row r="30" spans="1:13" ht="15.75" x14ac:dyDescent="0.3">
      <c r="D30" s="183" t="s">
        <v>194</v>
      </c>
      <c r="E30" s="183"/>
      <c r="F30" s="183"/>
      <c r="G30" s="183"/>
      <c r="H30" s="183"/>
      <c r="I30" s="183"/>
      <c r="J30" s="183"/>
      <c r="K30" s="183"/>
    </row>
    <row r="31" spans="1:13" ht="42" thickBot="1" x14ac:dyDescent="0.35">
      <c r="D31" s="328" t="s">
        <v>195</v>
      </c>
      <c r="E31" s="1095" t="s">
        <v>196</v>
      </c>
      <c r="F31" s="1096"/>
      <c r="G31" s="1096"/>
      <c r="H31" s="1096"/>
      <c r="I31" s="1096"/>
      <c r="J31" s="1096"/>
      <c r="K31" s="1097"/>
    </row>
    <row r="32" spans="1:13" ht="12.75" x14ac:dyDescent="0.3">
      <c r="D32" s="275" t="s">
        <v>1162</v>
      </c>
      <c r="E32" s="814" t="s">
        <v>1163</v>
      </c>
      <c r="F32" s="332"/>
      <c r="G32" s="332"/>
      <c r="H32" s="332"/>
      <c r="I32" s="332"/>
      <c r="J32" s="332"/>
      <c r="K32" s="333"/>
    </row>
    <row r="33" spans="3:11" ht="12.75" hidden="1" outlineLevel="1" x14ac:dyDescent="0.3">
      <c r="D33" s="280"/>
      <c r="E33" s="334"/>
      <c r="F33" s="335"/>
      <c r="G33" s="335"/>
      <c r="H33" s="335"/>
      <c r="I33" s="335"/>
      <c r="J33" s="335"/>
      <c r="K33" s="336"/>
    </row>
    <row r="34" spans="3:11" ht="12.75" hidden="1" outlineLevel="1" x14ac:dyDescent="0.3">
      <c r="D34" s="280"/>
      <c r="E34" s="334"/>
      <c r="F34" s="335"/>
      <c r="G34" s="335"/>
      <c r="H34" s="335"/>
      <c r="I34" s="335"/>
      <c r="J34" s="335"/>
      <c r="K34" s="336"/>
    </row>
    <row r="35" spans="3:11" ht="12.75" hidden="1" outlineLevel="1" x14ac:dyDescent="0.3">
      <c r="D35" s="329"/>
      <c r="E35" s="337"/>
      <c r="F35" s="338"/>
      <c r="G35" s="338"/>
      <c r="H35" s="338"/>
      <c r="I35" s="338"/>
      <c r="J35" s="338"/>
      <c r="K35" s="339"/>
    </row>
    <row r="36" spans="3:11" ht="12.75" hidden="1" outlineLevel="1" x14ac:dyDescent="0.3">
      <c r="D36" s="329"/>
      <c r="E36" s="337"/>
      <c r="F36" s="338"/>
      <c r="G36" s="338"/>
      <c r="H36" s="338"/>
      <c r="I36" s="338"/>
      <c r="J36" s="338"/>
      <c r="K36" s="339"/>
    </row>
    <row r="37" spans="3:11" ht="12.75" hidden="1" outlineLevel="1" x14ac:dyDescent="0.3">
      <c r="D37" s="907"/>
      <c r="E37" s="340"/>
      <c r="F37" s="341"/>
      <c r="G37" s="341"/>
      <c r="H37" s="341"/>
      <c r="I37" s="341"/>
      <c r="J37" s="341"/>
      <c r="K37" s="342"/>
    </row>
    <row r="38" spans="3:11" ht="12.75" hidden="1" outlineLevel="1" x14ac:dyDescent="0.3">
      <c r="D38" s="907"/>
      <c r="E38" s="340"/>
      <c r="F38" s="341"/>
      <c r="G38" s="341"/>
      <c r="H38" s="341"/>
      <c r="I38" s="341"/>
      <c r="J38" s="341"/>
      <c r="K38" s="342"/>
    </row>
    <row r="39" spans="3:11" ht="12.75" hidden="1" outlineLevel="1" x14ac:dyDescent="0.3">
      <c r="D39" s="907"/>
      <c r="E39" s="340"/>
      <c r="F39" s="341"/>
      <c r="G39" s="341"/>
      <c r="H39" s="341"/>
      <c r="I39" s="341"/>
      <c r="J39" s="341"/>
      <c r="K39" s="342"/>
    </row>
    <row r="40" spans="3:11" ht="12.75" hidden="1" outlineLevel="1" x14ac:dyDescent="0.3">
      <c r="D40" s="907"/>
      <c r="E40" s="340"/>
      <c r="F40" s="341"/>
      <c r="G40" s="341"/>
      <c r="H40" s="341"/>
      <c r="I40" s="341"/>
      <c r="J40" s="341"/>
      <c r="K40" s="342"/>
    </row>
    <row r="41" spans="3:11" ht="12.75" hidden="1" outlineLevel="1" x14ac:dyDescent="0.3">
      <c r="D41" s="907"/>
      <c r="E41" s="340"/>
      <c r="F41" s="341"/>
      <c r="G41" s="341"/>
      <c r="H41" s="341"/>
      <c r="I41" s="341"/>
      <c r="J41" s="341"/>
      <c r="K41" s="342"/>
    </row>
    <row r="42" spans="3:11" ht="12.75" hidden="1" outlineLevel="1" x14ac:dyDescent="0.3">
      <c r="D42" s="907"/>
      <c r="E42" s="340"/>
      <c r="F42" s="341"/>
      <c r="G42" s="341"/>
      <c r="H42" s="341"/>
      <c r="I42" s="341"/>
      <c r="J42" s="341"/>
      <c r="K42" s="342"/>
    </row>
    <row r="43" spans="3:11" ht="12.75" hidden="1" outlineLevel="1" x14ac:dyDescent="0.3">
      <c r="D43" s="907"/>
      <c r="E43" s="340"/>
      <c r="F43" s="341"/>
      <c r="G43" s="341"/>
      <c r="H43" s="341"/>
      <c r="I43" s="341"/>
      <c r="J43" s="341"/>
      <c r="K43" s="342"/>
    </row>
    <row r="44" spans="3:11" ht="12.75" hidden="1" outlineLevel="1" x14ac:dyDescent="0.3">
      <c r="D44" s="907"/>
      <c r="E44" s="340"/>
      <c r="F44" s="341"/>
      <c r="G44" s="341"/>
      <c r="H44" s="341"/>
      <c r="I44" s="341"/>
      <c r="J44" s="341"/>
      <c r="K44" s="342"/>
    </row>
    <row r="45" spans="3:11" ht="12.75" hidden="1" outlineLevel="1" x14ac:dyDescent="0.3">
      <c r="D45" s="907"/>
      <c r="E45" s="340"/>
      <c r="F45" s="341"/>
      <c r="G45" s="341"/>
      <c r="H45" s="341"/>
      <c r="I45" s="341"/>
      <c r="J45" s="341"/>
      <c r="K45" s="342"/>
    </row>
    <row r="46" spans="3:11" ht="13.15" collapsed="1" thickBot="1" x14ac:dyDescent="0.35">
      <c r="D46" s="908"/>
      <c r="E46" s="343"/>
      <c r="F46" s="344"/>
      <c r="G46" s="344"/>
      <c r="H46" s="344"/>
      <c r="I46" s="344"/>
      <c r="J46" s="344"/>
      <c r="K46" s="345"/>
    </row>
    <row r="47" spans="3:11" ht="11.25" customHeight="1" x14ac:dyDescent="0.3"/>
    <row r="48" spans="3:11" s="7" customFormat="1" ht="13.9" x14ac:dyDescent="0.3">
      <c r="C48" s="7" t="s">
        <v>654</v>
      </c>
    </row>
    <row r="49" spans="4:13" ht="11.25" customHeight="1" x14ac:dyDescent="0.3"/>
    <row r="50" spans="4:13" ht="16.149999999999999" thickBot="1" x14ac:dyDescent="0.35">
      <c r="D50" s="183" t="s">
        <v>177</v>
      </c>
      <c r="E50" s="183"/>
      <c r="F50" s="183"/>
      <c r="G50" s="183"/>
      <c r="H50" s="183"/>
      <c r="I50" s="183"/>
      <c r="J50" s="183"/>
      <c r="K50" s="183"/>
      <c r="L50" s="183"/>
      <c r="M50" s="183"/>
    </row>
    <row r="51" spans="4:13" ht="17.75" customHeight="1" thickBot="1" x14ac:dyDescent="0.35">
      <c r="D51" s="1088" t="s">
        <v>178</v>
      </c>
      <c r="E51" s="1090" t="s">
        <v>179</v>
      </c>
      <c r="F51" s="1092" t="s">
        <v>764</v>
      </c>
      <c r="G51" s="1093"/>
      <c r="H51" s="1093"/>
      <c r="I51" s="1093"/>
      <c r="J51" s="1093"/>
      <c r="K51" s="1093"/>
      <c r="L51" s="1093"/>
      <c r="M51" s="1094"/>
    </row>
    <row r="52" spans="4:13" ht="35.25" thickBot="1" x14ac:dyDescent="0.35">
      <c r="D52" s="1089"/>
      <c r="E52" s="1091"/>
      <c r="F52" s="641" t="s">
        <v>70</v>
      </c>
      <c r="G52" s="639" t="s">
        <v>71</v>
      </c>
      <c r="H52" s="639" t="s">
        <v>72</v>
      </c>
      <c r="I52" s="639" t="s">
        <v>73</v>
      </c>
      <c r="J52" s="639" t="s">
        <v>74</v>
      </c>
      <c r="K52" s="639" t="s">
        <v>82</v>
      </c>
      <c r="L52" s="640" t="s">
        <v>243</v>
      </c>
      <c r="M52" s="274" t="s">
        <v>529</v>
      </c>
    </row>
    <row r="53" spans="4:13" ht="38.25" x14ac:dyDescent="0.3">
      <c r="D53" s="275" t="s">
        <v>1164</v>
      </c>
      <c r="E53" s="276" t="s">
        <v>1165</v>
      </c>
      <c r="F53" s="803">
        <v>1023058.56</v>
      </c>
      <c r="G53" s="804">
        <v>1053750.31</v>
      </c>
      <c r="H53" s="805">
        <v>1085362.82</v>
      </c>
      <c r="I53" s="803">
        <v>1117923.71</v>
      </c>
      <c r="J53" s="803">
        <v>1151461.42</v>
      </c>
      <c r="K53" s="803">
        <v>1186005.26</v>
      </c>
      <c r="L53" s="806">
        <v>1221585.42</v>
      </c>
      <c r="M53" s="279">
        <f t="shared" ref="M53:M67" si="3">SUM(H53:L53)</f>
        <v>5762338.6299999999</v>
      </c>
    </row>
    <row r="54" spans="4:13" ht="12.75" hidden="1" outlineLevel="1" x14ac:dyDescent="0.3">
      <c r="D54" s="280"/>
      <c r="E54" s="281"/>
      <c r="F54" s="803"/>
      <c r="G54" s="804"/>
      <c r="H54" s="805"/>
      <c r="I54" s="803"/>
      <c r="J54" s="803"/>
      <c r="K54" s="803"/>
      <c r="L54" s="806"/>
      <c r="M54" s="284">
        <f t="shared" si="3"/>
        <v>0</v>
      </c>
    </row>
    <row r="55" spans="4:13" ht="12.75" hidden="1" outlineLevel="1" x14ac:dyDescent="0.3">
      <c r="D55" s="280"/>
      <c r="E55" s="281"/>
      <c r="F55" s="803"/>
      <c r="G55" s="804"/>
      <c r="H55" s="805"/>
      <c r="I55" s="803"/>
      <c r="J55" s="803"/>
      <c r="K55" s="803"/>
      <c r="L55" s="806"/>
      <c r="M55" s="284">
        <f t="shared" si="3"/>
        <v>0</v>
      </c>
    </row>
    <row r="56" spans="4:13" ht="12.75" hidden="1" outlineLevel="1" x14ac:dyDescent="0.3">
      <c r="D56" s="280"/>
      <c r="E56" s="281"/>
      <c r="F56" s="803"/>
      <c r="G56" s="804"/>
      <c r="H56" s="805"/>
      <c r="I56" s="803"/>
      <c r="J56" s="803"/>
      <c r="K56" s="803"/>
      <c r="L56" s="806"/>
      <c r="M56" s="284">
        <f t="shared" si="3"/>
        <v>0</v>
      </c>
    </row>
    <row r="57" spans="4:13" ht="12.75" hidden="1" outlineLevel="1" x14ac:dyDescent="0.3">
      <c r="D57" s="597"/>
      <c r="E57" s="807"/>
      <c r="F57" s="803"/>
      <c r="G57" s="804"/>
      <c r="H57" s="805"/>
      <c r="I57" s="803"/>
      <c r="J57" s="803"/>
      <c r="K57" s="803"/>
      <c r="L57" s="806"/>
      <c r="M57" s="284">
        <f t="shared" si="3"/>
        <v>0</v>
      </c>
    </row>
    <row r="58" spans="4:13" ht="12.75" hidden="1" outlineLevel="1" x14ac:dyDescent="0.3">
      <c r="D58" s="597"/>
      <c r="E58" s="807"/>
      <c r="F58" s="803"/>
      <c r="G58" s="804"/>
      <c r="H58" s="805"/>
      <c r="I58" s="803"/>
      <c r="J58" s="803"/>
      <c r="K58" s="803"/>
      <c r="L58" s="806"/>
      <c r="M58" s="284">
        <f t="shared" si="3"/>
        <v>0</v>
      </c>
    </row>
    <row r="59" spans="4:13" ht="12.75" hidden="1" outlineLevel="1" x14ac:dyDescent="0.3">
      <c r="D59" s="597"/>
      <c r="E59" s="807"/>
      <c r="F59" s="803"/>
      <c r="G59" s="804"/>
      <c r="H59" s="805"/>
      <c r="I59" s="803"/>
      <c r="J59" s="803"/>
      <c r="K59" s="803"/>
      <c r="L59" s="806"/>
      <c r="M59" s="284">
        <f t="shared" si="3"/>
        <v>0</v>
      </c>
    </row>
    <row r="60" spans="4:13" ht="12.75" hidden="1" outlineLevel="1" x14ac:dyDescent="0.3">
      <c r="D60" s="597"/>
      <c r="E60" s="807"/>
      <c r="F60" s="803"/>
      <c r="G60" s="804"/>
      <c r="H60" s="805"/>
      <c r="I60" s="803"/>
      <c r="J60" s="803"/>
      <c r="K60" s="803"/>
      <c r="L60" s="806"/>
      <c r="M60" s="284">
        <f t="shared" si="3"/>
        <v>0</v>
      </c>
    </row>
    <row r="61" spans="4:13" ht="12.75" hidden="1" outlineLevel="1" x14ac:dyDescent="0.3">
      <c r="D61" s="597"/>
      <c r="E61" s="807"/>
      <c r="F61" s="803"/>
      <c r="G61" s="804"/>
      <c r="H61" s="805"/>
      <c r="I61" s="803"/>
      <c r="J61" s="803"/>
      <c r="K61" s="803"/>
      <c r="L61" s="806"/>
      <c r="M61" s="284">
        <f t="shared" si="3"/>
        <v>0</v>
      </c>
    </row>
    <row r="62" spans="4:13" ht="12.75" hidden="1" outlineLevel="1" x14ac:dyDescent="0.3">
      <c r="D62" s="597"/>
      <c r="E62" s="807"/>
      <c r="F62" s="803"/>
      <c r="G62" s="804"/>
      <c r="H62" s="805"/>
      <c r="I62" s="803"/>
      <c r="J62" s="803"/>
      <c r="K62" s="803"/>
      <c r="L62" s="806"/>
      <c r="M62" s="284">
        <f t="shared" si="3"/>
        <v>0</v>
      </c>
    </row>
    <row r="63" spans="4:13" ht="12.75" hidden="1" outlineLevel="1" x14ac:dyDescent="0.3">
      <c r="D63" s="597"/>
      <c r="E63" s="807"/>
      <c r="F63" s="803"/>
      <c r="G63" s="804"/>
      <c r="H63" s="805"/>
      <c r="I63" s="803"/>
      <c r="J63" s="803"/>
      <c r="K63" s="803"/>
      <c r="L63" s="806"/>
      <c r="M63" s="284">
        <f t="shared" si="3"/>
        <v>0</v>
      </c>
    </row>
    <row r="64" spans="4:13" ht="12.75" hidden="1" outlineLevel="1" x14ac:dyDescent="0.3">
      <c r="D64" s="597"/>
      <c r="E64" s="807"/>
      <c r="F64" s="803"/>
      <c r="G64" s="804"/>
      <c r="H64" s="805"/>
      <c r="I64" s="803"/>
      <c r="J64" s="803"/>
      <c r="K64" s="803"/>
      <c r="L64" s="806"/>
      <c r="M64" s="284">
        <f t="shared" si="3"/>
        <v>0</v>
      </c>
    </row>
    <row r="65" spans="2:13" ht="12.75" hidden="1" outlineLevel="1" x14ac:dyDescent="0.3">
      <c r="D65" s="597"/>
      <c r="E65" s="807"/>
      <c r="F65" s="803"/>
      <c r="G65" s="804"/>
      <c r="H65" s="805"/>
      <c r="I65" s="803"/>
      <c r="J65" s="803"/>
      <c r="K65" s="803"/>
      <c r="L65" s="806"/>
      <c r="M65" s="284">
        <f t="shared" si="3"/>
        <v>0</v>
      </c>
    </row>
    <row r="66" spans="2:13" ht="12.75" hidden="1" outlineLevel="1" x14ac:dyDescent="0.3">
      <c r="D66" s="597"/>
      <c r="E66" s="807"/>
      <c r="F66" s="803"/>
      <c r="G66" s="804"/>
      <c r="H66" s="805"/>
      <c r="I66" s="803"/>
      <c r="J66" s="803"/>
      <c r="K66" s="803"/>
      <c r="L66" s="806"/>
      <c r="M66" s="284">
        <f t="shared" si="3"/>
        <v>0</v>
      </c>
    </row>
    <row r="67" spans="2:13" ht="13.15" collapsed="1" thickBot="1" x14ac:dyDescent="0.35">
      <c r="D67" s="808"/>
      <c r="E67" s="809"/>
      <c r="F67" s="810"/>
      <c r="G67" s="811"/>
      <c r="H67" s="812"/>
      <c r="I67" s="810"/>
      <c r="J67" s="810"/>
      <c r="K67" s="810"/>
      <c r="L67" s="813"/>
      <c r="M67" s="305">
        <f t="shared" si="3"/>
        <v>0</v>
      </c>
    </row>
    <row r="68" spans="2:13" ht="11.25" customHeight="1" x14ac:dyDescent="0.3"/>
    <row r="69" spans="2:13" s="46" customFormat="1" ht="15" x14ac:dyDescent="0.3">
      <c r="B69" s="46" t="s">
        <v>16</v>
      </c>
    </row>
  </sheetData>
  <mergeCells count="6">
    <mergeCell ref="D51:D52"/>
    <mergeCell ref="E51:E52"/>
    <mergeCell ref="F51:M51"/>
    <mergeCell ref="D9:D10"/>
    <mergeCell ref="E9:E10"/>
    <mergeCell ref="E31:K31"/>
  </mergeCells>
  <conditionalFormatting sqref="B3">
    <cfRule type="cellIs" dxfId="258" priority="6" operator="notEqual">
      <formula>"No Errors Found"</formula>
    </cfRule>
  </conditionalFormatting>
  <conditionalFormatting sqref="L53:L67">
    <cfRule type="expression" dxfId="257" priority="4">
      <formula>(dms_FRCPlength_Num)&lt;5</formula>
    </cfRule>
  </conditionalFormatting>
  <conditionalFormatting sqref="L11:L25">
    <cfRule type="expression" dxfId="256" priority="2">
      <formula>(dms_FRCPlength_Num)&lt;5</formula>
    </cfRule>
  </conditionalFormatting>
  <hyperlinks>
    <hyperlink ref="B2:E2" location="TOC!A1" display="TOC!A1" xr:uid="{3FEA301D-4B4B-4528-BE8B-C4277CD13EA3}"/>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6260-0BD5-464A-85D4-E7259020A07E}">
  <sheetPr codeName="Sheet47">
    <tabColor theme="4" tint="0.79998168889431442"/>
  </sheetPr>
  <dimension ref="A1:AA56"/>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54.83203125" style="45" customWidth="1"/>
    <col min="5" max="27" width="18.6640625" style="45" customWidth="1"/>
    <col min="28" max="30" width="10.6640625" style="45" customWidth="1"/>
    <col min="31" max="16384" width="9.33203125" style="45"/>
  </cols>
  <sheetData>
    <row r="1" spans="1:27" ht="18.75" x14ac:dyDescent="0.3">
      <c r="A1" s="41">
        <f>IF(SUM($A3:$A56)&gt;0,1,0)</f>
        <v>0</v>
      </c>
      <c r="B1" s="3" t="s">
        <v>1007</v>
      </c>
    </row>
    <row r="2" spans="1:27" customFormat="1" x14ac:dyDescent="0.3">
      <c r="B2" s="34" t="str">
        <f>TOC!$B$1</f>
        <v>Table of contents</v>
      </c>
      <c r="C2" s="34"/>
      <c r="D2" s="34"/>
    </row>
    <row r="3" spans="1:27" x14ac:dyDescent="0.3">
      <c r="B3" s="9" t="str">
        <f>Title_Msg</f>
        <v>No Errors Found</v>
      </c>
    </row>
    <row r="4" spans="1:27" s="46" customFormat="1" ht="15" x14ac:dyDescent="0.3">
      <c r="B4" s="46" t="str">
        <f>'WkB_1_2.1.1'!$B$4</f>
        <v>Data required to populate Power and Water Corporation 2024-29 regulatory submission</v>
      </c>
    </row>
    <row r="5" spans="1:27" ht="4.5" customHeight="1" x14ac:dyDescent="0.3"/>
    <row r="6" spans="1:27" s="7" customFormat="1" ht="13.9" x14ac:dyDescent="0.3">
      <c r="C6" s="7" t="s">
        <v>68</v>
      </c>
    </row>
    <row r="7" spans="1:27" ht="11.25" customHeight="1" thickBot="1" x14ac:dyDescent="0.35"/>
    <row r="8" spans="1:27" ht="16.5" customHeight="1" thickBot="1" x14ac:dyDescent="0.35">
      <c r="D8" s="855" t="s">
        <v>1021</v>
      </c>
      <c r="E8" s="325"/>
      <c r="F8" s="325"/>
      <c r="G8" s="325"/>
      <c r="H8" s="325"/>
      <c r="I8" s="325"/>
      <c r="J8" s="325"/>
      <c r="K8" s="325"/>
      <c r="L8" s="325"/>
      <c r="M8" s="325"/>
      <c r="N8" s="325"/>
      <c r="O8" s="325"/>
      <c r="P8" s="325"/>
      <c r="Q8" s="325"/>
      <c r="R8" s="325"/>
      <c r="S8" s="325"/>
      <c r="T8" s="325"/>
      <c r="U8" s="325"/>
      <c r="V8" s="325"/>
      <c r="W8" s="325"/>
      <c r="X8" s="325"/>
      <c r="Y8" s="325"/>
      <c r="Z8" s="325"/>
      <c r="AA8" s="325"/>
    </row>
    <row r="9" spans="1:27" ht="20.25" customHeight="1" thickBot="1" x14ac:dyDescent="0.35">
      <c r="D9" s="1015" t="s">
        <v>1025</v>
      </c>
      <c r="E9" s="309"/>
      <c r="F9" s="309"/>
      <c r="G9" s="309"/>
      <c r="H9" s="309"/>
      <c r="I9" s="309"/>
      <c r="J9" s="309"/>
      <c r="K9" s="309"/>
      <c r="L9" s="309"/>
      <c r="M9" s="309"/>
      <c r="N9" s="309"/>
      <c r="O9" s="309"/>
      <c r="P9" s="309"/>
      <c r="Q9" s="309"/>
      <c r="R9" s="309"/>
      <c r="S9" s="309"/>
      <c r="T9" s="309"/>
      <c r="U9" s="309"/>
      <c r="V9" s="309"/>
      <c r="W9" s="309"/>
      <c r="X9" s="309"/>
      <c r="Y9" s="309"/>
      <c r="Z9" s="309"/>
      <c r="AA9" s="310"/>
    </row>
    <row r="10" spans="1:27" ht="15.75" customHeight="1" thickBot="1" x14ac:dyDescent="0.35">
      <c r="D10" s="1101"/>
      <c r="E10" s="1098" t="s">
        <v>466</v>
      </c>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100"/>
    </row>
    <row r="11" spans="1:27" ht="13.5" customHeight="1" thickBot="1" x14ac:dyDescent="0.35">
      <c r="D11" s="1101"/>
      <c r="E11" s="417" t="s">
        <v>70</v>
      </c>
      <c r="F11" s="418" t="s">
        <v>71</v>
      </c>
      <c r="G11" s="419" t="s">
        <v>72</v>
      </c>
      <c r="H11" s="420" t="s">
        <v>73</v>
      </c>
      <c r="I11" s="420" t="s">
        <v>74</v>
      </c>
      <c r="J11" s="420" t="s">
        <v>82</v>
      </c>
      <c r="K11" s="420" t="s">
        <v>243</v>
      </c>
      <c r="L11" s="420" t="s">
        <v>1008</v>
      </c>
      <c r="M11" s="420" t="s">
        <v>1009</v>
      </c>
      <c r="N11" s="420" t="s">
        <v>1010</v>
      </c>
      <c r="O11" s="420" t="s">
        <v>1011</v>
      </c>
      <c r="P11" s="420" t="s">
        <v>1012</v>
      </c>
      <c r="Q11" s="420" t="s">
        <v>1013</v>
      </c>
      <c r="R11" s="420" t="s">
        <v>1014</v>
      </c>
      <c r="S11" s="420" t="s">
        <v>1015</v>
      </c>
      <c r="T11" s="420" t="s">
        <v>1016</v>
      </c>
      <c r="U11" s="420" t="s">
        <v>1017</v>
      </c>
      <c r="V11" s="420" t="s">
        <v>1018</v>
      </c>
      <c r="W11" s="420" t="s">
        <v>1019</v>
      </c>
      <c r="X11" s="420" t="s">
        <v>1020</v>
      </c>
      <c r="Y11" s="420" t="s">
        <v>1040</v>
      </c>
      <c r="Z11" s="420" t="s">
        <v>1041</v>
      </c>
      <c r="AA11" s="421" t="s">
        <v>1042</v>
      </c>
    </row>
    <row r="12" spans="1:27" ht="15" customHeight="1" x14ac:dyDescent="0.45">
      <c r="D12" s="1016" t="s">
        <v>75</v>
      </c>
      <c r="E12" s="449">
        <v>4346469.861139914</v>
      </c>
      <c r="F12" s="438">
        <v>6568653.1062947959</v>
      </c>
      <c r="G12" s="311">
        <v>3973545.7695348249</v>
      </c>
      <c r="H12" s="312">
        <v>4362908.5291616367</v>
      </c>
      <c r="I12" s="312">
        <v>2518051.1755079553</v>
      </c>
      <c r="J12" s="312">
        <v>1455943.301960991</v>
      </c>
      <c r="K12" s="438">
        <v>1427623.8068821228</v>
      </c>
      <c r="L12" s="312">
        <v>3521885.0786403199</v>
      </c>
      <c r="M12" s="312">
        <v>3521885.0786403199</v>
      </c>
      <c r="N12" s="312">
        <v>2516367.799519551</v>
      </c>
      <c r="O12" s="312">
        <v>2519836.7901637591</v>
      </c>
      <c r="P12" s="438">
        <v>2519836.7901637591</v>
      </c>
      <c r="Q12" s="312">
        <v>2519836.7901637591</v>
      </c>
      <c r="R12" s="312">
        <v>2519836.7901637591</v>
      </c>
      <c r="S12" s="312">
        <v>2519836.7901637498</v>
      </c>
      <c r="T12" s="312">
        <v>2519836.7901637591</v>
      </c>
      <c r="U12" s="438">
        <v>2519836.7901637591</v>
      </c>
      <c r="V12" s="312">
        <v>2519836.7901637787</v>
      </c>
      <c r="W12" s="312">
        <v>2519836.7901637591</v>
      </c>
      <c r="X12" s="312">
        <v>2519836.7901637498</v>
      </c>
      <c r="Y12" s="312">
        <v>2519836.7901637591</v>
      </c>
      <c r="Z12" s="312">
        <v>2519836.7901637591</v>
      </c>
      <c r="AA12" s="438">
        <v>2519836.7901637591</v>
      </c>
    </row>
    <row r="13" spans="1:27" ht="15" customHeight="1" x14ac:dyDescent="0.45">
      <c r="D13" s="1017" t="s">
        <v>76</v>
      </c>
      <c r="E13" s="436">
        <v>0</v>
      </c>
      <c r="F13" s="316">
        <v>0</v>
      </c>
      <c r="G13" s="314">
        <v>0</v>
      </c>
      <c r="H13" s="436">
        <v>0</v>
      </c>
      <c r="I13" s="436">
        <v>0</v>
      </c>
      <c r="J13" s="436">
        <v>0</v>
      </c>
      <c r="K13" s="316">
        <v>0</v>
      </c>
      <c r="L13" s="436">
        <v>0</v>
      </c>
      <c r="M13" s="436">
        <v>0</v>
      </c>
      <c r="N13" s="436">
        <v>0</v>
      </c>
      <c r="O13" s="436">
        <v>0</v>
      </c>
      <c r="P13" s="316">
        <v>0</v>
      </c>
      <c r="Q13" s="436">
        <v>0</v>
      </c>
      <c r="R13" s="436">
        <v>0</v>
      </c>
      <c r="S13" s="436">
        <v>0</v>
      </c>
      <c r="T13" s="436">
        <v>0</v>
      </c>
      <c r="U13" s="316">
        <v>0</v>
      </c>
      <c r="V13" s="436">
        <v>0</v>
      </c>
      <c r="W13" s="436">
        <v>0</v>
      </c>
      <c r="X13" s="436">
        <v>0</v>
      </c>
      <c r="Y13" s="436">
        <v>0</v>
      </c>
      <c r="Z13" s="436">
        <v>0</v>
      </c>
      <c r="AA13" s="316">
        <v>0</v>
      </c>
    </row>
    <row r="14" spans="1:27" ht="15" customHeight="1" x14ac:dyDescent="0.45">
      <c r="D14" s="1017" t="s">
        <v>77</v>
      </c>
      <c r="E14" s="436">
        <v>1843205.0497427799</v>
      </c>
      <c r="F14" s="316">
        <v>3471764.8464598176</v>
      </c>
      <c r="G14" s="314">
        <v>1666077.3864603189</v>
      </c>
      <c r="H14" s="436">
        <v>1647081.7972659871</v>
      </c>
      <c r="I14" s="436">
        <v>2281188.571742571</v>
      </c>
      <c r="J14" s="436">
        <v>1748559.5332512863</v>
      </c>
      <c r="K14" s="316">
        <v>1628570.6405079814</v>
      </c>
      <c r="L14" s="436">
        <v>2040921.1179186772</v>
      </c>
      <c r="M14" s="436">
        <v>2040921.1179186772</v>
      </c>
      <c r="N14" s="436">
        <v>1458227.0766406513</v>
      </c>
      <c r="O14" s="436">
        <v>1460237.3456033061</v>
      </c>
      <c r="P14" s="316">
        <v>1460237.3456033061</v>
      </c>
      <c r="Q14" s="436">
        <v>1460237.3456033061</v>
      </c>
      <c r="R14" s="436">
        <v>1460237.3456033061</v>
      </c>
      <c r="S14" s="436">
        <v>1460237.3456033003</v>
      </c>
      <c r="T14" s="436">
        <v>1460237.3456033061</v>
      </c>
      <c r="U14" s="316">
        <v>1460237.3456033061</v>
      </c>
      <c r="V14" s="436">
        <v>1460237.3456033175</v>
      </c>
      <c r="W14" s="436">
        <v>1460237.3456033061</v>
      </c>
      <c r="X14" s="436">
        <v>1460237.3456033003</v>
      </c>
      <c r="Y14" s="436">
        <v>1460237.3456033061</v>
      </c>
      <c r="Z14" s="436">
        <v>1460237.3456033061</v>
      </c>
      <c r="AA14" s="316">
        <v>1460237.3456033061</v>
      </c>
    </row>
    <row r="15" spans="1:27" ht="15" customHeight="1" x14ac:dyDescent="0.45">
      <c r="D15" s="1017" t="s">
        <v>78</v>
      </c>
      <c r="E15" s="436">
        <v>0</v>
      </c>
      <c r="F15" s="316">
        <v>0</v>
      </c>
      <c r="G15" s="314">
        <v>0</v>
      </c>
      <c r="H15" s="436">
        <v>0</v>
      </c>
      <c r="I15" s="436">
        <v>0</v>
      </c>
      <c r="J15" s="436">
        <v>0</v>
      </c>
      <c r="K15" s="316">
        <v>0</v>
      </c>
      <c r="L15" s="436">
        <v>0</v>
      </c>
      <c r="M15" s="436">
        <v>0</v>
      </c>
      <c r="N15" s="436">
        <v>0</v>
      </c>
      <c r="O15" s="436">
        <v>0</v>
      </c>
      <c r="P15" s="316">
        <v>0</v>
      </c>
      <c r="Q15" s="436">
        <v>0</v>
      </c>
      <c r="R15" s="436">
        <v>0</v>
      </c>
      <c r="S15" s="436">
        <v>0</v>
      </c>
      <c r="T15" s="436">
        <v>0</v>
      </c>
      <c r="U15" s="316">
        <v>0</v>
      </c>
      <c r="V15" s="436">
        <v>0</v>
      </c>
      <c r="W15" s="436">
        <v>0</v>
      </c>
      <c r="X15" s="436">
        <v>0</v>
      </c>
      <c r="Y15" s="436">
        <v>0</v>
      </c>
      <c r="Z15" s="436">
        <v>0</v>
      </c>
      <c r="AA15" s="316">
        <v>0</v>
      </c>
    </row>
    <row r="16" spans="1:27" ht="15" customHeight="1" x14ac:dyDescent="0.45">
      <c r="D16" s="1017" t="s">
        <v>672</v>
      </c>
      <c r="E16" s="436">
        <v>0</v>
      </c>
      <c r="F16" s="316">
        <v>0</v>
      </c>
      <c r="G16" s="314">
        <v>0</v>
      </c>
      <c r="H16" s="436">
        <v>0</v>
      </c>
      <c r="I16" s="436">
        <v>0</v>
      </c>
      <c r="J16" s="436">
        <v>0</v>
      </c>
      <c r="K16" s="316">
        <v>0</v>
      </c>
      <c r="L16" s="436">
        <v>0</v>
      </c>
      <c r="M16" s="436">
        <v>0</v>
      </c>
      <c r="N16" s="436">
        <v>0</v>
      </c>
      <c r="O16" s="436">
        <v>0</v>
      </c>
      <c r="P16" s="316">
        <v>0</v>
      </c>
      <c r="Q16" s="436">
        <v>0</v>
      </c>
      <c r="R16" s="436">
        <v>0</v>
      </c>
      <c r="S16" s="436">
        <v>0</v>
      </c>
      <c r="T16" s="436">
        <v>0</v>
      </c>
      <c r="U16" s="316">
        <v>0</v>
      </c>
      <c r="V16" s="436">
        <v>0</v>
      </c>
      <c r="W16" s="436">
        <v>0</v>
      </c>
      <c r="X16" s="436">
        <v>0</v>
      </c>
      <c r="Y16" s="436">
        <v>0</v>
      </c>
      <c r="Z16" s="436">
        <v>0</v>
      </c>
      <c r="AA16" s="316">
        <v>0</v>
      </c>
    </row>
    <row r="17" spans="1:27" ht="15" customHeight="1" x14ac:dyDescent="0.45">
      <c r="D17" s="1017" t="s">
        <v>79</v>
      </c>
      <c r="E17" s="436">
        <v>0</v>
      </c>
      <c r="F17" s="316">
        <v>0</v>
      </c>
      <c r="G17" s="314">
        <v>0</v>
      </c>
      <c r="H17" s="436">
        <v>0</v>
      </c>
      <c r="I17" s="436">
        <v>0</v>
      </c>
      <c r="J17" s="436">
        <v>0</v>
      </c>
      <c r="K17" s="316">
        <v>0</v>
      </c>
      <c r="L17" s="436">
        <v>0</v>
      </c>
      <c r="M17" s="436">
        <v>0</v>
      </c>
      <c r="N17" s="436">
        <v>0</v>
      </c>
      <c r="O17" s="436">
        <v>0</v>
      </c>
      <c r="P17" s="316">
        <v>0</v>
      </c>
      <c r="Q17" s="436">
        <v>0</v>
      </c>
      <c r="R17" s="436">
        <v>0</v>
      </c>
      <c r="S17" s="436">
        <v>0</v>
      </c>
      <c r="T17" s="436">
        <v>0</v>
      </c>
      <c r="U17" s="316">
        <v>0</v>
      </c>
      <c r="V17" s="436">
        <v>0</v>
      </c>
      <c r="W17" s="436">
        <v>0</v>
      </c>
      <c r="X17" s="436">
        <v>0</v>
      </c>
      <c r="Y17" s="436">
        <v>0</v>
      </c>
      <c r="Z17" s="436">
        <v>0</v>
      </c>
      <c r="AA17" s="316">
        <v>0</v>
      </c>
    </row>
    <row r="18" spans="1:27" ht="15" customHeight="1" thickBot="1" x14ac:dyDescent="0.5">
      <c r="D18" s="1013" t="s">
        <v>80</v>
      </c>
      <c r="E18" s="451">
        <v>0</v>
      </c>
      <c r="F18" s="656">
        <v>0</v>
      </c>
      <c r="G18" s="1014">
        <v>0</v>
      </c>
      <c r="H18" s="349">
        <v>0</v>
      </c>
      <c r="I18" s="349">
        <v>0</v>
      </c>
      <c r="J18" s="349">
        <v>0</v>
      </c>
      <c r="K18" s="656">
        <v>0</v>
      </c>
      <c r="L18" s="349">
        <v>0</v>
      </c>
      <c r="M18" s="349">
        <v>0</v>
      </c>
      <c r="N18" s="349">
        <v>0</v>
      </c>
      <c r="O18" s="349">
        <v>0</v>
      </c>
      <c r="P18" s="656">
        <v>0</v>
      </c>
      <c r="Q18" s="349">
        <v>0</v>
      </c>
      <c r="R18" s="349">
        <v>0</v>
      </c>
      <c r="S18" s="349">
        <v>0</v>
      </c>
      <c r="T18" s="349">
        <v>0</v>
      </c>
      <c r="U18" s="656">
        <v>0</v>
      </c>
      <c r="V18" s="349">
        <v>0</v>
      </c>
      <c r="W18" s="349">
        <v>0</v>
      </c>
      <c r="X18" s="349">
        <v>0</v>
      </c>
      <c r="Y18" s="349">
        <v>0</v>
      </c>
      <c r="Z18" s="349">
        <v>0</v>
      </c>
      <c r="AA18" s="656">
        <v>0</v>
      </c>
    </row>
    <row r="19" spans="1:27" ht="15" customHeight="1" thickBot="1" x14ac:dyDescent="0.35">
      <c r="D19" s="157" t="s">
        <v>1022</v>
      </c>
      <c r="E19" s="252">
        <f t="shared" ref="E19:W19" si="0">SUM(E12:E18)</f>
        <v>6189674.9108826937</v>
      </c>
      <c r="F19" s="252">
        <f t="shared" si="0"/>
        <v>10040417.952754613</v>
      </c>
      <c r="G19" s="252">
        <f t="shared" si="0"/>
        <v>5639623.1559951436</v>
      </c>
      <c r="H19" s="252">
        <f t="shared" si="0"/>
        <v>6009990.3264276236</v>
      </c>
      <c r="I19" s="252">
        <f t="shared" si="0"/>
        <v>4799239.7472505262</v>
      </c>
      <c r="J19" s="252">
        <f t="shared" si="0"/>
        <v>3204502.8352122772</v>
      </c>
      <c r="K19" s="252">
        <f t="shared" si="0"/>
        <v>3056194.4473901042</v>
      </c>
      <c r="L19" s="252">
        <f t="shared" si="0"/>
        <v>5562806.196558997</v>
      </c>
      <c r="M19" s="252">
        <f t="shared" si="0"/>
        <v>5562806.196558997</v>
      </c>
      <c r="N19" s="252">
        <f t="shared" si="0"/>
        <v>3974594.8761602025</v>
      </c>
      <c r="O19" s="252">
        <f t="shared" si="0"/>
        <v>3980074.135767065</v>
      </c>
      <c r="P19" s="252">
        <f t="shared" si="0"/>
        <v>3980074.135767065</v>
      </c>
      <c r="Q19" s="252">
        <f t="shared" si="0"/>
        <v>3980074.135767065</v>
      </c>
      <c r="R19" s="252">
        <f t="shared" si="0"/>
        <v>3980074.135767065</v>
      </c>
      <c r="S19" s="252">
        <f t="shared" si="0"/>
        <v>3980074.1357670501</v>
      </c>
      <c r="T19" s="252">
        <f t="shared" si="0"/>
        <v>3980074.135767065</v>
      </c>
      <c r="U19" s="252">
        <f t="shared" si="0"/>
        <v>3980074.135767065</v>
      </c>
      <c r="V19" s="252">
        <f t="shared" si="0"/>
        <v>3980074.1357670962</v>
      </c>
      <c r="W19" s="252">
        <f t="shared" si="0"/>
        <v>3980074.135767065</v>
      </c>
      <c r="X19" s="252">
        <f>SUM(X12:X18)</f>
        <v>3980074.1357670501</v>
      </c>
      <c r="Y19" s="252">
        <f t="shared" ref="Y19:AA19" si="1">SUM(Y12:Y18)</f>
        <v>3980074.135767065</v>
      </c>
      <c r="Z19" s="252">
        <f t="shared" si="1"/>
        <v>3980074.135767065</v>
      </c>
      <c r="AA19" s="253">
        <f t="shared" si="1"/>
        <v>3980074.135767065</v>
      </c>
    </row>
    <row r="20" spans="1:27" ht="11.25" customHeight="1" x14ac:dyDescent="0.3"/>
    <row r="21" spans="1:27" ht="12.75" x14ac:dyDescent="0.3">
      <c r="D21" s="798" t="s">
        <v>695</v>
      </c>
      <c r="E21" s="115">
        <v>6189674.9108826937</v>
      </c>
      <c r="F21" s="115">
        <v>10040417.952754613</v>
      </c>
      <c r="G21" s="115">
        <v>5639623.1559951436</v>
      </c>
      <c r="H21" s="115">
        <v>6009990.3264276236</v>
      </c>
      <c r="I21" s="115">
        <v>4799239.7472505262</v>
      </c>
      <c r="J21" s="115">
        <v>3204502.8352122772</v>
      </c>
      <c r="K21" s="115">
        <v>3056194.4473901042</v>
      </c>
      <c r="L21" s="115">
        <v>5562806.196558997</v>
      </c>
      <c r="M21" s="115">
        <v>5562806.196558997</v>
      </c>
      <c r="N21" s="115">
        <v>3974594.8761602025</v>
      </c>
      <c r="O21" s="115">
        <v>3980074.135767065</v>
      </c>
      <c r="P21" s="115">
        <v>3980074.135767065</v>
      </c>
      <c r="Q21" s="115">
        <v>3980074.135767065</v>
      </c>
      <c r="R21" s="115">
        <v>3980074.135767065</v>
      </c>
      <c r="S21" s="115">
        <v>3980074.1357670501</v>
      </c>
      <c r="T21" s="115">
        <v>3980074.135767065</v>
      </c>
      <c r="U21" s="115">
        <v>3980074.135767065</v>
      </c>
      <c r="V21" s="115">
        <v>3980074.1357670962</v>
      </c>
      <c r="W21" s="115">
        <v>3980074.135767065</v>
      </c>
      <c r="X21" s="115">
        <v>3980074.1357670501</v>
      </c>
      <c r="Y21" s="115">
        <v>3980074.135767065</v>
      </c>
      <c r="Z21" s="115">
        <v>3980074.135767065</v>
      </c>
      <c r="AA21" s="115">
        <v>3980074.135767065</v>
      </c>
    </row>
    <row r="22" spans="1:27" ht="12.75" x14ac:dyDescent="0.3">
      <c r="A22" s="41">
        <f>IF(SUM($E22:$AA22)&gt;0,1,0)</f>
        <v>0</v>
      </c>
      <c r="D22" s="6" t="s">
        <v>84</v>
      </c>
      <c r="E22" s="62">
        <f>IF(ROUND(SUM(E19)-E21,3)&lt;&gt;0,1,0)</f>
        <v>0</v>
      </c>
      <c r="F22" s="62">
        <f t="shared" ref="F22" si="2">IF(ROUND(SUM(F19)-F21,3)&lt;&gt;0,1,0)</f>
        <v>0</v>
      </c>
      <c r="G22" s="62">
        <f t="shared" ref="G22" si="3">IF(ROUND(SUM(G19)-G21,3)&lt;&gt;0,1,0)</f>
        <v>0</v>
      </c>
      <c r="H22" s="62">
        <f t="shared" ref="H22" si="4">IF(ROUND(SUM(H19)-H21,3)&lt;&gt;0,1,0)</f>
        <v>0</v>
      </c>
      <c r="I22" s="62">
        <f t="shared" ref="I22" si="5">IF(ROUND(SUM(I19)-I21,3)&lt;&gt;0,1,0)</f>
        <v>0</v>
      </c>
      <c r="J22" s="62">
        <f t="shared" ref="J22" si="6">IF(ROUND(SUM(J19)-J21,3)&lt;&gt;0,1,0)</f>
        <v>0</v>
      </c>
      <c r="K22" s="62">
        <f t="shared" ref="K22" si="7">IF(ROUND(SUM(K19)-K21,3)&lt;&gt;0,1,0)</f>
        <v>0</v>
      </c>
      <c r="L22" s="62">
        <f t="shared" ref="L22" si="8">IF(ROUND(SUM(L19)-L21,3)&lt;&gt;0,1,0)</f>
        <v>0</v>
      </c>
      <c r="M22" s="62">
        <f t="shared" ref="M22" si="9">IF(ROUND(SUM(M19)-M21,3)&lt;&gt;0,1,0)</f>
        <v>0</v>
      </c>
      <c r="N22" s="62">
        <f t="shared" ref="N22" si="10">IF(ROUND(SUM(N19)-N21,3)&lt;&gt;0,1,0)</f>
        <v>0</v>
      </c>
      <c r="O22" s="62">
        <f t="shared" ref="O22" si="11">IF(ROUND(SUM(O19)-O21,3)&lt;&gt;0,1,0)</f>
        <v>0</v>
      </c>
      <c r="P22" s="62">
        <f t="shared" ref="P22" si="12">IF(ROUND(SUM(P19)-P21,3)&lt;&gt;0,1,0)</f>
        <v>0</v>
      </c>
      <c r="Q22" s="62">
        <f t="shared" ref="Q22" si="13">IF(ROUND(SUM(Q19)-Q21,3)&lt;&gt;0,1,0)</f>
        <v>0</v>
      </c>
      <c r="R22" s="62">
        <f t="shared" ref="R22" si="14">IF(ROUND(SUM(R19)-R21,3)&lt;&gt;0,1,0)</f>
        <v>0</v>
      </c>
      <c r="S22" s="62">
        <f t="shared" ref="S22" si="15">IF(ROUND(SUM(S19)-S21,3)&lt;&gt;0,1,0)</f>
        <v>0</v>
      </c>
      <c r="T22" s="62">
        <f t="shared" ref="T22" si="16">IF(ROUND(SUM(T19)-T21,3)&lt;&gt;0,1,0)</f>
        <v>0</v>
      </c>
      <c r="U22" s="62">
        <f t="shared" ref="U22" si="17">IF(ROUND(SUM(U19)-U21,3)&lt;&gt;0,1,0)</f>
        <v>0</v>
      </c>
      <c r="V22" s="62">
        <f t="shared" ref="V22" si="18">IF(ROUND(SUM(V19)-V21,3)&lt;&gt;0,1,0)</f>
        <v>0</v>
      </c>
      <c r="W22" s="62">
        <f t="shared" ref="W22" si="19">IF(ROUND(SUM(W19)-W21,3)&lt;&gt;0,1,0)</f>
        <v>0</v>
      </c>
      <c r="X22" s="62">
        <f t="shared" ref="X22" si="20">IF(ROUND(SUM(X19)-X21,3)&lt;&gt;0,1,0)</f>
        <v>0</v>
      </c>
      <c r="Y22" s="62">
        <f t="shared" ref="Y22" si="21">IF(ROUND(SUM(Y19)-Y21,3)&lt;&gt;0,1,0)</f>
        <v>0</v>
      </c>
      <c r="Z22" s="62">
        <f t="shared" ref="Z22" si="22">IF(ROUND(SUM(Z19)-Z21,3)&lt;&gt;0,1,0)</f>
        <v>0</v>
      </c>
      <c r="AA22" s="62">
        <f t="shared" ref="AA22" si="23">IF(ROUND(SUM(AA19)-AA21,3)&lt;&gt;0,1,0)</f>
        <v>0</v>
      </c>
    </row>
    <row r="23" spans="1:27" ht="11.25" customHeight="1" x14ac:dyDescent="0.3"/>
    <row r="24" spans="1:27" ht="11.25" customHeight="1" thickBot="1" x14ac:dyDescent="0.35"/>
    <row r="25" spans="1:27" ht="20.25" customHeight="1" thickBot="1" x14ac:dyDescent="0.35">
      <c r="D25" s="1015" t="s">
        <v>1024</v>
      </c>
      <c r="E25" s="309"/>
      <c r="F25" s="309"/>
      <c r="G25" s="309"/>
      <c r="H25" s="309"/>
      <c r="I25" s="309"/>
      <c r="J25" s="309"/>
      <c r="K25" s="309"/>
      <c r="L25" s="309"/>
      <c r="M25" s="309"/>
      <c r="N25" s="309"/>
      <c r="O25" s="309"/>
      <c r="P25" s="309"/>
      <c r="Q25" s="309"/>
      <c r="R25" s="309"/>
      <c r="S25" s="309"/>
      <c r="T25" s="309"/>
      <c r="U25" s="309"/>
      <c r="V25" s="309"/>
      <c r="W25" s="309"/>
      <c r="X25" s="309"/>
      <c r="Y25" s="309"/>
      <c r="Z25" s="309"/>
      <c r="AA25" s="310"/>
    </row>
    <row r="26" spans="1:27" ht="15.75" customHeight="1" thickBot="1" x14ac:dyDescent="0.35">
      <c r="D26" s="1101"/>
      <c r="E26" s="1098" t="s">
        <v>466</v>
      </c>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100"/>
    </row>
    <row r="27" spans="1:27" ht="13.5" customHeight="1" thickBot="1" x14ac:dyDescent="0.35">
      <c r="D27" s="1101"/>
      <c r="E27" s="417" t="s">
        <v>70</v>
      </c>
      <c r="F27" s="418" t="s">
        <v>71</v>
      </c>
      <c r="G27" s="419" t="s">
        <v>72</v>
      </c>
      <c r="H27" s="420" t="s">
        <v>73</v>
      </c>
      <c r="I27" s="420" t="s">
        <v>74</v>
      </c>
      <c r="J27" s="420" t="s">
        <v>82</v>
      </c>
      <c r="K27" s="420" t="s">
        <v>243</v>
      </c>
      <c r="L27" s="420" t="s">
        <v>1008</v>
      </c>
      <c r="M27" s="420" t="s">
        <v>1009</v>
      </c>
      <c r="N27" s="420" t="s">
        <v>1010</v>
      </c>
      <c r="O27" s="420" t="s">
        <v>1011</v>
      </c>
      <c r="P27" s="420" t="s">
        <v>1012</v>
      </c>
      <c r="Q27" s="420" t="s">
        <v>1013</v>
      </c>
      <c r="R27" s="420" t="s">
        <v>1014</v>
      </c>
      <c r="S27" s="420" t="s">
        <v>1015</v>
      </c>
      <c r="T27" s="420" t="s">
        <v>1016</v>
      </c>
      <c r="U27" s="420" t="s">
        <v>1017</v>
      </c>
      <c r="V27" s="420" t="s">
        <v>1018</v>
      </c>
      <c r="W27" s="420" t="s">
        <v>1019</v>
      </c>
      <c r="X27" s="420" t="s">
        <v>1020</v>
      </c>
      <c r="Y27" s="420" t="s">
        <v>1040</v>
      </c>
      <c r="Z27" s="420" t="s">
        <v>1041</v>
      </c>
      <c r="AA27" s="421" t="s">
        <v>1042</v>
      </c>
    </row>
    <row r="28" spans="1:27" ht="15" customHeight="1" x14ac:dyDescent="0.45">
      <c r="D28" s="1016" t="s">
        <v>75</v>
      </c>
      <c r="E28" s="449">
        <v>4943500.7609208832</v>
      </c>
      <c r="F28" s="438">
        <v>5298592.1724469131</v>
      </c>
      <c r="G28" s="311">
        <v>6501072.0451937234</v>
      </c>
      <c r="H28" s="312">
        <v>5941074.2158907605</v>
      </c>
      <c r="I28" s="312">
        <v>3712159.6275835945</v>
      </c>
      <c r="J28" s="312">
        <v>3702881.2764092679</v>
      </c>
      <c r="K28" s="438">
        <v>3655343.9205816099</v>
      </c>
      <c r="L28" s="312">
        <v>4822089.1455752496</v>
      </c>
      <c r="M28" s="312">
        <v>4822089.1455752496</v>
      </c>
      <c r="N28" s="312">
        <v>3445356.5580347916</v>
      </c>
      <c r="O28" s="312">
        <v>3450106.2252607299</v>
      </c>
      <c r="P28" s="438">
        <v>3450106.2252607299</v>
      </c>
      <c r="Q28" s="312">
        <v>3450106.2252607299</v>
      </c>
      <c r="R28" s="312">
        <v>3450106.2252607299</v>
      </c>
      <c r="S28" s="312">
        <v>3450106.2252607164</v>
      </c>
      <c r="T28" s="312">
        <v>3450106.2252607299</v>
      </c>
      <c r="U28" s="438">
        <v>3450106.2252607299</v>
      </c>
      <c r="V28" s="312">
        <v>3450106.2252607564</v>
      </c>
      <c r="W28" s="312">
        <v>3450106.2252607299</v>
      </c>
      <c r="X28" s="312">
        <v>3450106.2252607164</v>
      </c>
      <c r="Y28" s="312">
        <v>3450106.2252607299</v>
      </c>
      <c r="Z28" s="312">
        <v>3450106.2252607299</v>
      </c>
      <c r="AA28" s="438">
        <v>3450106.2252607299</v>
      </c>
    </row>
    <row r="29" spans="1:27" ht="15" customHeight="1" x14ac:dyDescent="0.45">
      <c r="D29" s="1017" t="s">
        <v>76</v>
      </c>
      <c r="E29" s="436">
        <v>0</v>
      </c>
      <c r="F29" s="316">
        <v>0</v>
      </c>
      <c r="G29" s="314">
        <v>0</v>
      </c>
      <c r="H29" s="436">
        <v>0</v>
      </c>
      <c r="I29" s="436">
        <v>0</v>
      </c>
      <c r="J29" s="436">
        <v>0</v>
      </c>
      <c r="K29" s="316">
        <v>0</v>
      </c>
      <c r="L29" s="436">
        <v>0</v>
      </c>
      <c r="M29" s="436">
        <v>0</v>
      </c>
      <c r="N29" s="436">
        <v>0</v>
      </c>
      <c r="O29" s="436">
        <v>0</v>
      </c>
      <c r="P29" s="316">
        <v>0</v>
      </c>
      <c r="Q29" s="436">
        <v>0</v>
      </c>
      <c r="R29" s="436">
        <v>0</v>
      </c>
      <c r="S29" s="436">
        <v>0</v>
      </c>
      <c r="T29" s="436">
        <v>0</v>
      </c>
      <c r="U29" s="316">
        <v>0</v>
      </c>
      <c r="V29" s="436">
        <v>0</v>
      </c>
      <c r="W29" s="436">
        <v>0</v>
      </c>
      <c r="X29" s="436">
        <v>0</v>
      </c>
      <c r="Y29" s="436">
        <v>0</v>
      </c>
      <c r="Z29" s="436">
        <v>0</v>
      </c>
      <c r="AA29" s="316">
        <v>0</v>
      </c>
    </row>
    <row r="30" spans="1:27" ht="15" customHeight="1" x14ac:dyDescent="0.45">
      <c r="D30" s="1017" t="s">
        <v>77</v>
      </c>
      <c r="E30" s="436">
        <v>3362578.7140164757</v>
      </c>
      <c r="F30" s="316">
        <v>8789435.015021665</v>
      </c>
      <c r="G30" s="314">
        <v>6364609.8913930831</v>
      </c>
      <c r="H30" s="436">
        <v>2978351.5126095684</v>
      </c>
      <c r="I30" s="436">
        <v>3072889.9440815421</v>
      </c>
      <c r="J30" s="436">
        <v>2131173.2158660535</v>
      </c>
      <c r="K30" s="316">
        <v>1914421.4725923655</v>
      </c>
      <c r="L30" s="436">
        <v>4087637.1093686786</v>
      </c>
      <c r="M30" s="436">
        <v>4087637.1093686786</v>
      </c>
      <c r="N30" s="436">
        <v>2920594.5590103115</v>
      </c>
      <c r="O30" s="436">
        <v>2924620.8047771929</v>
      </c>
      <c r="P30" s="316">
        <v>2924620.8047771929</v>
      </c>
      <c r="Q30" s="436">
        <v>2924620.8047771929</v>
      </c>
      <c r="R30" s="436">
        <v>2924620.8047771929</v>
      </c>
      <c r="S30" s="436">
        <v>2924620.8047771817</v>
      </c>
      <c r="T30" s="436">
        <v>2924620.8047771929</v>
      </c>
      <c r="U30" s="316">
        <v>2924620.8047771929</v>
      </c>
      <c r="V30" s="436">
        <v>2924620.8047772152</v>
      </c>
      <c r="W30" s="436">
        <v>2924620.8047771929</v>
      </c>
      <c r="X30" s="436">
        <v>2924620.8047771817</v>
      </c>
      <c r="Y30" s="436">
        <v>2924620.8047771929</v>
      </c>
      <c r="Z30" s="436">
        <v>2924620.8047771929</v>
      </c>
      <c r="AA30" s="316">
        <v>2924620.8047771929</v>
      </c>
    </row>
    <row r="31" spans="1:27" ht="15" customHeight="1" x14ac:dyDescent="0.45">
      <c r="D31" s="1017" t="s">
        <v>78</v>
      </c>
      <c r="E31" s="436">
        <v>0</v>
      </c>
      <c r="F31" s="316">
        <v>0</v>
      </c>
      <c r="G31" s="314">
        <v>0</v>
      </c>
      <c r="H31" s="436">
        <v>0</v>
      </c>
      <c r="I31" s="436">
        <v>0</v>
      </c>
      <c r="J31" s="436">
        <v>0</v>
      </c>
      <c r="K31" s="316">
        <v>0</v>
      </c>
      <c r="L31" s="436">
        <v>0</v>
      </c>
      <c r="M31" s="436">
        <v>0</v>
      </c>
      <c r="N31" s="436">
        <v>0</v>
      </c>
      <c r="O31" s="436">
        <v>0</v>
      </c>
      <c r="P31" s="316">
        <v>0</v>
      </c>
      <c r="Q31" s="436">
        <v>0</v>
      </c>
      <c r="R31" s="436">
        <v>0</v>
      </c>
      <c r="S31" s="436">
        <v>0</v>
      </c>
      <c r="T31" s="436">
        <v>0</v>
      </c>
      <c r="U31" s="316">
        <v>0</v>
      </c>
      <c r="V31" s="436">
        <v>0</v>
      </c>
      <c r="W31" s="436">
        <v>0</v>
      </c>
      <c r="X31" s="436">
        <v>0</v>
      </c>
      <c r="Y31" s="436">
        <v>0</v>
      </c>
      <c r="Z31" s="436">
        <v>0</v>
      </c>
      <c r="AA31" s="316">
        <v>0</v>
      </c>
    </row>
    <row r="32" spans="1:27" ht="15" customHeight="1" x14ac:dyDescent="0.45">
      <c r="D32" s="1017" t="s">
        <v>672</v>
      </c>
      <c r="E32" s="436">
        <v>0</v>
      </c>
      <c r="F32" s="316">
        <v>0</v>
      </c>
      <c r="G32" s="314">
        <v>0</v>
      </c>
      <c r="H32" s="436">
        <v>0</v>
      </c>
      <c r="I32" s="436">
        <v>0</v>
      </c>
      <c r="J32" s="436">
        <v>0</v>
      </c>
      <c r="K32" s="316">
        <v>0</v>
      </c>
      <c r="L32" s="436">
        <v>0</v>
      </c>
      <c r="M32" s="436">
        <v>0</v>
      </c>
      <c r="N32" s="436">
        <v>0</v>
      </c>
      <c r="O32" s="436">
        <v>0</v>
      </c>
      <c r="P32" s="316">
        <v>0</v>
      </c>
      <c r="Q32" s="436">
        <v>0</v>
      </c>
      <c r="R32" s="436">
        <v>0</v>
      </c>
      <c r="S32" s="436">
        <v>0</v>
      </c>
      <c r="T32" s="436">
        <v>0</v>
      </c>
      <c r="U32" s="316">
        <v>0</v>
      </c>
      <c r="V32" s="436">
        <v>0</v>
      </c>
      <c r="W32" s="436">
        <v>0</v>
      </c>
      <c r="X32" s="436">
        <v>0</v>
      </c>
      <c r="Y32" s="436">
        <v>0</v>
      </c>
      <c r="Z32" s="436">
        <v>0</v>
      </c>
      <c r="AA32" s="316">
        <v>0</v>
      </c>
    </row>
    <row r="33" spans="1:27" ht="15" customHeight="1" x14ac:dyDescent="0.45">
      <c r="D33" s="1017" t="s">
        <v>79</v>
      </c>
      <c r="E33" s="436">
        <v>0</v>
      </c>
      <c r="F33" s="316">
        <v>0</v>
      </c>
      <c r="G33" s="314">
        <v>0</v>
      </c>
      <c r="H33" s="436">
        <v>0</v>
      </c>
      <c r="I33" s="436">
        <v>0</v>
      </c>
      <c r="J33" s="436">
        <v>0</v>
      </c>
      <c r="K33" s="316">
        <v>0</v>
      </c>
      <c r="L33" s="436">
        <v>0</v>
      </c>
      <c r="M33" s="436">
        <v>0</v>
      </c>
      <c r="N33" s="436">
        <v>0</v>
      </c>
      <c r="O33" s="436">
        <v>0</v>
      </c>
      <c r="P33" s="316">
        <v>0</v>
      </c>
      <c r="Q33" s="436">
        <v>0</v>
      </c>
      <c r="R33" s="436">
        <v>0</v>
      </c>
      <c r="S33" s="436">
        <v>0</v>
      </c>
      <c r="T33" s="436">
        <v>0</v>
      </c>
      <c r="U33" s="316">
        <v>0</v>
      </c>
      <c r="V33" s="436">
        <v>0</v>
      </c>
      <c r="W33" s="436">
        <v>0</v>
      </c>
      <c r="X33" s="436">
        <v>0</v>
      </c>
      <c r="Y33" s="436">
        <v>0</v>
      </c>
      <c r="Z33" s="436">
        <v>0</v>
      </c>
      <c r="AA33" s="316">
        <v>0</v>
      </c>
    </row>
    <row r="34" spans="1:27" ht="15" customHeight="1" thickBot="1" x14ac:dyDescent="0.5">
      <c r="D34" s="1013" t="s">
        <v>80</v>
      </c>
      <c r="E34" s="451">
        <v>0</v>
      </c>
      <c r="F34" s="656">
        <v>0</v>
      </c>
      <c r="G34" s="1014">
        <v>0</v>
      </c>
      <c r="H34" s="349">
        <v>0</v>
      </c>
      <c r="I34" s="349">
        <v>0</v>
      </c>
      <c r="J34" s="349">
        <v>0</v>
      </c>
      <c r="K34" s="656">
        <v>0</v>
      </c>
      <c r="L34" s="349">
        <v>0</v>
      </c>
      <c r="M34" s="349">
        <v>0</v>
      </c>
      <c r="N34" s="349">
        <v>0</v>
      </c>
      <c r="O34" s="349">
        <v>0</v>
      </c>
      <c r="P34" s="656">
        <v>0</v>
      </c>
      <c r="Q34" s="349">
        <v>0</v>
      </c>
      <c r="R34" s="349">
        <v>0</v>
      </c>
      <c r="S34" s="349">
        <v>0</v>
      </c>
      <c r="T34" s="349">
        <v>0</v>
      </c>
      <c r="U34" s="656">
        <v>0</v>
      </c>
      <c r="V34" s="349">
        <v>0</v>
      </c>
      <c r="W34" s="349">
        <v>0</v>
      </c>
      <c r="X34" s="349">
        <v>0</v>
      </c>
      <c r="Y34" s="349">
        <v>0</v>
      </c>
      <c r="Z34" s="349">
        <v>0</v>
      </c>
      <c r="AA34" s="656">
        <v>0</v>
      </c>
    </row>
    <row r="35" spans="1:27" ht="15" customHeight="1" thickBot="1" x14ac:dyDescent="0.35">
      <c r="D35" s="157" t="s">
        <v>1022</v>
      </c>
      <c r="E35" s="252">
        <f t="shared" ref="E35" si="24">SUM(E28:E34)</f>
        <v>8306079.4749373589</v>
      </c>
      <c r="F35" s="252">
        <f t="shared" ref="F35" si="25">SUM(F28:F34)</f>
        <v>14088027.187468577</v>
      </c>
      <c r="G35" s="252">
        <f t="shared" ref="G35" si="26">SUM(G28:G34)</f>
        <v>12865681.936586807</v>
      </c>
      <c r="H35" s="252">
        <f t="shared" ref="H35" si="27">SUM(H28:H34)</f>
        <v>8919425.728500329</v>
      </c>
      <c r="I35" s="252">
        <f t="shared" ref="I35" si="28">SUM(I28:I34)</f>
        <v>6785049.5716651361</v>
      </c>
      <c r="J35" s="252">
        <f t="shared" ref="J35" si="29">SUM(J28:J34)</f>
        <v>5834054.4922753219</v>
      </c>
      <c r="K35" s="252">
        <f t="shared" ref="K35" si="30">SUM(K28:K34)</f>
        <v>5569765.3931739759</v>
      </c>
      <c r="L35" s="252">
        <f t="shared" ref="L35" si="31">SUM(L28:L34)</f>
        <v>8909726.2549439277</v>
      </c>
      <c r="M35" s="252">
        <f t="shared" ref="M35" si="32">SUM(M28:M34)</f>
        <v>8909726.2549439277</v>
      </c>
      <c r="N35" s="252">
        <f t="shared" ref="N35" si="33">SUM(N28:N34)</f>
        <v>6365951.1170451026</v>
      </c>
      <c r="O35" s="252">
        <f t="shared" ref="O35" si="34">SUM(O28:O34)</f>
        <v>6374727.0300379228</v>
      </c>
      <c r="P35" s="252">
        <f t="shared" ref="P35" si="35">SUM(P28:P34)</f>
        <v>6374727.0300379228</v>
      </c>
      <c r="Q35" s="252">
        <f t="shared" ref="Q35" si="36">SUM(Q28:Q34)</f>
        <v>6374727.0300379228</v>
      </c>
      <c r="R35" s="252">
        <f t="shared" ref="R35" si="37">SUM(R28:R34)</f>
        <v>6374727.0300379228</v>
      </c>
      <c r="S35" s="252">
        <f t="shared" ref="S35" si="38">SUM(S28:S34)</f>
        <v>6374727.0300378986</v>
      </c>
      <c r="T35" s="252">
        <f t="shared" ref="T35" si="39">SUM(T28:T34)</f>
        <v>6374727.0300379228</v>
      </c>
      <c r="U35" s="252">
        <f t="shared" ref="U35" si="40">SUM(U28:U34)</f>
        <v>6374727.0300379228</v>
      </c>
      <c r="V35" s="252">
        <f t="shared" ref="V35" si="41">SUM(V28:V34)</f>
        <v>6374727.0300379712</v>
      </c>
      <c r="W35" s="252">
        <f t="shared" ref="W35" si="42">SUM(W28:W34)</f>
        <v>6374727.0300379228</v>
      </c>
      <c r="X35" s="252">
        <f>SUM(X28:X34)</f>
        <v>6374727.0300378986</v>
      </c>
      <c r="Y35" s="252">
        <f t="shared" ref="Y35:AA35" si="43">SUM(Y28:Y34)</f>
        <v>6374727.0300379228</v>
      </c>
      <c r="Z35" s="252">
        <f t="shared" si="43"/>
        <v>6374727.0300379228</v>
      </c>
      <c r="AA35" s="253">
        <f t="shared" si="43"/>
        <v>6374727.0300379228</v>
      </c>
    </row>
    <row r="36" spans="1:27" ht="11.25" customHeight="1" x14ac:dyDescent="0.3"/>
    <row r="37" spans="1:27" ht="12.75" x14ac:dyDescent="0.3">
      <c r="D37" s="798" t="s">
        <v>695</v>
      </c>
      <c r="E37" s="115">
        <v>8306079.4749373589</v>
      </c>
      <c r="F37" s="115">
        <v>14088027.187468577</v>
      </c>
      <c r="G37" s="115">
        <v>12865681.936586807</v>
      </c>
      <c r="H37" s="115">
        <v>8919425.728500329</v>
      </c>
      <c r="I37" s="115">
        <v>6785049.5716651361</v>
      </c>
      <c r="J37" s="115">
        <v>5834054.4922753219</v>
      </c>
      <c r="K37" s="115">
        <v>5569765.3931739759</v>
      </c>
      <c r="L37" s="115">
        <v>8909726.2549439277</v>
      </c>
      <c r="M37" s="115">
        <v>8909726.2549439277</v>
      </c>
      <c r="N37" s="115">
        <v>6365951.1170451026</v>
      </c>
      <c r="O37" s="115">
        <v>6374727.0300379228</v>
      </c>
      <c r="P37" s="115">
        <v>6374727.0300379228</v>
      </c>
      <c r="Q37" s="115">
        <v>6374727.0300379228</v>
      </c>
      <c r="R37" s="115">
        <v>6374727.0300379228</v>
      </c>
      <c r="S37" s="115">
        <v>6374727.0300378986</v>
      </c>
      <c r="T37" s="115">
        <v>6374727.0300379228</v>
      </c>
      <c r="U37" s="115">
        <v>6374727.0300379228</v>
      </c>
      <c r="V37" s="115">
        <v>6374727.0300379712</v>
      </c>
      <c r="W37" s="115">
        <v>6374727.0300379228</v>
      </c>
      <c r="X37" s="115">
        <v>6374727.0300378986</v>
      </c>
      <c r="Y37" s="115">
        <v>6374727.0300379228</v>
      </c>
      <c r="Z37" s="115">
        <v>6374727.0300379228</v>
      </c>
      <c r="AA37" s="115">
        <v>6374727.0300379228</v>
      </c>
    </row>
    <row r="38" spans="1:27" ht="12.75" x14ac:dyDescent="0.3">
      <c r="A38" s="41">
        <f>IF(SUM($E38:$AA38)&gt;0,1,0)</f>
        <v>0</v>
      </c>
      <c r="D38" s="6" t="s">
        <v>84</v>
      </c>
      <c r="E38" s="62">
        <f>IF(ROUND(SUM(E35)-E37,3)&lt;&gt;0,1,0)</f>
        <v>0</v>
      </c>
      <c r="F38" s="62">
        <f t="shared" ref="F38" si="44">IF(ROUND(SUM(F35)-F37,3)&lt;&gt;0,1,0)</f>
        <v>0</v>
      </c>
      <c r="G38" s="62">
        <f t="shared" ref="G38" si="45">IF(ROUND(SUM(G35)-G37,3)&lt;&gt;0,1,0)</f>
        <v>0</v>
      </c>
      <c r="H38" s="62">
        <f t="shared" ref="H38" si="46">IF(ROUND(SUM(H35)-H37,3)&lt;&gt;0,1,0)</f>
        <v>0</v>
      </c>
      <c r="I38" s="62">
        <f t="shared" ref="I38" si="47">IF(ROUND(SUM(I35)-I37,3)&lt;&gt;0,1,0)</f>
        <v>0</v>
      </c>
      <c r="J38" s="62">
        <f t="shared" ref="J38" si="48">IF(ROUND(SUM(J35)-J37,3)&lt;&gt;0,1,0)</f>
        <v>0</v>
      </c>
      <c r="K38" s="62">
        <f t="shared" ref="K38" si="49">IF(ROUND(SUM(K35)-K37,3)&lt;&gt;0,1,0)</f>
        <v>0</v>
      </c>
      <c r="L38" s="62">
        <f t="shared" ref="L38" si="50">IF(ROUND(SUM(L35)-L37,3)&lt;&gt;0,1,0)</f>
        <v>0</v>
      </c>
      <c r="M38" s="62">
        <f t="shared" ref="M38" si="51">IF(ROUND(SUM(M35)-M37,3)&lt;&gt;0,1,0)</f>
        <v>0</v>
      </c>
      <c r="N38" s="62">
        <f t="shared" ref="N38" si="52">IF(ROUND(SUM(N35)-N37,3)&lt;&gt;0,1,0)</f>
        <v>0</v>
      </c>
      <c r="O38" s="62">
        <f t="shared" ref="O38" si="53">IF(ROUND(SUM(O35)-O37,3)&lt;&gt;0,1,0)</f>
        <v>0</v>
      </c>
      <c r="P38" s="62">
        <f t="shared" ref="P38" si="54">IF(ROUND(SUM(P35)-P37,3)&lt;&gt;0,1,0)</f>
        <v>0</v>
      </c>
      <c r="Q38" s="62">
        <f t="shared" ref="Q38" si="55">IF(ROUND(SUM(Q35)-Q37,3)&lt;&gt;0,1,0)</f>
        <v>0</v>
      </c>
      <c r="R38" s="62">
        <f t="shared" ref="R38" si="56">IF(ROUND(SUM(R35)-R37,3)&lt;&gt;0,1,0)</f>
        <v>0</v>
      </c>
      <c r="S38" s="62">
        <f t="shared" ref="S38" si="57">IF(ROUND(SUM(S35)-S37,3)&lt;&gt;0,1,0)</f>
        <v>0</v>
      </c>
      <c r="T38" s="62">
        <f t="shared" ref="T38" si="58">IF(ROUND(SUM(T35)-T37,3)&lt;&gt;0,1,0)</f>
        <v>0</v>
      </c>
      <c r="U38" s="62">
        <f t="shared" ref="U38" si="59">IF(ROUND(SUM(U35)-U37,3)&lt;&gt;0,1,0)</f>
        <v>0</v>
      </c>
      <c r="V38" s="62">
        <f t="shared" ref="V38" si="60">IF(ROUND(SUM(V35)-V37,3)&lt;&gt;0,1,0)</f>
        <v>0</v>
      </c>
      <c r="W38" s="62">
        <f t="shared" ref="W38" si="61">IF(ROUND(SUM(W35)-W37,3)&lt;&gt;0,1,0)</f>
        <v>0</v>
      </c>
      <c r="X38" s="62">
        <f t="shared" ref="X38" si="62">IF(ROUND(SUM(X35)-X37,3)&lt;&gt;0,1,0)</f>
        <v>0</v>
      </c>
      <c r="Y38" s="62">
        <f t="shared" ref="Y38" si="63">IF(ROUND(SUM(Y35)-Y37,3)&lt;&gt;0,1,0)</f>
        <v>0</v>
      </c>
      <c r="Z38" s="62">
        <f t="shared" ref="Z38" si="64">IF(ROUND(SUM(Z35)-Z37,3)&lt;&gt;0,1,0)</f>
        <v>0</v>
      </c>
      <c r="AA38" s="62">
        <f t="shared" ref="AA38" si="65">IF(ROUND(SUM(AA35)-AA37,3)&lt;&gt;0,1,0)</f>
        <v>0</v>
      </c>
    </row>
    <row r="39" spans="1:27" ht="11.25" customHeight="1" x14ac:dyDescent="0.3"/>
    <row r="40" spans="1:27" ht="11.25" customHeight="1" thickBot="1" x14ac:dyDescent="0.35"/>
    <row r="41" spans="1:27" ht="20.25" customHeight="1" thickBot="1" x14ac:dyDescent="0.35">
      <c r="D41" s="1015" t="s">
        <v>1023</v>
      </c>
      <c r="E41" s="309"/>
      <c r="F41" s="309"/>
      <c r="G41" s="309"/>
      <c r="H41" s="309"/>
      <c r="I41" s="309"/>
      <c r="J41" s="309"/>
      <c r="K41" s="309"/>
      <c r="L41" s="309"/>
      <c r="M41" s="309"/>
      <c r="N41" s="309"/>
      <c r="O41" s="309"/>
      <c r="P41" s="309"/>
      <c r="Q41" s="309"/>
      <c r="R41" s="309"/>
      <c r="S41" s="309"/>
      <c r="T41" s="309"/>
      <c r="U41" s="309"/>
      <c r="V41" s="309"/>
      <c r="W41" s="309"/>
      <c r="X41" s="309"/>
      <c r="Y41" s="309"/>
      <c r="Z41" s="309"/>
      <c r="AA41" s="310"/>
    </row>
    <row r="42" spans="1:27" ht="15.75" customHeight="1" thickBot="1" x14ac:dyDescent="0.35">
      <c r="D42" s="1101"/>
      <c r="E42" s="1098" t="s">
        <v>466</v>
      </c>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100"/>
    </row>
    <row r="43" spans="1:27" ht="13.5" customHeight="1" thickBot="1" x14ac:dyDescent="0.35">
      <c r="D43" s="1101"/>
      <c r="E43" s="417" t="s">
        <v>70</v>
      </c>
      <c r="F43" s="418" t="s">
        <v>71</v>
      </c>
      <c r="G43" s="419" t="s">
        <v>72</v>
      </c>
      <c r="H43" s="420" t="s">
        <v>73</v>
      </c>
      <c r="I43" s="420" t="s">
        <v>74</v>
      </c>
      <c r="J43" s="420" t="s">
        <v>82</v>
      </c>
      <c r="K43" s="420" t="s">
        <v>243</v>
      </c>
      <c r="L43" s="420" t="s">
        <v>1008</v>
      </c>
      <c r="M43" s="420" t="s">
        <v>1009</v>
      </c>
      <c r="N43" s="420" t="s">
        <v>1010</v>
      </c>
      <c r="O43" s="420" t="s">
        <v>1011</v>
      </c>
      <c r="P43" s="420" t="s">
        <v>1012</v>
      </c>
      <c r="Q43" s="420" t="s">
        <v>1013</v>
      </c>
      <c r="R43" s="420" t="s">
        <v>1014</v>
      </c>
      <c r="S43" s="420" t="s">
        <v>1015</v>
      </c>
      <c r="T43" s="420" t="s">
        <v>1016</v>
      </c>
      <c r="U43" s="420" t="s">
        <v>1017</v>
      </c>
      <c r="V43" s="420" t="s">
        <v>1018</v>
      </c>
      <c r="W43" s="420" t="s">
        <v>1019</v>
      </c>
      <c r="X43" s="420" t="s">
        <v>1020</v>
      </c>
      <c r="Y43" s="420" t="s">
        <v>1040</v>
      </c>
      <c r="Z43" s="420" t="s">
        <v>1041</v>
      </c>
      <c r="AA43" s="421" t="s">
        <v>1042</v>
      </c>
    </row>
    <row r="44" spans="1:27" ht="15" customHeight="1" x14ac:dyDescent="0.45">
      <c r="D44" s="1016" t="s">
        <v>75</v>
      </c>
      <c r="E44" s="449">
        <v>4217530.2973773703</v>
      </c>
      <c r="F44" s="438">
        <v>4772247.2969695404</v>
      </c>
      <c r="G44" s="311">
        <v>6153672.8641252043</v>
      </c>
      <c r="H44" s="312">
        <v>5104345.2062654532</v>
      </c>
      <c r="I44" s="312">
        <v>4420680.8216768689</v>
      </c>
      <c r="J44" s="312">
        <v>4448756.1702898862</v>
      </c>
      <c r="K44" s="438">
        <v>4441586.7855628058</v>
      </c>
      <c r="L44" s="312">
        <v>4794117.0631810194</v>
      </c>
      <c r="M44" s="312">
        <v>4794117.0631810194</v>
      </c>
      <c r="N44" s="312">
        <v>3425370.6567771873</v>
      </c>
      <c r="O44" s="312">
        <v>3430092.7720274115</v>
      </c>
      <c r="P44" s="438">
        <v>3430092.7720274115</v>
      </c>
      <c r="Q44" s="312">
        <v>3430092.7720274115</v>
      </c>
      <c r="R44" s="312">
        <v>3430092.7720274115</v>
      </c>
      <c r="S44" s="312">
        <v>3430092.7720274115</v>
      </c>
      <c r="T44" s="312">
        <v>3430092.7720274115</v>
      </c>
      <c r="U44" s="438">
        <v>3430092.7720274115</v>
      </c>
      <c r="V44" s="312">
        <v>3430092.7720274492</v>
      </c>
      <c r="W44" s="312">
        <v>3430092.7720274115</v>
      </c>
      <c r="X44" s="312">
        <v>3430092.7720274115</v>
      </c>
      <c r="Y44" s="312">
        <v>3430092.7720274115</v>
      </c>
      <c r="Z44" s="312">
        <v>3430092.7720274115</v>
      </c>
      <c r="AA44" s="438">
        <v>3430092.7720274115</v>
      </c>
    </row>
    <row r="45" spans="1:27" ht="15" customHeight="1" x14ac:dyDescent="0.45">
      <c r="D45" s="1017" t="s">
        <v>76</v>
      </c>
      <c r="E45" s="436">
        <v>0</v>
      </c>
      <c r="F45" s="316">
        <v>0</v>
      </c>
      <c r="G45" s="314">
        <v>0</v>
      </c>
      <c r="H45" s="436">
        <v>0</v>
      </c>
      <c r="I45" s="436">
        <v>0</v>
      </c>
      <c r="J45" s="436">
        <v>0</v>
      </c>
      <c r="K45" s="316">
        <v>0</v>
      </c>
      <c r="L45" s="436">
        <v>0</v>
      </c>
      <c r="M45" s="436">
        <v>0</v>
      </c>
      <c r="N45" s="436">
        <v>0</v>
      </c>
      <c r="O45" s="436">
        <v>0</v>
      </c>
      <c r="P45" s="316">
        <v>0</v>
      </c>
      <c r="Q45" s="436">
        <v>0</v>
      </c>
      <c r="R45" s="436">
        <v>0</v>
      </c>
      <c r="S45" s="436">
        <v>0</v>
      </c>
      <c r="T45" s="436">
        <v>0</v>
      </c>
      <c r="U45" s="316">
        <v>0</v>
      </c>
      <c r="V45" s="436">
        <v>0</v>
      </c>
      <c r="W45" s="436">
        <v>0</v>
      </c>
      <c r="X45" s="436">
        <v>0</v>
      </c>
      <c r="Y45" s="436">
        <v>0</v>
      </c>
      <c r="Z45" s="436">
        <v>0</v>
      </c>
      <c r="AA45" s="316">
        <v>0</v>
      </c>
    </row>
    <row r="46" spans="1:27" ht="15" customHeight="1" x14ac:dyDescent="0.45">
      <c r="D46" s="1017" t="s">
        <v>77</v>
      </c>
      <c r="E46" s="436">
        <v>1174495.1994622112</v>
      </c>
      <c r="F46" s="316">
        <v>1192734.8549754519</v>
      </c>
      <c r="G46" s="314">
        <v>1454488.9784571682</v>
      </c>
      <c r="H46" s="436">
        <v>1441627.3358619537</v>
      </c>
      <c r="I46" s="436">
        <v>1934595.7470186171</v>
      </c>
      <c r="J46" s="436">
        <v>1521803.3655372181</v>
      </c>
      <c r="K46" s="316">
        <v>1429609.9705931765</v>
      </c>
      <c r="L46" s="436">
        <v>1449907.9217008282</v>
      </c>
      <c r="M46" s="436">
        <v>1449907.9217008282</v>
      </c>
      <c r="N46" s="436">
        <v>1035951.3513271265</v>
      </c>
      <c r="O46" s="436">
        <v>1037379.4833936265</v>
      </c>
      <c r="P46" s="316">
        <v>1037379.4833936265</v>
      </c>
      <c r="Q46" s="436">
        <v>1037379.4833936265</v>
      </c>
      <c r="R46" s="436">
        <v>1037379.4833936265</v>
      </c>
      <c r="S46" s="436">
        <v>1037379.4833936265</v>
      </c>
      <c r="T46" s="436">
        <v>1037379.4833936265</v>
      </c>
      <c r="U46" s="316">
        <v>1037379.4833936265</v>
      </c>
      <c r="V46" s="436">
        <v>1037379.4833936378</v>
      </c>
      <c r="W46" s="436">
        <v>1037379.4833936265</v>
      </c>
      <c r="X46" s="436">
        <v>1037379.4833936265</v>
      </c>
      <c r="Y46" s="436">
        <v>1037379.4833936265</v>
      </c>
      <c r="Z46" s="436">
        <v>1037379.4833936265</v>
      </c>
      <c r="AA46" s="316">
        <v>1037379.4833936265</v>
      </c>
    </row>
    <row r="47" spans="1:27" ht="15" customHeight="1" x14ac:dyDescent="0.45">
      <c r="D47" s="1017" t="s">
        <v>78</v>
      </c>
      <c r="E47" s="436">
        <v>0</v>
      </c>
      <c r="F47" s="316">
        <v>0</v>
      </c>
      <c r="G47" s="314">
        <v>0</v>
      </c>
      <c r="H47" s="436">
        <v>0</v>
      </c>
      <c r="I47" s="436">
        <v>0</v>
      </c>
      <c r="J47" s="436">
        <v>0</v>
      </c>
      <c r="K47" s="316">
        <v>0</v>
      </c>
      <c r="L47" s="436">
        <v>0</v>
      </c>
      <c r="M47" s="436">
        <v>0</v>
      </c>
      <c r="N47" s="436">
        <v>0</v>
      </c>
      <c r="O47" s="436">
        <v>0</v>
      </c>
      <c r="P47" s="316">
        <v>0</v>
      </c>
      <c r="Q47" s="436">
        <v>0</v>
      </c>
      <c r="R47" s="436">
        <v>0</v>
      </c>
      <c r="S47" s="436">
        <v>0</v>
      </c>
      <c r="T47" s="436">
        <v>0</v>
      </c>
      <c r="U47" s="316">
        <v>0</v>
      </c>
      <c r="V47" s="436">
        <v>0</v>
      </c>
      <c r="W47" s="436">
        <v>0</v>
      </c>
      <c r="X47" s="436">
        <v>0</v>
      </c>
      <c r="Y47" s="436">
        <v>0</v>
      </c>
      <c r="Z47" s="436">
        <v>0</v>
      </c>
      <c r="AA47" s="316">
        <v>0</v>
      </c>
    </row>
    <row r="48" spans="1:27" ht="15" customHeight="1" x14ac:dyDescent="0.45">
      <c r="D48" s="1017" t="s">
        <v>672</v>
      </c>
      <c r="E48" s="436">
        <v>0</v>
      </c>
      <c r="F48" s="316">
        <v>0</v>
      </c>
      <c r="G48" s="314">
        <v>0</v>
      </c>
      <c r="H48" s="436">
        <v>0</v>
      </c>
      <c r="I48" s="436">
        <v>0</v>
      </c>
      <c r="J48" s="436">
        <v>0</v>
      </c>
      <c r="K48" s="316">
        <v>0</v>
      </c>
      <c r="L48" s="436">
        <v>0</v>
      </c>
      <c r="M48" s="436">
        <v>0</v>
      </c>
      <c r="N48" s="436">
        <v>0</v>
      </c>
      <c r="O48" s="436">
        <v>0</v>
      </c>
      <c r="P48" s="316">
        <v>0</v>
      </c>
      <c r="Q48" s="436">
        <v>0</v>
      </c>
      <c r="R48" s="436">
        <v>0</v>
      </c>
      <c r="S48" s="436">
        <v>0</v>
      </c>
      <c r="T48" s="436">
        <v>0</v>
      </c>
      <c r="U48" s="316">
        <v>0</v>
      </c>
      <c r="V48" s="436">
        <v>0</v>
      </c>
      <c r="W48" s="436">
        <v>0</v>
      </c>
      <c r="X48" s="436">
        <v>0</v>
      </c>
      <c r="Y48" s="436">
        <v>0</v>
      </c>
      <c r="Z48" s="436">
        <v>0</v>
      </c>
      <c r="AA48" s="316">
        <v>0</v>
      </c>
    </row>
    <row r="49" spans="1:27" ht="15" customHeight="1" x14ac:dyDescent="0.45">
      <c r="D49" s="1017" t="s">
        <v>79</v>
      </c>
      <c r="E49" s="436">
        <v>0</v>
      </c>
      <c r="F49" s="316">
        <v>0</v>
      </c>
      <c r="G49" s="314">
        <v>0</v>
      </c>
      <c r="H49" s="436">
        <v>0</v>
      </c>
      <c r="I49" s="436">
        <v>0</v>
      </c>
      <c r="J49" s="436">
        <v>0</v>
      </c>
      <c r="K49" s="316">
        <v>0</v>
      </c>
      <c r="L49" s="436">
        <v>0</v>
      </c>
      <c r="M49" s="436">
        <v>0</v>
      </c>
      <c r="N49" s="436">
        <v>0</v>
      </c>
      <c r="O49" s="436">
        <v>0</v>
      </c>
      <c r="P49" s="316">
        <v>0</v>
      </c>
      <c r="Q49" s="436">
        <v>0</v>
      </c>
      <c r="R49" s="436">
        <v>0</v>
      </c>
      <c r="S49" s="436">
        <v>0</v>
      </c>
      <c r="T49" s="436">
        <v>0</v>
      </c>
      <c r="U49" s="316">
        <v>0</v>
      </c>
      <c r="V49" s="436">
        <v>0</v>
      </c>
      <c r="W49" s="436">
        <v>0</v>
      </c>
      <c r="X49" s="436">
        <v>0</v>
      </c>
      <c r="Y49" s="436">
        <v>0</v>
      </c>
      <c r="Z49" s="436">
        <v>0</v>
      </c>
      <c r="AA49" s="316">
        <v>0</v>
      </c>
    </row>
    <row r="50" spans="1:27" ht="15" customHeight="1" thickBot="1" x14ac:dyDescent="0.5">
      <c r="D50" s="1013" t="s">
        <v>80</v>
      </c>
      <c r="E50" s="451">
        <v>0</v>
      </c>
      <c r="F50" s="656">
        <v>0</v>
      </c>
      <c r="G50" s="1014">
        <v>0</v>
      </c>
      <c r="H50" s="349">
        <v>0</v>
      </c>
      <c r="I50" s="349">
        <v>0</v>
      </c>
      <c r="J50" s="349">
        <v>0</v>
      </c>
      <c r="K50" s="656">
        <v>0</v>
      </c>
      <c r="L50" s="349">
        <v>0</v>
      </c>
      <c r="M50" s="349">
        <v>0</v>
      </c>
      <c r="N50" s="349">
        <v>0</v>
      </c>
      <c r="O50" s="349">
        <v>0</v>
      </c>
      <c r="P50" s="656">
        <v>0</v>
      </c>
      <c r="Q50" s="349">
        <v>0</v>
      </c>
      <c r="R50" s="349">
        <v>0</v>
      </c>
      <c r="S50" s="349">
        <v>0</v>
      </c>
      <c r="T50" s="349">
        <v>0</v>
      </c>
      <c r="U50" s="656">
        <v>0</v>
      </c>
      <c r="V50" s="349">
        <v>0</v>
      </c>
      <c r="W50" s="349">
        <v>0</v>
      </c>
      <c r="X50" s="349">
        <v>0</v>
      </c>
      <c r="Y50" s="349">
        <v>0</v>
      </c>
      <c r="Z50" s="349">
        <v>0</v>
      </c>
      <c r="AA50" s="656">
        <v>0</v>
      </c>
    </row>
    <row r="51" spans="1:27" ht="15" customHeight="1" thickBot="1" x14ac:dyDescent="0.35">
      <c r="D51" s="157" t="s">
        <v>1022</v>
      </c>
      <c r="E51" s="252">
        <f t="shared" ref="E51" si="66">SUM(E44:E50)</f>
        <v>5392025.4968395811</v>
      </c>
      <c r="F51" s="252">
        <f t="shared" ref="F51" si="67">SUM(F44:F50)</f>
        <v>5964982.1519449921</v>
      </c>
      <c r="G51" s="252">
        <f t="shared" ref="G51" si="68">SUM(G44:G50)</f>
        <v>7608161.8425823729</v>
      </c>
      <c r="H51" s="252">
        <f t="shared" ref="H51" si="69">SUM(H44:H50)</f>
        <v>6545972.5421274072</v>
      </c>
      <c r="I51" s="252">
        <f t="shared" ref="I51" si="70">SUM(I44:I50)</f>
        <v>6355276.5686954856</v>
      </c>
      <c r="J51" s="252">
        <f t="shared" ref="J51" si="71">SUM(J44:J50)</f>
        <v>5970559.535827104</v>
      </c>
      <c r="K51" s="252">
        <f t="shared" ref="K51" si="72">SUM(K44:K50)</f>
        <v>5871196.7561559826</v>
      </c>
      <c r="L51" s="252">
        <f t="shared" ref="L51" si="73">SUM(L44:L50)</f>
        <v>6244024.9848818481</v>
      </c>
      <c r="M51" s="252">
        <f t="shared" ref="M51" si="74">SUM(M44:M50)</f>
        <v>6244024.9848818481</v>
      </c>
      <c r="N51" s="252">
        <f t="shared" ref="N51" si="75">SUM(N44:N50)</f>
        <v>4461322.0081043141</v>
      </c>
      <c r="O51" s="252">
        <f t="shared" ref="O51" si="76">SUM(O44:O50)</f>
        <v>4467472.2554210378</v>
      </c>
      <c r="P51" s="252">
        <f t="shared" ref="P51" si="77">SUM(P44:P50)</f>
        <v>4467472.2554210378</v>
      </c>
      <c r="Q51" s="252">
        <f t="shared" ref="Q51" si="78">SUM(Q44:Q50)</f>
        <v>4467472.2554210378</v>
      </c>
      <c r="R51" s="252">
        <f t="shared" ref="R51" si="79">SUM(R44:R50)</f>
        <v>4467472.2554210378</v>
      </c>
      <c r="S51" s="252">
        <f t="shared" ref="S51" si="80">SUM(S44:S50)</f>
        <v>4467472.2554210378</v>
      </c>
      <c r="T51" s="252">
        <f t="shared" ref="T51" si="81">SUM(T44:T50)</f>
        <v>4467472.2554210378</v>
      </c>
      <c r="U51" s="252">
        <f t="shared" ref="U51" si="82">SUM(U44:U50)</f>
        <v>4467472.2554210378</v>
      </c>
      <c r="V51" s="252">
        <f t="shared" ref="V51" si="83">SUM(V44:V50)</f>
        <v>4467472.2554210871</v>
      </c>
      <c r="W51" s="252">
        <f t="shared" ref="W51" si="84">SUM(W44:W50)</f>
        <v>4467472.2554210378</v>
      </c>
      <c r="X51" s="252">
        <f>SUM(X44:X50)</f>
        <v>4467472.2554210378</v>
      </c>
      <c r="Y51" s="252">
        <f t="shared" ref="Y51:AA51" si="85">SUM(Y44:Y50)</f>
        <v>4467472.2554210378</v>
      </c>
      <c r="Z51" s="252">
        <f t="shared" si="85"/>
        <v>4467472.2554210378</v>
      </c>
      <c r="AA51" s="253">
        <f t="shared" si="85"/>
        <v>4467472.2554210378</v>
      </c>
    </row>
    <row r="52" spans="1:27" ht="11.25" customHeight="1" x14ac:dyDescent="0.3"/>
    <row r="53" spans="1:27" ht="12.75" x14ac:dyDescent="0.3">
      <c r="D53" s="798" t="s">
        <v>695</v>
      </c>
      <c r="E53" s="115">
        <v>5392025.4968395811</v>
      </c>
      <c r="F53" s="115">
        <v>5964982.1519449921</v>
      </c>
      <c r="G53" s="115">
        <v>7608161.8425823729</v>
      </c>
      <c r="H53" s="115">
        <v>6545972.5421274072</v>
      </c>
      <c r="I53" s="115">
        <v>6355276.5686954856</v>
      </c>
      <c r="J53" s="115">
        <v>5970559.535827104</v>
      </c>
      <c r="K53" s="115">
        <v>5871196.7561559826</v>
      </c>
      <c r="L53" s="115">
        <v>6244024.9848818481</v>
      </c>
      <c r="M53" s="115">
        <v>6244024.9848818481</v>
      </c>
      <c r="N53" s="115">
        <v>4461322.0081043141</v>
      </c>
      <c r="O53" s="115">
        <v>4467472.2554210378</v>
      </c>
      <c r="P53" s="115">
        <v>4467472.2554210378</v>
      </c>
      <c r="Q53" s="115">
        <v>4467472.2554210378</v>
      </c>
      <c r="R53" s="115">
        <v>4467472.2554210378</v>
      </c>
      <c r="S53" s="115">
        <v>4467472.2554210378</v>
      </c>
      <c r="T53" s="115">
        <v>4467472.2554210378</v>
      </c>
      <c r="U53" s="115">
        <v>4467472.2554210378</v>
      </c>
      <c r="V53" s="115">
        <v>4467472.2554210871</v>
      </c>
      <c r="W53" s="115">
        <v>4467472.2554210378</v>
      </c>
      <c r="X53" s="115">
        <v>4467472.2554210378</v>
      </c>
      <c r="Y53" s="115">
        <v>4467472.2554210378</v>
      </c>
      <c r="Z53" s="115">
        <v>4467472.2554210378</v>
      </c>
      <c r="AA53" s="115">
        <v>4467472.2554210378</v>
      </c>
    </row>
    <row r="54" spans="1:27" ht="12.75" x14ac:dyDescent="0.3">
      <c r="A54" s="41">
        <f>IF(SUM($E54:$AA54)&gt;0,1,0)</f>
        <v>0</v>
      </c>
      <c r="D54" s="6" t="s">
        <v>84</v>
      </c>
      <c r="E54" s="62">
        <f>IF(ROUND(SUM(E51)-E53,3)&lt;&gt;0,1,0)</f>
        <v>0</v>
      </c>
      <c r="F54" s="62">
        <f t="shared" ref="F54:X54" si="86">IF(ROUND(SUM(F51)-F53,3)&lt;&gt;0,1,0)</f>
        <v>0</v>
      </c>
      <c r="G54" s="62">
        <f t="shared" si="86"/>
        <v>0</v>
      </c>
      <c r="H54" s="62">
        <f t="shared" si="86"/>
        <v>0</v>
      </c>
      <c r="I54" s="62">
        <f t="shared" si="86"/>
        <v>0</v>
      </c>
      <c r="J54" s="62">
        <f t="shared" si="86"/>
        <v>0</v>
      </c>
      <c r="K54" s="62">
        <f t="shared" si="86"/>
        <v>0</v>
      </c>
      <c r="L54" s="62">
        <f t="shared" si="86"/>
        <v>0</v>
      </c>
      <c r="M54" s="62">
        <f t="shared" si="86"/>
        <v>0</v>
      </c>
      <c r="N54" s="62">
        <f t="shared" si="86"/>
        <v>0</v>
      </c>
      <c r="O54" s="62">
        <f t="shared" si="86"/>
        <v>0</v>
      </c>
      <c r="P54" s="62">
        <f t="shared" si="86"/>
        <v>0</v>
      </c>
      <c r="Q54" s="62">
        <f t="shared" si="86"/>
        <v>0</v>
      </c>
      <c r="R54" s="62">
        <f t="shared" si="86"/>
        <v>0</v>
      </c>
      <c r="S54" s="62">
        <f t="shared" si="86"/>
        <v>0</v>
      </c>
      <c r="T54" s="62">
        <f t="shared" si="86"/>
        <v>0</v>
      </c>
      <c r="U54" s="62">
        <f t="shared" si="86"/>
        <v>0</v>
      </c>
      <c r="V54" s="62">
        <f t="shared" si="86"/>
        <v>0</v>
      </c>
      <c r="W54" s="62">
        <f t="shared" si="86"/>
        <v>0</v>
      </c>
      <c r="X54" s="62">
        <f t="shared" si="86"/>
        <v>0</v>
      </c>
      <c r="Y54" s="62">
        <f t="shared" ref="Y54" si="87">IF(ROUND(SUM(Y51)-Y53,3)&lt;&gt;0,1,0)</f>
        <v>0</v>
      </c>
      <c r="Z54" s="62">
        <f t="shared" ref="Z54" si="88">IF(ROUND(SUM(Z51)-Z53,3)&lt;&gt;0,1,0)</f>
        <v>0</v>
      </c>
      <c r="AA54" s="62">
        <f t="shared" ref="AA54" si="89">IF(ROUND(SUM(AA51)-AA53,3)&lt;&gt;0,1,0)</f>
        <v>0</v>
      </c>
    </row>
    <row r="55" spans="1:27" ht="11.25" customHeight="1" x14ac:dyDescent="0.3">
      <c r="D55" s="6"/>
    </row>
    <row r="56" spans="1:27" s="46" customFormat="1" ht="15" x14ac:dyDescent="0.3">
      <c r="B56" s="46" t="s">
        <v>16</v>
      </c>
    </row>
  </sheetData>
  <mergeCells count="6">
    <mergeCell ref="E10:AA10"/>
    <mergeCell ref="E26:AA26"/>
    <mergeCell ref="E42:AA42"/>
    <mergeCell ref="D42:D43"/>
    <mergeCell ref="D26:D27"/>
    <mergeCell ref="D10:D11"/>
  </mergeCells>
  <conditionalFormatting sqref="B3">
    <cfRule type="cellIs" dxfId="255" priority="123" operator="notEqual">
      <formula>"No Errors Found"</formula>
    </cfRule>
  </conditionalFormatting>
  <conditionalFormatting sqref="D12:D17">
    <cfRule type="expression" dxfId="254" priority="114">
      <formula>INDEX(dms_CF_3.6.5, MATCH(dms_TradingName,dms_CF_TradingName))="Y"</formula>
    </cfRule>
  </conditionalFormatting>
  <conditionalFormatting sqref="D18">
    <cfRule type="expression" dxfId="253" priority="113">
      <formula>INDEX(dms_CF_3.6.5, MATCH(dms_TradingName,dms_CF_TradingName))="Y"</formula>
    </cfRule>
  </conditionalFormatting>
  <conditionalFormatting sqref="F13:F17">
    <cfRule type="expression" dxfId="252" priority="112">
      <formula>(dms_FRCPlength_Num)&lt;5</formula>
    </cfRule>
  </conditionalFormatting>
  <conditionalFormatting sqref="E13:W17">
    <cfRule type="expression" dxfId="251" priority="111" stopIfTrue="1">
      <formula>dms_0707_flag="no"</formula>
    </cfRule>
  </conditionalFormatting>
  <conditionalFormatting sqref="H12:J12 L12:O12 Q12:T12 V12:Y12">
    <cfRule type="expression" dxfId="250" priority="110">
      <formula>(dms_FRCPlength_Num)&lt;4</formula>
    </cfRule>
  </conditionalFormatting>
  <conditionalFormatting sqref="F12">
    <cfRule type="expression" dxfId="249" priority="109">
      <formula>(dms_FRCPlength_Num)&lt;5</formula>
    </cfRule>
  </conditionalFormatting>
  <conditionalFormatting sqref="E12:Y12">
    <cfRule type="expression" dxfId="248" priority="108" stopIfTrue="1">
      <formula>dms_0707_flag="no"</formula>
    </cfRule>
  </conditionalFormatting>
  <conditionalFormatting sqref="H18:J18 L18:O18 Q18:T18 V18:Y18">
    <cfRule type="expression" dxfId="247" priority="107">
      <formula>(dms_FRCPlength_Num)&lt;4</formula>
    </cfRule>
  </conditionalFormatting>
  <conditionalFormatting sqref="F18">
    <cfRule type="expression" dxfId="246" priority="106">
      <formula>(dms_FRCPlength_Num)&lt;5</formula>
    </cfRule>
  </conditionalFormatting>
  <conditionalFormatting sqref="E18:Y18">
    <cfRule type="expression" dxfId="245" priority="105" stopIfTrue="1">
      <formula>dms_0707_flag="no"</formula>
    </cfRule>
  </conditionalFormatting>
  <conditionalFormatting sqref="K13:K17">
    <cfRule type="expression" dxfId="244" priority="100">
      <formula>(dms_FRCPlength_Num)&lt;5</formula>
    </cfRule>
  </conditionalFormatting>
  <conditionalFormatting sqref="K12">
    <cfRule type="expression" dxfId="243" priority="99">
      <formula>(dms_FRCPlength_Num)&lt;5</formula>
    </cfRule>
  </conditionalFormatting>
  <conditionalFormatting sqref="K18">
    <cfRule type="expression" dxfId="242" priority="98">
      <formula>(dms_FRCPlength_Num)&lt;5</formula>
    </cfRule>
  </conditionalFormatting>
  <conditionalFormatting sqref="P13:P17">
    <cfRule type="expression" dxfId="241" priority="97">
      <formula>(dms_FRCPlength_Num)&lt;5</formula>
    </cfRule>
  </conditionalFormatting>
  <conditionalFormatting sqref="P12">
    <cfRule type="expression" dxfId="240" priority="96">
      <formula>(dms_FRCPlength_Num)&lt;5</formula>
    </cfRule>
  </conditionalFormatting>
  <conditionalFormatting sqref="P18">
    <cfRule type="expression" dxfId="239" priority="95">
      <formula>(dms_FRCPlength_Num)&lt;5</formula>
    </cfRule>
  </conditionalFormatting>
  <conditionalFormatting sqref="U13:U17">
    <cfRule type="expression" dxfId="238" priority="94">
      <formula>(dms_FRCPlength_Num)&lt;5</formula>
    </cfRule>
  </conditionalFormatting>
  <conditionalFormatting sqref="U12">
    <cfRule type="expression" dxfId="237" priority="93">
      <formula>(dms_FRCPlength_Num)&lt;5</formula>
    </cfRule>
  </conditionalFormatting>
  <conditionalFormatting sqref="U18">
    <cfRule type="expression" dxfId="236" priority="92">
      <formula>(dms_FRCPlength_Num)&lt;5</formula>
    </cfRule>
  </conditionalFormatting>
  <conditionalFormatting sqref="D28:D33">
    <cfRule type="expression" dxfId="235" priority="91">
      <formula>INDEX(dms_CF_3.6.5, MATCH(dms_TradingName,dms_CF_TradingName))="Y"</formula>
    </cfRule>
  </conditionalFormatting>
  <conditionalFormatting sqref="D34">
    <cfRule type="expression" dxfId="234" priority="90">
      <formula>INDEX(dms_CF_3.6.5, MATCH(dms_TradingName,dms_CF_TradingName))="Y"</formula>
    </cfRule>
  </conditionalFormatting>
  <conditionalFormatting sqref="F29:F33">
    <cfRule type="expression" dxfId="233" priority="89">
      <formula>(dms_FRCPlength_Num)&lt;5</formula>
    </cfRule>
  </conditionalFormatting>
  <conditionalFormatting sqref="E29:W33">
    <cfRule type="expression" dxfId="232" priority="88" stopIfTrue="1">
      <formula>dms_0707_flag="no"</formula>
    </cfRule>
  </conditionalFormatting>
  <conditionalFormatting sqref="H28:J28 L28:O28 Q28:T28 V28:Y28">
    <cfRule type="expression" dxfId="231" priority="87">
      <formula>(dms_FRCPlength_Num)&lt;4</formula>
    </cfRule>
  </conditionalFormatting>
  <conditionalFormatting sqref="F28">
    <cfRule type="expression" dxfId="230" priority="86">
      <formula>(dms_FRCPlength_Num)&lt;5</formula>
    </cfRule>
  </conditionalFormatting>
  <conditionalFormatting sqref="E28:Y28">
    <cfRule type="expression" dxfId="229" priority="85" stopIfTrue="1">
      <formula>dms_0707_flag="no"</formula>
    </cfRule>
  </conditionalFormatting>
  <conditionalFormatting sqref="H34:J34 L34:O34 Q34:T34 V34:Y34">
    <cfRule type="expression" dxfId="228" priority="84">
      <formula>(dms_FRCPlength_Num)&lt;4</formula>
    </cfRule>
  </conditionalFormatting>
  <conditionalFormatting sqref="F34">
    <cfRule type="expression" dxfId="227" priority="83">
      <formula>(dms_FRCPlength_Num)&lt;5</formula>
    </cfRule>
  </conditionalFormatting>
  <conditionalFormatting sqref="E34:Y34">
    <cfRule type="expression" dxfId="226" priority="82" stopIfTrue="1">
      <formula>dms_0707_flag="no"</formula>
    </cfRule>
  </conditionalFormatting>
  <conditionalFormatting sqref="K29:K33">
    <cfRule type="expression" dxfId="225" priority="77">
      <formula>(dms_FRCPlength_Num)&lt;5</formula>
    </cfRule>
  </conditionalFormatting>
  <conditionalFormatting sqref="K28">
    <cfRule type="expression" dxfId="224" priority="76">
      <formula>(dms_FRCPlength_Num)&lt;5</formula>
    </cfRule>
  </conditionalFormatting>
  <conditionalFormatting sqref="K34">
    <cfRule type="expression" dxfId="223" priority="75">
      <formula>(dms_FRCPlength_Num)&lt;5</formula>
    </cfRule>
  </conditionalFormatting>
  <conditionalFormatting sqref="P29:P33">
    <cfRule type="expression" dxfId="222" priority="74">
      <formula>(dms_FRCPlength_Num)&lt;5</formula>
    </cfRule>
  </conditionalFormatting>
  <conditionalFormatting sqref="P28">
    <cfRule type="expression" dxfId="221" priority="73">
      <formula>(dms_FRCPlength_Num)&lt;5</formula>
    </cfRule>
  </conditionalFormatting>
  <conditionalFormatting sqref="P34">
    <cfRule type="expression" dxfId="220" priority="72">
      <formula>(dms_FRCPlength_Num)&lt;5</formula>
    </cfRule>
  </conditionalFormatting>
  <conditionalFormatting sqref="U29:U33">
    <cfRule type="expression" dxfId="219" priority="71">
      <formula>(dms_FRCPlength_Num)&lt;5</formula>
    </cfRule>
  </conditionalFormatting>
  <conditionalFormatting sqref="U28">
    <cfRule type="expression" dxfId="218" priority="70">
      <formula>(dms_FRCPlength_Num)&lt;5</formula>
    </cfRule>
  </conditionalFormatting>
  <conditionalFormatting sqref="U34">
    <cfRule type="expression" dxfId="217" priority="69">
      <formula>(dms_FRCPlength_Num)&lt;5</formula>
    </cfRule>
  </conditionalFormatting>
  <conditionalFormatting sqref="D44:D49">
    <cfRule type="expression" dxfId="216" priority="68">
      <formula>INDEX(dms_CF_3.6.5, MATCH(dms_TradingName,dms_CF_TradingName))="Y"</formula>
    </cfRule>
  </conditionalFormatting>
  <conditionalFormatting sqref="D50">
    <cfRule type="expression" dxfId="215" priority="67">
      <formula>INDEX(dms_CF_3.6.5, MATCH(dms_TradingName,dms_CF_TradingName))="Y"</formula>
    </cfRule>
  </conditionalFormatting>
  <conditionalFormatting sqref="F45:F49">
    <cfRule type="expression" dxfId="214" priority="66">
      <formula>(dms_FRCPlength_Num)&lt;5</formula>
    </cfRule>
  </conditionalFormatting>
  <conditionalFormatting sqref="E45:W49">
    <cfRule type="expression" dxfId="213" priority="65" stopIfTrue="1">
      <formula>dms_0707_flag="no"</formula>
    </cfRule>
  </conditionalFormatting>
  <conditionalFormatting sqref="H44:J44 L44:O44 Q44:T44 V44:Y44">
    <cfRule type="expression" dxfId="212" priority="64">
      <formula>(dms_FRCPlength_Num)&lt;4</formula>
    </cfRule>
  </conditionalFormatting>
  <conditionalFormatting sqref="F44">
    <cfRule type="expression" dxfId="211" priority="63">
      <formula>(dms_FRCPlength_Num)&lt;5</formula>
    </cfRule>
  </conditionalFormatting>
  <conditionalFormatting sqref="E44:Y44">
    <cfRule type="expression" dxfId="210" priority="62" stopIfTrue="1">
      <formula>dms_0707_flag="no"</formula>
    </cfRule>
  </conditionalFormatting>
  <conditionalFormatting sqref="H50:J50 L50:O50 Q50:T50 V50:Y50">
    <cfRule type="expression" dxfId="209" priority="61">
      <formula>(dms_FRCPlength_Num)&lt;4</formula>
    </cfRule>
  </conditionalFormatting>
  <conditionalFormatting sqref="F50">
    <cfRule type="expression" dxfId="208" priority="60">
      <formula>(dms_FRCPlength_Num)&lt;5</formula>
    </cfRule>
  </conditionalFormatting>
  <conditionalFormatting sqref="E50:Y50">
    <cfRule type="expression" dxfId="207" priority="59" stopIfTrue="1">
      <formula>dms_0707_flag="no"</formula>
    </cfRule>
  </conditionalFormatting>
  <conditionalFormatting sqref="K45:K49">
    <cfRule type="expression" dxfId="206" priority="54">
      <formula>(dms_FRCPlength_Num)&lt;5</formula>
    </cfRule>
  </conditionalFormatting>
  <conditionalFormatting sqref="K44">
    <cfRule type="expression" dxfId="205" priority="53">
      <formula>(dms_FRCPlength_Num)&lt;5</formula>
    </cfRule>
  </conditionalFormatting>
  <conditionalFormatting sqref="K50">
    <cfRule type="expression" dxfId="204" priority="52">
      <formula>(dms_FRCPlength_Num)&lt;5</formula>
    </cfRule>
  </conditionalFormatting>
  <conditionalFormatting sqref="P45:P49">
    <cfRule type="expression" dxfId="203" priority="51">
      <formula>(dms_FRCPlength_Num)&lt;5</formula>
    </cfRule>
  </conditionalFormatting>
  <conditionalFormatting sqref="P44">
    <cfRule type="expression" dxfId="202" priority="50">
      <formula>(dms_FRCPlength_Num)&lt;5</formula>
    </cfRule>
  </conditionalFormatting>
  <conditionalFormatting sqref="P50">
    <cfRule type="expression" dxfId="201" priority="49">
      <formula>(dms_FRCPlength_Num)&lt;5</formula>
    </cfRule>
  </conditionalFormatting>
  <conditionalFormatting sqref="U45:U49">
    <cfRule type="expression" dxfId="200" priority="48">
      <formula>(dms_FRCPlength_Num)&lt;5</formula>
    </cfRule>
  </conditionalFormatting>
  <conditionalFormatting sqref="U44">
    <cfRule type="expression" dxfId="199" priority="47">
      <formula>(dms_FRCPlength_Num)&lt;5</formula>
    </cfRule>
  </conditionalFormatting>
  <conditionalFormatting sqref="U50">
    <cfRule type="expression" dxfId="198" priority="46">
      <formula>(dms_FRCPlength_Num)&lt;5</formula>
    </cfRule>
  </conditionalFormatting>
  <conditionalFormatting sqref="Z13:Z17">
    <cfRule type="expression" dxfId="197" priority="30" stopIfTrue="1">
      <formula>dms_0707_flag="no"</formula>
    </cfRule>
  </conditionalFormatting>
  <conditionalFormatting sqref="Z12">
    <cfRule type="expression" dxfId="196" priority="29">
      <formula>(dms_FRCPlength_Num)&lt;4</formula>
    </cfRule>
  </conditionalFormatting>
  <conditionalFormatting sqref="Z12:AA12">
    <cfRule type="expression" dxfId="195" priority="28" stopIfTrue="1">
      <formula>dms_0707_flag="no"</formula>
    </cfRule>
  </conditionalFormatting>
  <conditionalFormatting sqref="Z18">
    <cfRule type="expression" dxfId="194" priority="27">
      <formula>(dms_FRCPlength_Num)&lt;4</formula>
    </cfRule>
  </conditionalFormatting>
  <conditionalFormatting sqref="Z18:AA18">
    <cfRule type="expression" dxfId="193" priority="26" stopIfTrue="1">
      <formula>dms_0707_flag="no"</formula>
    </cfRule>
  </conditionalFormatting>
  <conditionalFormatting sqref="AA13:AA17">
    <cfRule type="expression" dxfId="192" priority="25">
      <formula>(dms_FRCPlength_Num)&lt;5</formula>
    </cfRule>
  </conditionalFormatting>
  <conditionalFormatting sqref="AA13:AA17">
    <cfRule type="expression" dxfId="191" priority="24" stopIfTrue="1">
      <formula>dms_0707_flag="no"</formula>
    </cfRule>
  </conditionalFormatting>
  <conditionalFormatting sqref="AA12">
    <cfRule type="expression" dxfId="190" priority="23">
      <formula>(dms_FRCPlength_Num)&lt;5</formula>
    </cfRule>
  </conditionalFormatting>
  <conditionalFormatting sqref="AA18">
    <cfRule type="expression" dxfId="189" priority="22">
      <formula>(dms_FRCPlength_Num)&lt;5</formula>
    </cfRule>
  </conditionalFormatting>
  <conditionalFormatting sqref="Z29:Z33">
    <cfRule type="expression" dxfId="188" priority="21" stopIfTrue="1">
      <formula>dms_0707_flag="no"</formula>
    </cfRule>
  </conditionalFormatting>
  <conditionalFormatting sqref="Z28">
    <cfRule type="expression" dxfId="187" priority="20">
      <formula>(dms_FRCPlength_Num)&lt;4</formula>
    </cfRule>
  </conditionalFormatting>
  <conditionalFormatting sqref="Z28:AA28">
    <cfRule type="expression" dxfId="186" priority="19" stopIfTrue="1">
      <formula>dms_0707_flag="no"</formula>
    </cfRule>
  </conditionalFormatting>
  <conditionalFormatting sqref="Z34">
    <cfRule type="expression" dxfId="185" priority="18">
      <formula>(dms_FRCPlength_Num)&lt;4</formula>
    </cfRule>
  </conditionalFormatting>
  <conditionalFormatting sqref="Z34:AA34">
    <cfRule type="expression" dxfId="184" priority="17" stopIfTrue="1">
      <formula>dms_0707_flag="no"</formula>
    </cfRule>
  </conditionalFormatting>
  <conditionalFormatting sqref="AA29:AA33">
    <cfRule type="expression" dxfId="183" priority="16">
      <formula>(dms_FRCPlength_Num)&lt;5</formula>
    </cfRule>
  </conditionalFormatting>
  <conditionalFormatting sqref="AA29:AA33">
    <cfRule type="expression" dxfId="182" priority="15" stopIfTrue="1">
      <formula>dms_0707_flag="no"</formula>
    </cfRule>
  </conditionalFormatting>
  <conditionalFormatting sqref="AA28">
    <cfRule type="expression" dxfId="181" priority="14">
      <formula>(dms_FRCPlength_Num)&lt;5</formula>
    </cfRule>
  </conditionalFormatting>
  <conditionalFormatting sqref="AA34">
    <cfRule type="expression" dxfId="180" priority="13">
      <formula>(dms_FRCPlength_Num)&lt;5</formula>
    </cfRule>
  </conditionalFormatting>
  <conditionalFormatting sqref="Z45:Z49">
    <cfRule type="expression" dxfId="179" priority="12" stopIfTrue="1">
      <formula>dms_0707_flag="no"</formula>
    </cfRule>
  </conditionalFormatting>
  <conditionalFormatting sqref="Z44">
    <cfRule type="expression" dxfId="178" priority="11">
      <formula>(dms_FRCPlength_Num)&lt;4</formula>
    </cfRule>
  </conditionalFormatting>
  <conditionalFormatting sqref="Z44:AA44">
    <cfRule type="expression" dxfId="177" priority="10" stopIfTrue="1">
      <formula>dms_0707_flag="no"</formula>
    </cfRule>
  </conditionalFormatting>
  <conditionalFormatting sqref="Z50">
    <cfRule type="expression" dxfId="176" priority="9">
      <formula>(dms_FRCPlength_Num)&lt;4</formula>
    </cfRule>
  </conditionalFormatting>
  <conditionalFormatting sqref="Z50:AA50">
    <cfRule type="expression" dxfId="175" priority="8" stopIfTrue="1">
      <formula>dms_0707_flag="no"</formula>
    </cfRule>
  </conditionalFormatting>
  <conditionalFormatting sqref="AA45:AA49">
    <cfRule type="expression" dxfId="174" priority="7">
      <formula>(dms_FRCPlength_Num)&lt;5</formula>
    </cfRule>
  </conditionalFormatting>
  <conditionalFormatting sqref="AA45:AA49">
    <cfRule type="expression" dxfId="173" priority="6" stopIfTrue="1">
      <formula>dms_0707_flag="no"</formula>
    </cfRule>
  </conditionalFormatting>
  <conditionalFormatting sqref="AA44">
    <cfRule type="expression" dxfId="172" priority="5">
      <formula>(dms_FRCPlength_Num)&lt;5</formula>
    </cfRule>
  </conditionalFormatting>
  <conditionalFormatting sqref="AA50">
    <cfRule type="expression" dxfId="171" priority="4">
      <formula>(dms_FRCPlength_Num)&lt;5</formula>
    </cfRule>
  </conditionalFormatting>
  <conditionalFormatting sqref="X13:Y17">
    <cfRule type="expression" dxfId="170" priority="3" stopIfTrue="1">
      <formula>dms_0707_flag="no"</formula>
    </cfRule>
  </conditionalFormatting>
  <conditionalFormatting sqref="X29:Y33">
    <cfRule type="expression" dxfId="169" priority="2" stopIfTrue="1">
      <formula>dms_0707_flag="no"</formula>
    </cfRule>
  </conditionalFormatting>
  <conditionalFormatting sqref="X45:Y49">
    <cfRule type="expression" dxfId="168" priority="1" stopIfTrue="1">
      <formula>dms_0707_flag="no"</formula>
    </cfRule>
  </conditionalFormatting>
  <hyperlinks>
    <hyperlink ref="B2:D2" location="TOC!A1" display="TOC!A1" xr:uid="{482BCB77-357F-44AE-BEC0-0633C994DE86}"/>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5BB9D-2B75-4FBD-AF6F-94F5ADAC8754}">
  <sheetPr codeName="Sheet48">
    <tabColor theme="4" tint="0.79998168889431442"/>
  </sheetPr>
  <dimension ref="A1:AA80"/>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54.83203125" style="45" customWidth="1"/>
    <col min="5" max="27" width="18.6640625" style="45" customWidth="1"/>
    <col min="28" max="30" width="10.6640625" style="45" customWidth="1"/>
    <col min="31" max="16384" width="9.33203125" style="45"/>
  </cols>
  <sheetData>
    <row r="1" spans="1:27" ht="18.75" x14ac:dyDescent="0.3">
      <c r="A1" s="41">
        <f>IF(SUM($A3:$A80)&gt;0,1,0)</f>
        <v>0</v>
      </c>
      <c r="B1" s="3" t="s">
        <v>1031</v>
      </c>
    </row>
    <row r="2" spans="1:27" customFormat="1" x14ac:dyDescent="0.3">
      <c r="B2" s="34" t="str">
        <f>TOC!$B$1</f>
        <v>Table of contents</v>
      </c>
      <c r="C2" s="34"/>
      <c r="D2" s="34"/>
    </row>
    <row r="3" spans="1:27" x14ac:dyDescent="0.3">
      <c r="B3" s="9" t="str">
        <f>Title_Msg</f>
        <v>No Errors Found</v>
      </c>
    </row>
    <row r="4" spans="1:27" s="46" customFormat="1" ht="15" x14ac:dyDescent="0.3">
      <c r="B4" s="46" t="str">
        <f>'WkB_1_2.1.1'!$B$4</f>
        <v>Data required to populate Power and Water Corporation 2024-29 regulatory submission</v>
      </c>
    </row>
    <row r="5" spans="1:27" ht="4.5" customHeight="1" x14ac:dyDescent="0.3"/>
    <row r="6" spans="1:27" s="7" customFormat="1" ht="13.9" x14ac:dyDescent="0.3">
      <c r="C6" s="7" t="s">
        <v>68</v>
      </c>
    </row>
    <row r="7" spans="1:27" ht="11.25" customHeight="1" thickBot="1" x14ac:dyDescent="0.35"/>
    <row r="8" spans="1:27" ht="16.5" customHeight="1" thickBot="1" x14ac:dyDescent="0.35">
      <c r="D8" s="855" t="s">
        <v>1027</v>
      </c>
      <c r="E8" s="325"/>
      <c r="F8" s="325"/>
      <c r="G8" s="325"/>
      <c r="H8" s="325"/>
      <c r="I8" s="325"/>
      <c r="J8" s="325"/>
      <c r="K8" s="325"/>
      <c r="L8" s="325"/>
      <c r="M8" s="325"/>
      <c r="N8" s="325"/>
      <c r="O8" s="325"/>
      <c r="P8" s="325"/>
      <c r="Q8" s="325"/>
      <c r="R8" s="325"/>
      <c r="S8" s="325"/>
      <c r="T8" s="325"/>
      <c r="U8" s="325"/>
      <c r="V8" s="325"/>
      <c r="W8" s="325"/>
      <c r="X8" s="325"/>
      <c r="Y8" s="325"/>
      <c r="Z8" s="325"/>
      <c r="AA8" s="325"/>
    </row>
    <row r="9" spans="1:27" ht="20.25" customHeight="1" thickBot="1" x14ac:dyDescent="0.35">
      <c r="D9" s="1015" t="s">
        <v>1028</v>
      </c>
      <c r="E9" s="309"/>
      <c r="F9" s="309"/>
      <c r="G9" s="309"/>
      <c r="H9" s="309"/>
      <c r="I9" s="309"/>
      <c r="J9" s="309"/>
      <c r="K9" s="309"/>
      <c r="L9" s="309"/>
      <c r="M9" s="309"/>
      <c r="N9" s="309"/>
      <c r="O9" s="309"/>
      <c r="P9" s="309"/>
      <c r="Q9" s="309"/>
      <c r="R9" s="309"/>
      <c r="S9" s="309"/>
      <c r="T9" s="309"/>
      <c r="U9" s="309"/>
      <c r="V9" s="309"/>
      <c r="W9" s="309"/>
      <c r="X9" s="309"/>
      <c r="Y9" s="309"/>
      <c r="Z9" s="309"/>
      <c r="AA9" s="310"/>
    </row>
    <row r="10" spans="1:27" ht="15.75" customHeight="1" thickBot="1" x14ac:dyDescent="0.35">
      <c r="D10" s="1101"/>
      <c r="E10" s="1098" t="s">
        <v>466</v>
      </c>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100"/>
    </row>
    <row r="11" spans="1:27" ht="13.5" customHeight="1" thickBot="1" x14ac:dyDescent="0.35">
      <c r="D11" s="1101"/>
      <c r="E11" s="417" t="s">
        <v>70</v>
      </c>
      <c r="F11" s="418" t="s">
        <v>71</v>
      </c>
      <c r="G11" s="419" t="s">
        <v>72</v>
      </c>
      <c r="H11" s="420" t="s">
        <v>73</v>
      </c>
      <c r="I11" s="420" t="s">
        <v>74</v>
      </c>
      <c r="J11" s="420" t="s">
        <v>82</v>
      </c>
      <c r="K11" s="420" t="s">
        <v>243</v>
      </c>
      <c r="L11" s="420" t="s">
        <v>1008</v>
      </c>
      <c r="M11" s="420" t="s">
        <v>1009</v>
      </c>
      <c r="N11" s="420" t="s">
        <v>1010</v>
      </c>
      <c r="O11" s="420" t="s">
        <v>1011</v>
      </c>
      <c r="P11" s="420" t="s">
        <v>1012</v>
      </c>
      <c r="Q11" s="420" t="s">
        <v>1013</v>
      </c>
      <c r="R11" s="420" t="s">
        <v>1014</v>
      </c>
      <c r="S11" s="420" t="s">
        <v>1015</v>
      </c>
      <c r="T11" s="420" t="s">
        <v>1016</v>
      </c>
      <c r="U11" s="420" t="s">
        <v>1017</v>
      </c>
      <c r="V11" s="420" t="s">
        <v>1018</v>
      </c>
      <c r="W11" s="420" t="s">
        <v>1019</v>
      </c>
      <c r="X11" s="420" t="s">
        <v>1020</v>
      </c>
      <c r="Y11" s="420" t="s">
        <v>1040</v>
      </c>
      <c r="Z11" s="420" t="s">
        <v>1041</v>
      </c>
      <c r="AA11" s="421" t="s">
        <v>1042</v>
      </c>
    </row>
    <row r="12" spans="1:27" ht="15" customHeight="1" x14ac:dyDescent="0.45">
      <c r="D12" s="1018" t="s">
        <v>1026</v>
      </c>
      <c r="E12" s="449">
        <v>142362.52295030197</v>
      </c>
      <c r="F12" s="438">
        <v>230929.6129133561</v>
      </c>
      <c r="G12" s="311">
        <v>129711.3325878883</v>
      </c>
      <c r="H12" s="312">
        <v>138229.77750783533</v>
      </c>
      <c r="I12" s="312">
        <v>110382.51418676211</v>
      </c>
      <c r="J12" s="312">
        <v>73703.565209882363</v>
      </c>
      <c r="K12" s="438">
        <v>70292.4722899724</v>
      </c>
      <c r="L12" s="312">
        <v>127944.54252085692</v>
      </c>
      <c r="M12" s="312">
        <v>127944.54252085692</v>
      </c>
      <c r="N12" s="312">
        <v>91415.682151684668</v>
      </c>
      <c r="O12" s="312">
        <v>91541.705122642496</v>
      </c>
      <c r="P12" s="438">
        <v>91541.705122642496</v>
      </c>
      <c r="Q12" s="312">
        <v>91541.705122642496</v>
      </c>
      <c r="R12" s="312">
        <v>91541.705122642496</v>
      </c>
      <c r="S12" s="312">
        <v>91541.705122642161</v>
      </c>
      <c r="T12" s="312">
        <v>91541.705122642496</v>
      </c>
      <c r="U12" s="438">
        <v>91541.705122642496</v>
      </c>
      <c r="V12" s="312">
        <v>91541.705122643209</v>
      </c>
      <c r="W12" s="312">
        <v>91541.705122642496</v>
      </c>
      <c r="X12" s="312">
        <v>91541.705122642161</v>
      </c>
      <c r="Y12" s="312">
        <v>91541.705122642496</v>
      </c>
      <c r="Z12" s="312">
        <v>91541.705122642496</v>
      </c>
      <c r="AA12" s="438">
        <v>91541.705122642496</v>
      </c>
    </row>
    <row r="13" spans="1:27" ht="15" hidden="1" customHeight="1" outlineLevel="1" x14ac:dyDescent="0.45">
      <c r="D13" s="1019"/>
      <c r="E13" s="436"/>
      <c r="F13" s="316"/>
      <c r="G13" s="314"/>
      <c r="H13" s="436"/>
      <c r="I13" s="436"/>
      <c r="J13" s="436"/>
      <c r="K13" s="316"/>
      <c r="L13" s="436"/>
      <c r="M13" s="436"/>
      <c r="N13" s="436"/>
      <c r="O13" s="436"/>
      <c r="P13" s="316"/>
      <c r="Q13" s="436"/>
      <c r="R13" s="436"/>
      <c r="S13" s="436"/>
      <c r="T13" s="436"/>
      <c r="U13" s="316"/>
      <c r="V13" s="436"/>
      <c r="W13" s="436"/>
      <c r="X13" s="436"/>
      <c r="Y13" s="436"/>
      <c r="Z13" s="436"/>
      <c r="AA13" s="316"/>
    </row>
    <row r="14" spans="1:27" ht="15" hidden="1" customHeight="1" outlineLevel="1" x14ac:dyDescent="0.45">
      <c r="D14" s="1019"/>
      <c r="E14" s="436"/>
      <c r="F14" s="316"/>
      <c r="G14" s="314"/>
      <c r="H14" s="436"/>
      <c r="I14" s="436"/>
      <c r="J14" s="436"/>
      <c r="K14" s="316"/>
      <c r="L14" s="436"/>
      <c r="M14" s="436"/>
      <c r="N14" s="436"/>
      <c r="O14" s="436"/>
      <c r="P14" s="316"/>
      <c r="Q14" s="436"/>
      <c r="R14" s="436"/>
      <c r="S14" s="436"/>
      <c r="T14" s="436"/>
      <c r="U14" s="316"/>
      <c r="V14" s="436"/>
      <c r="W14" s="436"/>
      <c r="X14" s="436"/>
      <c r="Y14" s="436"/>
      <c r="Z14" s="436"/>
      <c r="AA14" s="316"/>
    </row>
    <row r="15" spans="1:27" ht="15" hidden="1" customHeight="1" outlineLevel="1" x14ac:dyDescent="0.45">
      <c r="D15" s="1019"/>
      <c r="E15" s="436"/>
      <c r="F15" s="316"/>
      <c r="G15" s="314"/>
      <c r="H15" s="436"/>
      <c r="I15" s="436"/>
      <c r="J15" s="436"/>
      <c r="K15" s="316"/>
      <c r="L15" s="436"/>
      <c r="M15" s="436"/>
      <c r="N15" s="436"/>
      <c r="O15" s="436"/>
      <c r="P15" s="316"/>
      <c r="Q15" s="436"/>
      <c r="R15" s="436"/>
      <c r="S15" s="436"/>
      <c r="T15" s="436"/>
      <c r="U15" s="316"/>
      <c r="V15" s="436"/>
      <c r="W15" s="436"/>
      <c r="X15" s="436"/>
      <c r="Y15" s="436"/>
      <c r="Z15" s="436"/>
      <c r="AA15" s="316"/>
    </row>
    <row r="16" spans="1:27" ht="15" hidden="1" customHeight="1" outlineLevel="1" x14ac:dyDescent="0.45">
      <c r="D16" s="1019"/>
      <c r="E16" s="436"/>
      <c r="F16" s="316"/>
      <c r="G16" s="314"/>
      <c r="H16" s="436"/>
      <c r="I16" s="436"/>
      <c r="J16" s="436"/>
      <c r="K16" s="316"/>
      <c r="L16" s="436"/>
      <c r="M16" s="436"/>
      <c r="N16" s="436"/>
      <c r="O16" s="436"/>
      <c r="P16" s="316"/>
      <c r="Q16" s="436"/>
      <c r="R16" s="436"/>
      <c r="S16" s="436"/>
      <c r="T16" s="436"/>
      <c r="U16" s="316"/>
      <c r="V16" s="436"/>
      <c r="W16" s="436"/>
      <c r="X16" s="436"/>
      <c r="Y16" s="436"/>
      <c r="Z16" s="436"/>
      <c r="AA16" s="316"/>
    </row>
    <row r="17" spans="1:27" ht="15" hidden="1" customHeight="1" outlineLevel="1" x14ac:dyDescent="0.45">
      <c r="D17" s="1019"/>
      <c r="E17" s="436"/>
      <c r="F17" s="316"/>
      <c r="G17" s="314"/>
      <c r="H17" s="436"/>
      <c r="I17" s="436"/>
      <c r="J17" s="436"/>
      <c r="K17" s="316"/>
      <c r="L17" s="436"/>
      <c r="M17" s="436"/>
      <c r="N17" s="436"/>
      <c r="O17" s="436"/>
      <c r="P17" s="316"/>
      <c r="Q17" s="436"/>
      <c r="R17" s="436"/>
      <c r="S17" s="436"/>
      <c r="T17" s="436"/>
      <c r="U17" s="316"/>
      <c r="V17" s="436"/>
      <c r="W17" s="436"/>
      <c r="X17" s="436"/>
      <c r="Y17" s="436"/>
      <c r="Z17" s="436"/>
      <c r="AA17" s="316"/>
    </row>
    <row r="18" spans="1:27" ht="15" hidden="1" customHeight="1" outlineLevel="1" x14ac:dyDescent="0.45">
      <c r="D18" s="1019"/>
      <c r="E18" s="436"/>
      <c r="F18" s="316"/>
      <c r="G18" s="314"/>
      <c r="H18" s="436"/>
      <c r="I18" s="436"/>
      <c r="J18" s="436"/>
      <c r="K18" s="316"/>
      <c r="L18" s="436"/>
      <c r="M18" s="436"/>
      <c r="N18" s="436"/>
      <c r="O18" s="436"/>
      <c r="P18" s="316"/>
      <c r="Q18" s="436"/>
      <c r="R18" s="436"/>
      <c r="S18" s="436"/>
      <c r="T18" s="436"/>
      <c r="U18" s="316"/>
      <c r="V18" s="436"/>
      <c r="W18" s="436"/>
      <c r="X18" s="436"/>
      <c r="Y18" s="436"/>
      <c r="Z18" s="436"/>
      <c r="AA18" s="316"/>
    </row>
    <row r="19" spans="1:27" ht="15" hidden="1" customHeight="1" outlineLevel="1" x14ac:dyDescent="0.45">
      <c r="D19" s="1019"/>
      <c r="E19" s="436"/>
      <c r="F19" s="316"/>
      <c r="G19" s="314"/>
      <c r="H19" s="436"/>
      <c r="I19" s="436"/>
      <c r="J19" s="436"/>
      <c r="K19" s="316"/>
      <c r="L19" s="436"/>
      <c r="M19" s="436"/>
      <c r="N19" s="436"/>
      <c r="O19" s="436"/>
      <c r="P19" s="316"/>
      <c r="Q19" s="436"/>
      <c r="R19" s="436"/>
      <c r="S19" s="436"/>
      <c r="T19" s="436"/>
      <c r="U19" s="316"/>
      <c r="V19" s="436"/>
      <c r="W19" s="436"/>
      <c r="X19" s="436"/>
      <c r="Y19" s="436"/>
      <c r="Z19" s="436"/>
      <c r="AA19" s="316"/>
    </row>
    <row r="20" spans="1:27" ht="15" hidden="1" customHeight="1" outlineLevel="1" x14ac:dyDescent="0.45">
      <c r="D20" s="1019"/>
      <c r="E20" s="436"/>
      <c r="F20" s="316"/>
      <c r="G20" s="314"/>
      <c r="H20" s="436"/>
      <c r="I20" s="436"/>
      <c r="J20" s="436"/>
      <c r="K20" s="316"/>
      <c r="L20" s="436"/>
      <c r="M20" s="436"/>
      <c r="N20" s="436"/>
      <c r="O20" s="436"/>
      <c r="P20" s="316"/>
      <c r="Q20" s="436"/>
      <c r="R20" s="436"/>
      <c r="S20" s="436"/>
      <c r="T20" s="436"/>
      <c r="U20" s="316"/>
      <c r="V20" s="436"/>
      <c r="W20" s="436"/>
      <c r="X20" s="436"/>
      <c r="Y20" s="436"/>
      <c r="Z20" s="436"/>
      <c r="AA20" s="316"/>
    </row>
    <row r="21" spans="1:27" ht="15" hidden="1" customHeight="1" outlineLevel="1" x14ac:dyDescent="0.45">
      <c r="D21" s="1019"/>
      <c r="E21" s="436"/>
      <c r="F21" s="316"/>
      <c r="G21" s="314"/>
      <c r="H21" s="436"/>
      <c r="I21" s="436"/>
      <c r="J21" s="436"/>
      <c r="K21" s="316"/>
      <c r="L21" s="436"/>
      <c r="M21" s="436"/>
      <c r="N21" s="436"/>
      <c r="O21" s="436"/>
      <c r="P21" s="316"/>
      <c r="Q21" s="436"/>
      <c r="R21" s="436"/>
      <c r="S21" s="436"/>
      <c r="T21" s="436"/>
      <c r="U21" s="316"/>
      <c r="V21" s="436"/>
      <c r="W21" s="436"/>
      <c r="X21" s="436"/>
      <c r="Y21" s="436"/>
      <c r="Z21" s="436"/>
      <c r="AA21" s="316"/>
    </row>
    <row r="22" spans="1:27" ht="15" hidden="1" customHeight="1" outlineLevel="1" x14ac:dyDescent="0.45">
      <c r="D22" s="1019"/>
      <c r="E22" s="436"/>
      <c r="F22" s="316"/>
      <c r="G22" s="314"/>
      <c r="H22" s="436"/>
      <c r="I22" s="436"/>
      <c r="J22" s="436"/>
      <c r="K22" s="316"/>
      <c r="L22" s="436"/>
      <c r="M22" s="436"/>
      <c r="N22" s="436"/>
      <c r="O22" s="436"/>
      <c r="P22" s="316"/>
      <c r="Q22" s="436"/>
      <c r="R22" s="436"/>
      <c r="S22" s="436"/>
      <c r="T22" s="436"/>
      <c r="U22" s="316"/>
      <c r="V22" s="436"/>
      <c r="W22" s="436"/>
      <c r="X22" s="436"/>
      <c r="Y22" s="436"/>
      <c r="Z22" s="436"/>
      <c r="AA22" s="316"/>
    </row>
    <row r="23" spans="1:27" ht="15" hidden="1" customHeight="1" outlineLevel="1" x14ac:dyDescent="0.45">
      <c r="D23" s="1019"/>
      <c r="E23" s="436"/>
      <c r="F23" s="316"/>
      <c r="G23" s="314"/>
      <c r="H23" s="436"/>
      <c r="I23" s="436"/>
      <c r="J23" s="436"/>
      <c r="K23" s="316"/>
      <c r="L23" s="436"/>
      <c r="M23" s="436"/>
      <c r="N23" s="436"/>
      <c r="O23" s="436"/>
      <c r="P23" s="316"/>
      <c r="Q23" s="436"/>
      <c r="R23" s="436"/>
      <c r="S23" s="436"/>
      <c r="T23" s="436"/>
      <c r="U23" s="316"/>
      <c r="V23" s="436"/>
      <c r="W23" s="436"/>
      <c r="X23" s="436"/>
      <c r="Y23" s="436"/>
      <c r="Z23" s="436"/>
      <c r="AA23" s="316"/>
    </row>
    <row r="24" spans="1:27" ht="15" hidden="1" customHeight="1" outlineLevel="1" x14ac:dyDescent="0.45">
      <c r="D24" s="1019"/>
      <c r="E24" s="436"/>
      <c r="F24" s="316"/>
      <c r="G24" s="314"/>
      <c r="H24" s="436"/>
      <c r="I24" s="436"/>
      <c r="J24" s="436"/>
      <c r="K24" s="316"/>
      <c r="L24" s="436"/>
      <c r="M24" s="436"/>
      <c r="N24" s="436"/>
      <c r="O24" s="436"/>
      <c r="P24" s="316"/>
      <c r="Q24" s="436"/>
      <c r="R24" s="436"/>
      <c r="S24" s="436"/>
      <c r="T24" s="436"/>
      <c r="U24" s="316"/>
      <c r="V24" s="436"/>
      <c r="W24" s="436"/>
      <c r="X24" s="436"/>
      <c r="Y24" s="436"/>
      <c r="Z24" s="436"/>
      <c r="AA24" s="316"/>
    </row>
    <row r="25" spans="1:27" ht="15" hidden="1" customHeight="1" outlineLevel="1" x14ac:dyDescent="0.45">
      <c r="D25" s="1019"/>
      <c r="E25" s="436"/>
      <c r="F25" s="316"/>
      <c r="G25" s="314"/>
      <c r="H25" s="436"/>
      <c r="I25" s="436"/>
      <c r="J25" s="436"/>
      <c r="K25" s="316"/>
      <c r="L25" s="436"/>
      <c r="M25" s="436"/>
      <c r="N25" s="436"/>
      <c r="O25" s="436"/>
      <c r="P25" s="316"/>
      <c r="Q25" s="436"/>
      <c r="R25" s="436"/>
      <c r="S25" s="436"/>
      <c r="T25" s="436"/>
      <c r="U25" s="316"/>
      <c r="V25" s="436"/>
      <c r="W25" s="436"/>
      <c r="X25" s="436"/>
      <c r="Y25" s="436"/>
      <c r="Z25" s="436"/>
      <c r="AA25" s="316"/>
    </row>
    <row r="26" spans="1:27" ht="15" customHeight="1" collapsed="1" thickBot="1" x14ac:dyDescent="0.5">
      <c r="D26" s="1019"/>
      <c r="E26" s="436"/>
      <c r="F26" s="316"/>
      <c r="G26" s="314"/>
      <c r="H26" s="436"/>
      <c r="I26" s="436"/>
      <c r="J26" s="436"/>
      <c r="K26" s="316"/>
      <c r="L26" s="436"/>
      <c r="M26" s="436"/>
      <c r="N26" s="436"/>
      <c r="O26" s="436"/>
      <c r="P26" s="316"/>
      <c r="Q26" s="436"/>
      <c r="R26" s="436"/>
      <c r="S26" s="436"/>
      <c r="T26" s="436"/>
      <c r="U26" s="316"/>
      <c r="V26" s="436"/>
      <c r="W26" s="436"/>
      <c r="X26" s="436"/>
      <c r="Y26" s="436"/>
      <c r="Z26" s="436"/>
      <c r="AA26" s="316"/>
    </row>
    <row r="27" spans="1:27" ht="15" customHeight="1" thickBot="1" x14ac:dyDescent="0.35">
      <c r="D27" s="157" t="s">
        <v>227</v>
      </c>
      <c r="E27" s="252">
        <f t="shared" ref="E27:X27" si="0">SUM(E12:E26)</f>
        <v>142362.52295030197</v>
      </c>
      <c r="F27" s="252">
        <f t="shared" si="0"/>
        <v>230929.6129133561</v>
      </c>
      <c r="G27" s="252">
        <f t="shared" si="0"/>
        <v>129711.3325878883</v>
      </c>
      <c r="H27" s="252">
        <f t="shared" si="0"/>
        <v>138229.77750783533</v>
      </c>
      <c r="I27" s="252">
        <f t="shared" si="0"/>
        <v>110382.51418676211</v>
      </c>
      <c r="J27" s="252">
        <f t="shared" si="0"/>
        <v>73703.565209882363</v>
      </c>
      <c r="K27" s="252">
        <f t="shared" si="0"/>
        <v>70292.4722899724</v>
      </c>
      <c r="L27" s="252">
        <f t="shared" si="0"/>
        <v>127944.54252085692</v>
      </c>
      <c r="M27" s="252">
        <f t="shared" si="0"/>
        <v>127944.54252085692</v>
      </c>
      <c r="N27" s="252">
        <f t="shared" si="0"/>
        <v>91415.682151684668</v>
      </c>
      <c r="O27" s="252">
        <f t="shared" si="0"/>
        <v>91541.705122642496</v>
      </c>
      <c r="P27" s="252">
        <f t="shared" si="0"/>
        <v>91541.705122642496</v>
      </c>
      <c r="Q27" s="252">
        <f t="shared" si="0"/>
        <v>91541.705122642496</v>
      </c>
      <c r="R27" s="252">
        <f t="shared" si="0"/>
        <v>91541.705122642496</v>
      </c>
      <c r="S27" s="252">
        <f t="shared" si="0"/>
        <v>91541.705122642161</v>
      </c>
      <c r="T27" s="252">
        <f t="shared" si="0"/>
        <v>91541.705122642496</v>
      </c>
      <c r="U27" s="252">
        <f t="shared" si="0"/>
        <v>91541.705122642496</v>
      </c>
      <c r="V27" s="252">
        <f t="shared" si="0"/>
        <v>91541.705122643209</v>
      </c>
      <c r="W27" s="252">
        <f t="shared" si="0"/>
        <v>91541.705122642496</v>
      </c>
      <c r="X27" s="252">
        <f t="shared" si="0"/>
        <v>91541.705122642161</v>
      </c>
      <c r="Y27" s="252">
        <f t="shared" ref="Y27:AA27" si="1">SUM(Y12:Y26)</f>
        <v>91541.705122642496</v>
      </c>
      <c r="Z27" s="252">
        <f t="shared" si="1"/>
        <v>91541.705122642496</v>
      </c>
      <c r="AA27" s="253">
        <f t="shared" si="1"/>
        <v>91541.705122642496</v>
      </c>
    </row>
    <row r="28" spans="1:27" ht="11.25" customHeight="1" x14ac:dyDescent="0.3"/>
    <row r="29" spans="1:27" ht="12.75" x14ac:dyDescent="0.3">
      <c r="D29" s="798" t="s">
        <v>695</v>
      </c>
      <c r="E29" s="115">
        <v>142362.52295030197</v>
      </c>
      <c r="F29" s="115">
        <v>230929.6129133561</v>
      </c>
      <c r="G29" s="115">
        <v>129711.3325878883</v>
      </c>
      <c r="H29" s="115">
        <v>138229.77750783533</v>
      </c>
      <c r="I29" s="115">
        <v>110382.51418676211</v>
      </c>
      <c r="J29" s="115">
        <v>73703.565209882363</v>
      </c>
      <c r="K29" s="115">
        <v>70292.4722899724</v>
      </c>
      <c r="L29" s="115">
        <v>127944.54252085692</v>
      </c>
      <c r="M29" s="115">
        <v>127944.54252085692</v>
      </c>
      <c r="N29" s="115">
        <v>91415.682151684668</v>
      </c>
      <c r="O29" s="115">
        <v>91541.705122642496</v>
      </c>
      <c r="P29" s="115">
        <v>91541.705122642496</v>
      </c>
      <c r="Q29" s="115">
        <v>91541.705122642496</v>
      </c>
      <c r="R29" s="115">
        <v>91541.705122642496</v>
      </c>
      <c r="S29" s="115">
        <v>91541.705122642161</v>
      </c>
      <c r="T29" s="115">
        <v>91541.705122642496</v>
      </c>
      <c r="U29" s="115">
        <v>91541.705122642496</v>
      </c>
      <c r="V29" s="115">
        <v>91541.705122643209</v>
      </c>
      <c r="W29" s="115">
        <v>91541.705122642496</v>
      </c>
      <c r="X29" s="115">
        <v>91541.705122642161</v>
      </c>
      <c r="Y29" s="115">
        <v>91541.705122642496</v>
      </c>
      <c r="Z29" s="115">
        <v>91541.705122642496</v>
      </c>
      <c r="AA29" s="115">
        <v>91541.705122642496</v>
      </c>
    </row>
    <row r="30" spans="1:27" ht="12.75" x14ac:dyDescent="0.3">
      <c r="A30" s="41">
        <f>IF(SUM($E30:$AA30)&gt;0,1,0)</f>
        <v>0</v>
      </c>
      <c r="D30" s="6" t="s">
        <v>84</v>
      </c>
      <c r="E30" s="62">
        <f>IF(ROUND(SUM(E27)-E29,3)&lt;&gt;0,1,0)</f>
        <v>0</v>
      </c>
      <c r="F30" s="62">
        <f t="shared" ref="F30" si="2">IF(ROUND(SUM(F27)-F29,3)&lt;&gt;0,1,0)</f>
        <v>0</v>
      </c>
      <c r="G30" s="62">
        <f t="shared" ref="G30" si="3">IF(ROUND(SUM(G27)-G29,3)&lt;&gt;0,1,0)</f>
        <v>0</v>
      </c>
      <c r="H30" s="62">
        <f t="shared" ref="H30" si="4">IF(ROUND(SUM(H27)-H29,3)&lt;&gt;0,1,0)</f>
        <v>0</v>
      </c>
      <c r="I30" s="62">
        <f t="shared" ref="I30" si="5">IF(ROUND(SUM(I27)-I29,3)&lt;&gt;0,1,0)</f>
        <v>0</v>
      </c>
      <c r="J30" s="62">
        <f t="shared" ref="J30" si="6">IF(ROUND(SUM(J27)-J29,3)&lt;&gt;0,1,0)</f>
        <v>0</v>
      </c>
      <c r="K30" s="62">
        <f t="shared" ref="K30" si="7">IF(ROUND(SUM(K27)-K29,3)&lt;&gt;0,1,0)</f>
        <v>0</v>
      </c>
      <c r="L30" s="62">
        <f t="shared" ref="L30" si="8">IF(ROUND(SUM(L27)-L29,3)&lt;&gt;0,1,0)</f>
        <v>0</v>
      </c>
      <c r="M30" s="62">
        <f t="shared" ref="M30" si="9">IF(ROUND(SUM(M27)-M29,3)&lt;&gt;0,1,0)</f>
        <v>0</v>
      </c>
      <c r="N30" s="62">
        <f t="shared" ref="N30" si="10">IF(ROUND(SUM(N27)-N29,3)&lt;&gt;0,1,0)</f>
        <v>0</v>
      </c>
      <c r="O30" s="62">
        <f t="shared" ref="O30" si="11">IF(ROUND(SUM(O27)-O29,3)&lt;&gt;0,1,0)</f>
        <v>0</v>
      </c>
      <c r="P30" s="62">
        <f t="shared" ref="P30" si="12">IF(ROUND(SUM(P27)-P29,3)&lt;&gt;0,1,0)</f>
        <v>0</v>
      </c>
      <c r="Q30" s="62">
        <f t="shared" ref="Q30" si="13">IF(ROUND(SUM(Q27)-Q29,3)&lt;&gt;0,1,0)</f>
        <v>0</v>
      </c>
      <c r="R30" s="62">
        <f t="shared" ref="R30" si="14">IF(ROUND(SUM(R27)-R29,3)&lt;&gt;0,1,0)</f>
        <v>0</v>
      </c>
      <c r="S30" s="62">
        <f t="shared" ref="S30" si="15">IF(ROUND(SUM(S27)-S29,3)&lt;&gt;0,1,0)</f>
        <v>0</v>
      </c>
      <c r="T30" s="62">
        <f t="shared" ref="T30" si="16">IF(ROUND(SUM(T27)-T29,3)&lt;&gt;0,1,0)</f>
        <v>0</v>
      </c>
      <c r="U30" s="62">
        <f t="shared" ref="U30" si="17">IF(ROUND(SUM(U27)-U29,3)&lt;&gt;0,1,0)</f>
        <v>0</v>
      </c>
      <c r="V30" s="62">
        <f t="shared" ref="V30" si="18">IF(ROUND(SUM(V27)-V29,3)&lt;&gt;0,1,0)</f>
        <v>0</v>
      </c>
      <c r="W30" s="62">
        <f t="shared" ref="W30" si="19">IF(ROUND(SUM(W27)-W29,3)&lt;&gt;0,1,0)</f>
        <v>0</v>
      </c>
      <c r="X30" s="62">
        <f t="shared" ref="X30" si="20">IF(ROUND(SUM(X27)-X29,3)&lt;&gt;0,1,0)</f>
        <v>0</v>
      </c>
      <c r="Y30" s="62">
        <f t="shared" ref="Y30" si="21">IF(ROUND(SUM(Y27)-Y29,3)&lt;&gt;0,1,0)</f>
        <v>0</v>
      </c>
      <c r="Z30" s="62">
        <f t="shared" ref="Z30" si="22">IF(ROUND(SUM(Z27)-Z29,3)&lt;&gt;0,1,0)</f>
        <v>0</v>
      </c>
      <c r="AA30" s="62">
        <f t="shared" ref="AA30" si="23">IF(ROUND(SUM(AA27)-AA29,3)&lt;&gt;0,1,0)</f>
        <v>0</v>
      </c>
    </row>
    <row r="31" spans="1:27" ht="11.25" customHeight="1" x14ac:dyDescent="0.3">
      <c r="D31" s="6"/>
    </row>
    <row r="32" spans="1:27" ht="11.25" customHeight="1" thickBot="1" x14ac:dyDescent="0.35"/>
    <row r="33" spans="4:27" ht="20.25" customHeight="1" thickBot="1" x14ac:dyDescent="0.35">
      <c r="D33" s="1015" t="s">
        <v>1029</v>
      </c>
      <c r="E33" s="309"/>
      <c r="F33" s="309"/>
      <c r="G33" s="309"/>
      <c r="H33" s="309"/>
      <c r="I33" s="309"/>
      <c r="J33" s="309"/>
      <c r="K33" s="309"/>
      <c r="L33" s="309"/>
      <c r="M33" s="309"/>
      <c r="N33" s="309"/>
      <c r="O33" s="309"/>
      <c r="P33" s="309"/>
      <c r="Q33" s="309"/>
      <c r="R33" s="309"/>
      <c r="S33" s="309"/>
      <c r="T33" s="309"/>
      <c r="U33" s="309"/>
      <c r="V33" s="309"/>
      <c r="W33" s="309"/>
      <c r="X33" s="309"/>
      <c r="Y33" s="309"/>
      <c r="Z33" s="309"/>
      <c r="AA33" s="310"/>
    </row>
    <row r="34" spans="4:27" ht="15.75" customHeight="1" thickBot="1" x14ac:dyDescent="0.35">
      <c r="D34" s="1101"/>
      <c r="E34" s="1098" t="s">
        <v>466</v>
      </c>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100"/>
    </row>
    <row r="35" spans="4:27" ht="13.5" customHeight="1" thickBot="1" x14ac:dyDescent="0.35">
      <c r="D35" s="1101"/>
      <c r="E35" s="417" t="s">
        <v>70</v>
      </c>
      <c r="F35" s="418" t="s">
        <v>71</v>
      </c>
      <c r="G35" s="419" t="s">
        <v>72</v>
      </c>
      <c r="H35" s="420" t="s">
        <v>73</v>
      </c>
      <c r="I35" s="420" t="s">
        <v>74</v>
      </c>
      <c r="J35" s="420" t="s">
        <v>82</v>
      </c>
      <c r="K35" s="420" t="s">
        <v>243</v>
      </c>
      <c r="L35" s="420" t="s">
        <v>1008</v>
      </c>
      <c r="M35" s="420" t="s">
        <v>1009</v>
      </c>
      <c r="N35" s="420" t="s">
        <v>1010</v>
      </c>
      <c r="O35" s="420" t="s">
        <v>1011</v>
      </c>
      <c r="P35" s="420" t="s">
        <v>1012</v>
      </c>
      <c r="Q35" s="420" t="s">
        <v>1013</v>
      </c>
      <c r="R35" s="420" t="s">
        <v>1014</v>
      </c>
      <c r="S35" s="420" t="s">
        <v>1015</v>
      </c>
      <c r="T35" s="420" t="s">
        <v>1016</v>
      </c>
      <c r="U35" s="420" t="s">
        <v>1017</v>
      </c>
      <c r="V35" s="420" t="s">
        <v>1018</v>
      </c>
      <c r="W35" s="420" t="s">
        <v>1019</v>
      </c>
      <c r="X35" s="420" t="s">
        <v>1020</v>
      </c>
      <c r="Y35" s="420" t="s">
        <v>1040</v>
      </c>
      <c r="Z35" s="420" t="s">
        <v>1041</v>
      </c>
      <c r="AA35" s="421" t="s">
        <v>1042</v>
      </c>
    </row>
    <row r="36" spans="4:27" ht="15" customHeight="1" x14ac:dyDescent="0.45">
      <c r="D36" s="1018" t="s">
        <v>1026</v>
      </c>
      <c r="E36" s="449">
        <v>191039.82792355926</v>
      </c>
      <c r="F36" s="438">
        <v>324024.62531177729</v>
      </c>
      <c r="G36" s="311">
        <v>295910.68454149656</v>
      </c>
      <c r="H36" s="312">
        <v>205146.79175550755</v>
      </c>
      <c r="I36" s="312">
        <v>156056.14014829815</v>
      </c>
      <c r="J36" s="312">
        <v>134183.2533223324</v>
      </c>
      <c r="K36" s="438">
        <v>128104.60404300141</v>
      </c>
      <c r="L36" s="312">
        <v>204923.70386371034</v>
      </c>
      <c r="M36" s="312">
        <v>204923.70386371034</v>
      </c>
      <c r="N36" s="312">
        <v>146416.87569203737</v>
      </c>
      <c r="O36" s="312">
        <v>146618.72169087219</v>
      </c>
      <c r="P36" s="438">
        <v>146618.72169087219</v>
      </c>
      <c r="Q36" s="312">
        <v>146618.72169087219</v>
      </c>
      <c r="R36" s="312">
        <v>146618.72169087219</v>
      </c>
      <c r="S36" s="312">
        <v>146618.72169087167</v>
      </c>
      <c r="T36" s="312">
        <v>146618.72169087219</v>
      </c>
      <c r="U36" s="438">
        <v>146618.72169087219</v>
      </c>
      <c r="V36" s="312">
        <v>146618.72169087335</v>
      </c>
      <c r="W36" s="312">
        <v>146618.72169087219</v>
      </c>
      <c r="X36" s="312">
        <v>146618.72169087167</v>
      </c>
      <c r="Y36" s="312">
        <v>146618.72169087219</v>
      </c>
      <c r="Z36" s="312">
        <v>146618.72169087219</v>
      </c>
      <c r="AA36" s="438">
        <v>146618.72169087219</v>
      </c>
    </row>
    <row r="37" spans="4:27" ht="15" hidden="1" customHeight="1" outlineLevel="1" x14ac:dyDescent="0.45">
      <c r="D37" s="1019"/>
      <c r="E37" s="436"/>
      <c r="F37" s="316"/>
      <c r="G37" s="314"/>
      <c r="H37" s="436"/>
      <c r="I37" s="436"/>
      <c r="J37" s="436"/>
      <c r="K37" s="316"/>
      <c r="L37" s="436"/>
      <c r="M37" s="436"/>
      <c r="N37" s="436"/>
      <c r="O37" s="436"/>
      <c r="P37" s="316"/>
      <c r="Q37" s="436"/>
      <c r="R37" s="436"/>
      <c r="S37" s="436"/>
      <c r="T37" s="436"/>
      <c r="U37" s="316"/>
      <c r="V37" s="436"/>
      <c r="W37" s="436"/>
      <c r="X37" s="436"/>
      <c r="Y37" s="436"/>
      <c r="Z37" s="436"/>
      <c r="AA37" s="316"/>
    </row>
    <row r="38" spans="4:27" ht="15" hidden="1" customHeight="1" outlineLevel="1" x14ac:dyDescent="0.45">
      <c r="D38" s="1019"/>
      <c r="E38" s="436"/>
      <c r="F38" s="316"/>
      <c r="G38" s="314"/>
      <c r="H38" s="436"/>
      <c r="I38" s="436"/>
      <c r="J38" s="436"/>
      <c r="K38" s="316"/>
      <c r="L38" s="436"/>
      <c r="M38" s="436"/>
      <c r="N38" s="436"/>
      <c r="O38" s="436"/>
      <c r="P38" s="316"/>
      <c r="Q38" s="436"/>
      <c r="R38" s="436"/>
      <c r="S38" s="436"/>
      <c r="T38" s="436"/>
      <c r="U38" s="316"/>
      <c r="V38" s="436"/>
      <c r="W38" s="436"/>
      <c r="X38" s="436"/>
      <c r="Y38" s="436"/>
      <c r="Z38" s="436"/>
      <c r="AA38" s="316"/>
    </row>
    <row r="39" spans="4:27" ht="15" hidden="1" customHeight="1" outlineLevel="1" x14ac:dyDescent="0.45">
      <c r="D39" s="1019"/>
      <c r="E39" s="436"/>
      <c r="F39" s="316"/>
      <c r="G39" s="314"/>
      <c r="H39" s="436"/>
      <c r="I39" s="436"/>
      <c r="J39" s="436"/>
      <c r="K39" s="316"/>
      <c r="L39" s="436"/>
      <c r="M39" s="436"/>
      <c r="N39" s="436"/>
      <c r="O39" s="436"/>
      <c r="P39" s="316"/>
      <c r="Q39" s="436"/>
      <c r="R39" s="436"/>
      <c r="S39" s="436"/>
      <c r="T39" s="436"/>
      <c r="U39" s="316"/>
      <c r="V39" s="436"/>
      <c r="W39" s="436"/>
      <c r="X39" s="436"/>
      <c r="Y39" s="436"/>
      <c r="Z39" s="436"/>
      <c r="AA39" s="316"/>
    </row>
    <row r="40" spans="4:27" ht="15" hidden="1" customHeight="1" outlineLevel="1" x14ac:dyDescent="0.45">
      <c r="D40" s="1019"/>
      <c r="E40" s="436"/>
      <c r="F40" s="316"/>
      <c r="G40" s="314"/>
      <c r="H40" s="436"/>
      <c r="I40" s="436"/>
      <c r="J40" s="436"/>
      <c r="K40" s="316"/>
      <c r="L40" s="436"/>
      <c r="M40" s="436"/>
      <c r="N40" s="436"/>
      <c r="O40" s="436"/>
      <c r="P40" s="316"/>
      <c r="Q40" s="436"/>
      <c r="R40" s="436"/>
      <c r="S40" s="436"/>
      <c r="T40" s="436"/>
      <c r="U40" s="316"/>
      <c r="V40" s="436"/>
      <c r="W40" s="436"/>
      <c r="X40" s="436"/>
      <c r="Y40" s="436"/>
      <c r="Z40" s="436"/>
      <c r="AA40" s="316"/>
    </row>
    <row r="41" spans="4:27" ht="15" hidden="1" customHeight="1" outlineLevel="1" x14ac:dyDescent="0.45">
      <c r="D41" s="1019"/>
      <c r="E41" s="436"/>
      <c r="F41" s="316"/>
      <c r="G41" s="314"/>
      <c r="H41" s="436"/>
      <c r="I41" s="436"/>
      <c r="J41" s="436"/>
      <c r="K41" s="316"/>
      <c r="L41" s="436"/>
      <c r="M41" s="436"/>
      <c r="N41" s="436"/>
      <c r="O41" s="436"/>
      <c r="P41" s="316"/>
      <c r="Q41" s="436"/>
      <c r="R41" s="436"/>
      <c r="S41" s="436"/>
      <c r="T41" s="436"/>
      <c r="U41" s="316"/>
      <c r="V41" s="436"/>
      <c r="W41" s="436"/>
      <c r="X41" s="436"/>
      <c r="Y41" s="436"/>
      <c r="Z41" s="436"/>
      <c r="AA41" s="316"/>
    </row>
    <row r="42" spans="4:27" ht="15" hidden="1" customHeight="1" outlineLevel="1" x14ac:dyDescent="0.45">
      <c r="D42" s="1019"/>
      <c r="E42" s="436"/>
      <c r="F42" s="316"/>
      <c r="G42" s="314"/>
      <c r="H42" s="436"/>
      <c r="I42" s="436"/>
      <c r="J42" s="436"/>
      <c r="K42" s="316"/>
      <c r="L42" s="436"/>
      <c r="M42" s="436"/>
      <c r="N42" s="436"/>
      <c r="O42" s="436"/>
      <c r="P42" s="316"/>
      <c r="Q42" s="436"/>
      <c r="R42" s="436"/>
      <c r="S42" s="436"/>
      <c r="T42" s="436"/>
      <c r="U42" s="316"/>
      <c r="V42" s="436"/>
      <c r="W42" s="436"/>
      <c r="X42" s="436"/>
      <c r="Y42" s="436"/>
      <c r="Z42" s="436"/>
      <c r="AA42" s="316"/>
    </row>
    <row r="43" spans="4:27" ht="15" hidden="1" customHeight="1" outlineLevel="1" x14ac:dyDescent="0.45">
      <c r="D43" s="1019"/>
      <c r="E43" s="436"/>
      <c r="F43" s="316"/>
      <c r="G43" s="314"/>
      <c r="H43" s="436"/>
      <c r="I43" s="436"/>
      <c r="J43" s="436"/>
      <c r="K43" s="316"/>
      <c r="L43" s="436"/>
      <c r="M43" s="436"/>
      <c r="N43" s="436"/>
      <c r="O43" s="436"/>
      <c r="P43" s="316"/>
      <c r="Q43" s="436"/>
      <c r="R43" s="436"/>
      <c r="S43" s="436"/>
      <c r="T43" s="436"/>
      <c r="U43" s="316"/>
      <c r="V43" s="436"/>
      <c r="W43" s="436"/>
      <c r="X43" s="436"/>
      <c r="Y43" s="436"/>
      <c r="Z43" s="436"/>
      <c r="AA43" s="316"/>
    </row>
    <row r="44" spans="4:27" ht="15" hidden="1" customHeight="1" outlineLevel="1" x14ac:dyDescent="0.45">
      <c r="D44" s="1019"/>
      <c r="E44" s="436"/>
      <c r="F44" s="316"/>
      <c r="G44" s="314"/>
      <c r="H44" s="436"/>
      <c r="I44" s="436"/>
      <c r="J44" s="436"/>
      <c r="K44" s="316"/>
      <c r="L44" s="436"/>
      <c r="M44" s="436"/>
      <c r="N44" s="436"/>
      <c r="O44" s="436"/>
      <c r="P44" s="316"/>
      <c r="Q44" s="436"/>
      <c r="R44" s="436"/>
      <c r="S44" s="436"/>
      <c r="T44" s="436"/>
      <c r="U44" s="316"/>
      <c r="V44" s="436"/>
      <c r="W44" s="436"/>
      <c r="X44" s="436"/>
      <c r="Y44" s="436"/>
      <c r="Z44" s="436"/>
      <c r="AA44" s="316"/>
    </row>
    <row r="45" spans="4:27" ht="15" hidden="1" customHeight="1" outlineLevel="1" x14ac:dyDescent="0.45">
      <c r="D45" s="1019"/>
      <c r="E45" s="436"/>
      <c r="F45" s="316"/>
      <c r="G45" s="314"/>
      <c r="H45" s="436"/>
      <c r="I45" s="436"/>
      <c r="J45" s="436"/>
      <c r="K45" s="316"/>
      <c r="L45" s="436"/>
      <c r="M45" s="436"/>
      <c r="N45" s="436"/>
      <c r="O45" s="436"/>
      <c r="P45" s="316"/>
      <c r="Q45" s="436"/>
      <c r="R45" s="436"/>
      <c r="S45" s="436"/>
      <c r="T45" s="436"/>
      <c r="U45" s="316"/>
      <c r="V45" s="436"/>
      <c r="W45" s="436"/>
      <c r="X45" s="436"/>
      <c r="Y45" s="436"/>
      <c r="Z45" s="436"/>
      <c r="AA45" s="316"/>
    </row>
    <row r="46" spans="4:27" ht="15" hidden="1" customHeight="1" outlineLevel="1" x14ac:dyDescent="0.45">
      <c r="D46" s="1019"/>
      <c r="E46" s="436"/>
      <c r="F46" s="316"/>
      <c r="G46" s="314"/>
      <c r="H46" s="436"/>
      <c r="I46" s="436"/>
      <c r="J46" s="436"/>
      <c r="K46" s="316"/>
      <c r="L46" s="436"/>
      <c r="M46" s="436"/>
      <c r="N46" s="436"/>
      <c r="O46" s="436"/>
      <c r="P46" s="316"/>
      <c r="Q46" s="436"/>
      <c r="R46" s="436"/>
      <c r="S46" s="436"/>
      <c r="T46" s="436"/>
      <c r="U46" s="316"/>
      <c r="V46" s="436"/>
      <c r="W46" s="436"/>
      <c r="X46" s="436"/>
      <c r="Y46" s="436"/>
      <c r="Z46" s="436"/>
      <c r="AA46" s="316"/>
    </row>
    <row r="47" spans="4:27" ht="15" hidden="1" customHeight="1" outlineLevel="1" x14ac:dyDescent="0.45">
      <c r="D47" s="1019"/>
      <c r="E47" s="436"/>
      <c r="F47" s="316"/>
      <c r="G47" s="314"/>
      <c r="H47" s="436"/>
      <c r="I47" s="436"/>
      <c r="J47" s="436"/>
      <c r="K47" s="316"/>
      <c r="L47" s="436"/>
      <c r="M47" s="436"/>
      <c r="N47" s="436"/>
      <c r="O47" s="436"/>
      <c r="P47" s="316"/>
      <c r="Q47" s="436"/>
      <c r="R47" s="436"/>
      <c r="S47" s="436"/>
      <c r="T47" s="436"/>
      <c r="U47" s="316"/>
      <c r="V47" s="436"/>
      <c r="W47" s="436"/>
      <c r="X47" s="436"/>
      <c r="Y47" s="436"/>
      <c r="Z47" s="436"/>
      <c r="AA47" s="316"/>
    </row>
    <row r="48" spans="4:27" ht="15" hidden="1" customHeight="1" outlineLevel="1" x14ac:dyDescent="0.45">
      <c r="D48" s="1019"/>
      <c r="E48" s="436"/>
      <c r="F48" s="316"/>
      <c r="G48" s="314"/>
      <c r="H48" s="436"/>
      <c r="I48" s="436"/>
      <c r="J48" s="436"/>
      <c r="K48" s="316"/>
      <c r="L48" s="436"/>
      <c r="M48" s="436"/>
      <c r="N48" s="436"/>
      <c r="O48" s="436"/>
      <c r="P48" s="316"/>
      <c r="Q48" s="436"/>
      <c r="R48" s="436"/>
      <c r="S48" s="436"/>
      <c r="T48" s="436"/>
      <c r="U48" s="316"/>
      <c r="V48" s="436"/>
      <c r="W48" s="436"/>
      <c r="X48" s="436"/>
      <c r="Y48" s="436"/>
      <c r="Z48" s="436"/>
      <c r="AA48" s="316"/>
    </row>
    <row r="49" spans="1:27" ht="15" hidden="1" customHeight="1" outlineLevel="1" x14ac:dyDescent="0.45">
      <c r="D49" s="1019"/>
      <c r="E49" s="436"/>
      <c r="F49" s="316"/>
      <c r="G49" s="314"/>
      <c r="H49" s="436"/>
      <c r="I49" s="436"/>
      <c r="J49" s="436"/>
      <c r="K49" s="316"/>
      <c r="L49" s="436"/>
      <c r="M49" s="436"/>
      <c r="N49" s="436"/>
      <c r="O49" s="436"/>
      <c r="P49" s="316"/>
      <c r="Q49" s="436"/>
      <c r="R49" s="436"/>
      <c r="S49" s="436"/>
      <c r="T49" s="436"/>
      <c r="U49" s="316"/>
      <c r="V49" s="436"/>
      <c r="W49" s="436"/>
      <c r="X49" s="436"/>
      <c r="Y49" s="436"/>
      <c r="Z49" s="436"/>
      <c r="AA49" s="316"/>
    </row>
    <row r="50" spans="1:27" ht="15" customHeight="1" collapsed="1" thickBot="1" x14ac:dyDescent="0.5">
      <c r="D50" s="1019"/>
      <c r="E50" s="436"/>
      <c r="F50" s="316"/>
      <c r="G50" s="314"/>
      <c r="H50" s="436"/>
      <c r="I50" s="436"/>
      <c r="J50" s="436"/>
      <c r="K50" s="316"/>
      <c r="L50" s="436"/>
      <c r="M50" s="436"/>
      <c r="N50" s="436"/>
      <c r="O50" s="436"/>
      <c r="P50" s="316"/>
      <c r="Q50" s="436"/>
      <c r="R50" s="436"/>
      <c r="S50" s="436"/>
      <c r="T50" s="436"/>
      <c r="U50" s="316"/>
      <c r="V50" s="436"/>
      <c r="W50" s="436"/>
      <c r="X50" s="436"/>
      <c r="Y50" s="436"/>
      <c r="Z50" s="436"/>
      <c r="AA50" s="316"/>
    </row>
    <row r="51" spans="1:27" ht="15" customHeight="1" thickBot="1" x14ac:dyDescent="0.35">
      <c r="D51" s="157" t="s">
        <v>227</v>
      </c>
      <c r="E51" s="252">
        <f t="shared" ref="E51:X51" si="24">SUM(E36:E50)</f>
        <v>191039.82792355926</v>
      </c>
      <c r="F51" s="252">
        <f t="shared" si="24"/>
        <v>324024.62531177729</v>
      </c>
      <c r="G51" s="252">
        <f t="shared" si="24"/>
        <v>295910.68454149656</v>
      </c>
      <c r="H51" s="252">
        <f t="shared" si="24"/>
        <v>205146.79175550755</v>
      </c>
      <c r="I51" s="252">
        <f t="shared" si="24"/>
        <v>156056.14014829815</v>
      </c>
      <c r="J51" s="252">
        <f t="shared" si="24"/>
        <v>134183.2533223324</v>
      </c>
      <c r="K51" s="252">
        <f t="shared" si="24"/>
        <v>128104.60404300141</v>
      </c>
      <c r="L51" s="252">
        <f t="shared" si="24"/>
        <v>204923.70386371034</v>
      </c>
      <c r="M51" s="252">
        <f t="shared" si="24"/>
        <v>204923.70386371034</v>
      </c>
      <c r="N51" s="252">
        <f t="shared" si="24"/>
        <v>146416.87569203737</v>
      </c>
      <c r="O51" s="252">
        <f t="shared" si="24"/>
        <v>146618.72169087219</v>
      </c>
      <c r="P51" s="252">
        <f t="shared" si="24"/>
        <v>146618.72169087219</v>
      </c>
      <c r="Q51" s="252">
        <f t="shared" si="24"/>
        <v>146618.72169087219</v>
      </c>
      <c r="R51" s="252">
        <f t="shared" si="24"/>
        <v>146618.72169087219</v>
      </c>
      <c r="S51" s="252">
        <f t="shared" si="24"/>
        <v>146618.72169087167</v>
      </c>
      <c r="T51" s="252">
        <f t="shared" si="24"/>
        <v>146618.72169087219</v>
      </c>
      <c r="U51" s="252">
        <f t="shared" si="24"/>
        <v>146618.72169087219</v>
      </c>
      <c r="V51" s="252">
        <f t="shared" si="24"/>
        <v>146618.72169087335</v>
      </c>
      <c r="W51" s="252">
        <f t="shared" si="24"/>
        <v>146618.72169087219</v>
      </c>
      <c r="X51" s="252">
        <f t="shared" si="24"/>
        <v>146618.72169087167</v>
      </c>
      <c r="Y51" s="252">
        <f t="shared" ref="Y51:AA51" si="25">SUM(Y36:Y50)</f>
        <v>146618.72169087219</v>
      </c>
      <c r="Z51" s="252">
        <f t="shared" si="25"/>
        <v>146618.72169087219</v>
      </c>
      <c r="AA51" s="253">
        <f t="shared" si="25"/>
        <v>146618.72169087219</v>
      </c>
    </row>
    <row r="52" spans="1:27" ht="11.25" customHeight="1" x14ac:dyDescent="0.3"/>
    <row r="53" spans="1:27" ht="12.75" x14ac:dyDescent="0.3">
      <c r="D53" s="798" t="s">
        <v>695</v>
      </c>
      <c r="E53" s="115">
        <v>191039.82792355926</v>
      </c>
      <c r="F53" s="115">
        <v>324024.62531177729</v>
      </c>
      <c r="G53" s="115">
        <v>295910.68454149656</v>
      </c>
      <c r="H53" s="115">
        <v>205146.79175550755</v>
      </c>
      <c r="I53" s="115">
        <v>156056.14014829815</v>
      </c>
      <c r="J53" s="115">
        <v>134183.2533223324</v>
      </c>
      <c r="K53" s="115">
        <v>128104.60404300141</v>
      </c>
      <c r="L53" s="115">
        <v>204923.70386371034</v>
      </c>
      <c r="M53" s="115">
        <v>204923.70386371034</v>
      </c>
      <c r="N53" s="115">
        <v>146416.87569203737</v>
      </c>
      <c r="O53" s="115">
        <v>146618.72169087219</v>
      </c>
      <c r="P53" s="115">
        <v>146618.72169087219</v>
      </c>
      <c r="Q53" s="115">
        <v>146618.72169087219</v>
      </c>
      <c r="R53" s="115">
        <v>146618.72169087219</v>
      </c>
      <c r="S53" s="115">
        <v>146618.72169087167</v>
      </c>
      <c r="T53" s="115">
        <v>146618.72169087219</v>
      </c>
      <c r="U53" s="115">
        <v>146618.72169087219</v>
      </c>
      <c r="V53" s="115">
        <v>146618.72169087335</v>
      </c>
      <c r="W53" s="115">
        <v>146618.72169087219</v>
      </c>
      <c r="X53" s="115">
        <v>146618.72169087167</v>
      </c>
      <c r="Y53" s="115">
        <v>146618.72169087219</v>
      </c>
      <c r="Z53" s="115">
        <v>146618.72169087219</v>
      </c>
      <c r="AA53" s="115">
        <v>146618.72169087219</v>
      </c>
    </row>
    <row r="54" spans="1:27" ht="12.75" x14ac:dyDescent="0.3">
      <c r="A54" s="41">
        <f>IF(SUM($E54:$AA54)&gt;0,1,0)</f>
        <v>0</v>
      </c>
      <c r="D54" s="6" t="s">
        <v>84</v>
      </c>
      <c r="E54" s="62">
        <f>IF(ROUND(SUM(E51)-E53,3)&lt;&gt;0,1,0)</f>
        <v>0</v>
      </c>
      <c r="F54" s="62">
        <f t="shared" ref="F54" si="26">IF(ROUND(SUM(F51)-F53,3)&lt;&gt;0,1,0)</f>
        <v>0</v>
      </c>
      <c r="G54" s="62">
        <f t="shared" ref="G54" si="27">IF(ROUND(SUM(G51)-G53,3)&lt;&gt;0,1,0)</f>
        <v>0</v>
      </c>
      <c r="H54" s="62">
        <f t="shared" ref="H54" si="28">IF(ROUND(SUM(H51)-H53,3)&lt;&gt;0,1,0)</f>
        <v>0</v>
      </c>
      <c r="I54" s="62">
        <f t="shared" ref="I54" si="29">IF(ROUND(SUM(I51)-I53,3)&lt;&gt;0,1,0)</f>
        <v>0</v>
      </c>
      <c r="J54" s="62">
        <f t="shared" ref="J54" si="30">IF(ROUND(SUM(J51)-J53,3)&lt;&gt;0,1,0)</f>
        <v>0</v>
      </c>
      <c r="K54" s="62">
        <f t="shared" ref="K54" si="31">IF(ROUND(SUM(K51)-K53,3)&lt;&gt;0,1,0)</f>
        <v>0</v>
      </c>
      <c r="L54" s="62">
        <f t="shared" ref="L54" si="32">IF(ROUND(SUM(L51)-L53,3)&lt;&gt;0,1,0)</f>
        <v>0</v>
      </c>
      <c r="M54" s="62">
        <f t="shared" ref="M54" si="33">IF(ROUND(SUM(M51)-M53,3)&lt;&gt;0,1,0)</f>
        <v>0</v>
      </c>
      <c r="N54" s="62">
        <f t="shared" ref="N54" si="34">IF(ROUND(SUM(N51)-N53,3)&lt;&gt;0,1,0)</f>
        <v>0</v>
      </c>
      <c r="O54" s="62">
        <f t="shared" ref="O54" si="35">IF(ROUND(SUM(O51)-O53,3)&lt;&gt;0,1,0)</f>
        <v>0</v>
      </c>
      <c r="P54" s="62">
        <f t="shared" ref="P54" si="36">IF(ROUND(SUM(P51)-P53,3)&lt;&gt;0,1,0)</f>
        <v>0</v>
      </c>
      <c r="Q54" s="62">
        <f t="shared" ref="Q54" si="37">IF(ROUND(SUM(Q51)-Q53,3)&lt;&gt;0,1,0)</f>
        <v>0</v>
      </c>
      <c r="R54" s="62">
        <f t="shared" ref="R54" si="38">IF(ROUND(SUM(R51)-R53,3)&lt;&gt;0,1,0)</f>
        <v>0</v>
      </c>
      <c r="S54" s="62">
        <f t="shared" ref="S54" si="39">IF(ROUND(SUM(S51)-S53,3)&lt;&gt;0,1,0)</f>
        <v>0</v>
      </c>
      <c r="T54" s="62">
        <f t="shared" ref="T54" si="40">IF(ROUND(SUM(T51)-T53,3)&lt;&gt;0,1,0)</f>
        <v>0</v>
      </c>
      <c r="U54" s="62">
        <f t="shared" ref="U54" si="41">IF(ROUND(SUM(U51)-U53,3)&lt;&gt;0,1,0)</f>
        <v>0</v>
      </c>
      <c r="V54" s="62">
        <f t="shared" ref="V54" si="42">IF(ROUND(SUM(V51)-V53,3)&lt;&gt;0,1,0)</f>
        <v>0</v>
      </c>
      <c r="W54" s="62">
        <f t="shared" ref="W54" si="43">IF(ROUND(SUM(W51)-W53,3)&lt;&gt;0,1,0)</f>
        <v>0</v>
      </c>
      <c r="X54" s="62">
        <f t="shared" ref="X54" si="44">IF(ROUND(SUM(X51)-X53,3)&lt;&gt;0,1,0)</f>
        <v>0</v>
      </c>
      <c r="Y54" s="62">
        <f t="shared" ref="Y54" si="45">IF(ROUND(SUM(Y51)-Y53,3)&lt;&gt;0,1,0)</f>
        <v>0</v>
      </c>
      <c r="Z54" s="62">
        <f t="shared" ref="Z54" si="46">IF(ROUND(SUM(Z51)-Z53,3)&lt;&gt;0,1,0)</f>
        <v>0</v>
      </c>
      <c r="AA54" s="62">
        <f t="shared" ref="AA54" si="47">IF(ROUND(SUM(AA51)-AA53,3)&lt;&gt;0,1,0)</f>
        <v>0</v>
      </c>
    </row>
    <row r="55" spans="1:27" ht="11.25" customHeight="1" x14ac:dyDescent="0.3">
      <c r="D55" s="6"/>
    </row>
    <row r="56" spans="1:27" ht="11.25" customHeight="1" thickBot="1" x14ac:dyDescent="0.35"/>
    <row r="57" spans="1:27" ht="20.25" customHeight="1" thickBot="1" x14ac:dyDescent="0.35">
      <c r="D57" s="1015" t="s">
        <v>1030</v>
      </c>
      <c r="E57" s="309"/>
      <c r="F57" s="309"/>
      <c r="G57" s="309"/>
      <c r="H57" s="309"/>
      <c r="I57" s="309"/>
      <c r="J57" s="309"/>
      <c r="K57" s="309"/>
      <c r="L57" s="309"/>
      <c r="M57" s="309"/>
      <c r="N57" s="309"/>
      <c r="O57" s="309"/>
      <c r="P57" s="309"/>
      <c r="Q57" s="309"/>
      <c r="R57" s="309"/>
      <c r="S57" s="309"/>
      <c r="T57" s="309"/>
      <c r="U57" s="309"/>
      <c r="V57" s="309"/>
      <c r="W57" s="309"/>
      <c r="X57" s="309"/>
      <c r="Y57" s="309"/>
      <c r="Z57" s="309"/>
      <c r="AA57" s="310"/>
    </row>
    <row r="58" spans="1:27" ht="15.75" customHeight="1" thickBot="1" x14ac:dyDescent="0.35">
      <c r="D58" s="1101"/>
      <c r="E58" s="1098" t="s">
        <v>466</v>
      </c>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100"/>
    </row>
    <row r="59" spans="1:27" ht="13.5" customHeight="1" thickBot="1" x14ac:dyDescent="0.35">
      <c r="D59" s="1101"/>
      <c r="E59" s="417" t="s">
        <v>70</v>
      </c>
      <c r="F59" s="418" t="s">
        <v>71</v>
      </c>
      <c r="G59" s="419" t="s">
        <v>72</v>
      </c>
      <c r="H59" s="420" t="s">
        <v>73</v>
      </c>
      <c r="I59" s="420" t="s">
        <v>74</v>
      </c>
      <c r="J59" s="420" t="s">
        <v>82</v>
      </c>
      <c r="K59" s="420" t="s">
        <v>243</v>
      </c>
      <c r="L59" s="420" t="s">
        <v>1008</v>
      </c>
      <c r="M59" s="420" t="s">
        <v>1009</v>
      </c>
      <c r="N59" s="420" t="s">
        <v>1010</v>
      </c>
      <c r="O59" s="420" t="s">
        <v>1011</v>
      </c>
      <c r="P59" s="420" t="s">
        <v>1012</v>
      </c>
      <c r="Q59" s="420" t="s">
        <v>1013</v>
      </c>
      <c r="R59" s="420" t="s">
        <v>1014</v>
      </c>
      <c r="S59" s="420" t="s">
        <v>1015</v>
      </c>
      <c r="T59" s="420" t="s">
        <v>1016</v>
      </c>
      <c r="U59" s="420" t="s">
        <v>1017</v>
      </c>
      <c r="V59" s="420" t="s">
        <v>1018</v>
      </c>
      <c r="W59" s="420" t="s">
        <v>1019</v>
      </c>
      <c r="X59" s="420" t="s">
        <v>1020</v>
      </c>
      <c r="Y59" s="420" t="s">
        <v>1040</v>
      </c>
      <c r="Z59" s="420" t="s">
        <v>1041</v>
      </c>
      <c r="AA59" s="421" t="s">
        <v>1042</v>
      </c>
    </row>
    <row r="60" spans="1:27" ht="15" customHeight="1" x14ac:dyDescent="0.45">
      <c r="D60" s="1018" t="s">
        <v>1026</v>
      </c>
      <c r="E60" s="449">
        <v>124016.58642731038</v>
      </c>
      <c r="F60" s="438">
        <v>137194.58949473483</v>
      </c>
      <c r="G60" s="311">
        <v>174987.72237939457</v>
      </c>
      <c r="H60" s="312">
        <v>150557.36846893033</v>
      </c>
      <c r="I60" s="312">
        <v>146171.36107999619</v>
      </c>
      <c r="J60" s="312">
        <v>137322.8693240234</v>
      </c>
      <c r="K60" s="438">
        <v>135037.52539158758</v>
      </c>
      <c r="L60" s="312">
        <v>143612.57465228249</v>
      </c>
      <c r="M60" s="312">
        <v>143612.57465228249</v>
      </c>
      <c r="N60" s="312">
        <v>102610.40618639921</v>
      </c>
      <c r="O60" s="312">
        <v>102751.86187468388</v>
      </c>
      <c r="P60" s="438">
        <v>102751.86187468388</v>
      </c>
      <c r="Q60" s="312">
        <v>102751.86187468388</v>
      </c>
      <c r="R60" s="312">
        <v>102751.86187468388</v>
      </c>
      <c r="S60" s="312">
        <v>102751.86187468388</v>
      </c>
      <c r="T60" s="312">
        <v>102751.86187468388</v>
      </c>
      <c r="U60" s="438">
        <v>102751.86187468388</v>
      </c>
      <c r="V60" s="312">
        <v>102751.861874685</v>
      </c>
      <c r="W60" s="312">
        <v>102751.86187468388</v>
      </c>
      <c r="X60" s="312">
        <v>102751.86187468388</v>
      </c>
      <c r="Y60" s="312">
        <v>102751.86187468388</v>
      </c>
      <c r="Z60" s="312">
        <v>102751.86187468388</v>
      </c>
      <c r="AA60" s="438">
        <v>102751.86187468388</v>
      </c>
    </row>
    <row r="61" spans="1:27" ht="15" hidden="1" customHeight="1" outlineLevel="1" x14ac:dyDescent="0.45">
      <c r="D61" s="1019"/>
      <c r="E61" s="436"/>
      <c r="F61" s="316"/>
      <c r="G61" s="314"/>
      <c r="H61" s="436"/>
      <c r="I61" s="436"/>
      <c r="J61" s="436"/>
      <c r="K61" s="316"/>
      <c r="L61" s="436"/>
      <c r="M61" s="436"/>
      <c r="N61" s="436"/>
      <c r="O61" s="436"/>
      <c r="P61" s="316"/>
      <c r="Q61" s="436"/>
      <c r="R61" s="436"/>
      <c r="S61" s="436"/>
      <c r="T61" s="436"/>
      <c r="U61" s="316"/>
      <c r="V61" s="436"/>
      <c r="W61" s="436"/>
      <c r="X61" s="436"/>
      <c r="Y61" s="436"/>
      <c r="Z61" s="436"/>
      <c r="AA61" s="316"/>
    </row>
    <row r="62" spans="1:27" ht="15" hidden="1" customHeight="1" outlineLevel="1" x14ac:dyDescent="0.45">
      <c r="D62" s="1019"/>
      <c r="E62" s="436"/>
      <c r="F62" s="316"/>
      <c r="G62" s="314"/>
      <c r="H62" s="436"/>
      <c r="I62" s="436"/>
      <c r="J62" s="436"/>
      <c r="K62" s="316"/>
      <c r="L62" s="436"/>
      <c r="M62" s="436"/>
      <c r="N62" s="436"/>
      <c r="O62" s="436"/>
      <c r="P62" s="316"/>
      <c r="Q62" s="436"/>
      <c r="R62" s="436"/>
      <c r="S62" s="436"/>
      <c r="T62" s="436"/>
      <c r="U62" s="316"/>
      <c r="V62" s="436"/>
      <c r="W62" s="436"/>
      <c r="X62" s="436"/>
      <c r="Y62" s="436"/>
      <c r="Z62" s="436"/>
      <c r="AA62" s="316"/>
    </row>
    <row r="63" spans="1:27" ht="15" hidden="1" customHeight="1" outlineLevel="1" x14ac:dyDescent="0.45">
      <c r="D63" s="1019"/>
      <c r="E63" s="436"/>
      <c r="F63" s="316"/>
      <c r="G63" s="314"/>
      <c r="H63" s="436"/>
      <c r="I63" s="436"/>
      <c r="J63" s="436"/>
      <c r="K63" s="316"/>
      <c r="L63" s="436"/>
      <c r="M63" s="436"/>
      <c r="N63" s="436"/>
      <c r="O63" s="436"/>
      <c r="P63" s="316"/>
      <c r="Q63" s="436"/>
      <c r="R63" s="436"/>
      <c r="S63" s="436"/>
      <c r="T63" s="436"/>
      <c r="U63" s="316"/>
      <c r="V63" s="436"/>
      <c r="W63" s="436"/>
      <c r="X63" s="436"/>
      <c r="Y63" s="436"/>
      <c r="Z63" s="436"/>
      <c r="AA63" s="316"/>
    </row>
    <row r="64" spans="1:27" ht="15" hidden="1" customHeight="1" outlineLevel="1" x14ac:dyDescent="0.45">
      <c r="D64" s="1019"/>
      <c r="E64" s="436"/>
      <c r="F64" s="316"/>
      <c r="G64" s="314"/>
      <c r="H64" s="436"/>
      <c r="I64" s="436"/>
      <c r="J64" s="436"/>
      <c r="K64" s="316"/>
      <c r="L64" s="436"/>
      <c r="M64" s="436"/>
      <c r="N64" s="436"/>
      <c r="O64" s="436"/>
      <c r="P64" s="316"/>
      <c r="Q64" s="436"/>
      <c r="R64" s="436"/>
      <c r="S64" s="436"/>
      <c r="T64" s="436"/>
      <c r="U64" s="316"/>
      <c r="V64" s="436"/>
      <c r="W64" s="436"/>
      <c r="X64" s="436"/>
      <c r="Y64" s="436"/>
      <c r="Z64" s="436"/>
      <c r="AA64" s="316"/>
    </row>
    <row r="65" spans="1:27" ht="15" hidden="1" customHeight="1" outlineLevel="1" x14ac:dyDescent="0.45">
      <c r="D65" s="1019"/>
      <c r="E65" s="436"/>
      <c r="F65" s="316"/>
      <c r="G65" s="314"/>
      <c r="H65" s="436"/>
      <c r="I65" s="436"/>
      <c r="J65" s="436"/>
      <c r="K65" s="316"/>
      <c r="L65" s="436"/>
      <c r="M65" s="436"/>
      <c r="N65" s="436"/>
      <c r="O65" s="436"/>
      <c r="P65" s="316"/>
      <c r="Q65" s="436"/>
      <c r="R65" s="436"/>
      <c r="S65" s="436"/>
      <c r="T65" s="436"/>
      <c r="U65" s="316"/>
      <c r="V65" s="436"/>
      <c r="W65" s="436"/>
      <c r="X65" s="436"/>
      <c r="Y65" s="436"/>
      <c r="Z65" s="436"/>
      <c r="AA65" s="316"/>
    </row>
    <row r="66" spans="1:27" ht="15" hidden="1" customHeight="1" outlineLevel="1" x14ac:dyDescent="0.45">
      <c r="D66" s="1019"/>
      <c r="E66" s="436"/>
      <c r="F66" s="316"/>
      <c r="G66" s="314"/>
      <c r="H66" s="436"/>
      <c r="I66" s="436"/>
      <c r="J66" s="436"/>
      <c r="K66" s="316"/>
      <c r="L66" s="436"/>
      <c r="M66" s="436"/>
      <c r="N66" s="436"/>
      <c r="O66" s="436"/>
      <c r="P66" s="316"/>
      <c r="Q66" s="436"/>
      <c r="R66" s="436"/>
      <c r="S66" s="436"/>
      <c r="T66" s="436"/>
      <c r="U66" s="316"/>
      <c r="V66" s="436"/>
      <c r="W66" s="436"/>
      <c r="X66" s="436"/>
      <c r="Y66" s="436"/>
      <c r="Z66" s="436"/>
      <c r="AA66" s="316"/>
    </row>
    <row r="67" spans="1:27" ht="15" hidden="1" customHeight="1" outlineLevel="1" x14ac:dyDescent="0.45">
      <c r="D67" s="1019"/>
      <c r="E67" s="436"/>
      <c r="F67" s="316"/>
      <c r="G67" s="314"/>
      <c r="H67" s="436"/>
      <c r="I67" s="436"/>
      <c r="J67" s="436"/>
      <c r="K67" s="316"/>
      <c r="L67" s="436"/>
      <c r="M67" s="436"/>
      <c r="N67" s="436"/>
      <c r="O67" s="436"/>
      <c r="P67" s="316"/>
      <c r="Q67" s="436"/>
      <c r="R67" s="436"/>
      <c r="S67" s="436"/>
      <c r="T67" s="436"/>
      <c r="U67" s="316"/>
      <c r="V67" s="436"/>
      <c r="W67" s="436"/>
      <c r="X67" s="436"/>
      <c r="Y67" s="436"/>
      <c r="Z67" s="436"/>
      <c r="AA67" s="316"/>
    </row>
    <row r="68" spans="1:27" ht="15" hidden="1" customHeight="1" outlineLevel="1" x14ac:dyDescent="0.45">
      <c r="D68" s="1019"/>
      <c r="E68" s="436"/>
      <c r="F68" s="316"/>
      <c r="G68" s="314"/>
      <c r="H68" s="436"/>
      <c r="I68" s="436"/>
      <c r="J68" s="436"/>
      <c r="K68" s="316"/>
      <c r="L68" s="436"/>
      <c r="M68" s="436"/>
      <c r="N68" s="436"/>
      <c r="O68" s="436"/>
      <c r="P68" s="316"/>
      <c r="Q68" s="436"/>
      <c r="R68" s="436"/>
      <c r="S68" s="436"/>
      <c r="T68" s="436"/>
      <c r="U68" s="316"/>
      <c r="V68" s="436"/>
      <c r="W68" s="436"/>
      <c r="X68" s="436"/>
      <c r="Y68" s="436"/>
      <c r="Z68" s="436"/>
      <c r="AA68" s="316"/>
    </row>
    <row r="69" spans="1:27" ht="15" hidden="1" customHeight="1" outlineLevel="1" x14ac:dyDescent="0.45">
      <c r="D69" s="1019"/>
      <c r="E69" s="436"/>
      <c r="F69" s="316"/>
      <c r="G69" s="314"/>
      <c r="H69" s="436"/>
      <c r="I69" s="436"/>
      <c r="J69" s="436"/>
      <c r="K69" s="316"/>
      <c r="L69" s="436"/>
      <c r="M69" s="436"/>
      <c r="N69" s="436"/>
      <c r="O69" s="436"/>
      <c r="P69" s="316"/>
      <c r="Q69" s="436"/>
      <c r="R69" s="436"/>
      <c r="S69" s="436"/>
      <c r="T69" s="436"/>
      <c r="U69" s="316"/>
      <c r="V69" s="436"/>
      <c r="W69" s="436"/>
      <c r="X69" s="436"/>
      <c r="Y69" s="436"/>
      <c r="Z69" s="436"/>
      <c r="AA69" s="316"/>
    </row>
    <row r="70" spans="1:27" ht="15" hidden="1" customHeight="1" outlineLevel="1" x14ac:dyDescent="0.45">
      <c r="D70" s="1019"/>
      <c r="E70" s="436"/>
      <c r="F70" s="316"/>
      <c r="G70" s="314"/>
      <c r="H70" s="436"/>
      <c r="I70" s="436"/>
      <c r="J70" s="436"/>
      <c r="K70" s="316"/>
      <c r="L70" s="436"/>
      <c r="M70" s="436"/>
      <c r="N70" s="436"/>
      <c r="O70" s="436"/>
      <c r="P70" s="316"/>
      <c r="Q70" s="436"/>
      <c r="R70" s="436"/>
      <c r="S70" s="436"/>
      <c r="T70" s="436"/>
      <c r="U70" s="316"/>
      <c r="V70" s="436"/>
      <c r="W70" s="436"/>
      <c r="X70" s="436"/>
      <c r="Y70" s="436"/>
      <c r="Z70" s="436"/>
      <c r="AA70" s="316"/>
    </row>
    <row r="71" spans="1:27" ht="15" hidden="1" customHeight="1" outlineLevel="1" x14ac:dyDescent="0.45">
      <c r="D71" s="1019"/>
      <c r="E71" s="436"/>
      <c r="F71" s="316"/>
      <c r="G71" s="314"/>
      <c r="H71" s="436"/>
      <c r="I71" s="436"/>
      <c r="J71" s="436"/>
      <c r="K71" s="316"/>
      <c r="L71" s="436"/>
      <c r="M71" s="436"/>
      <c r="N71" s="436"/>
      <c r="O71" s="436"/>
      <c r="P71" s="316"/>
      <c r="Q71" s="436"/>
      <c r="R71" s="436"/>
      <c r="S71" s="436"/>
      <c r="T71" s="436"/>
      <c r="U71" s="316"/>
      <c r="V71" s="436"/>
      <c r="W71" s="436"/>
      <c r="X71" s="436"/>
      <c r="Y71" s="436"/>
      <c r="Z71" s="436"/>
      <c r="AA71" s="316"/>
    </row>
    <row r="72" spans="1:27" ht="15" hidden="1" customHeight="1" outlineLevel="1" x14ac:dyDescent="0.45">
      <c r="D72" s="1019"/>
      <c r="E72" s="436"/>
      <c r="F72" s="316"/>
      <c r="G72" s="314"/>
      <c r="H72" s="436"/>
      <c r="I72" s="436"/>
      <c r="J72" s="436"/>
      <c r="K72" s="316"/>
      <c r="L72" s="436"/>
      <c r="M72" s="436"/>
      <c r="N72" s="436"/>
      <c r="O72" s="436"/>
      <c r="P72" s="316"/>
      <c r="Q72" s="436"/>
      <c r="R72" s="436"/>
      <c r="S72" s="436"/>
      <c r="T72" s="436"/>
      <c r="U72" s="316"/>
      <c r="V72" s="436"/>
      <c r="W72" s="436"/>
      <c r="X72" s="436"/>
      <c r="Y72" s="436"/>
      <c r="Z72" s="436"/>
      <c r="AA72" s="316"/>
    </row>
    <row r="73" spans="1:27" ht="15" hidden="1" customHeight="1" outlineLevel="1" x14ac:dyDescent="0.45">
      <c r="D73" s="1019"/>
      <c r="E73" s="436"/>
      <c r="F73" s="316"/>
      <c r="G73" s="314"/>
      <c r="H73" s="436"/>
      <c r="I73" s="436"/>
      <c r="J73" s="436"/>
      <c r="K73" s="316"/>
      <c r="L73" s="436"/>
      <c r="M73" s="436"/>
      <c r="N73" s="436"/>
      <c r="O73" s="436"/>
      <c r="P73" s="316"/>
      <c r="Q73" s="436"/>
      <c r="R73" s="436"/>
      <c r="S73" s="436"/>
      <c r="T73" s="436"/>
      <c r="U73" s="316"/>
      <c r="V73" s="436"/>
      <c r="W73" s="436"/>
      <c r="X73" s="436"/>
      <c r="Y73" s="436"/>
      <c r="Z73" s="436"/>
      <c r="AA73" s="316"/>
    </row>
    <row r="74" spans="1:27" ht="15" customHeight="1" collapsed="1" thickBot="1" x14ac:dyDescent="0.5">
      <c r="D74" s="1019"/>
      <c r="E74" s="436"/>
      <c r="F74" s="316"/>
      <c r="G74" s="314"/>
      <c r="H74" s="436"/>
      <c r="I74" s="436"/>
      <c r="J74" s="436"/>
      <c r="K74" s="316"/>
      <c r="L74" s="436"/>
      <c r="M74" s="436"/>
      <c r="N74" s="436"/>
      <c r="O74" s="436"/>
      <c r="P74" s="316"/>
      <c r="Q74" s="436"/>
      <c r="R74" s="436"/>
      <c r="S74" s="436"/>
      <c r="T74" s="436"/>
      <c r="U74" s="316"/>
      <c r="V74" s="436"/>
      <c r="W74" s="436"/>
      <c r="X74" s="436"/>
      <c r="Y74" s="436"/>
      <c r="Z74" s="436"/>
      <c r="AA74" s="316"/>
    </row>
    <row r="75" spans="1:27" ht="15" customHeight="1" thickBot="1" x14ac:dyDescent="0.35">
      <c r="D75" s="157" t="s">
        <v>227</v>
      </c>
      <c r="E75" s="252">
        <f t="shared" ref="E75:X75" si="48">SUM(E60:E74)</f>
        <v>124016.58642731038</v>
      </c>
      <c r="F75" s="252">
        <f t="shared" si="48"/>
        <v>137194.58949473483</v>
      </c>
      <c r="G75" s="252">
        <f t="shared" si="48"/>
        <v>174987.72237939457</v>
      </c>
      <c r="H75" s="252">
        <f t="shared" si="48"/>
        <v>150557.36846893033</v>
      </c>
      <c r="I75" s="252">
        <f t="shared" si="48"/>
        <v>146171.36107999619</v>
      </c>
      <c r="J75" s="252">
        <f t="shared" si="48"/>
        <v>137322.8693240234</v>
      </c>
      <c r="K75" s="252">
        <f t="shared" si="48"/>
        <v>135037.52539158758</v>
      </c>
      <c r="L75" s="252">
        <f t="shared" si="48"/>
        <v>143612.57465228249</v>
      </c>
      <c r="M75" s="252">
        <f t="shared" si="48"/>
        <v>143612.57465228249</v>
      </c>
      <c r="N75" s="252">
        <f t="shared" si="48"/>
        <v>102610.40618639921</v>
      </c>
      <c r="O75" s="252">
        <f t="shared" si="48"/>
        <v>102751.86187468388</v>
      </c>
      <c r="P75" s="252">
        <f t="shared" si="48"/>
        <v>102751.86187468388</v>
      </c>
      <c r="Q75" s="252">
        <f t="shared" si="48"/>
        <v>102751.86187468388</v>
      </c>
      <c r="R75" s="252">
        <f t="shared" si="48"/>
        <v>102751.86187468388</v>
      </c>
      <c r="S75" s="252">
        <f t="shared" si="48"/>
        <v>102751.86187468388</v>
      </c>
      <c r="T75" s="252">
        <f t="shared" si="48"/>
        <v>102751.86187468388</v>
      </c>
      <c r="U75" s="252">
        <f t="shared" si="48"/>
        <v>102751.86187468388</v>
      </c>
      <c r="V75" s="252">
        <f t="shared" si="48"/>
        <v>102751.861874685</v>
      </c>
      <c r="W75" s="252">
        <f t="shared" si="48"/>
        <v>102751.86187468388</v>
      </c>
      <c r="X75" s="252">
        <f t="shared" si="48"/>
        <v>102751.86187468388</v>
      </c>
      <c r="Y75" s="252">
        <f t="shared" ref="Y75:AA75" si="49">SUM(Y60:Y74)</f>
        <v>102751.86187468388</v>
      </c>
      <c r="Z75" s="252">
        <f t="shared" si="49"/>
        <v>102751.86187468388</v>
      </c>
      <c r="AA75" s="253">
        <f t="shared" si="49"/>
        <v>102751.86187468388</v>
      </c>
    </row>
    <row r="76" spans="1:27" ht="11.25" customHeight="1" x14ac:dyDescent="0.3"/>
    <row r="77" spans="1:27" ht="12.75" x14ac:dyDescent="0.3">
      <c r="D77" s="798" t="s">
        <v>695</v>
      </c>
      <c r="E77" s="115">
        <v>124016.58642731038</v>
      </c>
      <c r="F77" s="115">
        <v>137194.58949473483</v>
      </c>
      <c r="G77" s="115">
        <v>174987.72237939457</v>
      </c>
      <c r="H77" s="115">
        <v>150557.36846893033</v>
      </c>
      <c r="I77" s="115">
        <v>146171.36107999619</v>
      </c>
      <c r="J77" s="115">
        <v>137322.8693240234</v>
      </c>
      <c r="K77" s="115">
        <v>135037.52539158758</v>
      </c>
      <c r="L77" s="115">
        <v>143612.57465228249</v>
      </c>
      <c r="M77" s="115">
        <v>143612.57465228249</v>
      </c>
      <c r="N77" s="115">
        <v>102610.40618639921</v>
      </c>
      <c r="O77" s="115">
        <v>102751.86187468388</v>
      </c>
      <c r="P77" s="115">
        <v>102751.86187468388</v>
      </c>
      <c r="Q77" s="115">
        <v>102751.86187468388</v>
      </c>
      <c r="R77" s="115">
        <v>102751.86187468388</v>
      </c>
      <c r="S77" s="115">
        <v>102751.86187468388</v>
      </c>
      <c r="T77" s="115">
        <v>102751.86187468388</v>
      </c>
      <c r="U77" s="115">
        <v>102751.86187468388</v>
      </c>
      <c r="V77" s="115">
        <v>102751.861874685</v>
      </c>
      <c r="W77" s="115">
        <v>102751.86187468388</v>
      </c>
      <c r="X77" s="115">
        <v>102751.86187468388</v>
      </c>
      <c r="Y77" s="115">
        <v>102751.86187468388</v>
      </c>
      <c r="Z77" s="115">
        <v>102751.86187468388</v>
      </c>
      <c r="AA77" s="115">
        <v>102751.86187468388</v>
      </c>
    </row>
    <row r="78" spans="1:27" ht="12.75" x14ac:dyDescent="0.3">
      <c r="A78" s="41">
        <f>IF(SUM($E78:$AA78)&gt;0,1,0)</f>
        <v>0</v>
      </c>
      <c r="D78" s="6" t="s">
        <v>84</v>
      </c>
      <c r="E78" s="62">
        <f>IF(ROUND(SUM(E75)-E77,3)&lt;&gt;0,1,0)</f>
        <v>0</v>
      </c>
      <c r="F78" s="62">
        <f t="shared" ref="F78:X78" si="50">IF(ROUND(SUM(F75)-F77,3)&lt;&gt;0,1,0)</f>
        <v>0</v>
      </c>
      <c r="G78" s="62">
        <f t="shared" si="50"/>
        <v>0</v>
      </c>
      <c r="H78" s="62">
        <f t="shared" si="50"/>
        <v>0</v>
      </c>
      <c r="I78" s="62">
        <f t="shared" si="50"/>
        <v>0</v>
      </c>
      <c r="J78" s="62">
        <f t="shared" si="50"/>
        <v>0</v>
      </c>
      <c r="K78" s="62">
        <f t="shared" si="50"/>
        <v>0</v>
      </c>
      <c r="L78" s="62">
        <f t="shared" si="50"/>
        <v>0</v>
      </c>
      <c r="M78" s="62">
        <f t="shared" si="50"/>
        <v>0</v>
      </c>
      <c r="N78" s="62">
        <f t="shared" si="50"/>
        <v>0</v>
      </c>
      <c r="O78" s="62">
        <f t="shared" si="50"/>
        <v>0</v>
      </c>
      <c r="P78" s="62">
        <f t="shared" si="50"/>
        <v>0</v>
      </c>
      <c r="Q78" s="62">
        <f t="shared" si="50"/>
        <v>0</v>
      </c>
      <c r="R78" s="62">
        <f t="shared" si="50"/>
        <v>0</v>
      </c>
      <c r="S78" s="62">
        <f t="shared" si="50"/>
        <v>0</v>
      </c>
      <c r="T78" s="62">
        <f t="shared" si="50"/>
        <v>0</v>
      </c>
      <c r="U78" s="62">
        <f t="shared" si="50"/>
        <v>0</v>
      </c>
      <c r="V78" s="62">
        <f t="shared" si="50"/>
        <v>0</v>
      </c>
      <c r="W78" s="62">
        <f t="shared" si="50"/>
        <v>0</v>
      </c>
      <c r="X78" s="62">
        <f t="shared" si="50"/>
        <v>0</v>
      </c>
      <c r="Y78" s="62">
        <f t="shared" ref="Y78" si="51">IF(ROUND(SUM(Y75)-Y77,3)&lt;&gt;0,1,0)</f>
        <v>0</v>
      </c>
      <c r="Z78" s="62">
        <f t="shared" ref="Z78" si="52">IF(ROUND(SUM(Z75)-Z77,3)&lt;&gt;0,1,0)</f>
        <v>0</v>
      </c>
      <c r="AA78" s="62">
        <f t="shared" ref="AA78" si="53">IF(ROUND(SUM(AA75)-AA77,3)&lt;&gt;0,1,0)</f>
        <v>0</v>
      </c>
    </row>
    <row r="79" spans="1:27" ht="12.75" x14ac:dyDescent="0.3">
      <c r="D79" s="6"/>
    </row>
    <row r="80" spans="1:27" s="46" customFormat="1" ht="15" x14ac:dyDescent="0.3">
      <c r="B80" s="46" t="s">
        <v>16</v>
      </c>
    </row>
  </sheetData>
  <mergeCells count="6">
    <mergeCell ref="E10:AA10"/>
    <mergeCell ref="E34:AA34"/>
    <mergeCell ref="E58:AA58"/>
    <mergeCell ref="D58:D59"/>
    <mergeCell ref="D34:D35"/>
    <mergeCell ref="D10:D11"/>
  </mergeCells>
  <conditionalFormatting sqref="B3">
    <cfRule type="cellIs" dxfId="167" priority="107" operator="notEqual">
      <formula>"No Errors Found"</formula>
    </cfRule>
  </conditionalFormatting>
  <conditionalFormatting sqref="F13:F26 K13:K26 P13:P26 U13:U26">
    <cfRule type="expression" dxfId="166" priority="104">
      <formula>(dms_FRCPlength_Num)&lt;5</formula>
    </cfRule>
  </conditionalFormatting>
  <conditionalFormatting sqref="E13:Z26">
    <cfRule type="expression" dxfId="165" priority="103" stopIfTrue="1">
      <formula>dms_0707_flag="no"</formula>
    </cfRule>
  </conditionalFormatting>
  <conditionalFormatting sqref="H12:J12 L12:O12 Q12:T12 V12:Z12">
    <cfRule type="expression" dxfId="164" priority="102">
      <formula>(dms_FRCPlength_Num)&lt;4</formula>
    </cfRule>
  </conditionalFormatting>
  <conditionalFormatting sqref="F12">
    <cfRule type="expression" dxfId="163" priority="101">
      <formula>(dms_FRCPlength_Num)&lt;5</formula>
    </cfRule>
  </conditionalFormatting>
  <conditionalFormatting sqref="E12:Z12">
    <cfRule type="expression" dxfId="162" priority="100" stopIfTrue="1">
      <formula>dms_0707_flag="no"</formula>
    </cfRule>
  </conditionalFormatting>
  <conditionalFormatting sqref="K12">
    <cfRule type="expression" dxfId="161" priority="91">
      <formula>(dms_FRCPlength_Num)&lt;5</formula>
    </cfRule>
  </conditionalFormatting>
  <conditionalFormatting sqref="P12">
    <cfRule type="expression" dxfId="160" priority="88">
      <formula>(dms_FRCPlength_Num)&lt;5</formula>
    </cfRule>
  </conditionalFormatting>
  <conditionalFormatting sqref="U12">
    <cfRule type="expression" dxfId="159" priority="85">
      <formula>(dms_FRCPlength_Num)&lt;5</formula>
    </cfRule>
  </conditionalFormatting>
  <conditionalFormatting sqref="D12:D26">
    <cfRule type="expression" dxfId="158" priority="36" stopIfTrue="1">
      <formula>dms_0707_flag="NO"</formula>
    </cfRule>
  </conditionalFormatting>
  <conditionalFormatting sqref="F37:F50 K37:K50 P37:P50 U37:U50">
    <cfRule type="expression" dxfId="157" priority="35">
      <formula>(dms_FRCPlength_Num)&lt;5</formula>
    </cfRule>
  </conditionalFormatting>
  <conditionalFormatting sqref="E37:Z50">
    <cfRule type="expression" dxfId="156" priority="34" stopIfTrue="1">
      <formula>dms_0707_flag="no"</formula>
    </cfRule>
  </conditionalFormatting>
  <conditionalFormatting sqref="H36:J36 L36:O36 Q36:T36 V36:Z36">
    <cfRule type="expression" dxfId="155" priority="33">
      <formula>(dms_FRCPlength_Num)&lt;4</formula>
    </cfRule>
  </conditionalFormatting>
  <conditionalFormatting sqref="F36">
    <cfRule type="expression" dxfId="154" priority="32">
      <formula>(dms_FRCPlength_Num)&lt;5</formula>
    </cfRule>
  </conditionalFormatting>
  <conditionalFormatting sqref="E36:Z36">
    <cfRule type="expression" dxfId="153" priority="31" stopIfTrue="1">
      <formula>dms_0707_flag="no"</formula>
    </cfRule>
  </conditionalFormatting>
  <conditionalFormatting sqref="K36">
    <cfRule type="expression" dxfId="152" priority="29">
      <formula>(dms_FRCPlength_Num)&lt;5</formula>
    </cfRule>
  </conditionalFormatting>
  <conditionalFormatting sqref="P36">
    <cfRule type="expression" dxfId="151" priority="28">
      <formula>(dms_FRCPlength_Num)&lt;5</formula>
    </cfRule>
  </conditionalFormatting>
  <conditionalFormatting sqref="U36">
    <cfRule type="expression" dxfId="150" priority="27">
      <formula>(dms_FRCPlength_Num)&lt;5</formula>
    </cfRule>
  </conditionalFormatting>
  <conditionalFormatting sqref="D36:D50">
    <cfRule type="expression" dxfId="149" priority="26" stopIfTrue="1">
      <formula>dms_0707_flag="NO"</formula>
    </cfRule>
  </conditionalFormatting>
  <conditionalFormatting sqref="F61:F74 K61:K74 P61:P74 U61:U74">
    <cfRule type="expression" dxfId="148" priority="25">
      <formula>(dms_FRCPlength_Num)&lt;5</formula>
    </cfRule>
  </conditionalFormatting>
  <conditionalFormatting sqref="E61:Z74">
    <cfRule type="expression" dxfId="147" priority="24" stopIfTrue="1">
      <formula>dms_0707_flag="no"</formula>
    </cfRule>
  </conditionalFormatting>
  <conditionalFormatting sqref="H60:J60 L60:O60 Q60:T60 V60:Z60">
    <cfRule type="expression" dxfId="146" priority="23">
      <formula>(dms_FRCPlength_Num)&lt;4</formula>
    </cfRule>
  </conditionalFormatting>
  <conditionalFormatting sqref="F60">
    <cfRule type="expression" dxfId="145" priority="22">
      <formula>(dms_FRCPlength_Num)&lt;5</formula>
    </cfRule>
  </conditionalFormatting>
  <conditionalFormatting sqref="E60:Z60">
    <cfRule type="expression" dxfId="144" priority="21" stopIfTrue="1">
      <formula>dms_0707_flag="no"</formula>
    </cfRule>
  </conditionalFormatting>
  <conditionalFormatting sqref="K60">
    <cfRule type="expression" dxfId="143" priority="19">
      <formula>(dms_FRCPlength_Num)&lt;5</formula>
    </cfRule>
  </conditionalFormatting>
  <conditionalFormatting sqref="P60">
    <cfRule type="expression" dxfId="142" priority="18">
      <formula>(dms_FRCPlength_Num)&lt;5</formula>
    </cfRule>
  </conditionalFormatting>
  <conditionalFormatting sqref="U60">
    <cfRule type="expression" dxfId="141" priority="17">
      <formula>(dms_FRCPlength_Num)&lt;5</formula>
    </cfRule>
  </conditionalFormatting>
  <conditionalFormatting sqref="D60:D74">
    <cfRule type="expression" dxfId="140" priority="16" stopIfTrue="1">
      <formula>dms_0707_flag="NO"</formula>
    </cfRule>
  </conditionalFormatting>
  <conditionalFormatting sqref="AA13:AA26">
    <cfRule type="expression" dxfId="139" priority="15">
      <formula>(dms_FRCPlength_Num)&lt;5</formula>
    </cfRule>
  </conditionalFormatting>
  <conditionalFormatting sqref="AA13:AA26">
    <cfRule type="expression" dxfId="138" priority="14" stopIfTrue="1">
      <formula>dms_0707_flag="no"</formula>
    </cfRule>
  </conditionalFormatting>
  <conditionalFormatting sqref="AA12">
    <cfRule type="expression" dxfId="137" priority="12" stopIfTrue="1">
      <formula>dms_0707_flag="no"</formula>
    </cfRule>
  </conditionalFormatting>
  <conditionalFormatting sqref="AA12">
    <cfRule type="expression" dxfId="136" priority="11">
      <formula>(dms_FRCPlength_Num)&lt;5</formula>
    </cfRule>
  </conditionalFormatting>
  <conditionalFormatting sqref="AA37:AA50">
    <cfRule type="expression" dxfId="135" priority="10">
      <formula>(dms_FRCPlength_Num)&lt;5</formula>
    </cfRule>
  </conditionalFormatting>
  <conditionalFormatting sqref="AA37:AA50">
    <cfRule type="expression" dxfId="134" priority="9" stopIfTrue="1">
      <formula>dms_0707_flag="no"</formula>
    </cfRule>
  </conditionalFormatting>
  <conditionalFormatting sqref="AA36">
    <cfRule type="expression" dxfId="133" priority="7" stopIfTrue="1">
      <formula>dms_0707_flag="no"</formula>
    </cfRule>
  </conditionalFormatting>
  <conditionalFormatting sqref="AA36">
    <cfRule type="expression" dxfId="132" priority="6">
      <formula>(dms_FRCPlength_Num)&lt;5</formula>
    </cfRule>
  </conditionalFormatting>
  <conditionalFormatting sqref="AA61:AA74">
    <cfRule type="expression" dxfId="131" priority="5">
      <formula>(dms_FRCPlength_Num)&lt;5</formula>
    </cfRule>
  </conditionalFormatting>
  <conditionalFormatting sqref="AA61:AA74">
    <cfRule type="expression" dxfId="130" priority="4" stopIfTrue="1">
      <formula>dms_0707_flag="no"</formula>
    </cfRule>
  </conditionalFormatting>
  <conditionalFormatting sqref="AA60">
    <cfRule type="expression" dxfId="129" priority="2" stopIfTrue="1">
      <formula>dms_0707_flag="no"</formula>
    </cfRule>
  </conditionalFormatting>
  <conditionalFormatting sqref="AA60">
    <cfRule type="expression" dxfId="128" priority="1">
      <formula>(dms_FRCPlength_Num)&lt;5</formula>
    </cfRule>
  </conditionalFormatting>
  <hyperlinks>
    <hyperlink ref="B2:D2" location="TOC!A1" display="TOC!A1" xr:uid="{3AE8FF11-9DEC-456A-92A0-8779A0614E4C}"/>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05B6-E519-44CD-88CF-EC94C81CB7C6}">
  <sheetPr codeName="Sheet49">
    <tabColor theme="4" tint="0.79998168889431442"/>
  </sheetPr>
  <dimension ref="A1:AA65"/>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54.83203125" style="45" customWidth="1"/>
    <col min="5" max="27" width="18.6640625" style="45" customWidth="1"/>
    <col min="28" max="30" width="10.6640625" style="45" customWidth="1"/>
    <col min="31" max="16384" width="9.33203125" style="45"/>
  </cols>
  <sheetData>
    <row r="1" spans="1:27" ht="18.75" x14ac:dyDescent="0.3">
      <c r="A1" s="41">
        <f>IF(SUM($A3:$A65)&gt;0,1,0)</f>
        <v>0</v>
      </c>
      <c r="B1" s="3" t="s">
        <v>1032</v>
      </c>
    </row>
    <row r="2" spans="1:27" customFormat="1" x14ac:dyDescent="0.3">
      <c r="B2" s="34" t="str">
        <f>TOC!$B$1</f>
        <v>Table of contents</v>
      </c>
      <c r="C2" s="34"/>
      <c r="D2" s="34"/>
    </row>
    <row r="3" spans="1:27" x14ac:dyDescent="0.3">
      <c r="B3" s="9" t="str">
        <f>Title_Msg</f>
        <v>No Errors Found</v>
      </c>
    </row>
    <row r="4" spans="1:27" s="46" customFormat="1" ht="15" x14ac:dyDescent="0.3">
      <c r="B4" s="46" t="str">
        <f>'WkB_1_2.1.1'!$B$4</f>
        <v>Data required to populate Power and Water Corporation 2024-29 regulatory submission</v>
      </c>
    </row>
    <row r="5" spans="1:27" ht="4.5" customHeight="1" x14ac:dyDescent="0.3"/>
    <row r="6" spans="1:27" s="7" customFormat="1" ht="13.9" x14ac:dyDescent="0.3">
      <c r="C6" s="7" t="s">
        <v>68</v>
      </c>
    </row>
    <row r="7" spans="1:27" ht="11.25" customHeight="1" thickBot="1" x14ac:dyDescent="0.35"/>
    <row r="8" spans="1:27" ht="16.5" customHeight="1" thickBot="1" x14ac:dyDescent="0.35">
      <c r="D8" s="855" t="s">
        <v>1036</v>
      </c>
      <c r="E8" s="325"/>
      <c r="F8" s="325"/>
      <c r="G8" s="325"/>
      <c r="H8" s="325"/>
      <c r="I8" s="325"/>
      <c r="J8" s="325"/>
      <c r="K8" s="325"/>
      <c r="L8" s="325"/>
      <c r="M8" s="325"/>
      <c r="N8" s="325"/>
      <c r="O8" s="325"/>
      <c r="P8" s="325"/>
      <c r="Q8" s="325"/>
      <c r="R8" s="325"/>
      <c r="S8" s="325"/>
      <c r="T8" s="325"/>
      <c r="U8" s="325"/>
      <c r="V8" s="325"/>
      <c r="W8" s="325"/>
      <c r="X8" s="325"/>
      <c r="Y8" s="325"/>
      <c r="Z8" s="325"/>
      <c r="AA8" s="325"/>
    </row>
    <row r="9" spans="1:27" ht="20.25" customHeight="1" thickBot="1" x14ac:dyDescent="0.35">
      <c r="D9" s="1015" t="s">
        <v>1037</v>
      </c>
      <c r="E9" s="309"/>
      <c r="F9" s="309"/>
      <c r="G9" s="309"/>
      <c r="H9" s="309"/>
      <c r="I9" s="309"/>
      <c r="J9" s="309"/>
      <c r="K9" s="309"/>
      <c r="L9" s="309"/>
      <c r="M9" s="309"/>
      <c r="N9" s="309"/>
      <c r="O9" s="309"/>
      <c r="P9" s="309"/>
      <c r="Q9" s="309"/>
      <c r="R9" s="309"/>
      <c r="S9" s="309"/>
      <c r="T9" s="309"/>
      <c r="U9" s="309"/>
      <c r="V9" s="309"/>
      <c r="W9" s="309"/>
      <c r="X9" s="309"/>
      <c r="Y9" s="309"/>
      <c r="Z9" s="309"/>
      <c r="AA9" s="310"/>
    </row>
    <row r="10" spans="1:27" ht="15.75" customHeight="1" thickBot="1" x14ac:dyDescent="0.35">
      <c r="D10" s="1101"/>
      <c r="E10" s="1098" t="s">
        <v>1035</v>
      </c>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100"/>
    </row>
    <row r="11" spans="1:27" ht="13.5" customHeight="1" thickBot="1" x14ac:dyDescent="0.35">
      <c r="D11" s="1101"/>
      <c r="E11" s="417" t="s">
        <v>70</v>
      </c>
      <c r="F11" s="418" t="s">
        <v>71</v>
      </c>
      <c r="G11" s="419" t="s">
        <v>72</v>
      </c>
      <c r="H11" s="420" t="s">
        <v>73</v>
      </c>
      <c r="I11" s="420" t="s">
        <v>74</v>
      </c>
      <c r="J11" s="420" t="s">
        <v>82</v>
      </c>
      <c r="K11" s="420" t="s">
        <v>243</v>
      </c>
      <c r="L11" s="420" t="s">
        <v>1008</v>
      </c>
      <c r="M11" s="420" t="s">
        <v>1009</v>
      </c>
      <c r="N11" s="420" t="s">
        <v>1010</v>
      </c>
      <c r="O11" s="420" t="s">
        <v>1011</v>
      </c>
      <c r="P11" s="420" t="s">
        <v>1012</v>
      </c>
      <c r="Q11" s="420" t="s">
        <v>1013</v>
      </c>
      <c r="R11" s="420" t="s">
        <v>1014</v>
      </c>
      <c r="S11" s="420" t="s">
        <v>1015</v>
      </c>
      <c r="T11" s="420" t="s">
        <v>1016</v>
      </c>
      <c r="U11" s="420" t="s">
        <v>1017</v>
      </c>
      <c r="V11" s="420" t="s">
        <v>1018</v>
      </c>
      <c r="W11" s="420" t="s">
        <v>1019</v>
      </c>
      <c r="X11" s="420" t="s">
        <v>1020</v>
      </c>
      <c r="Y11" s="420" t="s">
        <v>1040</v>
      </c>
      <c r="Z11" s="420" t="s">
        <v>1041</v>
      </c>
      <c r="AA11" s="421" t="s">
        <v>1042</v>
      </c>
    </row>
    <row r="12" spans="1:27" ht="15" customHeight="1" x14ac:dyDescent="0.45">
      <c r="D12" s="1018" t="s">
        <v>1033</v>
      </c>
      <c r="E12" s="449">
        <v>0</v>
      </c>
      <c r="F12" s="438">
        <v>0</v>
      </c>
      <c r="G12" s="311">
        <v>0</v>
      </c>
      <c r="H12" s="312">
        <v>0</v>
      </c>
      <c r="I12" s="312">
        <v>0</v>
      </c>
      <c r="J12" s="312">
        <v>0</v>
      </c>
      <c r="K12" s="438">
        <v>0</v>
      </c>
      <c r="L12" s="312">
        <v>0</v>
      </c>
      <c r="M12" s="312">
        <v>0</v>
      </c>
      <c r="N12" s="312">
        <v>0</v>
      </c>
      <c r="O12" s="312">
        <v>0</v>
      </c>
      <c r="P12" s="438">
        <v>0</v>
      </c>
      <c r="Q12" s="312">
        <v>0</v>
      </c>
      <c r="R12" s="312">
        <v>0</v>
      </c>
      <c r="S12" s="312">
        <v>0</v>
      </c>
      <c r="T12" s="312">
        <v>0</v>
      </c>
      <c r="U12" s="438">
        <v>0</v>
      </c>
      <c r="V12" s="312">
        <v>0</v>
      </c>
      <c r="W12" s="312">
        <v>0</v>
      </c>
      <c r="X12" s="312">
        <v>0</v>
      </c>
      <c r="Y12" s="312">
        <v>0</v>
      </c>
      <c r="Z12" s="438">
        <v>0</v>
      </c>
      <c r="AA12" s="438">
        <v>0</v>
      </c>
    </row>
    <row r="13" spans="1:27" ht="15" hidden="1" customHeight="1" outlineLevel="1" x14ac:dyDescent="0.45">
      <c r="D13" s="1019"/>
      <c r="E13" s="436"/>
      <c r="F13" s="316"/>
      <c r="G13" s="314"/>
      <c r="H13" s="436"/>
      <c r="I13" s="436"/>
      <c r="J13" s="436"/>
      <c r="K13" s="316"/>
      <c r="L13" s="436"/>
      <c r="M13" s="436"/>
      <c r="N13" s="436"/>
      <c r="O13" s="436"/>
      <c r="P13" s="316"/>
      <c r="Q13" s="436"/>
      <c r="R13" s="436"/>
      <c r="S13" s="436"/>
      <c r="T13" s="436"/>
      <c r="U13" s="316"/>
      <c r="V13" s="436"/>
      <c r="W13" s="436"/>
      <c r="X13" s="436"/>
      <c r="Y13" s="436"/>
      <c r="Z13" s="316"/>
      <c r="AA13" s="316"/>
    </row>
    <row r="14" spans="1:27" ht="15" hidden="1" customHeight="1" outlineLevel="1" x14ac:dyDescent="0.45">
      <c r="D14" s="1019"/>
      <c r="E14" s="436"/>
      <c r="F14" s="316"/>
      <c r="G14" s="314"/>
      <c r="H14" s="436"/>
      <c r="I14" s="436"/>
      <c r="J14" s="436"/>
      <c r="K14" s="316"/>
      <c r="L14" s="436"/>
      <c r="M14" s="436"/>
      <c r="N14" s="436"/>
      <c r="O14" s="436"/>
      <c r="P14" s="316"/>
      <c r="Q14" s="436"/>
      <c r="R14" s="436"/>
      <c r="S14" s="436"/>
      <c r="T14" s="436"/>
      <c r="U14" s="316"/>
      <c r="V14" s="436"/>
      <c r="W14" s="436"/>
      <c r="X14" s="436"/>
      <c r="Y14" s="436"/>
      <c r="Z14" s="316"/>
      <c r="AA14" s="316"/>
    </row>
    <row r="15" spans="1:27" ht="15" hidden="1" customHeight="1" outlineLevel="1" x14ac:dyDescent="0.45">
      <c r="D15" s="1019"/>
      <c r="E15" s="436"/>
      <c r="F15" s="316"/>
      <c r="G15" s="314"/>
      <c r="H15" s="436"/>
      <c r="I15" s="436"/>
      <c r="J15" s="436"/>
      <c r="K15" s="316"/>
      <c r="L15" s="436"/>
      <c r="M15" s="436"/>
      <c r="N15" s="436"/>
      <c r="O15" s="436"/>
      <c r="P15" s="316"/>
      <c r="Q15" s="436"/>
      <c r="R15" s="436"/>
      <c r="S15" s="436"/>
      <c r="T15" s="436"/>
      <c r="U15" s="316"/>
      <c r="V15" s="436"/>
      <c r="W15" s="436"/>
      <c r="X15" s="436"/>
      <c r="Y15" s="436"/>
      <c r="Z15" s="316"/>
      <c r="AA15" s="316"/>
    </row>
    <row r="16" spans="1:27" ht="15" hidden="1" customHeight="1" outlineLevel="1" x14ac:dyDescent="0.45">
      <c r="D16" s="1019"/>
      <c r="E16" s="436"/>
      <c r="F16" s="316"/>
      <c r="G16" s="314"/>
      <c r="H16" s="436"/>
      <c r="I16" s="436"/>
      <c r="J16" s="436"/>
      <c r="K16" s="316"/>
      <c r="L16" s="436"/>
      <c r="M16" s="436"/>
      <c r="N16" s="436"/>
      <c r="O16" s="436"/>
      <c r="P16" s="316"/>
      <c r="Q16" s="436"/>
      <c r="R16" s="436"/>
      <c r="S16" s="436"/>
      <c r="T16" s="436"/>
      <c r="U16" s="316"/>
      <c r="V16" s="436"/>
      <c r="W16" s="436"/>
      <c r="X16" s="436"/>
      <c r="Y16" s="436"/>
      <c r="Z16" s="316"/>
      <c r="AA16" s="316"/>
    </row>
    <row r="17" spans="1:27" ht="15" hidden="1" customHeight="1" outlineLevel="1" x14ac:dyDescent="0.45">
      <c r="D17" s="1019"/>
      <c r="E17" s="436"/>
      <c r="F17" s="316"/>
      <c r="G17" s="314"/>
      <c r="H17" s="436"/>
      <c r="I17" s="436"/>
      <c r="J17" s="436"/>
      <c r="K17" s="316"/>
      <c r="L17" s="436"/>
      <c r="M17" s="436"/>
      <c r="N17" s="436"/>
      <c r="O17" s="436"/>
      <c r="P17" s="316"/>
      <c r="Q17" s="436"/>
      <c r="R17" s="436"/>
      <c r="S17" s="436"/>
      <c r="T17" s="436"/>
      <c r="U17" s="316"/>
      <c r="V17" s="436"/>
      <c r="W17" s="436"/>
      <c r="X17" s="436"/>
      <c r="Y17" s="436"/>
      <c r="Z17" s="316"/>
      <c r="AA17" s="316"/>
    </row>
    <row r="18" spans="1:27" ht="15" hidden="1" customHeight="1" outlineLevel="1" x14ac:dyDescent="0.45">
      <c r="D18" s="1019"/>
      <c r="E18" s="436"/>
      <c r="F18" s="316"/>
      <c r="G18" s="314"/>
      <c r="H18" s="436"/>
      <c r="I18" s="436"/>
      <c r="J18" s="436"/>
      <c r="K18" s="316"/>
      <c r="L18" s="436"/>
      <c r="M18" s="436"/>
      <c r="N18" s="436"/>
      <c r="O18" s="436"/>
      <c r="P18" s="316"/>
      <c r="Q18" s="436"/>
      <c r="R18" s="436"/>
      <c r="S18" s="436"/>
      <c r="T18" s="436"/>
      <c r="U18" s="316"/>
      <c r="V18" s="436"/>
      <c r="W18" s="436"/>
      <c r="X18" s="436"/>
      <c r="Y18" s="436"/>
      <c r="Z18" s="316"/>
      <c r="AA18" s="316"/>
    </row>
    <row r="19" spans="1:27" ht="15" hidden="1" customHeight="1" outlineLevel="1" x14ac:dyDescent="0.45">
      <c r="D19" s="1019"/>
      <c r="E19" s="436"/>
      <c r="F19" s="316"/>
      <c r="G19" s="314"/>
      <c r="H19" s="436"/>
      <c r="I19" s="436"/>
      <c r="J19" s="436"/>
      <c r="K19" s="316"/>
      <c r="L19" s="436"/>
      <c r="M19" s="436"/>
      <c r="N19" s="436"/>
      <c r="O19" s="436"/>
      <c r="P19" s="316"/>
      <c r="Q19" s="436"/>
      <c r="R19" s="436"/>
      <c r="S19" s="436"/>
      <c r="T19" s="436"/>
      <c r="U19" s="316"/>
      <c r="V19" s="436"/>
      <c r="W19" s="436"/>
      <c r="X19" s="436"/>
      <c r="Y19" s="436"/>
      <c r="Z19" s="316"/>
      <c r="AA19" s="316"/>
    </row>
    <row r="20" spans="1:27" ht="15" hidden="1" customHeight="1" outlineLevel="1" x14ac:dyDescent="0.45">
      <c r="D20" s="1019"/>
      <c r="E20" s="436"/>
      <c r="F20" s="316"/>
      <c r="G20" s="314"/>
      <c r="H20" s="436"/>
      <c r="I20" s="436"/>
      <c r="J20" s="436"/>
      <c r="K20" s="316"/>
      <c r="L20" s="436"/>
      <c r="M20" s="436"/>
      <c r="N20" s="436"/>
      <c r="O20" s="436"/>
      <c r="P20" s="316"/>
      <c r="Q20" s="436"/>
      <c r="R20" s="436"/>
      <c r="S20" s="436"/>
      <c r="T20" s="436"/>
      <c r="U20" s="316"/>
      <c r="V20" s="436"/>
      <c r="W20" s="436"/>
      <c r="X20" s="436"/>
      <c r="Y20" s="436"/>
      <c r="Z20" s="316"/>
      <c r="AA20" s="316"/>
    </row>
    <row r="21" spans="1:27" ht="15" customHeight="1" collapsed="1" thickBot="1" x14ac:dyDescent="0.5">
      <c r="D21" s="1019"/>
      <c r="E21" s="436"/>
      <c r="F21" s="316"/>
      <c r="G21" s="314"/>
      <c r="H21" s="436"/>
      <c r="I21" s="436"/>
      <c r="J21" s="436"/>
      <c r="K21" s="316"/>
      <c r="L21" s="436"/>
      <c r="M21" s="436"/>
      <c r="N21" s="436"/>
      <c r="O21" s="436"/>
      <c r="P21" s="316"/>
      <c r="Q21" s="436"/>
      <c r="R21" s="436"/>
      <c r="S21" s="436"/>
      <c r="T21" s="436"/>
      <c r="U21" s="316"/>
      <c r="V21" s="436"/>
      <c r="W21" s="436"/>
      <c r="X21" s="436"/>
      <c r="Y21" s="436"/>
      <c r="Z21" s="316"/>
      <c r="AA21" s="316"/>
    </row>
    <row r="22" spans="1:27" ht="15" customHeight="1" thickBot="1" x14ac:dyDescent="0.35">
      <c r="D22" s="157" t="s">
        <v>1034</v>
      </c>
      <c r="E22" s="252">
        <f>SUM(E12:E21)</f>
        <v>0</v>
      </c>
      <c r="F22" s="252">
        <f t="shared" ref="F22" si="0">SUM(F12:F21)</f>
        <v>0</v>
      </c>
      <c r="G22" s="252">
        <f t="shared" ref="G22" si="1">SUM(G12:G21)</f>
        <v>0</v>
      </c>
      <c r="H22" s="252">
        <f t="shared" ref="H22" si="2">SUM(H12:H21)</f>
        <v>0</v>
      </c>
      <c r="I22" s="252">
        <f t="shared" ref="I22" si="3">SUM(I12:I21)</f>
        <v>0</v>
      </c>
      <c r="J22" s="252">
        <f t="shared" ref="J22" si="4">SUM(J12:J21)</f>
        <v>0</v>
      </c>
      <c r="K22" s="252">
        <f t="shared" ref="K22" si="5">SUM(K12:K21)</f>
        <v>0</v>
      </c>
      <c r="L22" s="252">
        <f t="shared" ref="L22" si="6">SUM(L12:L21)</f>
        <v>0</v>
      </c>
      <c r="M22" s="252">
        <f t="shared" ref="M22" si="7">SUM(M12:M21)</f>
        <v>0</v>
      </c>
      <c r="N22" s="252">
        <f t="shared" ref="N22" si="8">SUM(N12:N21)</f>
        <v>0</v>
      </c>
      <c r="O22" s="252">
        <f t="shared" ref="O22" si="9">SUM(O12:O21)</f>
        <v>0</v>
      </c>
      <c r="P22" s="252">
        <f t="shared" ref="P22" si="10">SUM(P12:P21)</f>
        <v>0</v>
      </c>
      <c r="Q22" s="252">
        <f t="shared" ref="Q22" si="11">SUM(Q12:Q21)</f>
        <v>0</v>
      </c>
      <c r="R22" s="252">
        <f t="shared" ref="R22" si="12">SUM(R12:R21)</f>
        <v>0</v>
      </c>
      <c r="S22" s="252">
        <f t="shared" ref="S22" si="13">SUM(S12:S21)</f>
        <v>0</v>
      </c>
      <c r="T22" s="252">
        <f t="shared" ref="T22" si="14">SUM(T12:T21)</f>
        <v>0</v>
      </c>
      <c r="U22" s="252">
        <f t="shared" ref="U22" si="15">SUM(U12:U21)</f>
        <v>0</v>
      </c>
      <c r="V22" s="252">
        <f t="shared" ref="V22" si="16">SUM(V12:V21)</f>
        <v>0</v>
      </c>
      <c r="W22" s="252">
        <f t="shared" ref="W22" si="17">SUM(W12:W21)</f>
        <v>0</v>
      </c>
      <c r="X22" s="252">
        <f t="shared" ref="X22" si="18">SUM(X12:X21)</f>
        <v>0</v>
      </c>
      <c r="Y22" s="252">
        <f t="shared" ref="Y22" si="19">SUM(Y12:Y21)</f>
        <v>0</v>
      </c>
      <c r="Z22" s="252">
        <f t="shared" ref="Z22" si="20">SUM(Z12:Z21)</f>
        <v>0</v>
      </c>
      <c r="AA22" s="252">
        <f t="shared" ref="AA22" si="21">SUM(AA12:AA21)</f>
        <v>0</v>
      </c>
    </row>
    <row r="23" spans="1:27" ht="11.25" customHeight="1" x14ac:dyDescent="0.3"/>
    <row r="24" spans="1:27" ht="12.75" x14ac:dyDescent="0.3">
      <c r="D24" s="798" t="s">
        <v>695</v>
      </c>
      <c r="E24" s="115">
        <v>0</v>
      </c>
      <c r="F24" s="115">
        <v>0</v>
      </c>
      <c r="G24" s="115">
        <v>0</v>
      </c>
      <c r="H24" s="115">
        <v>0</v>
      </c>
      <c r="I24" s="115">
        <v>0</v>
      </c>
      <c r="J24" s="115">
        <v>0</v>
      </c>
      <c r="K24" s="115">
        <v>0</v>
      </c>
      <c r="L24" s="115">
        <v>0</v>
      </c>
      <c r="M24" s="115">
        <v>0</v>
      </c>
      <c r="N24" s="115">
        <v>0</v>
      </c>
      <c r="O24" s="115">
        <v>0</v>
      </c>
      <c r="P24" s="115">
        <v>0</v>
      </c>
      <c r="Q24" s="115">
        <v>0</v>
      </c>
      <c r="R24" s="115">
        <v>0</v>
      </c>
      <c r="S24" s="115">
        <v>0</v>
      </c>
      <c r="T24" s="115">
        <v>0</v>
      </c>
      <c r="U24" s="115">
        <v>0</v>
      </c>
      <c r="V24" s="115">
        <v>0</v>
      </c>
      <c r="W24" s="115">
        <v>0</v>
      </c>
      <c r="X24" s="115">
        <v>0</v>
      </c>
      <c r="Y24" s="115">
        <v>0</v>
      </c>
      <c r="Z24" s="115">
        <v>0</v>
      </c>
      <c r="AA24" s="115">
        <v>0</v>
      </c>
    </row>
    <row r="25" spans="1:27" ht="12.75" x14ac:dyDescent="0.3">
      <c r="A25" s="41">
        <f>IF(SUM($E25:$AA25)&gt;0,1,0)</f>
        <v>0</v>
      </c>
      <c r="D25" s="6" t="s">
        <v>84</v>
      </c>
      <c r="E25" s="62">
        <f>IF(ROUND(SUM(E22)-E24,3)&lt;&gt;0,1,0)</f>
        <v>0</v>
      </c>
      <c r="F25" s="62">
        <f t="shared" ref="F25:X25" si="22">IF(ROUND(SUM(F22)-F24,3)&lt;&gt;0,1,0)</f>
        <v>0</v>
      </c>
      <c r="G25" s="62">
        <f t="shared" si="22"/>
        <v>0</v>
      </c>
      <c r="H25" s="62">
        <f t="shared" si="22"/>
        <v>0</v>
      </c>
      <c r="I25" s="62">
        <f t="shared" si="22"/>
        <v>0</v>
      </c>
      <c r="J25" s="62">
        <f t="shared" si="22"/>
        <v>0</v>
      </c>
      <c r="K25" s="62">
        <f t="shared" si="22"/>
        <v>0</v>
      </c>
      <c r="L25" s="62">
        <f t="shared" si="22"/>
        <v>0</v>
      </c>
      <c r="M25" s="62">
        <f t="shared" si="22"/>
        <v>0</v>
      </c>
      <c r="N25" s="62">
        <f t="shared" si="22"/>
        <v>0</v>
      </c>
      <c r="O25" s="62">
        <f t="shared" si="22"/>
        <v>0</v>
      </c>
      <c r="P25" s="62">
        <f t="shared" si="22"/>
        <v>0</v>
      </c>
      <c r="Q25" s="62">
        <f t="shared" si="22"/>
        <v>0</v>
      </c>
      <c r="R25" s="62">
        <f t="shared" si="22"/>
        <v>0</v>
      </c>
      <c r="S25" s="62">
        <f t="shared" si="22"/>
        <v>0</v>
      </c>
      <c r="T25" s="62">
        <f t="shared" si="22"/>
        <v>0</v>
      </c>
      <c r="U25" s="62">
        <f t="shared" si="22"/>
        <v>0</v>
      </c>
      <c r="V25" s="62">
        <f t="shared" si="22"/>
        <v>0</v>
      </c>
      <c r="W25" s="62">
        <f t="shared" si="22"/>
        <v>0</v>
      </c>
      <c r="X25" s="62">
        <f t="shared" si="22"/>
        <v>0</v>
      </c>
      <c r="Y25" s="62">
        <f t="shared" ref="Y25" si="23">IF(ROUND(SUM(Y22)-Y24,3)&lt;&gt;0,1,0)</f>
        <v>0</v>
      </c>
      <c r="Z25" s="62">
        <f t="shared" ref="Z25" si="24">IF(ROUND(SUM(Z22)-Z24,3)&lt;&gt;0,1,0)</f>
        <v>0</v>
      </c>
      <c r="AA25" s="62">
        <f t="shared" ref="AA25" si="25">IF(ROUND(SUM(AA22)-AA24,3)&lt;&gt;0,1,0)</f>
        <v>0</v>
      </c>
    </row>
    <row r="26" spans="1:27" ht="11.25" customHeight="1" x14ac:dyDescent="0.3">
      <c r="D26" s="6"/>
    </row>
    <row r="27" spans="1:27" ht="11.25" customHeight="1" thickBot="1" x14ac:dyDescent="0.35"/>
    <row r="28" spans="1:27" ht="20.25" customHeight="1" thickBot="1" x14ac:dyDescent="0.35">
      <c r="D28" s="1015" t="s">
        <v>1038</v>
      </c>
      <c r="E28" s="309"/>
      <c r="F28" s="309"/>
      <c r="G28" s="309"/>
      <c r="H28" s="309"/>
      <c r="I28" s="309"/>
      <c r="J28" s="309"/>
      <c r="K28" s="309"/>
      <c r="L28" s="309"/>
      <c r="M28" s="309"/>
      <c r="N28" s="309"/>
      <c r="O28" s="309"/>
      <c r="P28" s="309"/>
      <c r="Q28" s="309"/>
      <c r="R28" s="309"/>
      <c r="S28" s="309"/>
      <c r="T28" s="309"/>
      <c r="U28" s="309"/>
      <c r="V28" s="309"/>
      <c r="W28" s="309"/>
      <c r="X28" s="309"/>
      <c r="Y28" s="309"/>
      <c r="Z28" s="309"/>
      <c r="AA28" s="310"/>
    </row>
    <row r="29" spans="1:27" ht="15.75" customHeight="1" thickBot="1" x14ac:dyDescent="0.35">
      <c r="D29" s="1101"/>
      <c r="E29" s="1098" t="s">
        <v>1035</v>
      </c>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100"/>
    </row>
    <row r="30" spans="1:27" ht="13.5" customHeight="1" thickBot="1" x14ac:dyDescent="0.35">
      <c r="D30" s="1101"/>
      <c r="E30" s="417" t="s">
        <v>70</v>
      </c>
      <c r="F30" s="418" t="s">
        <v>71</v>
      </c>
      <c r="G30" s="419" t="s">
        <v>72</v>
      </c>
      <c r="H30" s="420" t="s">
        <v>73</v>
      </c>
      <c r="I30" s="420" t="s">
        <v>74</v>
      </c>
      <c r="J30" s="420" t="s">
        <v>82</v>
      </c>
      <c r="K30" s="420" t="s">
        <v>243</v>
      </c>
      <c r="L30" s="420" t="s">
        <v>1008</v>
      </c>
      <c r="M30" s="420" t="s">
        <v>1009</v>
      </c>
      <c r="N30" s="420" t="s">
        <v>1010</v>
      </c>
      <c r="O30" s="420" t="s">
        <v>1011</v>
      </c>
      <c r="P30" s="420" t="s">
        <v>1012</v>
      </c>
      <c r="Q30" s="420" t="s">
        <v>1013</v>
      </c>
      <c r="R30" s="420" t="s">
        <v>1014</v>
      </c>
      <c r="S30" s="420" t="s">
        <v>1015</v>
      </c>
      <c r="T30" s="420" t="s">
        <v>1016</v>
      </c>
      <c r="U30" s="420" t="s">
        <v>1017</v>
      </c>
      <c r="V30" s="420" t="s">
        <v>1018</v>
      </c>
      <c r="W30" s="420" t="s">
        <v>1019</v>
      </c>
      <c r="X30" s="420" t="s">
        <v>1020</v>
      </c>
      <c r="Y30" s="420" t="s">
        <v>1040</v>
      </c>
      <c r="Z30" s="420" t="s">
        <v>1041</v>
      </c>
      <c r="AA30" s="421" t="s">
        <v>1042</v>
      </c>
    </row>
    <row r="31" spans="1:27" ht="15" customHeight="1" x14ac:dyDescent="0.45">
      <c r="D31" s="1018" t="s">
        <v>1033</v>
      </c>
      <c r="E31" s="449">
        <v>103.45708574202202</v>
      </c>
      <c r="F31" s="438">
        <v>108.29728244815</v>
      </c>
      <c r="G31" s="311">
        <v>111.38778852143535</v>
      </c>
      <c r="H31" s="312">
        <v>115.20332767172945</v>
      </c>
      <c r="I31" s="312">
        <v>118.49595591823483</v>
      </c>
      <c r="J31" s="312">
        <v>120.90322313439914</v>
      </c>
      <c r="K31" s="438">
        <v>122.90390410192101</v>
      </c>
      <c r="L31" s="312">
        <v>125.0465432383868</v>
      </c>
      <c r="M31" s="312">
        <v>127.25797454534145</v>
      </c>
      <c r="N31" s="312">
        <v>129.42172739511696</v>
      </c>
      <c r="O31" s="312">
        <v>131.58846313093707</v>
      </c>
      <c r="P31" s="438">
        <v>133.75519886675718</v>
      </c>
      <c r="Q31" s="312">
        <v>135.92193460257729</v>
      </c>
      <c r="R31" s="312">
        <v>138.08867033839741</v>
      </c>
      <c r="S31" s="312">
        <v>140.25540607421749</v>
      </c>
      <c r="T31" s="312">
        <v>142.4221418100376</v>
      </c>
      <c r="U31" s="438">
        <v>144.58887754585771</v>
      </c>
      <c r="V31" s="312">
        <v>146.75561328167782</v>
      </c>
      <c r="W31" s="312">
        <v>148.92234901749794</v>
      </c>
      <c r="X31" s="312">
        <v>151.08908475331802</v>
      </c>
      <c r="Y31" s="312">
        <v>153.25582048913813</v>
      </c>
      <c r="Z31" s="438">
        <v>155.42255622495824</v>
      </c>
      <c r="AA31" s="438">
        <v>157.58929196077835</v>
      </c>
    </row>
    <row r="32" spans="1:27" ht="15" hidden="1" customHeight="1" outlineLevel="1" x14ac:dyDescent="0.45">
      <c r="D32" s="1019"/>
      <c r="E32" s="436"/>
      <c r="F32" s="316"/>
      <c r="G32" s="314"/>
      <c r="H32" s="436"/>
      <c r="I32" s="436"/>
      <c r="J32" s="436"/>
      <c r="K32" s="316"/>
      <c r="L32" s="436"/>
      <c r="M32" s="436"/>
      <c r="N32" s="436"/>
      <c r="O32" s="436"/>
      <c r="P32" s="316"/>
      <c r="Q32" s="436"/>
      <c r="R32" s="436"/>
      <c r="S32" s="436"/>
      <c r="T32" s="436"/>
      <c r="U32" s="316"/>
      <c r="V32" s="436"/>
      <c r="W32" s="436"/>
      <c r="X32" s="436"/>
      <c r="Y32" s="436"/>
      <c r="Z32" s="316"/>
      <c r="AA32" s="316"/>
    </row>
    <row r="33" spans="1:27" ht="15" hidden="1" customHeight="1" outlineLevel="1" x14ac:dyDescent="0.45">
      <c r="D33" s="1019"/>
      <c r="E33" s="436"/>
      <c r="F33" s="316"/>
      <c r="G33" s="314"/>
      <c r="H33" s="436"/>
      <c r="I33" s="436"/>
      <c r="J33" s="436"/>
      <c r="K33" s="316"/>
      <c r="L33" s="436"/>
      <c r="M33" s="436"/>
      <c r="N33" s="436"/>
      <c r="O33" s="436"/>
      <c r="P33" s="316"/>
      <c r="Q33" s="436"/>
      <c r="R33" s="436"/>
      <c r="S33" s="436"/>
      <c r="T33" s="436"/>
      <c r="U33" s="316"/>
      <c r="V33" s="436"/>
      <c r="W33" s="436"/>
      <c r="X33" s="436"/>
      <c r="Y33" s="436"/>
      <c r="Z33" s="316"/>
      <c r="AA33" s="316"/>
    </row>
    <row r="34" spans="1:27" ht="15" hidden="1" customHeight="1" outlineLevel="1" x14ac:dyDescent="0.45">
      <c r="D34" s="1019"/>
      <c r="E34" s="436"/>
      <c r="F34" s="316"/>
      <c r="G34" s="314"/>
      <c r="H34" s="436"/>
      <c r="I34" s="436"/>
      <c r="J34" s="436"/>
      <c r="K34" s="316"/>
      <c r="L34" s="436"/>
      <c r="M34" s="436"/>
      <c r="N34" s="436"/>
      <c r="O34" s="436"/>
      <c r="P34" s="316"/>
      <c r="Q34" s="436"/>
      <c r="R34" s="436"/>
      <c r="S34" s="436"/>
      <c r="T34" s="436"/>
      <c r="U34" s="316"/>
      <c r="V34" s="436"/>
      <c r="W34" s="436"/>
      <c r="X34" s="436"/>
      <c r="Y34" s="436"/>
      <c r="Z34" s="316"/>
      <c r="AA34" s="316"/>
    </row>
    <row r="35" spans="1:27" ht="15" hidden="1" customHeight="1" outlineLevel="1" x14ac:dyDescent="0.45">
      <c r="D35" s="1019"/>
      <c r="E35" s="436"/>
      <c r="F35" s="316"/>
      <c r="G35" s="314"/>
      <c r="H35" s="436"/>
      <c r="I35" s="436"/>
      <c r="J35" s="436"/>
      <c r="K35" s="316"/>
      <c r="L35" s="436"/>
      <c r="M35" s="436"/>
      <c r="N35" s="436"/>
      <c r="O35" s="436"/>
      <c r="P35" s="316"/>
      <c r="Q35" s="436"/>
      <c r="R35" s="436"/>
      <c r="S35" s="436"/>
      <c r="T35" s="436"/>
      <c r="U35" s="316"/>
      <c r="V35" s="436"/>
      <c r="W35" s="436"/>
      <c r="X35" s="436"/>
      <c r="Y35" s="436"/>
      <c r="Z35" s="316"/>
      <c r="AA35" s="316"/>
    </row>
    <row r="36" spans="1:27" ht="15" hidden="1" customHeight="1" outlineLevel="1" x14ac:dyDescent="0.45">
      <c r="D36" s="1019"/>
      <c r="E36" s="436"/>
      <c r="F36" s="316"/>
      <c r="G36" s="314"/>
      <c r="H36" s="436"/>
      <c r="I36" s="436"/>
      <c r="J36" s="436"/>
      <c r="K36" s="316"/>
      <c r="L36" s="436"/>
      <c r="M36" s="436"/>
      <c r="N36" s="436"/>
      <c r="O36" s="436"/>
      <c r="P36" s="316"/>
      <c r="Q36" s="436"/>
      <c r="R36" s="436"/>
      <c r="S36" s="436"/>
      <c r="T36" s="436"/>
      <c r="U36" s="316"/>
      <c r="V36" s="436"/>
      <c r="W36" s="436"/>
      <c r="X36" s="436"/>
      <c r="Y36" s="436"/>
      <c r="Z36" s="316"/>
      <c r="AA36" s="316"/>
    </row>
    <row r="37" spans="1:27" ht="15" hidden="1" customHeight="1" outlineLevel="1" x14ac:dyDescent="0.45">
      <c r="D37" s="1019"/>
      <c r="E37" s="436"/>
      <c r="F37" s="316"/>
      <c r="G37" s="314"/>
      <c r="H37" s="436"/>
      <c r="I37" s="436"/>
      <c r="J37" s="436"/>
      <c r="K37" s="316"/>
      <c r="L37" s="436"/>
      <c r="M37" s="436"/>
      <c r="N37" s="436"/>
      <c r="O37" s="436"/>
      <c r="P37" s="316"/>
      <c r="Q37" s="436"/>
      <c r="R37" s="436"/>
      <c r="S37" s="436"/>
      <c r="T37" s="436"/>
      <c r="U37" s="316"/>
      <c r="V37" s="436"/>
      <c r="W37" s="436"/>
      <c r="X37" s="436"/>
      <c r="Y37" s="436"/>
      <c r="Z37" s="316"/>
      <c r="AA37" s="316"/>
    </row>
    <row r="38" spans="1:27" ht="15" hidden="1" customHeight="1" outlineLevel="1" x14ac:dyDescent="0.45">
      <c r="D38" s="1019"/>
      <c r="E38" s="436"/>
      <c r="F38" s="316"/>
      <c r="G38" s="314"/>
      <c r="H38" s="436"/>
      <c r="I38" s="436"/>
      <c r="J38" s="436"/>
      <c r="K38" s="316"/>
      <c r="L38" s="436"/>
      <c r="M38" s="436"/>
      <c r="N38" s="436"/>
      <c r="O38" s="436"/>
      <c r="P38" s="316"/>
      <c r="Q38" s="436"/>
      <c r="R38" s="436"/>
      <c r="S38" s="436"/>
      <c r="T38" s="436"/>
      <c r="U38" s="316"/>
      <c r="V38" s="436"/>
      <c r="W38" s="436"/>
      <c r="X38" s="436"/>
      <c r="Y38" s="436"/>
      <c r="Z38" s="316"/>
      <c r="AA38" s="316"/>
    </row>
    <row r="39" spans="1:27" ht="15" hidden="1" customHeight="1" outlineLevel="1" x14ac:dyDescent="0.45">
      <c r="D39" s="1019"/>
      <c r="E39" s="436"/>
      <c r="F39" s="316"/>
      <c r="G39" s="314"/>
      <c r="H39" s="436"/>
      <c r="I39" s="436"/>
      <c r="J39" s="436"/>
      <c r="K39" s="316"/>
      <c r="L39" s="436"/>
      <c r="M39" s="436"/>
      <c r="N39" s="436"/>
      <c r="O39" s="436"/>
      <c r="P39" s="316"/>
      <c r="Q39" s="436"/>
      <c r="R39" s="436"/>
      <c r="S39" s="436"/>
      <c r="T39" s="436"/>
      <c r="U39" s="316"/>
      <c r="V39" s="436"/>
      <c r="W39" s="436"/>
      <c r="X39" s="436"/>
      <c r="Y39" s="436"/>
      <c r="Z39" s="316"/>
      <c r="AA39" s="316"/>
    </row>
    <row r="40" spans="1:27" ht="15" customHeight="1" collapsed="1" thickBot="1" x14ac:dyDescent="0.5">
      <c r="D40" s="1019"/>
      <c r="E40" s="436"/>
      <c r="F40" s="316"/>
      <c r="G40" s="314"/>
      <c r="H40" s="436"/>
      <c r="I40" s="436"/>
      <c r="J40" s="436"/>
      <c r="K40" s="316"/>
      <c r="L40" s="436"/>
      <c r="M40" s="436"/>
      <c r="N40" s="436"/>
      <c r="O40" s="436"/>
      <c r="P40" s="316"/>
      <c r="Q40" s="436"/>
      <c r="R40" s="436"/>
      <c r="S40" s="436"/>
      <c r="T40" s="436"/>
      <c r="U40" s="316"/>
      <c r="V40" s="436"/>
      <c r="W40" s="436"/>
      <c r="X40" s="436"/>
      <c r="Y40" s="436"/>
      <c r="Z40" s="316"/>
      <c r="AA40" s="316"/>
    </row>
    <row r="41" spans="1:27" ht="15" customHeight="1" thickBot="1" x14ac:dyDescent="0.35">
      <c r="D41" s="157" t="s">
        <v>1034</v>
      </c>
      <c r="E41" s="252">
        <f>SUM(E31:E40)</f>
        <v>103.45708574202202</v>
      </c>
      <c r="F41" s="252">
        <f t="shared" ref="F41:AA41" si="26">SUM(F31:F40)</f>
        <v>108.29728244815</v>
      </c>
      <c r="G41" s="252">
        <f t="shared" si="26"/>
        <v>111.38778852143535</v>
      </c>
      <c r="H41" s="252">
        <f t="shared" si="26"/>
        <v>115.20332767172945</v>
      </c>
      <c r="I41" s="252">
        <f t="shared" si="26"/>
        <v>118.49595591823483</v>
      </c>
      <c r="J41" s="252">
        <f t="shared" si="26"/>
        <v>120.90322313439914</v>
      </c>
      <c r="K41" s="252">
        <f t="shared" si="26"/>
        <v>122.90390410192101</v>
      </c>
      <c r="L41" s="252">
        <f t="shared" si="26"/>
        <v>125.0465432383868</v>
      </c>
      <c r="M41" s="252">
        <f t="shared" si="26"/>
        <v>127.25797454534145</v>
      </c>
      <c r="N41" s="252">
        <f t="shared" si="26"/>
        <v>129.42172739511696</v>
      </c>
      <c r="O41" s="252">
        <f t="shared" si="26"/>
        <v>131.58846313093707</v>
      </c>
      <c r="P41" s="252">
        <f t="shared" si="26"/>
        <v>133.75519886675718</v>
      </c>
      <c r="Q41" s="252">
        <f t="shared" si="26"/>
        <v>135.92193460257729</v>
      </c>
      <c r="R41" s="252">
        <f t="shared" si="26"/>
        <v>138.08867033839741</v>
      </c>
      <c r="S41" s="252">
        <f t="shared" si="26"/>
        <v>140.25540607421749</v>
      </c>
      <c r="T41" s="252">
        <f t="shared" si="26"/>
        <v>142.4221418100376</v>
      </c>
      <c r="U41" s="252">
        <f t="shared" si="26"/>
        <v>144.58887754585771</v>
      </c>
      <c r="V41" s="252">
        <f t="shared" si="26"/>
        <v>146.75561328167782</v>
      </c>
      <c r="W41" s="252">
        <f t="shared" si="26"/>
        <v>148.92234901749794</v>
      </c>
      <c r="X41" s="252">
        <f t="shared" si="26"/>
        <v>151.08908475331802</v>
      </c>
      <c r="Y41" s="252">
        <f t="shared" si="26"/>
        <v>153.25582048913813</v>
      </c>
      <c r="Z41" s="252">
        <f t="shared" si="26"/>
        <v>155.42255622495824</v>
      </c>
      <c r="AA41" s="253">
        <f t="shared" si="26"/>
        <v>157.58929196077835</v>
      </c>
    </row>
    <row r="42" spans="1:27" ht="11.25" customHeight="1" x14ac:dyDescent="0.3"/>
    <row r="43" spans="1:27" ht="12.75" x14ac:dyDescent="0.3">
      <c r="D43" s="798" t="s">
        <v>695</v>
      </c>
      <c r="E43" s="115">
        <v>103.45708574202202</v>
      </c>
      <c r="F43" s="115">
        <v>108.29728244815</v>
      </c>
      <c r="G43" s="115">
        <v>111.38778852143535</v>
      </c>
      <c r="H43" s="115">
        <v>115.20332767172945</v>
      </c>
      <c r="I43" s="115">
        <v>118.49595591823483</v>
      </c>
      <c r="J43" s="115">
        <v>120.90322313439914</v>
      </c>
      <c r="K43" s="115">
        <v>122.90390410192101</v>
      </c>
      <c r="L43" s="115">
        <v>125.0465432383868</v>
      </c>
      <c r="M43" s="115">
        <v>127.25797454534145</v>
      </c>
      <c r="N43" s="115">
        <v>129.42172739511696</v>
      </c>
      <c r="O43" s="115">
        <v>131.58846313093707</v>
      </c>
      <c r="P43" s="115">
        <v>133.75519886675718</v>
      </c>
      <c r="Q43" s="115">
        <v>135.92193460257729</v>
      </c>
      <c r="R43" s="115">
        <v>138.08867033839741</v>
      </c>
      <c r="S43" s="115">
        <v>140.25540607421749</v>
      </c>
      <c r="T43" s="115">
        <v>142.4221418100376</v>
      </c>
      <c r="U43" s="115">
        <v>144.58887754585771</v>
      </c>
      <c r="V43" s="115">
        <v>146.75561328167782</v>
      </c>
      <c r="W43" s="115">
        <v>148.92234901749794</v>
      </c>
      <c r="X43" s="115">
        <v>151.08908475331802</v>
      </c>
      <c r="Y43" s="115">
        <v>153.25582048913813</v>
      </c>
      <c r="Z43" s="115">
        <v>155.42255622495824</v>
      </c>
      <c r="AA43" s="115">
        <v>157.58929196077835</v>
      </c>
    </row>
    <row r="44" spans="1:27" ht="12.75" x14ac:dyDescent="0.3">
      <c r="A44" s="41">
        <f>IF(SUM($E44:$AA44)&gt;0,1,0)</f>
        <v>0</v>
      </c>
      <c r="D44" s="6" t="s">
        <v>84</v>
      </c>
      <c r="E44" s="62">
        <f>IF(ROUND(SUM(E41)-E43,3)&lt;&gt;0,1,0)</f>
        <v>0</v>
      </c>
      <c r="F44" s="62">
        <f t="shared" ref="F44:X44" si="27">IF(ROUND(SUM(F41)-F43,3)&lt;&gt;0,1,0)</f>
        <v>0</v>
      </c>
      <c r="G44" s="62">
        <f t="shared" si="27"/>
        <v>0</v>
      </c>
      <c r="H44" s="62">
        <f t="shared" si="27"/>
        <v>0</v>
      </c>
      <c r="I44" s="62">
        <f t="shared" si="27"/>
        <v>0</v>
      </c>
      <c r="J44" s="62">
        <f t="shared" si="27"/>
        <v>0</v>
      </c>
      <c r="K44" s="62">
        <f t="shared" si="27"/>
        <v>0</v>
      </c>
      <c r="L44" s="62">
        <f t="shared" si="27"/>
        <v>0</v>
      </c>
      <c r="M44" s="62">
        <f t="shared" si="27"/>
        <v>0</v>
      </c>
      <c r="N44" s="62">
        <f t="shared" si="27"/>
        <v>0</v>
      </c>
      <c r="O44" s="62">
        <f t="shared" si="27"/>
        <v>0</v>
      </c>
      <c r="P44" s="62">
        <f t="shared" si="27"/>
        <v>0</v>
      </c>
      <c r="Q44" s="62">
        <f t="shared" si="27"/>
        <v>0</v>
      </c>
      <c r="R44" s="62">
        <f t="shared" si="27"/>
        <v>0</v>
      </c>
      <c r="S44" s="62">
        <f t="shared" si="27"/>
        <v>0</v>
      </c>
      <c r="T44" s="62">
        <f t="shared" si="27"/>
        <v>0</v>
      </c>
      <c r="U44" s="62">
        <f t="shared" si="27"/>
        <v>0</v>
      </c>
      <c r="V44" s="62">
        <f t="shared" si="27"/>
        <v>0</v>
      </c>
      <c r="W44" s="62">
        <f t="shared" si="27"/>
        <v>0</v>
      </c>
      <c r="X44" s="62">
        <f t="shared" si="27"/>
        <v>0</v>
      </c>
      <c r="Y44" s="62">
        <f t="shared" ref="Y44" si="28">IF(ROUND(SUM(Y41)-Y43,3)&lt;&gt;0,1,0)</f>
        <v>0</v>
      </c>
      <c r="Z44" s="62">
        <f t="shared" ref="Z44" si="29">IF(ROUND(SUM(Z41)-Z43,3)&lt;&gt;0,1,0)</f>
        <v>0</v>
      </c>
      <c r="AA44" s="62">
        <f t="shared" ref="AA44" si="30">IF(ROUND(SUM(AA41)-AA43,3)&lt;&gt;0,1,0)</f>
        <v>0</v>
      </c>
    </row>
    <row r="45" spans="1:27" ht="11.25" customHeight="1" x14ac:dyDescent="0.3">
      <c r="D45" s="6"/>
    </row>
    <row r="46" spans="1:27" ht="11.25" customHeight="1" thickBot="1" x14ac:dyDescent="0.35"/>
    <row r="47" spans="1:27" ht="20.25" customHeight="1" thickBot="1" x14ac:dyDescent="0.35">
      <c r="D47" s="1015" t="s">
        <v>1039</v>
      </c>
      <c r="E47" s="309"/>
      <c r="F47" s="309"/>
      <c r="G47" s="309"/>
      <c r="H47" s="309"/>
      <c r="I47" s="309"/>
      <c r="J47" s="309"/>
      <c r="K47" s="309"/>
      <c r="L47" s="309"/>
      <c r="M47" s="309"/>
      <c r="N47" s="309"/>
      <c r="O47" s="309"/>
      <c r="P47" s="309"/>
      <c r="Q47" s="309"/>
      <c r="R47" s="309"/>
      <c r="S47" s="309"/>
      <c r="T47" s="309"/>
      <c r="U47" s="309"/>
      <c r="V47" s="309"/>
      <c r="W47" s="309"/>
      <c r="X47" s="309"/>
      <c r="Y47" s="309"/>
      <c r="Z47" s="309"/>
      <c r="AA47" s="310"/>
    </row>
    <row r="48" spans="1:27" ht="15.75" customHeight="1" thickBot="1" x14ac:dyDescent="0.35">
      <c r="D48" s="1101"/>
      <c r="E48" s="1098" t="s">
        <v>1035</v>
      </c>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100"/>
    </row>
    <row r="49" spans="1:27" ht="13.5" customHeight="1" thickBot="1" x14ac:dyDescent="0.35">
      <c r="D49" s="1101"/>
      <c r="E49" s="417" t="s">
        <v>70</v>
      </c>
      <c r="F49" s="418" t="s">
        <v>71</v>
      </c>
      <c r="G49" s="419" t="s">
        <v>72</v>
      </c>
      <c r="H49" s="420" t="s">
        <v>73</v>
      </c>
      <c r="I49" s="420" t="s">
        <v>74</v>
      </c>
      <c r="J49" s="420" t="s">
        <v>82</v>
      </c>
      <c r="K49" s="420" t="s">
        <v>243</v>
      </c>
      <c r="L49" s="420" t="s">
        <v>1008</v>
      </c>
      <c r="M49" s="420" t="s">
        <v>1009</v>
      </c>
      <c r="N49" s="420" t="s">
        <v>1010</v>
      </c>
      <c r="O49" s="420" t="s">
        <v>1011</v>
      </c>
      <c r="P49" s="420" t="s">
        <v>1012</v>
      </c>
      <c r="Q49" s="420" t="s">
        <v>1013</v>
      </c>
      <c r="R49" s="420" t="s">
        <v>1014</v>
      </c>
      <c r="S49" s="420" t="s">
        <v>1015</v>
      </c>
      <c r="T49" s="420" t="s">
        <v>1016</v>
      </c>
      <c r="U49" s="420" t="s">
        <v>1017</v>
      </c>
      <c r="V49" s="420" t="s">
        <v>1018</v>
      </c>
      <c r="W49" s="420" t="s">
        <v>1019</v>
      </c>
      <c r="X49" s="420" t="s">
        <v>1020</v>
      </c>
      <c r="Y49" s="420" t="s">
        <v>1040</v>
      </c>
      <c r="Z49" s="420" t="s">
        <v>1041</v>
      </c>
      <c r="AA49" s="421" t="s">
        <v>1042</v>
      </c>
    </row>
    <row r="50" spans="1:27" ht="15" customHeight="1" x14ac:dyDescent="0.45">
      <c r="D50" s="1018" t="s">
        <v>1033</v>
      </c>
      <c r="E50" s="449">
        <v>248.09517779225632</v>
      </c>
      <c r="F50" s="438">
        <v>259.70220744850116</v>
      </c>
      <c r="G50" s="311">
        <v>267.11339294846493</v>
      </c>
      <c r="H50" s="312">
        <v>276.26324341135143</v>
      </c>
      <c r="I50" s="312">
        <v>284.15912781947708</v>
      </c>
      <c r="J50" s="312">
        <v>289.93187295050654</v>
      </c>
      <c r="K50" s="438">
        <v>294.72960426859754</v>
      </c>
      <c r="L50" s="312">
        <v>299.86775825479873</v>
      </c>
      <c r="M50" s="312">
        <v>305.17087924780992</v>
      </c>
      <c r="N50" s="312">
        <v>310.35966495652542</v>
      </c>
      <c r="O50" s="312">
        <v>315.55560377262123</v>
      </c>
      <c r="P50" s="438">
        <v>320.75154258871703</v>
      </c>
      <c r="Q50" s="312">
        <v>325.94748140481283</v>
      </c>
      <c r="R50" s="312">
        <v>331.14342022090864</v>
      </c>
      <c r="S50" s="312">
        <v>336.33935903700444</v>
      </c>
      <c r="T50" s="312">
        <v>341.53529785310025</v>
      </c>
      <c r="U50" s="438">
        <v>346.73123666919605</v>
      </c>
      <c r="V50" s="312">
        <v>351.92717548529191</v>
      </c>
      <c r="W50" s="312">
        <v>357.12311430138772</v>
      </c>
      <c r="X50" s="312">
        <v>362.31905311748352</v>
      </c>
      <c r="Y50" s="312">
        <v>367.51499193357932</v>
      </c>
      <c r="Z50" s="438">
        <v>372.71093074967513</v>
      </c>
      <c r="AA50" s="438">
        <v>377.90686956577093</v>
      </c>
    </row>
    <row r="51" spans="1:27" ht="15" hidden="1" customHeight="1" outlineLevel="1" x14ac:dyDescent="0.45">
      <c r="D51" s="1019"/>
      <c r="E51" s="436"/>
      <c r="F51" s="316"/>
      <c r="G51" s="314"/>
      <c r="H51" s="436"/>
      <c r="I51" s="436"/>
      <c r="J51" s="436"/>
      <c r="K51" s="316"/>
      <c r="L51" s="436"/>
      <c r="M51" s="436"/>
      <c r="N51" s="436"/>
      <c r="O51" s="436"/>
      <c r="P51" s="316"/>
      <c r="Q51" s="436"/>
      <c r="R51" s="436"/>
      <c r="S51" s="436"/>
      <c r="T51" s="436"/>
      <c r="U51" s="316"/>
      <c r="V51" s="436"/>
      <c r="W51" s="436"/>
      <c r="X51" s="436"/>
      <c r="Y51" s="436"/>
      <c r="Z51" s="316"/>
      <c r="AA51" s="316"/>
    </row>
    <row r="52" spans="1:27" ht="15" hidden="1" customHeight="1" outlineLevel="1" x14ac:dyDescent="0.45">
      <c r="D52" s="1019"/>
      <c r="E52" s="436"/>
      <c r="F52" s="316"/>
      <c r="G52" s="314"/>
      <c r="H52" s="436"/>
      <c r="I52" s="436"/>
      <c r="J52" s="436"/>
      <c r="K52" s="316"/>
      <c r="L52" s="436"/>
      <c r="M52" s="436"/>
      <c r="N52" s="436"/>
      <c r="O52" s="436"/>
      <c r="P52" s="316"/>
      <c r="Q52" s="436"/>
      <c r="R52" s="436"/>
      <c r="S52" s="436"/>
      <c r="T52" s="436"/>
      <c r="U52" s="316"/>
      <c r="V52" s="436"/>
      <c r="W52" s="436"/>
      <c r="X52" s="436"/>
      <c r="Y52" s="436"/>
      <c r="Z52" s="316"/>
      <c r="AA52" s="316"/>
    </row>
    <row r="53" spans="1:27" ht="15" hidden="1" customHeight="1" outlineLevel="1" x14ac:dyDescent="0.45">
      <c r="D53" s="1019"/>
      <c r="E53" s="436"/>
      <c r="F53" s="316"/>
      <c r="G53" s="314"/>
      <c r="H53" s="436"/>
      <c r="I53" s="436"/>
      <c r="J53" s="436"/>
      <c r="K53" s="316"/>
      <c r="L53" s="436"/>
      <c r="M53" s="436"/>
      <c r="N53" s="436"/>
      <c r="O53" s="436"/>
      <c r="P53" s="316"/>
      <c r="Q53" s="436"/>
      <c r="R53" s="436"/>
      <c r="S53" s="436"/>
      <c r="T53" s="436"/>
      <c r="U53" s="316"/>
      <c r="V53" s="436"/>
      <c r="W53" s="436"/>
      <c r="X53" s="436"/>
      <c r="Y53" s="436"/>
      <c r="Z53" s="316"/>
      <c r="AA53" s="316"/>
    </row>
    <row r="54" spans="1:27" ht="15" hidden="1" customHeight="1" outlineLevel="1" x14ac:dyDescent="0.45">
      <c r="D54" s="1019"/>
      <c r="E54" s="436"/>
      <c r="F54" s="316"/>
      <c r="G54" s="314"/>
      <c r="H54" s="436"/>
      <c r="I54" s="436"/>
      <c r="J54" s="436"/>
      <c r="K54" s="316"/>
      <c r="L54" s="436"/>
      <c r="M54" s="436"/>
      <c r="N54" s="436"/>
      <c r="O54" s="436"/>
      <c r="P54" s="316"/>
      <c r="Q54" s="436"/>
      <c r="R54" s="436"/>
      <c r="S54" s="436"/>
      <c r="T54" s="436"/>
      <c r="U54" s="316"/>
      <c r="V54" s="436"/>
      <c r="W54" s="436"/>
      <c r="X54" s="436"/>
      <c r="Y54" s="436"/>
      <c r="Z54" s="316"/>
      <c r="AA54" s="316"/>
    </row>
    <row r="55" spans="1:27" ht="15" hidden="1" customHeight="1" outlineLevel="1" x14ac:dyDescent="0.45">
      <c r="D55" s="1019"/>
      <c r="E55" s="436"/>
      <c r="F55" s="316"/>
      <c r="G55" s="314"/>
      <c r="H55" s="436"/>
      <c r="I55" s="436"/>
      <c r="J55" s="436"/>
      <c r="K55" s="316"/>
      <c r="L55" s="436"/>
      <c r="M55" s="436"/>
      <c r="N55" s="436"/>
      <c r="O55" s="436"/>
      <c r="P55" s="316"/>
      <c r="Q55" s="436"/>
      <c r="R55" s="436"/>
      <c r="S55" s="436"/>
      <c r="T55" s="436"/>
      <c r="U55" s="316"/>
      <c r="V55" s="436"/>
      <c r="W55" s="436"/>
      <c r="X55" s="436"/>
      <c r="Y55" s="436"/>
      <c r="Z55" s="316"/>
      <c r="AA55" s="316"/>
    </row>
    <row r="56" spans="1:27" ht="15" hidden="1" customHeight="1" outlineLevel="1" x14ac:dyDescent="0.45">
      <c r="D56" s="1019"/>
      <c r="E56" s="436"/>
      <c r="F56" s="316"/>
      <c r="G56" s="314"/>
      <c r="H56" s="436"/>
      <c r="I56" s="436"/>
      <c r="J56" s="436"/>
      <c r="K56" s="316"/>
      <c r="L56" s="436"/>
      <c r="M56" s="436"/>
      <c r="N56" s="436"/>
      <c r="O56" s="436"/>
      <c r="P56" s="316"/>
      <c r="Q56" s="436"/>
      <c r="R56" s="436"/>
      <c r="S56" s="436"/>
      <c r="T56" s="436"/>
      <c r="U56" s="316"/>
      <c r="V56" s="436"/>
      <c r="W56" s="436"/>
      <c r="X56" s="436"/>
      <c r="Y56" s="436"/>
      <c r="Z56" s="316"/>
      <c r="AA56" s="316"/>
    </row>
    <row r="57" spans="1:27" ht="15" hidden="1" customHeight="1" outlineLevel="1" x14ac:dyDescent="0.45">
      <c r="D57" s="1019"/>
      <c r="E57" s="436"/>
      <c r="F57" s="316"/>
      <c r="G57" s="314"/>
      <c r="H57" s="436"/>
      <c r="I57" s="436"/>
      <c r="J57" s="436"/>
      <c r="K57" s="316"/>
      <c r="L57" s="436"/>
      <c r="M57" s="436"/>
      <c r="N57" s="436"/>
      <c r="O57" s="436"/>
      <c r="P57" s="316"/>
      <c r="Q57" s="436"/>
      <c r="R57" s="436"/>
      <c r="S57" s="436"/>
      <c r="T57" s="436"/>
      <c r="U57" s="316"/>
      <c r="V57" s="436"/>
      <c r="W57" s="436"/>
      <c r="X57" s="436"/>
      <c r="Y57" s="436"/>
      <c r="Z57" s="316"/>
      <c r="AA57" s="316"/>
    </row>
    <row r="58" spans="1:27" ht="15" hidden="1" customHeight="1" outlineLevel="1" x14ac:dyDescent="0.45">
      <c r="D58" s="1019"/>
      <c r="E58" s="436"/>
      <c r="F58" s="316"/>
      <c r="G58" s="314"/>
      <c r="H58" s="436"/>
      <c r="I58" s="436"/>
      <c r="J58" s="436"/>
      <c r="K58" s="316"/>
      <c r="L58" s="436"/>
      <c r="M58" s="436"/>
      <c r="N58" s="436"/>
      <c r="O58" s="436"/>
      <c r="P58" s="316"/>
      <c r="Q58" s="436"/>
      <c r="R58" s="436"/>
      <c r="S58" s="436"/>
      <c r="T58" s="436"/>
      <c r="U58" s="316"/>
      <c r="V58" s="436"/>
      <c r="W58" s="436"/>
      <c r="X58" s="436"/>
      <c r="Y58" s="436"/>
      <c r="Z58" s="316"/>
      <c r="AA58" s="316"/>
    </row>
    <row r="59" spans="1:27" ht="15" customHeight="1" collapsed="1" thickBot="1" x14ac:dyDescent="0.5">
      <c r="D59" s="1019"/>
      <c r="E59" s="436"/>
      <c r="F59" s="316"/>
      <c r="G59" s="314"/>
      <c r="H59" s="436"/>
      <c r="I59" s="436"/>
      <c r="J59" s="436"/>
      <c r="K59" s="316"/>
      <c r="L59" s="436"/>
      <c r="M59" s="436"/>
      <c r="N59" s="436"/>
      <c r="O59" s="436"/>
      <c r="P59" s="316"/>
      <c r="Q59" s="436"/>
      <c r="R59" s="436"/>
      <c r="S59" s="436"/>
      <c r="T59" s="436"/>
      <c r="U59" s="316"/>
      <c r="V59" s="436"/>
      <c r="W59" s="436"/>
      <c r="X59" s="436"/>
      <c r="Y59" s="436"/>
      <c r="Z59" s="316"/>
      <c r="AA59" s="316"/>
    </row>
    <row r="60" spans="1:27" ht="15" customHeight="1" thickBot="1" x14ac:dyDescent="0.35">
      <c r="D60" s="157" t="s">
        <v>1034</v>
      </c>
      <c r="E60" s="252">
        <f>SUM(E50:E59)</f>
        <v>248.09517779225632</v>
      </c>
      <c r="F60" s="252">
        <f t="shared" ref="F60" si="31">SUM(F50:F59)</f>
        <v>259.70220744850116</v>
      </c>
      <c r="G60" s="252">
        <f t="shared" ref="G60" si="32">SUM(G50:G59)</f>
        <v>267.11339294846493</v>
      </c>
      <c r="H60" s="252">
        <f t="shared" ref="H60" si="33">SUM(H50:H59)</f>
        <v>276.26324341135143</v>
      </c>
      <c r="I60" s="252">
        <f t="shared" ref="I60" si="34">SUM(I50:I59)</f>
        <v>284.15912781947708</v>
      </c>
      <c r="J60" s="252">
        <f t="shared" ref="J60" si="35">SUM(J50:J59)</f>
        <v>289.93187295050654</v>
      </c>
      <c r="K60" s="252">
        <f t="shared" ref="K60" si="36">SUM(K50:K59)</f>
        <v>294.72960426859754</v>
      </c>
      <c r="L60" s="252">
        <f t="shared" ref="L60" si="37">SUM(L50:L59)</f>
        <v>299.86775825479873</v>
      </c>
      <c r="M60" s="252">
        <f t="shared" ref="M60" si="38">SUM(M50:M59)</f>
        <v>305.17087924780992</v>
      </c>
      <c r="N60" s="252">
        <f t="shared" ref="N60" si="39">SUM(N50:N59)</f>
        <v>310.35966495652542</v>
      </c>
      <c r="O60" s="252">
        <f t="shared" ref="O60" si="40">SUM(O50:O59)</f>
        <v>315.55560377262123</v>
      </c>
      <c r="P60" s="252">
        <f t="shared" ref="P60" si="41">SUM(P50:P59)</f>
        <v>320.75154258871703</v>
      </c>
      <c r="Q60" s="252">
        <f t="shared" ref="Q60" si="42">SUM(Q50:Q59)</f>
        <v>325.94748140481283</v>
      </c>
      <c r="R60" s="252">
        <f t="shared" ref="R60" si="43">SUM(R50:R59)</f>
        <v>331.14342022090864</v>
      </c>
      <c r="S60" s="252">
        <f t="shared" ref="S60" si="44">SUM(S50:S59)</f>
        <v>336.33935903700444</v>
      </c>
      <c r="T60" s="252">
        <f t="shared" ref="T60" si="45">SUM(T50:T59)</f>
        <v>341.53529785310025</v>
      </c>
      <c r="U60" s="252">
        <f t="shared" ref="U60" si="46">SUM(U50:U59)</f>
        <v>346.73123666919605</v>
      </c>
      <c r="V60" s="252">
        <f t="shared" ref="V60" si="47">SUM(V50:V59)</f>
        <v>351.92717548529191</v>
      </c>
      <c r="W60" s="252">
        <f t="shared" ref="W60" si="48">SUM(W50:W59)</f>
        <v>357.12311430138772</v>
      </c>
      <c r="X60" s="253">
        <f t="shared" ref="X60" si="49">SUM(X50:X59)</f>
        <v>362.31905311748352</v>
      </c>
      <c r="Y60" s="252">
        <f t="shared" ref="Y60" si="50">SUM(Y50:Y59)</f>
        <v>367.51499193357932</v>
      </c>
      <c r="Z60" s="252">
        <f t="shared" ref="Z60" si="51">SUM(Z50:Z59)</f>
        <v>372.71093074967513</v>
      </c>
      <c r="AA60" s="253">
        <f t="shared" ref="AA60" si="52">SUM(AA50:AA59)</f>
        <v>377.90686956577093</v>
      </c>
    </row>
    <row r="61" spans="1:27" ht="11.25" customHeight="1" x14ac:dyDescent="0.3"/>
    <row r="62" spans="1:27" ht="12.75" x14ac:dyDescent="0.3">
      <c r="D62" s="798" t="s">
        <v>695</v>
      </c>
      <c r="E62" s="115">
        <v>248.09517779225632</v>
      </c>
      <c r="F62" s="115">
        <v>259.70220744850116</v>
      </c>
      <c r="G62" s="115">
        <v>267.11339294846493</v>
      </c>
      <c r="H62" s="115">
        <v>276.26324341135143</v>
      </c>
      <c r="I62" s="115">
        <v>284.15912781947708</v>
      </c>
      <c r="J62" s="115">
        <v>289.93187295050654</v>
      </c>
      <c r="K62" s="115">
        <v>294.72960426859754</v>
      </c>
      <c r="L62" s="115">
        <v>299.86775825479873</v>
      </c>
      <c r="M62" s="115">
        <v>305.17087924780992</v>
      </c>
      <c r="N62" s="115">
        <v>310.35966495652542</v>
      </c>
      <c r="O62" s="115">
        <v>315.55560377262123</v>
      </c>
      <c r="P62" s="115">
        <v>320.75154258871703</v>
      </c>
      <c r="Q62" s="115">
        <v>325.94748140481283</v>
      </c>
      <c r="R62" s="115">
        <v>331.14342022090864</v>
      </c>
      <c r="S62" s="115">
        <v>336.33935903700444</v>
      </c>
      <c r="T62" s="115">
        <v>341.53529785310025</v>
      </c>
      <c r="U62" s="115">
        <v>346.73123666919605</v>
      </c>
      <c r="V62" s="115">
        <v>351.92717548529191</v>
      </c>
      <c r="W62" s="115">
        <v>357.12311430138772</v>
      </c>
      <c r="X62" s="115">
        <v>362.31905311748352</v>
      </c>
      <c r="Y62" s="115">
        <v>367.51499193357932</v>
      </c>
      <c r="Z62" s="115">
        <v>372.71093074967513</v>
      </c>
      <c r="AA62" s="115">
        <v>377.90686956577093</v>
      </c>
    </row>
    <row r="63" spans="1:27" ht="12.75" x14ac:dyDescent="0.3">
      <c r="A63" s="41">
        <f>IF(SUM($E63:$AA63)&gt;0,1,0)</f>
        <v>0</v>
      </c>
      <c r="D63" s="6" t="s">
        <v>84</v>
      </c>
      <c r="E63" s="62">
        <f>IF(ROUND(SUM(E60)-E62,3)&lt;&gt;0,1,0)</f>
        <v>0</v>
      </c>
      <c r="F63" s="62">
        <f t="shared" ref="F63:X63" si="53">IF(ROUND(SUM(F60)-F62,3)&lt;&gt;0,1,0)</f>
        <v>0</v>
      </c>
      <c r="G63" s="62">
        <f t="shared" si="53"/>
        <v>0</v>
      </c>
      <c r="H63" s="62">
        <f t="shared" si="53"/>
        <v>0</v>
      </c>
      <c r="I63" s="62">
        <f t="shared" si="53"/>
        <v>0</v>
      </c>
      <c r="J63" s="62">
        <f t="shared" si="53"/>
        <v>0</v>
      </c>
      <c r="K63" s="62">
        <f t="shared" si="53"/>
        <v>0</v>
      </c>
      <c r="L63" s="62">
        <f t="shared" si="53"/>
        <v>0</v>
      </c>
      <c r="M63" s="62">
        <f t="shared" si="53"/>
        <v>0</v>
      </c>
      <c r="N63" s="62">
        <f t="shared" si="53"/>
        <v>0</v>
      </c>
      <c r="O63" s="62">
        <f t="shared" si="53"/>
        <v>0</v>
      </c>
      <c r="P63" s="62">
        <f t="shared" si="53"/>
        <v>0</v>
      </c>
      <c r="Q63" s="62">
        <f t="shared" si="53"/>
        <v>0</v>
      </c>
      <c r="R63" s="62">
        <f t="shared" si="53"/>
        <v>0</v>
      </c>
      <c r="S63" s="62">
        <f t="shared" si="53"/>
        <v>0</v>
      </c>
      <c r="T63" s="62">
        <f t="shared" si="53"/>
        <v>0</v>
      </c>
      <c r="U63" s="62">
        <f t="shared" si="53"/>
        <v>0</v>
      </c>
      <c r="V63" s="62">
        <f t="shared" si="53"/>
        <v>0</v>
      </c>
      <c r="W63" s="62">
        <f t="shared" si="53"/>
        <v>0</v>
      </c>
      <c r="X63" s="62">
        <f t="shared" si="53"/>
        <v>0</v>
      </c>
      <c r="Y63" s="62">
        <f t="shared" ref="Y63" si="54">IF(ROUND(SUM(Y60)-Y62,3)&lt;&gt;0,1,0)</f>
        <v>0</v>
      </c>
      <c r="Z63" s="62">
        <f t="shared" ref="Z63" si="55">IF(ROUND(SUM(Z60)-Z62,3)&lt;&gt;0,1,0)</f>
        <v>0</v>
      </c>
      <c r="AA63" s="62">
        <f t="shared" ref="AA63" si="56">IF(ROUND(SUM(AA60)-AA62,3)&lt;&gt;0,1,0)</f>
        <v>0</v>
      </c>
    </row>
    <row r="64" spans="1:27" ht="11.25" customHeight="1" x14ac:dyDescent="0.3">
      <c r="D64" s="6"/>
    </row>
    <row r="65" spans="2:2" s="46" customFormat="1" ht="15" x14ac:dyDescent="0.3">
      <c r="B65" s="46" t="s">
        <v>16</v>
      </c>
    </row>
  </sheetData>
  <mergeCells count="6">
    <mergeCell ref="D10:D11"/>
    <mergeCell ref="D29:D30"/>
    <mergeCell ref="D48:D49"/>
    <mergeCell ref="E10:AA10"/>
    <mergeCell ref="E29:AA29"/>
    <mergeCell ref="E48:AA48"/>
  </mergeCells>
  <conditionalFormatting sqref="B3">
    <cfRule type="cellIs" dxfId="127" priority="59" operator="notEqual">
      <formula>"No Errors Found"</formula>
    </cfRule>
  </conditionalFormatting>
  <conditionalFormatting sqref="F13:F21 K13:K21 P13:P21 U13:U21 F32:F40 K32:K40 P32:P40 U32:U40 F51:F59 K51:K59 P51:P59 U51:U59">
    <cfRule type="expression" dxfId="126" priority="58">
      <formula>(dms_FRCPlength_Num)&lt;5</formula>
    </cfRule>
  </conditionalFormatting>
  <conditionalFormatting sqref="E13:Y21 E32:Y40 E51:Z59">
    <cfRule type="expression" dxfId="125" priority="57" stopIfTrue="1">
      <formula>dms_0707_flag="no"</formula>
    </cfRule>
  </conditionalFormatting>
  <conditionalFormatting sqref="H12:J12 L12:O12 Q12:T12 V12:Y12">
    <cfRule type="expression" dxfId="124" priority="56">
      <formula>(dms_FRCPlength_Num)&lt;4</formula>
    </cfRule>
  </conditionalFormatting>
  <conditionalFormatting sqref="F12">
    <cfRule type="expression" dxfId="123" priority="55">
      <formula>(dms_FRCPlength_Num)&lt;5</formula>
    </cfRule>
  </conditionalFormatting>
  <conditionalFormatting sqref="E12:Y12">
    <cfRule type="expression" dxfId="122" priority="54" stopIfTrue="1">
      <formula>dms_0707_flag="no"</formula>
    </cfRule>
  </conditionalFormatting>
  <conditionalFormatting sqref="K12">
    <cfRule type="expression" dxfId="121" priority="52">
      <formula>(dms_FRCPlength_Num)&lt;5</formula>
    </cfRule>
  </conditionalFormatting>
  <conditionalFormatting sqref="P12">
    <cfRule type="expression" dxfId="120" priority="51">
      <formula>(dms_FRCPlength_Num)&lt;5</formula>
    </cfRule>
  </conditionalFormatting>
  <conditionalFormatting sqref="U12">
    <cfRule type="expression" dxfId="119" priority="50">
      <formula>(dms_FRCPlength_Num)&lt;5</formula>
    </cfRule>
  </conditionalFormatting>
  <conditionalFormatting sqref="D12:D21 D31:D40 D50:D59">
    <cfRule type="expression" dxfId="118" priority="49" stopIfTrue="1">
      <formula>dms_0707_flag="NO"</formula>
    </cfRule>
  </conditionalFormatting>
  <conditionalFormatting sqref="H31:J31 L31:O31 Q31:T31 V31:Y31">
    <cfRule type="expression" dxfId="117" priority="46">
      <formula>(dms_FRCPlength_Num)&lt;4</formula>
    </cfRule>
  </conditionalFormatting>
  <conditionalFormatting sqref="F31">
    <cfRule type="expression" dxfId="116" priority="45">
      <formula>(dms_FRCPlength_Num)&lt;5</formula>
    </cfRule>
  </conditionalFormatting>
  <conditionalFormatting sqref="E31:Z31">
    <cfRule type="expression" dxfId="115" priority="44" stopIfTrue="1">
      <formula>dms_0707_flag="no"</formula>
    </cfRule>
  </conditionalFormatting>
  <conditionalFormatting sqref="K31">
    <cfRule type="expression" dxfId="114" priority="42">
      <formula>(dms_FRCPlength_Num)&lt;5</formula>
    </cfRule>
  </conditionalFormatting>
  <conditionalFormatting sqref="P31">
    <cfRule type="expression" dxfId="113" priority="41">
      <formula>(dms_FRCPlength_Num)&lt;5</formula>
    </cfRule>
  </conditionalFormatting>
  <conditionalFormatting sqref="U31">
    <cfRule type="expression" dxfId="112" priority="40">
      <formula>(dms_FRCPlength_Num)&lt;5</formula>
    </cfRule>
  </conditionalFormatting>
  <conditionalFormatting sqref="H50:J50 L50:O50 Q50:T50 V50:Y50">
    <cfRule type="expression" dxfId="111" priority="36">
      <formula>(dms_FRCPlength_Num)&lt;4</formula>
    </cfRule>
  </conditionalFormatting>
  <conditionalFormatting sqref="F50">
    <cfRule type="expression" dxfId="110" priority="35">
      <formula>(dms_FRCPlength_Num)&lt;5</formula>
    </cfRule>
  </conditionalFormatting>
  <conditionalFormatting sqref="E50:Z50">
    <cfRule type="expression" dxfId="109" priority="34" stopIfTrue="1">
      <formula>dms_0707_flag="no"</formula>
    </cfRule>
  </conditionalFormatting>
  <conditionalFormatting sqref="K50">
    <cfRule type="expression" dxfId="108" priority="32">
      <formula>(dms_FRCPlength_Num)&lt;5</formula>
    </cfRule>
  </conditionalFormatting>
  <conditionalFormatting sqref="P50">
    <cfRule type="expression" dxfId="107" priority="31">
      <formula>(dms_FRCPlength_Num)&lt;5</formula>
    </cfRule>
  </conditionalFormatting>
  <conditionalFormatting sqref="U50">
    <cfRule type="expression" dxfId="106" priority="30">
      <formula>(dms_FRCPlength_Num)&lt;5</formula>
    </cfRule>
  </conditionalFormatting>
  <conditionalFormatting sqref="AA13:AA21 AA32:AA40">
    <cfRule type="expression" dxfId="105" priority="28">
      <formula>(dms_FRCPlength_Num)&lt;5</formula>
    </cfRule>
  </conditionalFormatting>
  <conditionalFormatting sqref="AA13:AA21 AA32:AA40">
    <cfRule type="expression" dxfId="104" priority="27" stopIfTrue="1">
      <formula>dms_0707_flag="no"</formula>
    </cfRule>
  </conditionalFormatting>
  <conditionalFormatting sqref="AA12">
    <cfRule type="expression" dxfId="103" priority="25" stopIfTrue="1">
      <formula>dms_0707_flag="no"</formula>
    </cfRule>
  </conditionalFormatting>
  <conditionalFormatting sqref="AA12">
    <cfRule type="expression" dxfId="102" priority="24">
      <formula>(dms_FRCPlength_Num)&lt;5</formula>
    </cfRule>
  </conditionalFormatting>
  <conditionalFormatting sqref="AA31">
    <cfRule type="expression" dxfId="101" priority="22" stopIfTrue="1">
      <formula>dms_0707_flag="no"</formula>
    </cfRule>
  </conditionalFormatting>
  <conditionalFormatting sqref="AA31">
    <cfRule type="expression" dxfId="100" priority="21">
      <formula>(dms_FRCPlength_Num)&lt;5</formula>
    </cfRule>
  </conditionalFormatting>
  <conditionalFormatting sqref="Z32:Z40">
    <cfRule type="expression" dxfId="99" priority="13">
      <formula>(dms_FRCPlength_Num)&lt;5</formula>
    </cfRule>
  </conditionalFormatting>
  <conditionalFormatting sqref="Z32:Z40">
    <cfRule type="expression" dxfId="98" priority="12" stopIfTrue="1">
      <formula>dms_0707_flag="no"</formula>
    </cfRule>
  </conditionalFormatting>
  <conditionalFormatting sqref="Z31">
    <cfRule type="expression" dxfId="97" priority="11">
      <formula>(dms_FRCPlength_Num)&lt;5</formula>
    </cfRule>
  </conditionalFormatting>
  <conditionalFormatting sqref="Z12">
    <cfRule type="expression" dxfId="96" priority="10" stopIfTrue="1">
      <formula>dms_0707_flag="no"</formula>
    </cfRule>
  </conditionalFormatting>
  <conditionalFormatting sqref="Z13:Z21">
    <cfRule type="expression" dxfId="95" priority="9">
      <formula>(dms_FRCPlength_Num)&lt;5</formula>
    </cfRule>
  </conditionalFormatting>
  <conditionalFormatting sqref="Z13:Z21">
    <cfRule type="expression" dxfId="94" priority="8" stopIfTrue="1">
      <formula>dms_0707_flag="no"</formula>
    </cfRule>
  </conditionalFormatting>
  <conditionalFormatting sqref="Z12">
    <cfRule type="expression" dxfId="93" priority="7">
      <formula>(dms_FRCPlength_Num)&lt;5</formula>
    </cfRule>
  </conditionalFormatting>
  <conditionalFormatting sqref="Z51:Z59">
    <cfRule type="expression" dxfId="92" priority="6">
      <formula>(dms_FRCPlength_Num)&lt;5</formula>
    </cfRule>
  </conditionalFormatting>
  <conditionalFormatting sqref="Z50">
    <cfRule type="expression" dxfId="91" priority="5">
      <formula>(dms_FRCPlength_Num)&lt;5</formula>
    </cfRule>
  </conditionalFormatting>
  <conditionalFormatting sqref="AA51:AA59">
    <cfRule type="expression" dxfId="90" priority="4">
      <formula>(dms_FRCPlength_Num)&lt;5</formula>
    </cfRule>
  </conditionalFormatting>
  <conditionalFormatting sqref="AA51:AA59">
    <cfRule type="expression" dxfId="89" priority="3" stopIfTrue="1">
      <formula>dms_0707_flag="no"</formula>
    </cfRule>
  </conditionalFormatting>
  <conditionalFormatting sqref="AA50">
    <cfRule type="expression" dxfId="88" priority="2" stopIfTrue="1">
      <formula>dms_0707_flag="no"</formula>
    </cfRule>
  </conditionalFormatting>
  <conditionalFormatting sqref="AA50">
    <cfRule type="expression" dxfId="87" priority="1">
      <formula>(dms_FRCPlength_Num)&lt;5</formula>
    </cfRule>
  </conditionalFormatting>
  <hyperlinks>
    <hyperlink ref="B2:D2" location="TOC!A1" display="TOC!A1" xr:uid="{D90880EA-7FE5-4841-A1DC-DD008E184B3D}"/>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8A6D-4EBC-4BA8-8BBE-A2F74231A681}">
  <sheetPr codeName="Sheet39">
    <tabColor theme="4" tint="0.79998168889431442"/>
  </sheetPr>
  <dimension ref="A1:L25"/>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6.83203125" style="45" customWidth="1"/>
    <col min="5" max="14" width="18.6640625" style="45" customWidth="1"/>
    <col min="15" max="15" width="17.6640625" style="45" customWidth="1"/>
    <col min="16" max="17" width="4.6640625" style="45" customWidth="1"/>
    <col min="18" max="31" width="10.6640625" style="45" customWidth="1"/>
    <col min="32" max="16384" width="9.33203125" style="45"/>
  </cols>
  <sheetData>
    <row r="1" spans="1:12" ht="18.75" x14ac:dyDescent="0.3">
      <c r="A1" s="41">
        <f>IF(SUM($A3:$A25)&gt;0,1,0)</f>
        <v>0</v>
      </c>
      <c r="B1" s="3" t="s">
        <v>673</v>
      </c>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
        <v>68</v>
      </c>
    </row>
    <row r="7" spans="1:12" ht="11.25" customHeight="1" thickBot="1" x14ac:dyDescent="0.35"/>
    <row r="8" spans="1:12" ht="15.4" thickBot="1" x14ac:dyDescent="0.35">
      <c r="D8" s="855" t="s">
        <v>673</v>
      </c>
      <c r="E8" s="855"/>
      <c r="F8" s="325"/>
      <c r="G8" s="325"/>
      <c r="H8" s="325"/>
      <c r="I8" s="325"/>
      <c r="J8" s="325"/>
      <c r="K8" s="325"/>
      <c r="L8" s="325"/>
    </row>
    <row r="9" spans="1:12" ht="14.25" thickBot="1" x14ac:dyDescent="0.35">
      <c r="D9" s="1101"/>
      <c r="E9" s="1101"/>
      <c r="F9" s="1099" t="s">
        <v>683</v>
      </c>
      <c r="G9" s="1099"/>
      <c r="H9" s="1099"/>
      <c r="I9" s="1099"/>
      <c r="J9" s="1099"/>
      <c r="K9" s="1099"/>
      <c r="L9" s="1099"/>
    </row>
    <row r="10" spans="1:12" ht="13.5" thickBot="1" x14ac:dyDescent="0.35">
      <c r="D10" s="1101"/>
      <c r="E10" s="1101"/>
      <c r="F10" s="417" t="s">
        <v>70</v>
      </c>
      <c r="G10" s="418" t="s">
        <v>71</v>
      </c>
      <c r="H10" s="419" t="s">
        <v>72</v>
      </c>
      <c r="I10" s="420" t="s">
        <v>73</v>
      </c>
      <c r="J10" s="420" t="s">
        <v>74</v>
      </c>
      <c r="K10" s="420" t="s">
        <v>82</v>
      </c>
      <c r="L10" s="421" t="s">
        <v>243</v>
      </c>
    </row>
    <row r="11" spans="1:12" ht="14.25" x14ac:dyDescent="0.45">
      <c r="D11" s="1102" t="s">
        <v>684</v>
      </c>
      <c r="E11" s="1103"/>
      <c r="F11" s="575">
        <f>F22*Input_CPI!R$24</f>
        <v>0</v>
      </c>
      <c r="G11" s="564">
        <f>G22*Input_CPI!S$24</f>
        <v>0</v>
      </c>
      <c r="H11" s="575">
        <f>H22*Input_CPI!T$24</f>
        <v>0</v>
      </c>
      <c r="I11" s="312">
        <f>I22*Input_CPI!U$24</f>
        <v>0</v>
      </c>
      <c r="J11" s="312">
        <f>J22*Input_CPI!V$24</f>
        <v>0</v>
      </c>
      <c r="K11" s="312">
        <f>K22*Input_CPI!W$24</f>
        <v>0</v>
      </c>
      <c r="L11" s="313">
        <f>L22*Input_CPI!X$24</f>
        <v>0</v>
      </c>
    </row>
    <row r="12" spans="1:12" ht="14.65" thickBot="1" x14ac:dyDescent="0.5">
      <c r="D12" s="1104" t="s">
        <v>685</v>
      </c>
      <c r="E12" s="1105"/>
      <c r="F12" s="468">
        <f>F23*Input_CPI!R$24</f>
        <v>0</v>
      </c>
      <c r="G12" s="467">
        <f>G23*Input_CPI!S$24</f>
        <v>0</v>
      </c>
      <c r="H12" s="468">
        <f>H23*Input_CPI!T$24</f>
        <v>0</v>
      </c>
      <c r="I12" s="318">
        <f>I23*Input_CPI!U$24</f>
        <v>0</v>
      </c>
      <c r="J12" s="318">
        <f>J23*Input_CPI!V$24</f>
        <v>0</v>
      </c>
      <c r="K12" s="318">
        <f>K23*Input_CPI!W$24</f>
        <v>0</v>
      </c>
      <c r="L12" s="319">
        <f>L23*Input_CPI!X$24</f>
        <v>0</v>
      </c>
    </row>
    <row r="13" spans="1:12" ht="11.25" customHeight="1" x14ac:dyDescent="0.3"/>
    <row r="14" spans="1:12" ht="12.75" x14ac:dyDescent="0.3">
      <c r="D14" s="798" t="s">
        <v>695</v>
      </c>
      <c r="F14" s="115">
        <v>0</v>
      </c>
      <c r="G14" s="115">
        <v>0</v>
      </c>
      <c r="H14" s="115">
        <v>0</v>
      </c>
      <c r="I14" s="115">
        <v>0</v>
      </c>
      <c r="J14" s="115">
        <v>0</v>
      </c>
      <c r="K14" s="115">
        <v>0</v>
      </c>
      <c r="L14" s="115">
        <v>0</v>
      </c>
    </row>
    <row r="15" spans="1:12" ht="12.75" x14ac:dyDescent="0.3">
      <c r="A15" s="41">
        <f>IF(SUM($F15:$L15)&gt;0,1,0)</f>
        <v>0</v>
      </c>
      <c r="D15" s="6" t="s">
        <v>84</v>
      </c>
      <c r="F15" s="62">
        <f>IF(ROUND(SUM(F11:F12)-F14,3)&lt;&gt;0,1,0)</f>
        <v>0</v>
      </c>
      <c r="G15" s="62">
        <f t="shared" ref="G15:L15" si="0">IF(ROUND(SUM(G11:G12)-G14,3)&lt;&gt;0,1,0)</f>
        <v>0</v>
      </c>
      <c r="H15" s="62">
        <f t="shared" si="0"/>
        <v>0</v>
      </c>
      <c r="I15" s="62">
        <f t="shared" si="0"/>
        <v>0</v>
      </c>
      <c r="J15" s="62">
        <f t="shared" si="0"/>
        <v>0</v>
      </c>
      <c r="K15" s="62">
        <f t="shared" si="0"/>
        <v>0</v>
      </c>
      <c r="L15" s="62">
        <f t="shared" si="0"/>
        <v>0</v>
      </c>
    </row>
    <row r="16" spans="1:12" ht="11.25" customHeight="1" x14ac:dyDescent="0.3">
      <c r="D16" s="6"/>
    </row>
    <row r="17" spans="2:12" s="7" customFormat="1" ht="13.9" x14ac:dyDescent="0.3">
      <c r="C17" s="7" t="s">
        <v>651</v>
      </c>
    </row>
    <row r="18" spans="2:12" ht="11.25" customHeight="1" thickBot="1" x14ac:dyDescent="0.35"/>
    <row r="19" spans="2:12" ht="15.4" thickBot="1" x14ac:dyDescent="0.35">
      <c r="D19" s="855" t="s">
        <v>673</v>
      </c>
      <c r="E19" s="855"/>
      <c r="F19" s="325"/>
      <c r="G19" s="325"/>
      <c r="H19" s="325"/>
      <c r="I19" s="325"/>
      <c r="J19" s="325"/>
      <c r="K19" s="325"/>
      <c r="L19" s="325"/>
    </row>
    <row r="20" spans="2:12" ht="14.25" thickBot="1" x14ac:dyDescent="0.35">
      <c r="D20" s="1101"/>
      <c r="E20" s="1101"/>
      <c r="F20" s="1099" t="s">
        <v>694</v>
      </c>
      <c r="G20" s="1099"/>
      <c r="H20" s="1099"/>
      <c r="I20" s="1099"/>
      <c r="J20" s="1099"/>
      <c r="K20" s="1099"/>
      <c r="L20" s="1099"/>
    </row>
    <row r="21" spans="2:12" ht="13.5" thickBot="1" x14ac:dyDescent="0.35">
      <c r="D21" s="1101"/>
      <c r="E21" s="1101"/>
      <c r="F21" s="417" t="s">
        <v>70</v>
      </c>
      <c r="G21" s="418" t="s">
        <v>71</v>
      </c>
      <c r="H21" s="419" t="s">
        <v>72</v>
      </c>
      <c r="I21" s="420" t="s">
        <v>73</v>
      </c>
      <c r="J21" s="420" t="s">
        <v>74</v>
      </c>
      <c r="K21" s="420" t="s">
        <v>82</v>
      </c>
      <c r="L21" s="421" t="s">
        <v>243</v>
      </c>
    </row>
    <row r="22" spans="2:12" ht="14.25" x14ac:dyDescent="0.45">
      <c r="D22" s="1102" t="s">
        <v>684</v>
      </c>
      <c r="E22" s="1103"/>
      <c r="F22" s="575">
        <v>0</v>
      </c>
      <c r="G22" s="564">
        <v>0</v>
      </c>
      <c r="H22" s="575">
        <v>0</v>
      </c>
      <c r="I22" s="312">
        <v>0</v>
      </c>
      <c r="J22" s="312">
        <v>0</v>
      </c>
      <c r="K22" s="312">
        <v>0</v>
      </c>
      <c r="L22" s="313">
        <v>0</v>
      </c>
    </row>
    <row r="23" spans="2:12" ht="14.65" thickBot="1" x14ac:dyDescent="0.5">
      <c r="D23" s="1104" t="s">
        <v>685</v>
      </c>
      <c r="E23" s="1105"/>
      <c r="F23" s="468">
        <v>0</v>
      </c>
      <c r="G23" s="467">
        <v>0</v>
      </c>
      <c r="H23" s="468">
        <v>0</v>
      </c>
      <c r="I23" s="318">
        <v>0</v>
      </c>
      <c r="J23" s="318">
        <v>0</v>
      </c>
      <c r="K23" s="318">
        <v>0</v>
      </c>
      <c r="L23" s="319">
        <v>0</v>
      </c>
    </row>
    <row r="24" spans="2:12" ht="11.25" customHeight="1" x14ac:dyDescent="0.3"/>
    <row r="25" spans="2:12" s="46" customFormat="1" ht="15" x14ac:dyDescent="0.3">
      <c r="B25" s="46" t="s">
        <v>16</v>
      </c>
    </row>
  </sheetData>
  <mergeCells count="10">
    <mergeCell ref="D9:D10"/>
    <mergeCell ref="E9:E10"/>
    <mergeCell ref="F9:L9"/>
    <mergeCell ref="D11:E11"/>
    <mergeCell ref="D12:E12"/>
    <mergeCell ref="D20:D21"/>
    <mergeCell ref="E20:E21"/>
    <mergeCell ref="F20:L20"/>
    <mergeCell ref="D22:E22"/>
    <mergeCell ref="D23:E23"/>
  </mergeCells>
  <conditionalFormatting sqref="B3">
    <cfRule type="cellIs" dxfId="86" priority="9" operator="notEqual">
      <formula>"No Errors Found"</formula>
    </cfRule>
  </conditionalFormatting>
  <conditionalFormatting sqref="J11:J12">
    <cfRule type="expression" dxfId="85" priority="8">
      <formula>(dms_FRCPlength_Num)&lt;3</formula>
    </cfRule>
  </conditionalFormatting>
  <conditionalFormatting sqref="K11:K12">
    <cfRule type="expression" dxfId="84" priority="7">
      <formula>(dms_FRCPlength_Num)&lt;4</formula>
    </cfRule>
  </conditionalFormatting>
  <conditionalFormatting sqref="L11:L12">
    <cfRule type="expression" dxfId="83" priority="6">
      <formula>(dms_FRCPlength_Num)&lt;5</formula>
    </cfRule>
  </conditionalFormatting>
  <conditionalFormatting sqref="D11:D12">
    <cfRule type="expression" dxfId="82" priority="5">
      <formula>INDEX(dms_CF_3.6.5, MATCH(dms_TradingName,dms_CF_TradingName))="Y"</formula>
    </cfRule>
  </conditionalFormatting>
  <conditionalFormatting sqref="J22:J23">
    <cfRule type="expression" dxfId="81" priority="4">
      <formula>(dms_FRCPlength_Num)&lt;3</formula>
    </cfRule>
  </conditionalFormatting>
  <conditionalFormatting sqref="K22:K23">
    <cfRule type="expression" dxfId="80" priority="3">
      <formula>(dms_FRCPlength_Num)&lt;4</formula>
    </cfRule>
  </conditionalFormatting>
  <conditionalFormatting sqref="L22:L23">
    <cfRule type="expression" dxfId="79" priority="2">
      <formula>(dms_FRCPlength_Num)&lt;5</formula>
    </cfRule>
  </conditionalFormatting>
  <conditionalFormatting sqref="D22:D23">
    <cfRule type="expression" dxfId="78" priority="1">
      <formula>INDEX(dms_CF_3.6.5, MATCH(dms_TradingName,dms_CF_TradingName))="Y"</formula>
    </cfRule>
  </conditionalFormatting>
  <hyperlinks>
    <hyperlink ref="B2:E2" location="TOC!A1" display="TOC!A1" xr:uid="{C082791C-A137-403F-B83A-EA792BF3425D}"/>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3C1B-2106-49FC-BA90-392740A0197A}">
  <sheetPr codeName="Sheet40">
    <tabColor theme="4" tint="0.79998168889431442"/>
  </sheetPr>
  <dimension ref="A1:L38"/>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36.83203125" style="45" customWidth="1"/>
    <col min="5" max="5" width="31.58203125" style="45" bestFit="1" customWidth="1"/>
    <col min="6" max="14" width="18.6640625" style="45" customWidth="1"/>
    <col min="15" max="15" width="17.6640625" style="45" customWidth="1"/>
    <col min="16" max="17" width="4.6640625" style="45" customWidth="1"/>
    <col min="18" max="31" width="10.6640625" style="45" customWidth="1"/>
    <col min="32" max="16384" width="9.33203125" style="45"/>
  </cols>
  <sheetData>
    <row r="1" spans="1:12" ht="18.75" x14ac:dyDescent="0.3">
      <c r="A1" s="41">
        <f>IF(SUM($A3:$A38)&gt;0,1,0)</f>
        <v>0</v>
      </c>
      <c r="B1" s="3" t="s">
        <v>674</v>
      </c>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
        <v>68</v>
      </c>
    </row>
    <row r="7" spans="1:12" ht="11.25" customHeight="1" thickBot="1" x14ac:dyDescent="0.35"/>
    <row r="8" spans="1:12" ht="15.4" thickBot="1" x14ac:dyDescent="0.35">
      <c r="D8" s="855" t="s">
        <v>674</v>
      </c>
      <c r="E8" s="855"/>
      <c r="F8" s="325"/>
      <c r="G8" s="325"/>
      <c r="H8" s="325"/>
      <c r="I8" s="325"/>
      <c r="J8" s="325"/>
      <c r="K8" s="325"/>
      <c r="L8" s="325"/>
    </row>
    <row r="9" spans="1:12" ht="14.25" thickBot="1" x14ac:dyDescent="0.35">
      <c r="D9" s="1101"/>
      <c r="E9" s="1101"/>
      <c r="F9" s="1098" t="s">
        <v>683</v>
      </c>
      <c r="G9" s="1099"/>
      <c r="H9" s="1099"/>
      <c r="I9" s="1099"/>
      <c r="J9" s="1099"/>
      <c r="K9" s="1099"/>
      <c r="L9" s="1100"/>
    </row>
    <row r="10" spans="1:12" ht="14.65" thickBot="1" x14ac:dyDescent="0.35">
      <c r="D10" s="1101"/>
      <c r="E10" s="1101"/>
      <c r="F10" s="927" t="s">
        <v>70</v>
      </c>
      <c r="G10" s="924" t="s">
        <v>71</v>
      </c>
      <c r="H10" s="924" t="s">
        <v>72</v>
      </c>
      <c r="I10" s="924" t="s">
        <v>73</v>
      </c>
      <c r="J10" s="924" t="s">
        <v>74</v>
      </c>
      <c r="K10" s="924" t="s">
        <v>82</v>
      </c>
      <c r="L10" s="928" t="s">
        <v>243</v>
      </c>
    </row>
    <row r="11" spans="1:12" ht="14.25" x14ac:dyDescent="0.45">
      <c r="D11" s="856" t="s">
        <v>686</v>
      </c>
      <c r="E11" s="925"/>
      <c r="F11" s="311">
        <v>0</v>
      </c>
      <c r="G11" s="564">
        <v>0</v>
      </c>
      <c r="H11" s="575">
        <v>637695.20373502094</v>
      </c>
      <c r="I11" s="312">
        <v>802492.04958818073</v>
      </c>
      <c r="J11" s="312">
        <v>5544581.5605401592</v>
      </c>
      <c r="K11" s="312">
        <v>2937732.3648589291</v>
      </c>
      <c r="L11" s="313">
        <v>3297810.2387787392</v>
      </c>
    </row>
    <row r="12" spans="1:12" ht="14.25" x14ac:dyDescent="0.45">
      <c r="D12" s="857" t="s">
        <v>687</v>
      </c>
      <c r="E12" s="926"/>
      <c r="F12" s="314">
        <v>0</v>
      </c>
      <c r="G12" s="435">
        <v>0</v>
      </c>
      <c r="H12" s="436">
        <v>0</v>
      </c>
      <c r="I12" s="315">
        <v>0</v>
      </c>
      <c r="J12" s="315">
        <v>0</v>
      </c>
      <c r="K12" s="315">
        <v>0</v>
      </c>
      <c r="L12" s="316">
        <v>0</v>
      </c>
    </row>
    <row r="13" spans="1:12" ht="14.65" thickBot="1" x14ac:dyDescent="0.5">
      <c r="D13" s="1104" t="s">
        <v>685</v>
      </c>
      <c r="E13" s="1106"/>
      <c r="F13" s="317">
        <v>0</v>
      </c>
      <c r="G13" s="467">
        <v>0</v>
      </c>
      <c r="H13" s="468">
        <v>0</v>
      </c>
      <c r="I13" s="318">
        <v>0</v>
      </c>
      <c r="J13" s="318">
        <v>0</v>
      </c>
      <c r="K13" s="318">
        <v>0</v>
      </c>
      <c r="L13" s="319">
        <v>0</v>
      </c>
    </row>
    <row r="14" spans="1:12" ht="11.25" customHeight="1" x14ac:dyDescent="0.3"/>
    <row r="15" spans="1:12" ht="11.25" customHeight="1" x14ac:dyDescent="0.3">
      <c r="D15" s="798" t="s">
        <v>700</v>
      </c>
      <c r="F15" s="118">
        <f>'WkB_1_2.1.1'!E15</f>
        <v>0</v>
      </c>
      <c r="G15" s="118">
        <f>'WkB_1_2.1.1'!F15</f>
        <v>0</v>
      </c>
      <c r="H15" s="118">
        <f>'WkB_1_2.1.1'!G15</f>
        <v>637695.20373502094</v>
      </c>
      <c r="I15" s="118">
        <f>'WkB_1_2.1.1'!H15</f>
        <v>802492.04958818073</v>
      </c>
      <c r="J15" s="118">
        <f>'WkB_1_2.1.1'!I15</f>
        <v>5544581.5605401592</v>
      </c>
      <c r="K15" s="118">
        <f>'WkB_1_2.1.1'!J15</f>
        <v>2937732.3648589295</v>
      </c>
      <c r="L15" s="118">
        <f>'WkB_1_2.1.1'!K15</f>
        <v>3297810.2387787388</v>
      </c>
    </row>
    <row r="16" spans="1:12" ht="11.25" customHeight="1" x14ac:dyDescent="0.3">
      <c r="D16" s="798" t="s">
        <v>695</v>
      </c>
      <c r="F16" s="115">
        <v>0</v>
      </c>
      <c r="G16" s="115">
        <v>0</v>
      </c>
      <c r="H16" s="115">
        <v>637695.20373502094</v>
      </c>
      <c r="I16" s="115">
        <v>802492.04958818073</v>
      </c>
      <c r="J16" s="115">
        <v>5544581.5605401592</v>
      </c>
      <c r="K16" s="115">
        <v>2937732.3648589291</v>
      </c>
      <c r="L16" s="115">
        <v>3297810.2387787392</v>
      </c>
    </row>
    <row r="17" spans="1:12" ht="11.25" customHeight="1" x14ac:dyDescent="0.3">
      <c r="A17" s="41">
        <f>IF(SUM($F17:$L17)&gt;0,1,0)</f>
        <v>0</v>
      </c>
      <c r="D17" s="6" t="s">
        <v>84</v>
      </c>
      <c r="F17" s="62">
        <f>IF(OR(ROUND(SUM(F11:F13)-F16,3)&lt;&gt;0,ROUND(F15-F16,3)&lt;&gt;0),1,0)</f>
        <v>0</v>
      </c>
      <c r="G17" s="62">
        <f t="shared" ref="G17:L17" si="0">IF(OR(ROUND(SUM(G11:G13)-G16,3)&lt;&gt;0,ROUND(G15-G16,3)&lt;&gt;0),1,0)</f>
        <v>0</v>
      </c>
      <c r="H17" s="62">
        <f t="shared" si="0"/>
        <v>0</v>
      </c>
      <c r="I17" s="62">
        <f t="shared" si="0"/>
        <v>0</v>
      </c>
      <c r="J17" s="62">
        <f t="shared" si="0"/>
        <v>0</v>
      </c>
      <c r="K17" s="62">
        <f t="shared" si="0"/>
        <v>0</v>
      </c>
      <c r="L17" s="62">
        <f t="shared" si="0"/>
        <v>0</v>
      </c>
    </row>
    <row r="18" spans="1:12" ht="11.25" customHeight="1" x14ac:dyDescent="0.3"/>
    <row r="19" spans="1:12" s="7" customFormat="1" ht="13.9" x14ac:dyDescent="0.3">
      <c r="C19" s="7" t="s">
        <v>651</v>
      </c>
    </row>
    <row r="20" spans="1:12" ht="11.25" customHeight="1" thickBot="1" x14ac:dyDescent="0.35"/>
    <row r="21" spans="1:12" ht="15.4" thickBot="1" x14ac:dyDescent="0.35">
      <c r="D21" s="855" t="s">
        <v>674</v>
      </c>
      <c r="E21" s="855"/>
      <c r="F21" s="325"/>
      <c r="G21" s="325"/>
      <c r="H21" s="325"/>
      <c r="I21" s="325"/>
      <c r="J21" s="325"/>
      <c r="K21" s="325"/>
      <c r="L21" s="325"/>
    </row>
    <row r="22" spans="1:12" ht="14.25" thickBot="1" x14ac:dyDescent="0.35">
      <c r="D22" s="1101"/>
      <c r="E22" s="1101"/>
      <c r="F22" s="1098" t="s">
        <v>694</v>
      </c>
      <c r="G22" s="1099"/>
      <c r="H22" s="1099"/>
      <c r="I22" s="1099"/>
      <c r="J22" s="1099"/>
      <c r="K22" s="1099"/>
      <c r="L22" s="1100"/>
    </row>
    <row r="23" spans="1:12" ht="14.65" thickBot="1" x14ac:dyDescent="0.35">
      <c r="D23" s="1101"/>
      <c r="E23" s="1101"/>
      <c r="F23" s="927" t="s">
        <v>70</v>
      </c>
      <c r="G23" s="924" t="s">
        <v>71</v>
      </c>
      <c r="H23" s="924" t="s">
        <v>72</v>
      </c>
      <c r="I23" s="924" t="s">
        <v>73</v>
      </c>
      <c r="J23" s="924" t="s">
        <v>74</v>
      </c>
      <c r="K23" s="924" t="s">
        <v>82</v>
      </c>
      <c r="L23" s="928" t="s">
        <v>243</v>
      </c>
    </row>
    <row r="24" spans="1:12" ht="14.25" x14ac:dyDescent="0.45">
      <c r="D24" s="856" t="s">
        <v>686</v>
      </c>
      <c r="E24" s="925"/>
      <c r="F24" s="311">
        <v>0</v>
      </c>
      <c r="G24" s="564">
        <v>0</v>
      </c>
      <c r="H24" s="575">
        <v>569777.80579265393</v>
      </c>
      <c r="I24" s="312">
        <v>709632.35812357801</v>
      </c>
      <c r="J24" s="312">
        <v>4878463.4721878758</v>
      </c>
      <c r="K24" s="312">
        <v>2577029.8101848969</v>
      </c>
      <c r="L24" s="313">
        <v>2877768.2217464228</v>
      </c>
    </row>
    <row r="25" spans="1:12" ht="14.25" x14ac:dyDescent="0.45">
      <c r="D25" s="857" t="s">
        <v>687</v>
      </c>
      <c r="E25" s="926"/>
      <c r="F25" s="314">
        <v>0</v>
      </c>
      <c r="G25" s="435">
        <v>0</v>
      </c>
      <c r="H25" s="436">
        <v>0</v>
      </c>
      <c r="I25" s="315">
        <v>0</v>
      </c>
      <c r="J25" s="315">
        <v>0</v>
      </c>
      <c r="K25" s="315">
        <v>0</v>
      </c>
      <c r="L25" s="316">
        <v>0</v>
      </c>
    </row>
    <row r="26" spans="1:12" ht="14.65" thickBot="1" x14ac:dyDescent="0.5">
      <c r="D26" s="1104" t="s">
        <v>685</v>
      </c>
      <c r="E26" s="1106"/>
      <c r="F26" s="317">
        <v>0</v>
      </c>
      <c r="G26" s="467">
        <v>0</v>
      </c>
      <c r="H26" s="468">
        <v>0</v>
      </c>
      <c r="I26" s="318">
        <v>0</v>
      </c>
      <c r="J26" s="318">
        <v>0</v>
      </c>
      <c r="K26" s="318">
        <v>0</v>
      </c>
      <c r="L26" s="319">
        <v>0</v>
      </c>
    </row>
    <row r="27" spans="1:12" ht="11.25" customHeight="1" x14ac:dyDescent="0.3"/>
    <row r="28" spans="1:12" ht="11.25" customHeight="1" x14ac:dyDescent="0.3">
      <c r="D28" s="6" t="s">
        <v>778</v>
      </c>
      <c r="E28" s="6"/>
      <c r="F28" s="115">
        <v>0</v>
      </c>
      <c r="G28" s="116">
        <v>0</v>
      </c>
      <c r="H28" s="117">
        <v>569777.80579265393</v>
      </c>
      <c r="I28" s="115">
        <v>709632.35812357801</v>
      </c>
      <c r="J28" s="115">
        <v>4878463.4721878758</v>
      </c>
      <c r="K28" s="115">
        <v>2577029.8101848969</v>
      </c>
      <c r="L28" s="115">
        <v>2877768.2217464224</v>
      </c>
    </row>
    <row r="29" spans="1:12" ht="11.25" customHeight="1" x14ac:dyDescent="0.3"/>
    <row r="30" spans="1:12" s="7" customFormat="1" ht="13.9" x14ac:dyDescent="0.3">
      <c r="C30" s="7" t="s">
        <v>1111</v>
      </c>
    </row>
    <row r="31" spans="1:12" ht="11.25" customHeight="1" x14ac:dyDescent="0.3"/>
    <row r="32" spans="1:12" ht="11.25" customHeight="1" x14ac:dyDescent="0.3">
      <c r="F32" s="40" t="str">
        <f>Lookup!S20</f>
        <v>FY23</v>
      </c>
      <c r="G32" s="40" t="str">
        <f>Lookup!T20</f>
        <v>FY24</v>
      </c>
      <c r="H32" s="40" t="str">
        <f>Lookup!U20</f>
        <v>FY25</v>
      </c>
      <c r="I32" s="40" t="str">
        <f>Lookup!V20</f>
        <v>FY26</v>
      </c>
      <c r="J32" s="40" t="str">
        <f>Lookup!W20</f>
        <v>FY27</v>
      </c>
      <c r="K32" s="40" t="str">
        <f>Lookup!X20</f>
        <v>FY28</v>
      </c>
      <c r="L32" s="40" t="str">
        <f>Lookup!Y20</f>
        <v>FY29</v>
      </c>
    </row>
    <row r="33" spans="2:12" ht="11.25" customHeight="1" x14ac:dyDescent="0.3"/>
    <row r="34" spans="2:12" ht="12.75" x14ac:dyDescent="0.3">
      <c r="D34" s="6" t="s">
        <v>774</v>
      </c>
      <c r="E34" s="6" t="s">
        <v>776</v>
      </c>
      <c r="F34" s="115">
        <v>0</v>
      </c>
      <c r="G34" s="116">
        <v>0</v>
      </c>
      <c r="H34" s="117">
        <v>637695.20373502094</v>
      </c>
      <c r="I34" s="115">
        <v>802492.04958818073</v>
      </c>
      <c r="J34" s="115">
        <v>5544581.5605401592</v>
      </c>
      <c r="K34" s="115">
        <v>2937732.3648589295</v>
      </c>
      <c r="L34" s="115">
        <v>3297810.2387787388</v>
      </c>
    </row>
    <row r="35" spans="2:12" ht="12.75" x14ac:dyDescent="0.3">
      <c r="D35" s="6" t="s">
        <v>774</v>
      </c>
      <c r="E35" s="6" t="s">
        <v>777</v>
      </c>
      <c r="F35" s="115">
        <v>0</v>
      </c>
      <c r="G35" s="116">
        <v>0</v>
      </c>
      <c r="H35" s="117">
        <v>644281.95167810132</v>
      </c>
      <c r="I35" s="115">
        <v>802423.8852718171</v>
      </c>
      <c r="J35" s="115">
        <v>5516371.3558111619</v>
      </c>
      <c r="K35" s="115">
        <v>2914002.2281646742</v>
      </c>
      <c r="L35" s="115">
        <v>3254065.1944219847</v>
      </c>
    </row>
    <row r="36" spans="2:12" ht="12.75" x14ac:dyDescent="0.3">
      <c r="D36" s="6" t="s">
        <v>775</v>
      </c>
      <c r="E36" s="6" t="s">
        <v>41</v>
      </c>
      <c r="F36" s="885">
        <f>IF(F35=0,0,F34/F35)</f>
        <v>0</v>
      </c>
      <c r="G36" s="885">
        <f t="shared" ref="G36:L36" si="1">IF(G35=0,0,G34/G35)</f>
        <v>0</v>
      </c>
      <c r="H36" s="885">
        <f t="shared" si="1"/>
        <v>0.98977660645944765</v>
      </c>
      <c r="I36" s="885">
        <f t="shared" si="1"/>
        <v>1.000084948015151</v>
      </c>
      <c r="J36" s="885">
        <f t="shared" si="1"/>
        <v>1.0051139060279688</v>
      </c>
      <c r="K36" s="885">
        <f t="shared" si="1"/>
        <v>1.0081434861184719</v>
      </c>
      <c r="L36" s="885">
        <f t="shared" si="1"/>
        <v>1.0134431985049779</v>
      </c>
    </row>
    <row r="37" spans="2:12" ht="11.25" customHeight="1" x14ac:dyDescent="0.3"/>
    <row r="38" spans="2:12" s="46" customFormat="1" ht="15" x14ac:dyDescent="0.3">
      <c r="B38" s="46" t="s">
        <v>16</v>
      </c>
    </row>
  </sheetData>
  <mergeCells count="8">
    <mergeCell ref="D26:E26"/>
    <mergeCell ref="D9:D10"/>
    <mergeCell ref="E9:E10"/>
    <mergeCell ref="F9:L9"/>
    <mergeCell ref="D13:E13"/>
    <mergeCell ref="D22:D23"/>
    <mergeCell ref="E22:E23"/>
    <mergeCell ref="F22:L22"/>
  </mergeCells>
  <conditionalFormatting sqref="B3">
    <cfRule type="cellIs" dxfId="77" priority="23" operator="notEqual">
      <formula>"No Errors Found"</formula>
    </cfRule>
  </conditionalFormatting>
  <conditionalFormatting sqref="J13">
    <cfRule type="expression" dxfId="76" priority="22">
      <formula>(dms_FRCPlength_Num)&lt;3</formula>
    </cfRule>
  </conditionalFormatting>
  <conditionalFormatting sqref="K13">
    <cfRule type="expression" dxfId="75" priority="21">
      <formula>(dms_FRCPlength_Num)&lt;4</formula>
    </cfRule>
  </conditionalFormatting>
  <conditionalFormatting sqref="L13">
    <cfRule type="expression" dxfId="74" priority="20">
      <formula>(dms_FRCPlength_Num)&lt;5</formula>
    </cfRule>
  </conditionalFormatting>
  <conditionalFormatting sqref="D13">
    <cfRule type="expression" dxfId="73" priority="19">
      <formula>INDEX(dms_CF_3.6.5, MATCH(dms_TradingName,dms_CF_TradingName))="Y"</formula>
    </cfRule>
  </conditionalFormatting>
  <conditionalFormatting sqref="J11">
    <cfRule type="expression" dxfId="72" priority="18">
      <formula>(dms_FRCPlength_Num)&lt;3</formula>
    </cfRule>
  </conditionalFormatting>
  <conditionalFormatting sqref="K11">
    <cfRule type="expression" dxfId="71" priority="17">
      <formula>(dms_FRCPlength_Num)&lt;4</formula>
    </cfRule>
  </conditionalFormatting>
  <conditionalFormatting sqref="L11">
    <cfRule type="expression" dxfId="70" priority="16">
      <formula>(dms_FRCPlength_Num)&lt;5</formula>
    </cfRule>
  </conditionalFormatting>
  <conditionalFormatting sqref="J12">
    <cfRule type="expression" dxfId="69" priority="15">
      <formula>(dms_FRCPlength_Num)&lt;3</formula>
    </cfRule>
  </conditionalFormatting>
  <conditionalFormatting sqref="K12">
    <cfRule type="expression" dxfId="68" priority="14">
      <formula>(dms_FRCPlength_Num)&lt;4</formula>
    </cfRule>
  </conditionalFormatting>
  <conditionalFormatting sqref="L12">
    <cfRule type="expression" dxfId="67" priority="13">
      <formula>(dms_FRCPlength_Num)&lt;5</formula>
    </cfRule>
  </conditionalFormatting>
  <conditionalFormatting sqref="D11:E12">
    <cfRule type="expression" dxfId="66" priority="12">
      <formula>INDEX(dms_CF_3.6.5, MATCH(dms_TradingName,dms_CF_TradingName))="Y"</formula>
    </cfRule>
  </conditionalFormatting>
  <conditionalFormatting sqref="J26">
    <cfRule type="expression" dxfId="65" priority="11">
      <formula>(dms_FRCPlength_Num)&lt;3</formula>
    </cfRule>
  </conditionalFormatting>
  <conditionalFormatting sqref="K26">
    <cfRule type="expression" dxfId="64" priority="10">
      <formula>(dms_FRCPlength_Num)&lt;4</formula>
    </cfRule>
  </conditionalFormatting>
  <conditionalFormatting sqref="L26">
    <cfRule type="expression" dxfId="63" priority="9">
      <formula>(dms_FRCPlength_Num)&lt;5</formula>
    </cfRule>
  </conditionalFormatting>
  <conditionalFormatting sqref="D26">
    <cfRule type="expression" dxfId="62" priority="8">
      <formula>INDEX(dms_CF_3.6.5, MATCH(dms_TradingName,dms_CF_TradingName))="Y"</formula>
    </cfRule>
  </conditionalFormatting>
  <conditionalFormatting sqref="J24">
    <cfRule type="expression" dxfId="61" priority="7">
      <formula>(dms_FRCPlength_Num)&lt;3</formula>
    </cfRule>
  </conditionalFormatting>
  <conditionalFormatting sqref="K24">
    <cfRule type="expression" dxfId="60" priority="6">
      <formula>(dms_FRCPlength_Num)&lt;4</formula>
    </cfRule>
  </conditionalFormatting>
  <conditionalFormatting sqref="L24">
    <cfRule type="expression" dxfId="59" priority="5">
      <formula>(dms_FRCPlength_Num)&lt;5</formula>
    </cfRule>
  </conditionalFormatting>
  <conditionalFormatting sqref="J25">
    <cfRule type="expression" dxfId="58" priority="4">
      <formula>(dms_FRCPlength_Num)&lt;3</formula>
    </cfRule>
  </conditionalFormatting>
  <conditionalFormatting sqref="K25">
    <cfRule type="expression" dxfId="57" priority="3">
      <formula>(dms_FRCPlength_Num)&lt;4</formula>
    </cfRule>
  </conditionalFormatting>
  <conditionalFormatting sqref="L25">
    <cfRule type="expression" dxfId="56" priority="2">
      <formula>(dms_FRCPlength_Num)&lt;5</formula>
    </cfRule>
  </conditionalFormatting>
  <conditionalFormatting sqref="D24:E25">
    <cfRule type="expression" dxfId="55" priority="1">
      <formula>INDEX(dms_CF_3.6.5, MATCH(dms_TradingName,dms_CF_TradingName))="Y"</formula>
    </cfRule>
  </conditionalFormatting>
  <dataValidations count="2">
    <dataValidation type="textLength" operator="lessThanOrEqual" allowBlank="1" showInputMessage="1" promptTitle="Shared asset" prompt="Enter name of shared asset unregulated service" sqref="D11:D12 D24:D25" xr:uid="{01B0D31C-8B22-4FDF-B1D8-24471344FAD3}">
      <formula1>150</formula1>
    </dataValidation>
    <dataValidation type="custom" allowBlank="1" showInputMessage="1" showErrorMessage="1" error="Must be a number" prompt="Enter revenue in $0's" sqref="F11:L12 F24:L25" xr:uid="{A669C446-BEFB-451C-BE27-F53529DEB152}">
      <formula1>ISNUMBER(F11)</formula1>
    </dataValidation>
  </dataValidations>
  <hyperlinks>
    <hyperlink ref="B2:E2" location="TOC!A1" display="TOC!A1" xr:uid="{414FB7EC-F901-476F-8215-729C614FDA2B}"/>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AC4F-6148-4C8A-8AC6-80E160BEE6F8}">
  <sheetPr codeName="Sheet41">
    <tabColor theme="4" tint="0.79998168889431442"/>
  </sheetPr>
  <dimension ref="A1:N41"/>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36.83203125" style="45" customWidth="1"/>
    <col min="5" max="14" width="18.6640625" style="45" customWidth="1"/>
    <col min="15" max="15" width="17.6640625" style="45" customWidth="1"/>
    <col min="16" max="17" width="4.6640625" style="45" customWidth="1"/>
    <col min="18" max="31" width="10.6640625" style="45" customWidth="1"/>
    <col min="32" max="16384" width="9.33203125" style="45"/>
  </cols>
  <sheetData>
    <row r="1" spans="1:14" ht="18.75" x14ac:dyDescent="0.3">
      <c r="A1" s="41">
        <f>IF(SUM($A3:$A41)&gt;0,1,0)</f>
        <v>0</v>
      </c>
      <c r="B1" s="3" t="s">
        <v>785</v>
      </c>
    </row>
    <row r="2" spans="1:14" customFormat="1" x14ac:dyDescent="0.3">
      <c r="B2" s="34" t="str">
        <f>TOC!$B$1</f>
        <v>Table of contents</v>
      </c>
      <c r="C2" s="34"/>
      <c r="D2" s="34"/>
      <c r="E2" s="34"/>
    </row>
    <row r="3" spans="1:14" x14ac:dyDescent="0.3">
      <c r="B3" s="9" t="str">
        <f>Title_Msg</f>
        <v>No Errors Found</v>
      </c>
    </row>
    <row r="4" spans="1:14" s="46" customFormat="1" ht="15" x14ac:dyDescent="0.3">
      <c r="B4" s="46" t="str">
        <f>'WkB_1_2.1.1'!$B$4</f>
        <v>Data required to populate Power and Water Corporation 2024-29 regulatory submission</v>
      </c>
    </row>
    <row r="5" spans="1:14" ht="4.5" customHeight="1" x14ac:dyDescent="0.3"/>
    <row r="6" spans="1:14" s="7" customFormat="1" ht="13.9" x14ac:dyDescent="0.3">
      <c r="C6" s="7" t="s">
        <v>68</v>
      </c>
    </row>
    <row r="7" spans="1:14" ht="11.25" customHeight="1" thickBot="1" x14ac:dyDescent="0.35"/>
    <row r="8" spans="1:14" ht="15.4" thickBot="1" x14ac:dyDescent="0.35">
      <c r="D8" s="325" t="s">
        <v>675</v>
      </c>
      <c r="E8" s="325"/>
      <c r="F8" s="325"/>
      <c r="G8" s="325"/>
      <c r="H8" s="325"/>
      <c r="I8" s="325"/>
      <c r="J8" s="325"/>
      <c r="K8" s="325"/>
      <c r="L8" s="325"/>
    </row>
    <row r="9" spans="1:14" ht="14.25" x14ac:dyDescent="0.3">
      <c r="D9"/>
      <c r="E9" s="271"/>
      <c r="F9" s="1107" t="s">
        <v>752</v>
      </c>
      <c r="G9" s="1108"/>
      <c r="H9" s="1108"/>
      <c r="I9" s="1108"/>
      <c r="J9" s="1108"/>
      <c r="K9" s="1108"/>
      <c r="L9" s="1109"/>
    </row>
    <row r="10" spans="1:14" ht="14.65" thickBot="1" x14ac:dyDescent="0.5">
      <c r="D10" s="198"/>
      <c r="E10" s="858" t="s">
        <v>38</v>
      </c>
      <c r="F10" s="859" t="s">
        <v>70</v>
      </c>
      <c r="G10" s="767" t="s">
        <v>71</v>
      </c>
      <c r="H10" s="768" t="s">
        <v>72</v>
      </c>
      <c r="I10" s="768" t="s">
        <v>73</v>
      </c>
      <c r="J10" s="768" t="s">
        <v>74</v>
      </c>
      <c r="K10" s="768" t="s">
        <v>82</v>
      </c>
      <c r="L10" s="769" t="s">
        <v>243</v>
      </c>
    </row>
    <row r="11" spans="1:14" ht="14.65" hidden="1" outlineLevel="1" thickBot="1" x14ac:dyDescent="0.35">
      <c r="D11" s="860" t="s">
        <v>751</v>
      </c>
      <c r="E11" s="861"/>
      <c r="F11" s="862"/>
      <c r="G11" s="862"/>
      <c r="H11" s="862"/>
      <c r="I11" s="862"/>
      <c r="J11" s="862"/>
      <c r="K11" s="862"/>
      <c r="L11" s="863"/>
      <c r="N11" s="6" t="s">
        <v>753</v>
      </c>
    </row>
    <row r="12" spans="1:14" ht="14.25" hidden="1" outlineLevel="1" x14ac:dyDescent="0.45">
      <c r="D12" s="864" t="s">
        <v>688</v>
      </c>
      <c r="E12" s="873" t="s">
        <v>49</v>
      </c>
      <c r="F12" s="830"/>
      <c r="G12" s="831"/>
      <c r="H12" s="831"/>
      <c r="I12" s="831"/>
      <c r="J12" s="831"/>
      <c r="K12" s="831"/>
      <c r="L12" s="899"/>
    </row>
    <row r="13" spans="1:14" ht="14.25" hidden="1" outlineLevel="1" x14ac:dyDescent="0.45">
      <c r="D13" s="865" t="s">
        <v>689</v>
      </c>
      <c r="E13" s="874" t="s">
        <v>49</v>
      </c>
      <c r="F13" s="760"/>
      <c r="G13" s="759"/>
      <c r="H13" s="759"/>
      <c r="I13" s="759"/>
      <c r="J13" s="759"/>
      <c r="K13" s="759"/>
      <c r="L13" s="900"/>
    </row>
    <row r="14" spans="1:14" ht="14.25" hidden="1" outlineLevel="1" x14ac:dyDescent="0.45">
      <c r="D14" s="865" t="s">
        <v>690</v>
      </c>
      <c r="E14" s="874" t="s">
        <v>49</v>
      </c>
      <c r="F14" s="760"/>
      <c r="G14" s="759"/>
      <c r="H14" s="759"/>
      <c r="I14" s="759"/>
      <c r="J14" s="759"/>
      <c r="K14" s="759"/>
      <c r="L14" s="900"/>
    </row>
    <row r="15" spans="1:14" ht="14.65" hidden="1" outlineLevel="1" thickBot="1" x14ac:dyDescent="0.5">
      <c r="D15" s="866" t="s">
        <v>691</v>
      </c>
      <c r="E15" s="875" t="s">
        <v>49</v>
      </c>
      <c r="F15" s="786"/>
      <c r="G15" s="787"/>
      <c r="H15" s="787"/>
      <c r="I15" s="787"/>
      <c r="J15" s="787"/>
      <c r="K15" s="787"/>
      <c r="L15" s="901"/>
    </row>
    <row r="16" spans="1:14" ht="14.65" collapsed="1" thickBot="1" x14ac:dyDescent="0.35">
      <c r="D16" s="860" t="s">
        <v>754</v>
      </c>
      <c r="E16" s="861"/>
      <c r="F16" s="862"/>
      <c r="G16" s="862"/>
      <c r="H16" s="862"/>
      <c r="I16" s="862"/>
      <c r="J16" s="862"/>
      <c r="K16" s="862"/>
      <c r="L16" s="863"/>
    </row>
    <row r="17" spans="4:12" ht="14.25" x14ac:dyDescent="0.45">
      <c r="D17" s="864" t="s">
        <v>688</v>
      </c>
      <c r="E17" s="873" t="s">
        <v>49</v>
      </c>
      <c r="F17" s="540">
        <v>0.15279100000000001</v>
      </c>
      <c r="G17" s="437">
        <v>0.171791</v>
      </c>
      <c r="H17" s="437">
        <v>0.19079099999999999</v>
      </c>
      <c r="I17" s="437">
        <v>0.20979100000000001</v>
      </c>
      <c r="J17" s="437">
        <v>0.22879099999999999</v>
      </c>
      <c r="K17" s="437">
        <v>0.24779100000000001</v>
      </c>
      <c r="L17" s="438">
        <v>0.266791</v>
      </c>
    </row>
    <row r="18" spans="4:12" ht="14.25" x14ac:dyDescent="0.45">
      <c r="D18" s="865" t="s">
        <v>689</v>
      </c>
      <c r="E18" s="874" t="s">
        <v>49</v>
      </c>
      <c r="F18" s="314">
        <v>15.16703787691222</v>
      </c>
      <c r="G18" s="315">
        <v>15.783640596221254</v>
      </c>
      <c r="H18" s="315">
        <v>16.317766166719345</v>
      </c>
      <c r="I18" s="315">
        <v>16.78889830934488</v>
      </c>
      <c r="J18" s="315">
        <v>17.210340371976184</v>
      </c>
      <c r="K18" s="315">
        <v>17.591581091193483</v>
      </c>
      <c r="L18" s="316">
        <v>17.939626599152</v>
      </c>
    </row>
    <row r="19" spans="4:12" ht="14.25" x14ac:dyDescent="0.45">
      <c r="D19" s="865" t="s">
        <v>690</v>
      </c>
      <c r="E19" s="874" t="s">
        <v>49</v>
      </c>
      <c r="F19" s="314">
        <v>62</v>
      </c>
      <c r="G19" s="315">
        <v>69</v>
      </c>
      <c r="H19" s="315">
        <v>76</v>
      </c>
      <c r="I19" s="315">
        <v>83</v>
      </c>
      <c r="J19" s="315">
        <v>90</v>
      </c>
      <c r="K19" s="315">
        <v>97</v>
      </c>
      <c r="L19" s="316">
        <v>104</v>
      </c>
    </row>
    <row r="20" spans="4:12" ht="14.25" x14ac:dyDescent="0.45">
      <c r="D20" s="866" t="s">
        <v>691</v>
      </c>
      <c r="E20" s="874" t="s">
        <v>49</v>
      </c>
      <c r="F20" s="314">
        <v>1.002484586756238</v>
      </c>
      <c r="G20" s="315">
        <v>1.0440167878193769</v>
      </c>
      <c r="H20" s="315">
        <v>1.0799936168086315</v>
      </c>
      <c r="I20" s="315">
        <v>1.1117274289733885</v>
      </c>
      <c r="J20" s="315">
        <v>1.140114291265014</v>
      </c>
      <c r="K20" s="315">
        <v>1.1657933317689737</v>
      </c>
      <c r="L20" s="316">
        <v>1.1892364590257818</v>
      </c>
    </row>
    <row r="21" spans="4:12" ht="14.65" thickBot="1" x14ac:dyDescent="0.5">
      <c r="D21" s="913"/>
      <c r="E21" s="914"/>
      <c r="F21" s="786"/>
      <c r="G21" s="787"/>
      <c r="H21" s="787"/>
      <c r="I21" s="787"/>
      <c r="J21" s="787"/>
      <c r="K21" s="787"/>
      <c r="L21" s="901"/>
    </row>
    <row r="22" spans="4:12" ht="11.25" customHeight="1" thickBot="1" x14ac:dyDescent="0.4">
      <c r="D22" s="723"/>
      <c r="E22" s="723"/>
      <c r="F22" s="723"/>
      <c r="G22" s="723"/>
      <c r="H22" s="723"/>
      <c r="I22" s="723"/>
      <c r="J22" s="723"/>
      <c r="K22" s="723"/>
      <c r="L22" s="723"/>
    </row>
    <row r="23" spans="4:12" ht="15.4" thickBot="1" x14ac:dyDescent="0.35">
      <c r="D23" s="325" t="s">
        <v>692</v>
      </c>
      <c r="E23" s="325"/>
      <c r="F23" s="325"/>
      <c r="G23" s="325"/>
      <c r="H23" s="325"/>
      <c r="I23" s="325"/>
      <c r="J23" s="325"/>
      <c r="K23" s="325"/>
      <c r="L23" s="325"/>
    </row>
    <row r="24" spans="4:12" ht="14.25" x14ac:dyDescent="0.3">
      <c r="D24"/>
      <c r="E24" s="271"/>
      <c r="F24" s="1107" t="s">
        <v>693</v>
      </c>
      <c r="G24" s="1108"/>
      <c r="H24" s="1108"/>
      <c r="I24" s="1108"/>
      <c r="J24" s="1108"/>
      <c r="K24" s="1108"/>
      <c r="L24" s="1109"/>
    </row>
    <row r="25" spans="4:12" ht="14.65" thickBot="1" x14ac:dyDescent="0.5">
      <c r="D25" s="868"/>
      <c r="E25" s="858" t="s">
        <v>38</v>
      </c>
      <c r="F25" s="859" t="s">
        <v>70</v>
      </c>
      <c r="G25" s="767" t="s">
        <v>71</v>
      </c>
      <c r="H25" s="768" t="s">
        <v>72</v>
      </c>
      <c r="I25" s="768" t="s">
        <v>73</v>
      </c>
      <c r="J25" s="768" t="s">
        <v>74</v>
      </c>
      <c r="K25" s="768" t="s">
        <v>82</v>
      </c>
      <c r="L25" s="769" t="s">
        <v>243</v>
      </c>
    </row>
    <row r="26" spans="4:12" ht="14.65" thickBot="1" x14ac:dyDescent="0.35">
      <c r="D26" s="860" t="s">
        <v>751</v>
      </c>
      <c r="E26" s="861"/>
      <c r="F26" s="902"/>
      <c r="G26" s="902"/>
      <c r="H26" s="902"/>
      <c r="I26" s="902"/>
      <c r="J26" s="902"/>
      <c r="K26" s="902"/>
      <c r="L26" s="903"/>
    </row>
    <row r="27" spans="4:12" ht="14.25" x14ac:dyDescent="0.45">
      <c r="D27" s="864" t="s">
        <v>688</v>
      </c>
      <c r="E27" s="873" t="s">
        <v>563</v>
      </c>
      <c r="F27" s="311">
        <v>19</v>
      </c>
      <c r="G27" s="904">
        <f>F36</f>
        <v>21</v>
      </c>
      <c r="H27" s="904">
        <f t="shared" ref="H27:L27" si="0">G36</f>
        <v>22</v>
      </c>
      <c r="I27" s="904">
        <f t="shared" si="0"/>
        <v>23</v>
      </c>
      <c r="J27" s="904">
        <f t="shared" si="0"/>
        <v>24</v>
      </c>
      <c r="K27" s="904">
        <f t="shared" si="0"/>
        <v>25</v>
      </c>
      <c r="L27" s="905">
        <f t="shared" si="0"/>
        <v>25</v>
      </c>
    </row>
    <row r="28" spans="4:12" ht="14.25" x14ac:dyDescent="0.45">
      <c r="D28" s="865" t="s">
        <v>689</v>
      </c>
      <c r="E28" s="874" t="s">
        <v>563</v>
      </c>
      <c r="F28" s="314">
        <v>2807</v>
      </c>
      <c r="G28" s="869">
        <f t="shared" ref="G28:L30" si="1">F37</f>
        <v>792</v>
      </c>
      <c r="H28" s="869">
        <f t="shared" si="1"/>
        <v>981</v>
      </c>
      <c r="I28" s="869">
        <f t="shared" si="1"/>
        <v>1215</v>
      </c>
      <c r="J28" s="869">
        <f t="shared" si="1"/>
        <v>1504</v>
      </c>
      <c r="K28" s="869">
        <f t="shared" si="1"/>
        <v>1862</v>
      </c>
      <c r="L28" s="870">
        <f t="shared" si="1"/>
        <v>2306</v>
      </c>
    </row>
    <row r="29" spans="4:12" ht="14.25" x14ac:dyDescent="0.45">
      <c r="D29" s="865" t="s">
        <v>690</v>
      </c>
      <c r="E29" s="874" t="s">
        <v>563</v>
      </c>
      <c r="F29" s="314">
        <v>13017</v>
      </c>
      <c r="G29" s="869">
        <f t="shared" si="1"/>
        <v>10019</v>
      </c>
      <c r="H29" s="869">
        <f t="shared" si="1"/>
        <v>12070</v>
      </c>
      <c r="I29" s="869">
        <f t="shared" si="1"/>
        <v>14121</v>
      </c>
      <c r="J29" s="869">
        <f t="shared" si="1"/>
        <v>16172</v>
      </c>
      <c r="K29" s="869">
        <f t="shared" si="1"/>
        <v>18223</v>
      </c>
      <c r="L29" s="870">
        <f t="shared" si="1"/>
        <v>20274</v>
      </c>
    </row>
    <row r="30" spans="4:12" ht="14.65" thickBot="1" x14ac:dyDescent="0.5">
      <c r="D30" s="867" t="s">
        <v>691</v>
      </c>
      <c r="E30" s="876" t="s">
        <v>563</v>
      </c>
      <c r="F30" s="317">
        <v>171</v>
      </c>
      <c r="G30" s="871">
        <f t="shared" si="1"/>
        <v>133</v>
      </c>
      <c r="H30" s="871">
        <f t="shared" si="1"/>
        <v>160</v>
      </c>
      <c r="I30" s="871">
        <f t="shared" si="1"/>
        <v>188</v>
      </c>
      <c r="J30" s="871">
        <f t="shared" si="1"/>
        <v>215</v>
      </c>
      <c r="K30" s="871">
        <f t="shared" si="1"/>
        <v>242</v>
      </c>
      <c r="L30" s="872">
        <f t="shared" si="1"/>
        <v>269</v>
      </c>
    </row>
    <row r="31" spans="4:12" ht="11.25" customHeight="1" thickBot="1" x14ac:dyDescent="0.4">
      <c r="D31" s="723"/>
      <c r="E31" s="723"/>
      <c r="F31" s="723"/>
      <c r="G31" s="723"/>
      <c r="H31" s="723"/>
      <c r="I31" s="723"/>
      <c r="J31" s="723"/>
      <c r="K31" s="723"/>
      <c r="L31" s="723"/>
    </row>
    <row r="32" spans="4:12" ht="15.4" thickBot="1" x14ac:dyDescent="0.35">
      <c r="D32" s="325" t="s">
        <v>692</v>
      </c>
      <c r="E32" s="325"/>
      <c r="F32" s="325"/>
      <c r="G32" s="325"/>
      <c r="H32" s="325"/>
      <c r="I32" s="325"/>
      <c r="J32" s="325"/>
      <c r="K32" s="325"/>
      <c r="L32" s="325"/>
    </row>
    <row r="33" spans="2:12" ht="14.25" x14ac:dyDescent="0.3">
      <c r="D33"/>
      <c r="E33" s="271"/>
      <c r="F33" s="1107" t="s">
        <v>693</v>
      </c>
      <c r="G33" s="1108"/>
      <c r="H33" s="1108"/>
      <c r="I33" s="1108"/>
      <c r="J33" s="1108"/>
      <c r="K33" s="1108"/>
      <c r="L33" s="1109"/>
    </row>
    <row r="34" spans="2:12" ht="14.65" thickBot="1" x14ac:dyDescent="0.5">
      <c r="D34" s="868"/>
      <c r="E34" s="858" t="s">
        <v>38</v>
      </c>
      <c r="F34" s="859" t="s">
        <v>70</v>
      </c>
      <c r="G34" s="767" t="s">
        <v>71</v>
      </c>
      <c r="H34" s="768" t="s">
        <v>72</v>
      </c>
      <c r="I34" s="768" t="s">
        <v>73</v>
      </c>
      <c r="J34" s="768" t="s">
        <v>74</v>
      </c>
      <c r="K34" s="768" t="s">
        <v>82</v>
      </c>
      <c r="L34" s="769" t="s">
        <v>243</v>
      </c>
    </row>
    <row r="35" spans="2:12" ht="14.65" thickBot="1" x14ac:dyDescent="0.35">
      <c r="D35" s="860" t="s">
        <v>754</v>
      </c>
      <c r="E35" s="861"/>
      <c r="F35" s="862"/>
      <c r="G35" s="862"/>
      <c r="H35" s="862"/>
      <c r="I35" s="862"/>
      <c r="J35" s="862"/>
      <c r="K35" s="862"/>
      <c r="L35" s="863"/>
    </row>
    <row r="36" spans="2:12" ht="14.25" x14ac:dyDescent="0.45">
      <c r="D36" s="864" t="s">
        <v>688</v>
      </c>
      <c r="E36" s="873" t="s">
        <v>563</v>
      </c>
      <c r="F36" s="540">
        <v>21</v>
      </c>
      <c r="G36" s="437">
        <v>22</v>
      </c>
      <c r="H36" s="437">
        <v>23</v>
      </c>
      <c r="I36" s="437">
        <v>24</v>
      </c>
      <c r="J36" s="437">
        <v>25</v>
      </c>
      <c r="K36" s="437">
        <v>25</v>
      </c>
      <c r="L36" s="438">
        <v>26</v>
      </c>
    </row>
    <row r="37" spans="2:12" ht="14.25" x14ac:dyDescent="0.45">
      <c r="D37" s="865" t="s">
        <v>689</v>
      </c>
      <c r="E37" s="874" t="s">
        <v>563</v>
      </c>
      <c r="F37" s="314">
        <v>792</v>
      </c>
      <c r="G37" s="315">
        <v>981</v>
      </c>
      <c r="H37" s="315">
        <v>1215</v>
      </c>
      <c r="I37" s="315">
        <v>1504</v>
      </c>
      <c r="J37" s="315">
        <v>1862</v>
      </c>
      <c r="K37" s="315">
        <v>2306</v>
      </c>
      <c r="L37" s="316">
        <v>2855</v>
      </c>
    </row>
    <row r="38" spans="2:12" ht="14.25" x14ac:dyDescent="0.45">
      <c r="D38" s="865" t="s">
        <v>690</v>
      </c>
      <c r="E38" s="874" t="s">
        <v>563</v>
      </c>
      <c r="F38" s="314">
        <v>10019</v>
      </c>
      <c r="G38" s="315">
        <v>12070</v>
      </c>
      <c r="H38" s="315">
        <v>14121</v>
      </c>
      <c r="I38" s="315">
        <v>16172</v>
      </c>
      <c r="J38" s="315">
        <v>18223</v>
      </c>
      <c r="K38" s="315">
        <v>20274</v>
      </c>
      <c r="L38" s="316">
        <v>22325</v>
      </c>
    </row>
    <row r="39" spans="2:12" ht="14.65" thickBot="1" x14ac:dyDescent="0.5">
      <c r="D39" s="867" t="s">
        <v>691</v>
      </c>
      <c r="E39" s="876" t="s">
        <v>563</v>
      </c>
      <c r="F39" s="317">
        <v>133</v>
      </c>
      <c r="G39" s="318">
        <v>160</v>
      </c>
      <c r="H39" s="318">
        <v>188</v>
      </c>
      <c r="I39" s="318">
        <v>215</v>
      </c>
      <c r="J39" s="318">
        <v>242</v>
      </c>
      <c r="K39" s="318">
        <v>269</v>
      </c>
      <c r="L39" s="319">
        <v>296</v>
      </c>
    </row>
    <row r="40" spans="2:12" ht="11.25" customHeight="1" x14ac:dyDescent="0.3"/>
    <row r="41" spans="2:12" s="46" customFormat="1" ht="15" x14ac:dyDescent="0.3">
      <c r="B41" s="46" t="s">
        <v>16</v>
      </c>
    </row>
  </sheetData>
  <mergeCells count="3">
    <mergeCell ref="F9:L9"/>
    <mergeCell ref="F24:L24"/>
    <mergeCell ref="F33:L33"/>
  </mergeCells>
  <conditionalFormatting sqref="B3">
    <cfRule type="cellIs" dxfId="54" priority="31" operator="notEqual">
      <formula>"No Errors Found"</formula>
    </cfRule>
  </conditionalFormatting>
  <conditionalFormatting sqref="J12:J15">
    <cfRule type="expression" dxfId="53" priority="19">
      <formula>(dms_FRCPlength_Num)&lt;3</formula>
    </cfRule>
  </conditionalFormatting>
  <conditionalFormatting sqref="K12:K15">
    <cfRule type="expression" dxfId="52" priority="18">
      <formula>(dms_FRCPlength_Num)&lt;4</formula>
    </cfRule>
  </conditionalFormatting>
  <conditionalFormatting sqref="L12:L15">
    <cfRule type="expression" dxfId="51" priority="17">
      <formula>(dms_FRCPlength_Num)&lt;5</formula>
    </cfRule>
  </conditionalFormatting>
  <conditionalFormatting sqref="D12:D15">
    <cfRule type="expression" dxfId="50" priority="16">
      <formula>INDEX(dms_CF_3.6.5, MATCH(dms_TradingName,dms_CF_TradingName))="Y"</formula>
    </cfRule>
  </conditionalFormatting>
  <conditionalFormatting sqref="J17:J21">
    <cfRule type="expression" dxfId="49" priority="15">
      <formula>(dms_FRCPlength_Num)&lt;3</formula>
    </cfRule>
  </conditionalFormatting>
  <conditionalFormatting sqref="K17:K21">
    <cfRule type="expression" dxfId="48" priority="14">
      <formula>(dms_FRCPlength_Num)&lt;4</formula>
    </cfRule>
  </conditionalFormatting>
  <conditionalFormatting sqref="L17:L21">
    <cfRule type="expression" dxfId="47" priority="13">
      <formula>(dms_FRCPlength_Num)&lt;5</formula>
    </cfRule>
  </conditionalFormatting>
  <conditionalFormatting sqref="D21">
    <cfRule type="expression" dxfId="46" priority="12">
      <formula>INDEX(dms_CF_3.6.5, MATCH(dms_TradingName,dms_CF_TradingName))="Y"</formula>
    </cfRule>
  </conditionalFormatting>
  <conditionalFormatting sqref="D27:D30">
    <cfRule type="expression" dxfId="45" priority="11">
      <formula>INDEX(dms_CF_3.6.5, MATCH(dms_TradingName,dms_CF_TradingName))="Y"</formula>
    </cfRule>
  </conditionalFormatting>
  <conditionalFormatting sqref="J36:J39">
    <cfRule type="expression" dxfId="44" priority="9">
      <formula>(dms_FRCPlength_Num)&lt;3</formula>
    </cfRule>
  </conditionalFormatting>
  <conditionalFormatting sqref="K36:K39">
    <cfRule type="expression" dxfId="43" priority="8">
      <formula>(dms_FRCPlength_Num)&lt;4</formula>
    </cfRule>
  </conditionalFormatting>
  <conditionalFormatting sqref="L36:L39">
    <cfRule type="expression" dxfId="42" priority="7">
      <formula>(dms_FRCPlength_Num)&lt;5</formula>
    </cfRule>
  </conditionalFormatting>
  <conditionalFormatting sqref="D36:D39">
    <cfRule type="expression" dxfId="41" priority="6">
      <formula>INDEX(dms_CF_3.6.5, MATCH(dms_TradingName,dms_CF_TradingName))="Y"</formula>
    </cfRule>
  </conditionalFormatting>
  <conditionalFormatting sqref="D17:D20">
    <cfRule type="expression" dxfId="40" priority="1">
      <formula>INDEX(dms_CF_3.6.5, MATCH(dms_TradingName,dms_CF_TradingName))="Y"</formula>
    </cfRule>
  </conditionalFormatting>
  <dataValidations count="1">
    <dataValidation allowBlank="1" showInputMessage="1" showErrorMessage="1" sqref="F8:L21 F32:L39 F23:L30" xr:uid="{86D97C6A-2A86-4563-8CA4-74C35F602D92}"/>
  </dataValidations>
  <hyperlinks>
    <hyperlink ref="B2:E2" location="TOC!A1" display="TOC!A1" xr:uid="{0C9FB2C4-73DA-4745-AD97-109C10285D28}"/>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904D-C3BB-4E57-B681-46F5F5B1E7E9}">
  <sheetPr codeName="Sheet42">
    <tabColor theme="4" tint="0.79998168889431442"/>
  </sheetPr>
  <dimension ref="A1:M69"/>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1" x14ac:dyDescent="0.3"/>
  <cols>
    <col min="1" max="3" width="3.6640625" style="45" customWidth="1"/>
    <col min="4" max="4" width="44.5" style="45" customWidth="1"/>
    <col min="5" max="5" width="37.1640625" style="45" customWidth="1"/>
    <col min="6" max="19" width="14.6640625" style="45" customWidth="1"/>
    <col min="20" max="29" width="10.6640625" style="45" customWidth="1"/>
    <col min="30" max="16384" width="9.33203125" style="45"/>
  </cols>
  <sheetData>
    <row r="1" spans="1:13" ht="18.75" x14ac:dyDescent="0.3">
      <c r="A1" s="41">
        <f>IF(SUM($A3:$A69)&gt;0,1,0)</f>
        <v>0</v>
      </c>
      <c r="B1" s="3" t="s">
        <v>1112</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tr">
        <f>'WkB_1_2.1.1'!$B$4</f>
        <v>Data required to populate Power and Water Corporation 2024-29 regulatory submission</v>
      </c>
    </row>
    <row r="5" spans="1:13" ht="4.5" customHeight="1" x14ac:dyDescent="0.3"/>
    <row r="6" spans="1:13" s="7" customFormat="1" ht="13.9" x14ac:dyDescent="0.3">
      <c r="C6" s="7" t="str">
        <f>'WkB_1_2.1.1'!$C$6</f>
        <v>Output - RIN template</v>
      </c>
    </row>
    <row r="7" spans="1:13" ht="11.25" customHeight="1" x14ac:dyDescent="0.3"/>
    <row r="8" spans="1:13" ht="16.149999999999999" thickBot="1" x14ac:dyDescent="0.35">
      <c r="D8" s="183" t="s">
        <v>177</v>
      </c>
      <c r="E8" s="183"/>
      <c r="F8" s="183"/>
      <c r="G8" s="183"/>
      <c r="H8" s="183"/>
      <c r="I8" s="183"/>
      <c r="J8" s="183"/>
      <c r="K8" s="183"/>
      <c r="L8" s="183"/>
      <c r="M8" s="183"/>
    </row>
    <row r="9" spans="1:13" ht="12" thickBot="1" x14ac:dyDescent="0.35">
      <c r="D9" s="1088" t="s">
        <v>178</v>
      </c>
      <c r="E9" s="1090" t="s">
        <v>179</v>
      </c>
      <c r="F9" s="794" t="s">
        <v>180</v>
      </c>
      <c r="G9" s="795"/>
      <c r="H9" s="795"/>
      <c r="I9" s="795"/>
      <c r="J9" s="795"/>
      <c r="K9" s="795"/>
      <c r="L9" s="795"/>
      <c r="M9" s="795"/>
    </row>
    <row r="10" spans="1:13" ht="12" thickBot="1" x14ac:dyDescent="0.35">
      <c r="D10" s="1089"/>
      <c r="E10" s="1091"/>
      <c r="F10" s="641" t="s">
        <v>181</v>
      </c>
      <c r="G10" s="639" t="s">
        <v>182</v>
      </c>
      <c r="H10" s="639" t="s">
        <v>183</v>
      </c>
      <c r="I10" s="639" t="s">
        <v>184</v>
      </c>
      <c r="J10" s="639" t="s">
        <v>171</v>
      </c>
      <c r="K10" s="639" t="s">
        <v>170</v>
      </c>
      <c r="L10" s="639" t="s">
        <v>172</v>
      </c>
      <c r="M10" s="640" t="s">
        <v>69</v>
      </c>
    </row>
    <row r="11" spans="1:13" ht="38.25" x14ac:dyDescent="0.3">
      <c r="D11" s="275" t="str">
        <f t="shared" ref="D11:E11" si="0">D53</f>
        <v>Shared Asset</v>
      </c>
      <c r="E11" s="276" t="str">
        <f t="shared" si="0"/>
        <v>Fibre optic cable used for PWC's communications network is also used by a third party</v>
      </c>
      <c r="F11" s="291">
        <f>F53</f>
        <v>2358362.1300000004</v>
      </c>
      <c r="G11" s="291">
        <f t="shared" ref="G11:M11" si="1">G53</f>
        <v>2413110.2399999998</v>
      </c>
      <c r="H11" s="291">
        <f t="shared" si="1"/>
        <v>2587818.3499999996</v>
      </c>
      <c r="I11" s="291">
        <f t="shared" si="1"/>
        <v>2763827.99</v>
      </c>
      <c r="J11" s="292">
        <f t="shared" si="1"/>
        <v>3194981.89</v>
      </c>
      <c r="K11" s="293">
        <f t="shared" si="1"/>
        <v>3359427.3000000007</v>
      </c>
      <c r="L11" s="293">
        <f t="shared" si="1"/>
        <v>847488.66</v>
      </c>
      <c r="M11" s="294">
        <f t="shared" si="1"/>
        <v>1694177.7900000005</v>
      </c>
    </row>
    <row r="12" spans="1:13" ht="12.75" hidden="1" outlineLevel="1" x14ac:dyDescent="0.3">
      <c r="D12" s="280"/>
      <c r="E12" s="281"/>
      <c r="F12" s="291"/>
      <c r="G12" s="291"/>
      <c r="H12" s="291"/>
      <c r="I12" s="291"/>
      <c r="J12" s="292"/>
      <c r="K12" s="293"/>
      <c r="L12" s="293"/>
      <c r="M12" s="294"/>
    </row>
    <row r="13" spans="1:13" ht="12.75" hidden="1" outlineLevel="1" x14ac:dyDescent="0.3">
      <c r="D13" s="280"/>
      <c r="E13" s="281"/>
      <c r="F13" s="291"/>
      <c r="G13" s="291"/>
      <c r="H13" s="291"/>
      <c r="I13" s="291"/>
      <c r="J13" s="292"/>
      <c r="K13" s="293"/>
      <c r="L13" s="293"/>
      <c r="M13" s="294"/>
    </row>
    <row r="14" spans="1:13" ht="12.75" hidden="1" outlineLevel="1" x14ac:dyDescent="0.3">
      <c r="D14" s="280"/>
      <c r="E14" s="281"/>
      <c r="F14" s="291"/>
      <c r="G14" s="291"/>
      <c r="H14" s="291"/>
      <c r="I14" s="291"/>
      <c r="J14" s="292"/>
      <c r="K14" s="293"/>
      <c r="L14" s="293"/>
      <c r="M14" s="294"/>
    </row>
    <row r="15" spans="1:13" ht="12.75" hidden="1" outlineLevel="1" x14ac:dyDescent="0.3">
      <c r="D15" s="285"/>
      <c r="E15" s="286"/>
      <c r="F15" s="291"/>
      <c r="G15" s="291"/>
      <c r="H15" s="291"/>
      <c r="I15" s="291"/>
      <c r="J15" s="292"/>
      <c r="K15" s="293"/>
      <c r="L15" s="293"/>
      <c r="M15" s="294"/>
    </row>
    <row r="16" spans="1:13" ht="12.75" hidden="1" outlineLevel="1" x14ac:dyDescent="0.3">
      <c r="D16" s="285"/>
      <c r="E16" s="286"/>
      <c r="F16" s="291"/>
      <c r="G16" s="291"/>
      <c r="H16" s="291"/>
      <c r="I16" s="291"/>
      <c r="J16" s="292"/>
      <c r="K16" s="293"/>
      <c r="L16" s="293"/>
      <c r="M16" s="294"/>
    </row>
    <row r="17" spans="1:13" ht="12.75" hidden="1" outlineLevel="1" x14ac:dyDescent="0.3">
      <c r="D17" s="285"/>
      <c r="E17" s="286"/>
      <c r="F17" s="291"/>
      <c r="G17" s="291"/>
      <c r="H17" s="291"/>
      <c r="I17" s="291"/>
      <c r="J17" s="292"/>
      <c r="K17" s="293"/>
      <c r="L17" s="293"/>
      <c r="M17" s="294"/>
    </row>
    <row r="18" spans="1:13" ht="12.75" hidden="1" outlineLevel="1" x14ac:dyDescent="0.3">
      <c r="D18" s="285"/>
      <c r="E18" s="286"/>
      <c r="F18" s="291"/>
      <c r="G18" s="291"/>
      <c r="H18" s="291"/>
      <c r="I18" s="291"/>
      <c r="J18" s="292"/>
      <c r="K18" s="293"/>
      <c r="L18" s="293"/>
      <c r="M18" s="294"/>
    </row>
    <row r="19" spans="1:13" ht="12.75" hidden="1" outlineLevel="1" x14ac:dyDescent="0.3">
      <c r="D19" s="285"/>
      <c r="E19" s="286"/>
      <c r="F19" s="291"/>
      <c r="G19" s="291"/>
      <c r="H19" s="291"/>
      <c r="I19" s="291"/>
      <c r="J19" s="292"/>
      <c r="K19" s="293"/>
      <c r="L19" s="293"/>
      <c r="M19" s="294"/>
    </row>
    <row r="20" spans="1:13" ht="12.75" hidden="1" outlineLevel="1" x14ac:dyDescent="0.3">
      <c r="D20" s="285"/>
      <c r="E20" s="286"/>
      <c r="F20" s="291"/>
      <c r="G20" s="291"/>
      <c r="H20" s="291"/>
      <c r="I20" s="291"/>
      <c r="J20" s="292"/>
      <c r="K20" s="293"/>
      <c r="L20" s="293"/>
      <c r="M20" s="294"/>
    </row>
    <row r="21" spans="1:13" ht="12.75" hidden="1" outlineLevel="1" x14ac:dyDescent="0.3">
      <c r="D21" s="285"/>
      <c r="E21" s="286"/>
      <c r="F21" s="291"/>
      <c r="G21" s="291"/>
      <c r="H21" s="291"/>
      <c r="I21" s="291"/>
      <c r="J21" s="292"/>
      <c r="K21" s="293"/>
      <c r="L21" s="293"/>
      <c r="M21" s="294"/>
    </row>
    <row r="22" spans="1:13" ht="12.75" hidden="1" outlineLevel="1" x14ac:dyDescent="0.3">
      <c r="D22" s="285"/>
      <c r="E22" s="286"/>
      <c r="F22" s="291"/>
      <c r="G22" s="291"/>
      <c r="H22" s="291"/>
      <c r="I22" s="291"/>
      <c r="J22" s="292"/>
      <c r="K22" s="293"/>
      <c r="L22" s="293"/>
      <c r="M22" s="294"/>
    </row>
    <row r="23" spans="1:13" ht="12.75" hidden="1" outlineLevel="1" x14ac:dyDescent="0.3">
      <c r="D23" s="285"/>
      <c r="E23" s="286"/>
      <c r="F23" s="291"/>
      <c r="G23" s="291"/>
      <c r="H23" s="291"/>
      <c r="I23" s="291"/>
      <c r="J23" s="292"/>
      <c r="K23" s="293"/>
      <c r="L23" s="293"/>
      <c r="M23" s="294"/>
    </row>
    <row r="24" spans="1:13" ht="12.75" hidden="1" outlineLevel="1" x14ac:dyDescent="0.3">
      <c r="D24" s="285"/>
      <c r="E24" s="286"/>
      <c r="F24" s="291"/>
      <c r="G24" s="291"/>
      <c r="H24" s="291"/>
      <c r="I24" s="291"/>
      <c r="J24" s="292"/>
      <c r="K24" s="293"/>
      <c r="L24" s="293"/>
      <c r="M24" s="294"/>
    </row>
    <row r="25" spans="1:13" ht="13.15" collapsed="1" thickBot="1" x14ac:dyDescent="0.35">
      <c r="D25" s="295"/>
      <c r="E25" s="296"/>
      <c r="F25" s="301"/>
      <c r="G25" s="301"/>
      <c r="H25" s="301"/>
      <c r="I25" s="301"/>
      <c r="J25" s="302"/>
      <c r="K25" s="303"/>
      <c r="L25" s="303"/>
      <c r="M25" s="304"/>
    </row>
    <row r="26" spans="1:13" ht="11.25" customHeight="1" x14ac:dyDescent="0.3"/>
    <row r="27" spans="1:13" ht="12.75" x14ac:dyDescent="0.3">
      <c r="D27" s="6" t="s">
        <v>83</v>
      </c>
      <c r="H27" s="115">
        <v>2587818.3499999996</v>
      </c>
      <c r="I27" s="115">
        <v>2763827.99</v>
      </c>
      <c r="J27" s="115">
        <v>3194981.89</v>
      </c>
      <c r="K27" s="115">
        <v>3359427.3000000007</v>
      </c>
      <c r="L27" s="115">
        <v>847488.66</v>
      </c>
      <c r="M27" s="115">
        <v>1694177.7900000005</v>
      </c>
    </row>
    <row r="28" spans="1:13" ht="12.75" x14ac:dyDescent="0.3">
      <c r="A28" s="41">
        <f>IF(SUM($F28:$M28)&gt;0,1,0)</f>
        <v>0</v>
      </c>
      <c r="D28" s="6" t="s">
        <v>84</v>
      </c>
      <c r="E28" s="62"/>
      <c r="H28" s="62">
        <f t="shared" ref="H28:L28" si="2">IF(ROUND(SUM(H11:H25)-H27,3)&lt;&gt;0,1,0)</f>
        <v>0</v>
      </c>
      <c r="I28" s="62">
        <f t="shared" si="2"/>
        <v>0</v>
      </c>
      <c r="J28" s="62">
        <f t="shared" si="2"/>
        <v>0</v>
      </c>
      <c r="K28" s="62">
        <f t="shared" si="2"/>
        <v>0</v>
      </c>
      <c r="L28" s="62">
        <f t="shared" si="2"/>
        <v>0</v>
      </c>
      <c r="M28" s="62">
        <f>IF(ROUND(SUM(M11:M25)-M27,3)&lt;&gt;0,1,0)</f>
        <v>0</v>
      </c>
    </row>
    <row r="29" spans="1:13" ht="11.25" customHeight="1" x14ac:dyDescent="0.3"/>
    <row r="30" spans="1:13" ht="15.75" x14ac:dyDescent="0.3">
      <c r="D30" s="183" t="s">
        <v>194</v>
      </c>
      <c r="E30" s="183"/>
      <c r="F30" s="183"/>
      <c r="G30" s="183"/>
      <c r="H30" s="183"/>
      <c r="I30" s="183"/>
      <c r="J30" s="183"/>
      <c r="K30" s="183"/>
    </row>
    <row r="31" spans="1:13" ht="42" thickBot="1" x14ac:dyDescent="0.35">
      <c r="D31" s="328" t="s">
        <v>195</v>
      </c>
      <c r="E31" s="1095" t="s">
        <v>196</v>
      </c>
      <c r="F31" s="1096"/>
      <c r="G31" s="1096"/>
      <c r="H31" s="1096"/>
      <c r="I31" s="1096"/>
      <c r="J31" s="1096"/>
      <c r="K31" s="1097"/>
    </row>
    <row r="32" spans="1:13" ht="12.75" x14ac:dyDescent="0.3">
      <c r="D32" s="275" t="s">
        <v>1162</v>
      </c>
      <c r="E32" s="814" t="s">
        <v>1163</v>
      </c>
      <c r="F32" s="332"/>
      <c r="G32" s="332"/>
      <c r="H32" s="332"/>
      <c r="I32" s="332"/>
      <c r="J32" s="332"/>
      <c r="K32" s="333"/>
    </row>
    <row r="33" spans="3:11" ht="12.75" hidden="1" outlineLevel="1" x14ac:dyDescent="0.3">
      <c r="D33" s="280"/>
      <c r="E33" s="334"/>
      <c r="F33" s="335"/>
      <c r="G33" s="335"/>
      <c r="H33" s="335"/>
      <c r="I33" s="335"/>
      <c r="J33" s="335"/>
      <c r="K33" s="336"/>
    </row>
    <row r="34" spans="3:11" ht="12.75" hidden="1" outlineLevel="1" x14ac:dyDescent="0.3">
      <c r="D34" s="280"/>
      <c r="E34" s="334"/>
      <c r="F34" s="335"/>
      <c r="G34" s="335"/>
      <c r="H34" s="335"/>
      <c r="I34" s="335"/>
      <c r="J34" s="335"/>
      <c r="K34" s="336"/>
    </row>
    <row r="35" spans="3:11" ht="12.75" hidden="1" outlineLevel="1" x14ac:dyDescent="0.3">
      <c r="D35" s="329"/>
      <c r="E35" s="337"/>
      <c r="F35" s="338"/>
      <c r="G35" s="338"/>
      <c r="H35" s="338"/>
      <c r="I35" s="338"/>
      <c r="J35" s="338"/>
      <c r="K35" s="339"/>
    </row>
    <row r="36" spans="3:11" ht="12.75" hidden="1" outlineLevel="1" x14ac:dyDescent="0.3">
      <c r="D36" s="329"/>
      <c r="E36" s="337"/>
      <c r="F36" s="338"/>
      <c r="G36" s="338"/>
      <c r="H36" s="338"/>
      <c r="I36" s="338"/>
      <c r="J36" s="338"/>
      <c r="K36" s="339"/>
    </row>
    <row r="37" spans="3:11" ht="12.75" hidden="1" outlineLevel="1" x14ac:dyDescent="0.3">
      <c r="D37" s="330"/>
      <c r="E37" s="340"/>
      <c r="F37" s="341"/>
      <c r="G37" s="341"/>
      <c r="H37" s="341"/>
      <c r="I37" s="341"/>
      <c r="J37" s="341"/>
      <c r="K37" s="342"/>
    </row>
    <row r="38" spans="3:11" ht="12.75" hidden="1" outlineLevel="1" x14ac:dyDescent="0.3">
      <c r="D38" s="330"/>
      <c r="E38" s="340"/>
      <c r="F38" s="341"/>
      <c r="G38" s="341"/>
      <c r="H38" s="341"/>
      <c r="I38" s="341"/>
      <c r="J38" s="341"/>
      <c r="K38" s="342"/>
    </row>
    <row r="39" spans="3:11" ht="12.75" hidden="1" outlineLevel="1" x14ac:dyDescent="0.3">
      <c r="D39" s="330"/>
      <c r="E39" s="340"/>
      <c r="F39" s="341"/>
      <c r="G39" s="341"/>
      <c r="H39" s="341"/>
      <c r="I39" s="341"/>
      <c r="J39" s="341"/>
      <c r="K39" s="342"/>
    </row>
    <row r="40" spans="3:11" ht="12.75" hidden="1" outlineLevel="1" x14ac:dyDescent="0.3">
      <c r="D40" s="330"/>
      <c r="E40" s="340"/>
      <c r="F40" s="341"/>
      <c r="G40" s="341"/>
      <c r="H40" s="341"/>
      <c r="I40" s="341"/>
      <c r="J40" s="341"/>
      <c r="K40" s="342"/>
    </row>
    <row r="41" spans="3:11" ht="12.75" hidden="1" outlineLevel="1" x14ac:dyDescent="0.3">
      <c r="D41" s="330"/>
      <c r="E41" s="340"/>
      <c r="F41" s="341"/>
      <c r="G41" s="341"/>
      <c r="H41" s="341"/>
      <c r="I41" s="341"/>
      <c r="J41" s="341"/>
      <c r="K41" s="342"/>
    </row>
    <row r="42" spans="3:11" ht="12.75" hidden="1" outlineLevel="1" x14ac:dyDescent="0.3">
      <c r="D42" s="330"/>
      <c r="E42" s="340"/>
      <c r="F42" s="341"/>
      <c r="G42" s="341"/>
      <c r="H42" s="341"/>
      <c r="I42" s="341"/>
      <c r="J42" s="341"/>
      <c r="K42" s="342"/>
    </row>
    <row r="43" spans="3:11" ht="12.75" hidden="1" outlineLevel="1" x14ac:dyDescent="0.3">
      <c r="D43" s="330"/>
      <c r="E43" s="340"/>
      <c r="F43" s="341"/>
      <c r="G43" s="341"/>
      <c r="H43" s="341"/>
      <c r="I43" s="341"/>
      <c r="J43" s="341"/>
      <c r="K43" s="342"/>
    </row>
    <row r="44" spans="3:11" ht="12.75" hidden="1" outlineLevel="1" x14ac:dyDescent="0.3">
      <c r="D44" s="330"/>
      <c r="E44" s="340"/>
      <c r="F44" s="341"/>
      <c r="G44" s="341"/>
      <c r="H44" s="341"/>
      <c r="I44" s="341"/>
      <c r="J44" s="341"/>
      <c r="K44" s="342"/>
    </row>
    <row r="45" spans="3:11" ht="12.75" hidden="1" outlineLevel="1" x14ac:dyDescent="0.3">
      <c r="D45" s="330"/>
      <c r="E45" s="340"/>
      <c r="F45" s="341"/>
      <c r="G45" s="341"/>
      <c r="H45" s="341"/>
      <c r="I45" s="341"/>
      <c r="J45" s="341"/>
      <c r="K45" s="342"/>
    </row>
    <row r="46" spans="3:11" ht="13.15" collapsed="1" thickBot="1" x14ac:dyDescent="0.35">
      <c r="D46" s="331"/>
      <c r="E46" s="343"/>
      <c r="F46" s="344"/>
      <c r="G46" s="344"/>
      <c r="H46" s="344"/>
      <c r="I46" s="344"/>
      <c r="J46" s="344"/>
      <c r="K46" s="345"/>
    </row>
    <row r="47" spans="3:11" ht="11.25" customHeight="1" x14ac:dyDescent="0.3"/>
    <row r="48" spans="3:11" s="7" customFormat="1" ht="13.9" x14ac:dyDescent="0.3">
      <c r="C48" s="7" t="s">
        <v>653</v>
      </c>
    </row>
    <row r="49" spans="4:13" ht="11.25" customHeight="1" x14ac:dyDescent="0.3"/>
    <row r="50" spans="4:13" ht="16.149999999999999" thickBot="1" x14ac:dyDescent="0.35">
      <c r="D50" s="183" t="s">
        <v>177</v>
      </c>
      <c r="E50" s="183"/>
      <c r="F50" s="183"/>
      <c r="G50" s="183"/>
      <c r="H50" s="183"/>
      <c r="I50" s="183"/>
      <c r="J50" s="183"/>
      <c r="K50" s="183"/>
      <c r="L50" s="183"/>
      <c r="M50" s="183"/>
    </row>
    <row r="51" spans="4:13" ht="12" thickBot="1" x14ac:dyDescent="0.35">
      <c r="D51" s="1088" t="s">
        <v>178</v>
      </c>
      <c r="E51" s="1090" t="s">
        <v>179</v>
      </c>
      <c r="F51" s="1092" t="s">
        <v>180</v>
      </c>
      <c r="G51" s="1093"/>
      <c r="H51" s="1093"/>
      <c r="I51" s="1093"/>
      <c r="J51" s="1093"/>
      <c r="K51" s="1093"/>
      <c r="L51" s="1093"/>
      <c r="M51" s="1110"/>
    </row>
    <row r="52" spans="4:13" ht="12" thickBot="1" x14ac:dyDescent="0.35">
      <c r="D52" s="1089"/>
      <c r="E52" s="1091"/>
      <c r="F52" s="638" t="s">
        <v>181</v>
      </c>
      <c r="G52" s="639" t="s">
        <v>182</v>
      </c>
      <c r="H52" s="639" t="s">
        <v>183</v>
      </c>
      <c r="I52" s="639" t="s">
        <v>184</v>
      </c>
      <c r="J52" s="639" t="s">
        <v>171</v>
      </c>
      <c r="K52" s="639" t="s">
        <v>170</v>
      </c>
      <c r="L52" s="639" t="s">
        <v>172</v>
      </c>
      <c r="M52" s="640" t="s">
        <v>69</v>
      </c>
    </row>
    <row r="53" spans="4:13" ht="38.25" x14ac:dyDescent="0.3">
      <c r="D53" s="275" t="s">
        <v>1164</v>
      </c>
      <c r="E53" s="879" t="s">
        <v>1165</v>
      </c>
      <c r="F53" s="277">
        <v>2358362.1300000004</v>
      </c>
      <c r="G53" s="278">
        <v>2413110.2399999998</v>
      </c>
      <c r="H53" s="278">
        <v>2587818.3499999996</v>
      </c>
      <c r="I53" s="288">
        <v>2763827.99</v>
      </c>
      <c r="J53" s="289">
        <v>3194981.89</v>
      </c>
      <c r="K53" s="290">
        <v>3359427.3000000007</v>
      </c>
      <c r="L53" s="291">
        <v>847488.66</v>
      </c>
      <c r="M53" s="291">
        <v>1694177.7900000005</v>
      </c>
    </row>
    <row r="54" spans="4:13" ht="12.75" hidden="1" outlineLevel="1" x14ac:dyDescent="0.3">
      <c r="D54" s="880"/>
      <c r="E54" s="881"/>
      <c r="F54" s="282"/>
      <c r="G54" s="283"/>
      <c r="H54" s="283"/>
      <c r="I54" s="288"/>
      <c r="J54" s="289"/>
      <c r="K54" s="290"/>
      <c r="L54" s="291"/>
      <c r="M54" s="291"/>
    </row>
    <row r="55" spans="4:13" ht="12.75" hidden="1" outlineLevel="1" x14ac:dyDescent="0.3">
      <c r="D55" s="880"/>
      <c r="E55" s="881"/>
      <c r="F55" s="282"/>
      <c r="G55" s="283"/>
      <c r="H55" s="283"/>
      <c r="I55" s="288"/>
      <c r="J55" s="289"/>
      <c r="K55" s="290"/>
      <c r="L55" s="291"/>
      <c r="M55" s="291"/>
    </row>
    <row r="56" spans="4:13" ht="12.75" hidden="1" outlineLevel="1" x14ac:dyDescent="0.3">
      <c r="D56" s="880"/>
      <c r="E56" s="881"/>
      <c r="F56" s="282"/>
      <c r="G56" s="283"/>
      <c r="H56" s="283"/>
      <c r="I56" s="288"/>
      <c r="J56" s="289"/>
      <c r="K56" s="290"/>
      <c r="L56" s="291"/>
      <c r="M56" s="291"/>
    </row>
    <row r="57" spans="4:13" ht="12.75" hidden="1" outlineLevel="1" x14ac:dyDescent="0.3">
      <c r="D57" s="285"/>
      <c r="E57" s="286"/>
      <c r="F57" s="287"/>
      <c r="G57" s="288"/>
      <c r="H57" s="288"/>
      <c r="I57" s="288"/>
      <c r="J57" s="289"/>
      <c r="K57" s="290"/>
      <c r="L57" s="291"/>
      <c r="M57" s="291"/>
    </row>
    <row r="58" spans="4:13" ht="12.75" hidden="1" outlineLevel="1" x14ac:dyDescent="0.3">
      <c r="D58" s="285"/>
      <c r="E58" s="286"/>
      <c r="F58" s="287"/>
      <c r="G58" s="288"/>
      <c r="H58" s="288"/>
      <c r="I58" s="288"/>
      <c r="J58" s="289"/>
      <c r="K58" s="290"/>
      <c r="L58" s="291"/>
      <c r="M58" s="291"/>
    </row>
    <row r="59" spans="4:13" ht="12.75" hidden="1" outlineLevel="1" x14ac:dyDescent="0.3">
      <c r="D59" s="285"/>
      <c r="E59" s="286"/>
      <c r="F59" s="287"/>
      <c r="G59" s="288"/>
      <c r="H59" s="288"/>
      <c r="I59" s="288"/>
      <c r="J59" s="289"/>
      <c r="K59" s="290"/>
      <c r="L59" s="291"/>
      <c r="M59" s="291"/>
    </row>
    <row r="60" spans="4:13" ht="12.75" hidden="1" outlineLevel="1" x14ac:dyDescent="0.3">
      <c r="D60" s="285"/>
      <c r="E60" s="286"/>
      <c r="F60" s="287"/>
      <c r="G60" s="288"/>
      <c r="H60" s="288"/>
      <c r="I60" s="288"/>
      <c r="J60" s="289"/>
      <c r="K60" s="290"/>
      <c r="L60" s="291"/>
      <c r="M60" s="291"/>
    </row>
    <row r="61" spans="4:13" ht="12.75" hidden="1" outlineLevel="1" x14ac:dyDescent="0.3">
      <c r="D61" s="285"/>
      <c r="E61" s="286"/>
      <c r="F61" s="287"/>
      <c r="G61" s="288"/>
      <c r="H61" s="288"/>
      <c r="I61" s="288"/>
      <c r="J61" s="289"/>
      <c r="K61" s="290"/>
      <c r="L61" s="291"/>
      <c r="M61" s="291"/>
    </row>
    <row r="62" spans="4:13" ht="12.75" hidden="1" outlineLevel="1" x14ac:dyDescent="0.3">
      <c r="D62" s="285"/>
      <c r="E62" s="286"/>
      <c r="F62" s="287"/>
      <c r="G62" s="288"/>
      <c r="H62" s="288"/>
      <c r="I62" s="288"/>
      <c r="J62" s="289"/>
      <c r="K62" s="290"/>
      <c r="L62" s="291"/>
      <c r="M62" s="291"/>
    </row>
    <row r="63" spans="4:13" ht="12.75" hidden="1" outlineLevel="1" x14ac:dyDescent="0.3">
      <c r="D63" s="285"/>
      <c r="E63" s="286"/>
      <c r="F63" s="287"/>
      <c r="G63" s="288"/>
      <c r="H63" s="288"/>
      <c r="I63" s="288"/>
      <c r="J63" s="289"/>
      <c r="K63" s="290"/>
      <c r="L63" s="291"/>
      <c r="M63" s="291"/>
    </row>
    <row r="64" spans="4:13" ht="12.75" hidden="1" outlineLevel="1" x14ac:dyDescent="0.3">
      <c r="D64" s="285"/>
      <c r="E64" s="286"/>
      <c r="F64" s="287"/>
      <c r="G64" s="288"/>
      <c r="H64" s="288"/>
      <c r="I64" s="288"/>
      <c r="J64" s="289"/>
      <c r="K64" s="290"/>
      <c r="L64" s="291"/>
      <c r="M64" s="291"/>
    </row>
    <row r="65" spans="2:13" ht="12.75" hidden="1" outlineLevel="1" x14ac:dyDescent="0.3">
      <c r="D65" s="285"/>
      <c r="E65" s="286"/>
      <c r="F65" s="287"/>
      <c r="G65" s="288"/>
      <c r="H65" s="288"/>
      <c r="I65" s="288"/>
      <c r="J65" s="289"/>
      <c r="K65" s="290"/>
      <c r="L65" s="291"/>
      <c r="M65" s="291"/>
    </row>
    <row r="66" spans="2:13" ht="12.75" hidden="1" outlineLevel="1" x14ac:dyDescent="0.3">
      <c r="D66" s="285"/>
      <c r="E66" s="286"/>
      <c r="F66" s="287"/>
      <c r="G66" s="288"/>
      <c r="H66" s="288"/>
      <c r="I66" s="288"/>
      <c r="J66" s="289"/>
      <c r="K66" s="290"/>
      <c r="L66" s="291"/>
      <c r="M66" s="291"/>
    </row>
    <row r="67" spans="2:13" ht="13.15" collapsed="1" thickBot="1" x14ac:dyDescent="0.35">
      <c r="D67" s="295"/>
      <c r="E67" s="296"/>
      <c r="F67" s="297"/>
      <c r="G67" s="298"/>
      <c r="H67" s="298"/>
      <c r="I67" s="298"/>
      <c r="J67" s="299"/>
      <c r="K67" s="300"/>
      <c r="L67" s="301"/>
      <c r="M67" s="301"/>
    </row>
    <row r="68" spans="2:13" ht="11.25" customHeight="1" x14ac:dyDescent="0.3"/>
    <row r="69" spans="2:13" s="46" customFormat="1" ht="15" x14ac:dyDescent="0.3">
      <c r="B69" s="46" t="s">
        <v>16</v>
      </c>
    </row>
  </sheetData>
  <mergeCells count="6">
    <mergeCell ref="D9:D10"/>
    <mergeCell ref="E9:E10"/>
    <mergeCell ref="E31:K31"/>
    <mergeCell ref="D51:D52"/>
    <mergeCell ref="E51:E52"/>
    <mergeCell ref="F51:M51"/>
  </mergeCells>
  <conditionalFormatting sqref="B3">
    <cfRule type="cellIs" dxfId="39" priority="4" operator="notEqual">
      <formula>"No Errors Found"</formula>
    </cfRule>
  </conditionalFormatting>
  <conditionalFormatting sqref="R53:R67">
    <cfRule type="expression" dxfId="38" priority="3">
      <formula>(dms_FRCPlength_Num)&lt;5</formula>
    </cfRule>
  </conditionalFormatting>
  <conditionalFormatting sqref="F53:I67">
    <cfRule type="expression" dxfId="37" priority="2">
      <formula>dms_TradingName="Transgrid"</formula>
    </cfRule>
  </conditionalFormatting>
  <conditionalFormatting sqref="M11:M25">
    <cfRule type="expression" dxfId="36" priority="1">
      <formula>(dms_FRCPlength_Num)&lt;5</formula>
    </cfRule>
  </conditionalFormatting>
  <hyperlinks>
    <hyperlink ref="B2:E2" location="TOC!A1" display="TOC!A1" xr:uid="{5B2B11C9-5796-47BB-A8B1-5372C4D5BE74}"/>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06A2-E052-4038-947A-17ADFD44268A}">
  <sheetPr codeName="Sheet43">
    <tabColor theme="4" tint="0.79998168889431442"/>
  </sheetPr>
  <dimension ref="A1:L82"/>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outlineLevelRow="2" x14ac:dyDescent="0.3"/>
  <cols>
    <col min="1" max="1" width="3.6640625" style="45" customWidth="1"/>
    <col min="2" max="2" width="32.33203125" style="45" customWidth="1"/>
    <col min="3" max="3" width="46" style="45" customWidth="1"/>
    <col min="4" max="5" width="15.6640625" style="45" customWidth="1"/>
    <col min="6" max="14" width="17.6640625" style="45" customWidth="1"/>
    <col min="15" max="27" width="10.6640625" style="45" customWidth="1"/>
    <col min="28" max="16384" width="9.33203125" style="45"/>
  </cols>
  <sheetData>
    <row r="1" spans="1:12" ht="18.75" x14ac:dyDescent="0.3">
      <c r="A1" s="41">
        <f>IF(SUM($A3:$A82)&gt;0,1,0)</f>
        <v>0</v>
      </c>
      <c r="B1" s="3" t="s">
        <v>1113</v>
      </c>
      <c r="G1"/>
    </row>
    <row r="2" spans="1:12" customFormat="1" x14ac:dyDescent="0.3">
      <c r="B2" s="34" t="str">
        <f>TOC!$B$1</f>
        <v>Table of contents</v>
      </c>
      <c r="C2" s="34"/>
      <c r="D2" s="34"/>
      <c r="E2" s="34"/>
    </row>
    <row r="3" spans="1:12" x14ac:dyDescent="0.3">
      <c r="B3" s="9" t="str">
        <f>Title_Msg</f>
        <v>No Errors Found</v>
      </c>
    </row>
    <row r="4" spans="1:12" s="46" customFormat="1" ht="15" x14ac:dyDescent="0.3">
      <c r="B4" s="46" t="str">
        <f>'WkB_1_2.1.1'!$B$4</f>
        <v>Data required to populate Power and Water Corporation 2024-29 regulatory submission</v>
      </c>
    </row>
    <row r="5" spans="1:12" ht="4.5" customHeight="1" x14ac:dyDescent="0.3"/>
    <row r="6" spans="1:12" s="7" customFormat="1" ht="13.9" x14ac:dyDescent="0.3">
      <c r="C6" s="7" t="str">
        <f>'WkB_1_2.1.1'!$C$6</f>
        <v>Output - RIN template</v>
      </c>
    </row>
    <row r="7" spans="1:12" ht="11.25" customHeight="1" x14ac:dyDescent="0.3"/>
    <row r="8" spans="1:12" ht="16.5" customHeight="1" x14ac:dyDescent="0.35">
      <c r="A8" s="642"/>
      <c r="B8" s="643" t="s">
        <v>534</v>
      </c>
      <c r="C8" s="643"/>
      <c r="D8" s="643"/>
      <c r="E8"/>
      <c r="F8"/>
      <c r="G8"/>
      <c r="H8"/>
      <c r="I8"/>
      <c r="J8"/>
      <c r="K8"/>
      <c r="L8"/>
    </row>
    <row r="9" spans="1:12" s="205" customFormat="1" ht="55.5" customHeight="1" x14ac:dyDescent="0.35">
      <c r="A9" s="642"/>
      <c r="B9" s="1113" t="s">
        <v>535</v>
      </c>
      <c r="C9" s="1114"/>
      <c r="D9" s="1115"/>
      <c r="E9"/>
      <c r="F9"/>
      <c r="G9"/>
      <c r="H9"/>
      <c r="I9"/>
      <c r="J9"/>
      <c r="K9"/>
      <c r="L9"/>
    </row>
    <row r="10" spans="1:12" s="205" customFormat="1" ht="16.5" customHeight="1" thickBot="1" x14ac:dyDescent="0.4">
      <c r="A10" s="642"/>
      <c r="B10" s="644"/>
      <c r="C10" s="644"/>
      <c r="D10" s="184"/>
      <c r="E10" s="184"/>
      <c r="F10" s="184"/>
      <c r="G10" s="184"/>
      <c r="H10" s="184"/>
      <c r="I10" s="184"/>
      <c r="J10" s="184"/>
      <c r="K10" s="184"/>
      <c r="L10" s="184"/>
    </row>
    <row r="11" spans="1:12" ht="25.5" customHeight="1" thickBot="1" x14ac:dyDescent="0.4">
      <c r="A11" s="642"/>
      <c r="B11" s="325" t="s">
        <v>142</v>
      </c>
      <c r="C11" s="325"/>
      <c r="D11" s="325"/>
      <c r="E11" s="325"/>
      <c r="F11" s="325"/>
      <c r="G11" s="325"/>
      <c r="H11" s="325"/>
      <c r="I11" s="325"/>
      <c r="J11" s="325"/>
      <c r="K11" s="325"/>
      <c r="L11" s="325"/>
    </row>
    <row r="12" spans="1:12" s="205" customFormat="1" ht="13.9" thickBot="1" x14ac:dyDescent="0.4">
      <c r="A12" s="642"/>
      <c r="B12" s="184"/>
      <c r="C12" s="184"/>
      <c r="D12" s="184"/>
      <c r="E12" s="184"/>
      <c r="F12" s="184"/>
      <c r="G12" s="184"/>
      <c r="H12" s="184"/>
      <c r="I12" s="184"/>
      <c r="J12" s="184"/>
      <c r="K12" s="184"/>
      <c r="L12" s="184"/>
    </row>
    <row r="13" spans="1:12" s="187" customFormat="1" ht="15.4" thickBot="1" x14ac:dyDescent="0.4">
      <c r="A13" s="642"/>
      <c r="B13" s="426" t="s">
        <v>143</v>
      </c>
      <c r="C13" s="427"/>
      <c r="D13" s="427"/>
      <c r="E13" s="428"/>
      <c r="F13" s="184"/>
      <c r="G13" s="184"/>
      <c r="H13" s="184"/>
      <c r="I13" s="184"/>
      <c r="J13" s="184"/>
      <c r="K13" s="184"/>
      <c r="L13" s="184"/>
    </row>
    <row r="14" spans="1:12" s="648" customFormat="1" ht="30" customHeight="1" outlineLevel="1" thickBot="1" x14ac:dyDescent="0.35">
      <c r="A14" s="645"/>
      <c r="B14"/>
      <c r="C14" s="185"/>
      <c r="D14" s="646" t="s">
        <v>144</v>
      </c>
      <c r="E14" s="647" t="s">
        <v>536</v>
      </c>
      <c r="F14" s="186"/>
      <c r="G14" s="186"/>
      <c r="H14" s="186"/>
      <c r="I14" s="186"/>
      <c r="J14" s="186"/>
      <c r="K14" s="186"/>
      <c r="L14" s="186"/>
    </row>
    <row r="15" spans="1:12" s="652" customFormat="1" ht="13.9" outlineLevel="1" thickBot="1" x14ac:dyDescent="0.4">
      <c r="A15" s="642"/>
      <c r="B15" s="649" t="s">
        <v>145</v>
      </c>
      <c r="C15" s="650"/>
      <c r="D15" s="650"/>
      <c r="E15" s="651"/>
      <c r="F15" s="187"/>
      <c r="G15" s="187"/>
      <c r="H15" s="187"/>
      <c r="I15" s="187"/>
      <c r="J15" s="187"/>
      <c r="K15" s="187"/>
      <c r="L15" s="187"/>
    </row>
    <row r="16" spans="1:12" s="652" customFormat="1" ht="15.75" customHeight="1" outlineLevel="2" x14ac:dyDescent="0.35">
      <c r="A16" s="642"/>
      <c r="B16" s="188"/>
      <c r="C16" s="189"/>
      <c r="D16" s="1116" t="s">
        <v>146</v>
      </c>
      <c r="E16" s="1117"/>
      <c r="F16" s="187"/>
      <c r="G16" s="187"/>
      <c r="H16" s="187"/>
      <c r="I16" s="187"/>
      <c r="J16" s="187"/>
      <c r="K16" s="187"/>
      <c r="L16" s="187"/>
    </row>
    <row r="17" spans="1:12" s="652" customFormat="1" ht="15.75" customHeight="1" outlineLevel="2" thickBot="1" x14ac:dyDescent="0.4">
      <c r="A17" s="642"/>
      <c r="B17" s="190"/>
      <c r="C17" s="191"/>
      <c r="D17" s="653" t="s">
        <v>71</v>
      </c>
      <c r="E17" s="654" t="s">
        <v>71</v>
      </c>
      <c r="F17" s="187"/>
      <c r="G17" s="187"/>
      <c r="H17" s="187"/>
      <c r="I17" s="187"/>
      <c r="J17" s="187"/>
      <c r="K17" s="187"/>
      <c r="L17" s="187"/>
    </row>
    <row r="18" spans="1:12" s="187" customFormat="1" ht="13.5" customHeight="1" outlineLevel="2" x14ac:dyDescent="0.45">
      <c r="A18" s="642"/>
      <c r="B18" s="192" t="s">
        <v>147</v>
      </c>
      <c r="C18" s="200"/>
      <c r="D18" s="575">
        <v>8500</v>
      </c>
      <c r="E18" s="313">
        <v>8500</v>
      </c>
      <c r="F18" s="184"/>
      <c r="G18" s="184"/>
      <c r="H18" s="184"/>
      <c r="I18" s="184"/>
      <c r="J18" s="184"/>
      <c r="K18" s="184"/>
      <c r="L18" s="184"/>
    </row>
    <row r="19" spans="1:12" s="652" customFormat="1" ht="14.65" outlineLevel="2" thickBot="1" x14ac:dyDescent="0.5">
      <c r="A19" s="642"/>
      <c r="B19" s="193" t="s">
        <v>148</v>
      </c>
      <c r="C19" s="655"/>
      <c r="D19" s="451">
        <v>30000</v>
      </c>
      <c r="E19" s="656">
        <v>30000</v>
      </c>
      <c r="F19" s="187"/>
      <c r="G19" s="187"/>
      <c r="H19" s="187"/>
      <c r="I19" s="187"/>
      <c r="J19" s="187"/>
      <c r="K19" s="187"/>
      <c r="L19" s="187"/>
    </row>
    <row r="20" spans="1:12" customFormat="1" ht="25.9" outlineLevel="2" thickBot="1" x14ac:dyDescent="0.35">
      <c r="B20" s="194"/>
      <c r="C20" s="687" t="s">
        <v>149</v>
      </c>
      <c r="D20" s="657" t="s">
        <v>1044</v>
      </c>
      <c r="E20" s="657" t="s">
        <v>1044</v>
      </c>
    </row>
    <row r="21" spans="1:12" customFormat="1" outlineLevel="1" x14ac:dyDescent="0.3"/>
    <row r="22" spans="1:12" customFormat="1" ht="10.5" outlineLevel="1" thickBot="1" x14ac:dyDescent="0.35"/>
    <row r="23" spans="1:12" s="652" customFormat="1" ht="13.9" outlineLevel="1" thickBot="1" x14ac:dyDescent="0.4">
      <c r="A23" s="642"/>
      <c r="B23" s="649" t="s">
        <v>150</v>
      </c>
      <c r="C23" s="650"/>
      <c r="D23" s="650"/>
      <c r="E23" s="651"/>
      <c r="F23" s="187"/>
      <c r="G23" s="187"/>
      <c r="H23" s="187"/>
      <c r="I23" s="187"/>
      <c r="J23" s="187"/>
      <c r="K23" s="187"/>
      <c r="L23" s="187"/>
    </row>
    <row r="24" spans="1:12" s="648" customFormat="1" ht="30" customHeight="1" outlineLevel="2" thickBot="1" x14ac:dyDescent="0.35">
      <c r="A24" s="645"/>
      <c r="B24" s="195"/>
      <c r="C24" s="185"/>
      <c r="D24" s="646" t="s">
        <v>144</v>
      </c>
      <c r="E24" s="647" t="s">
        <v>536</v>
      </c>
      <c r="F24" s="186"/>
      <c r="G24" s="186"/>
      <c r="H24" s="186"/>
      <c r="I24" s="186"/>
      <c r="J24" s="186"/>
      <c r="K24" s="186"/>
      <c r="L24" s="186"/>
    </row>
    <row r="25" spans="1:12" s="652" customFormat="1" ht="14.25" outlineLevel="2" x14ac:dyDescent="0.4">
      <c r="A25" s="642"/>
      <c r="B25" s="637"/>
      <c r="C25" s="688"/>
      <c r="D25" s="1118" t="s">
        <v>772</v>
      </c>
      <c r="E25" s="1119"/>
      <c r="F25" s="187"/>
      <c r="G25" s="187"/>
      <c r="H25" s="187"/>
      <c r="I25" s="187"/>
      <c r="J25" s="187"/>
      <c r="K25" s="187"/>
      <c r="L25" s="187"/>
    </row>
    <row r="26" spans="1:12" s="652" customFormat="1" ht="14.65" outlineLevel="2" thickBot="1" x14ac:dyDescent="0.45">
      <c r="A26" s="642"/>
      <c r="B26" s="637"/>
      <c r="C26" s="689" t="s">
        <v>151</v>
      </c>
      <c r="D26" s="690" t="s">
        <v>71</v>
      </c>
      <c r="E26" s="691" t="s">
        <v>71</v>
      </c>
      <c r="F26" s="187"/>
      <c r="G26" s="187"/>
      <c r="H26" s="187"/>
      <c r="I26" s="187"/>
      <c r="J26" s="187"/>
      <c r="K26" s="187"/>
      <c r="L26" s="187"/>
    </row>
    <row r="27" spans="1:12" s="187" customFormat="1" ht="13.5" customHeight="1" outlineLevel="2" x14ac:dyDescent="0.45">
      <c r="A27" s="642"/>
      <c r="B27" s="196" t="s">
        <v>147</v>
      </c>
      <c r="C27" s="658" t="s">
        <v>1166</v>
      </c>
      <c r="D27" s="312">
        <v>1893.5087719298247</v>
      </c>
      <c r="E27" s="313">
        <v>2207.4561403508774</v>
      </c>
      <c r="F27" s="184"/>
      <c r="G27" s="184"/>
      <c r="H27" s="184"/>
      <c r="I27" s="184"/>
      <c r="J27" s="184"/>
      <c r="K27" s="184"/>
      <c r="L27" s="184"/>
    </row>
    <row r="28" spans="1:12" s="652" customFormat="1" ht="14.65" outlineLevel="2" thickBot="1" x14ac:dyDescent="0.5">
      <c r="A28" s="642"/>
      <c r="B28" s="197" t="s">
        <v>148</v>
      </c>
      <c r="C28" s="659" t="s">
        <v>1167</v>
      </c>
      <c r="D28" s="318">
        <v>7664.1176470588234</v>
      </c>
      <c r="E28" s="319">
        <v>12520.588235294117</v>
      </c>
      <c r="F28" s="187"/>
      <c r="G28" s="187"/>
      <c r="H28" s="187"/>
      <c r="I28" s="187"/>
      <c r="J28" s="187"/>
      <c r="K28" s="187"/>
      <c r="L28" s="187"/>
    </row>
    <row r="29" spans="1:12" customFormat="1" ht="25.9" outlineLevel="2" thickBot="1" x14ac:dyDescent="0.35">
      <c r="B29" s="194"/>
      <c r="C29" s="687" t="s">
        <v>149</v>
      </c>
      <c r="D29" s="657" t="s">
        <v>1044</v>
      </c>
      <c r="E29" s="657" t="s">
        <v>1044</v>
      </c>
    </row>
    <row r="30" spans="1:12" customFormat="1" outlineLevel="1" x14ac:dyDescent="0.3"/>
    <row r="31" spans="1:12" customFormat="1" ht="10.5" outlineLevel="1" thickBot="1" x14ac:dyDescent="0.35"/>
    <row r="32" spans="1:12" s="187" customFormat="1" ht="13.9" outlineLevel="1" thickBot="1" x14ac:dyDescent="0.4">
      <c r="A32" s="642"/>
      <c r="B32" s="649" t="s">
        <v>537</v>
      </c>
      <c r="C32" s="650"/>
      <c r="D32" s="650"/>
      <c r="E32" s="651"/>
      <c r="F32" s="184"/>
      <c r="G32" s="184"/>
      <c r="H32" s="184"/>
      <c r="I32" s="184"/>
      <c r="J32" s="184"/>
      <c r="K32" s="184"/>
      <c r="L32" s="184"/>
    </row>
    <row r="33" spans="1:12" s="648" customFormat="1" ht="30" customHeight="1" outlineLevel="2" thickBot="1" x14ac:dyDescent="0.35">
      <c r="A33" s="645"/>
      <c r="B33" s="195"/>
      <c r="C33" s="199"/>
      <c r="D33" s="646" t="s">
        <v>144</v>
      </c>
      <c r="E33" s="647" t="s">
        <v>536</v>
      </c>
      <c r="F33" s="186"/>
      <c r="G33" s="186"/>
      <c r="H33" s="186"/>
      <c r="I33" s="186"/>
      <c r="J33" s="186"/>
      <c r="K33" s="186"/>
      <c r="L33" s="186"/>
    </row>
    <row r="34" spans="1:12" s="187" customFormat="1" ht="14.25" outlineLevel="2" x14ac:dyDescent="0.35">
      <c r="A34" s="642"/>
      <c r="B34" s="190"/>
      <c r="C34" s="189"/>
      <c r="D34" s="1120" t="s">
        <v>152</v>
      </c>
      <c r="E34" s="1121"/>
      <c r="F34" s="184"/>
      <c r="G34" s="184"/>
      <c r="H34" s="184"/>
      <c r="I34" s="184"/>
      <c r="J34" s="184"/>
      <c r="K34" s="184"/>
      <c r="L34" s="184"/>
    </row>
    <row r="35" spans="1:12" s="652" customFormat="1" ht="15.75" customHeight="1" outlineLevel="2" thickBot="1" x14ac:dyDescent="0.4">
      <c r="A35" s="642"/>
      <c r="B35" s="190"/>
      <c r="C35" s="191"/>
      <c r="D35" s="653" t="s">
        <v>71</v>
      </c>
      <c r="E35" s="654" t="s">
        <v>71</v>
      </c>
      <c r="F35" s="187"/>
      <c r="G35" s="187"/>
      <c r="H35" s="187"/>
      <c r="I35" s="187"/>
      <c r="J35" s="187"/>
      <c r="K35" s="187"/>
      <c r="L35" s="187"/>
    </row>
    <row r="36" spans="1:12" s="187" customFormat="1" ht="13.5" customHeight="1" outlineLevel="2" x14ac:dyDescent="0.45">
      <c r="A36" s="642"/>
      <c r="B36" s="192" t="s">
        <v>147</v>
      </c>
      <c r="C36" s="200"/>
      <c r="D36" s="660">
        <v>0.56999999999999995</v>
      </c>
      <c r="E36" s="661">
        <v>0.56999999999999995</v>
      </c>
      <c r="F36" s="184"/>
      <c r="H36" s="184"/>
      <c r="I36" s="184"/>
      <c r="J36" s="184"/>
      <c r="K36" s="184"/>
      <c r="L36" s="184"/>
    </row>
    <row r="37" spans="1:12" s="652" customFormat="1" ht="14.65" outlineLevel="2" thickBot="1" x14ac:dyDescent="0.5">
      <c r="A37" s="642"/>
      <c r="B37" s="201" t="s">
        <v>148</v>
      </c>
      <c r="C37" s="202"/>
      <c r="D37" s="662">
        <v>0.34</v>
      </c>
      <c r="E37" s="663">
        <v>0.34</v>
      </c>
      <c r="F37" s="187"/>
      <c r="G37" s="187"/>
      <c r="H37" s="187"/>
      <c r="I37" s="187"/>
      <c r="J37" s="187"/>
      <c r="K37" s="187"/>
      <c r="L37" s="187"/>
    </row>
    <row r="38" spans="1:12" customFormat="1" ht="25.9" outlineLevel="2" thickBot="1" x14ac:dyDescent="0.35">
      <c r="B38" s="194"/>
      <c r="C38" s="687" t="s">
        <v>149</v>
      </c>
      <c r="D38" s="657" t="s">
        <v>1044</v>
      </c>
      <c r="E38" s="657" t="s">
        <v>1044</v>
      </c>
    </row>
    <row r="39" spans="1:12" ht="13.5" outlineLevel="1" x14ac:dyDescent="0.35">
      <c r="A39" s="642"/>
      <c r="B39" s="203"/>
      <c r="C39" s="203"/>
      <c r="D39" s="204"/>
      <c r="E39" s="205"/>
      <c r="F39" s="205"/>
      <c r="G39" s="205"/>
      <c r="H39" s="205"/>
      <c r="I39" s="205"/>
      <c r="J39" s="205"/>
      <c r="K39" s="205"/>
      <c r="L39" s="205"/>
    </row>
    <row r="40" spans="1:12" ht="13.9" outlineLevel="1" thickBot="1" x14ac:dyDescent="0.4">
      <c r="A40" s="642"/>
      <c r="B40" s="203"/>
      <c r="C40" s="203"/>
      <c r="D40" s="204"/>
      <c r="E40" s="205"/>
      <c r="F40" s="205"/>
      <c r="G40" s="205"/>
      <c r="H40" s="205"/>
      <c r="I40" s="205"/>
      <c r="J40" s="205"/>
      <c r="K40" s="205"/>
      <c r="L40" s="205"/>
    </row>
    <row r="41" spans="1:12" s="187" customFormat="1" ht="14.65" outlineLevel="1" thickBot="1" x14ac:dyDescent="0.4">
      <c r="A41" s="642"/>
      <c r="B41" s="649" t="s">
        <v>538</v>
      </c>
      <c r="C41" s="650"/>
      <c r="D41" s="650"/>
      <c r="E41" s="651"/>
      <c r="F41" s="184"/>
      <c r="G41" s="1125" t="s">
        <v>193</v>
      </c>
      <c r="H41" s="1125"/>
      <c r="I41" s="184"/>
      <c r="J41" s="184"/>
      <c r="K41" s="184"/>
      <c r="L41" s="184"/>
    </row>
    <row r="42" spans="1:12" s="648" customFormat="1" ht="30" customHeight="1" outlineLevel="2" thickBot="1" x14ac:dyDescent="0.35">
      <c r="A42" s="645"/>
      <c r="B42" s="198"/>
      <c r="C42" s="199"/>
      <c r="D42" s="646" t="s">
        <v>144</v>
      </c>
      <c r="E42" s="647" t="s">
        <v>536</v>
      </c>
      <c r="F42" s="186"/>
      <c r="G42" s="1024" t="s">
        <v>144</v>
      </c>
      <c r="H42" s="1024" t="s">
        <v>536</v>
      </c>
      <c r="I42" s="186"/>
      <c r="J42" s="186"/>
      <c r="K42" s="186"/>
      <c r="L42" s="186"/>
    </row>
    <row r="43" spans="1:12" s="187" customFormat="1" ht="14.25" outlineLevel="2" x14ac:dyDescent="0.35">
      <c r="A43" s="642"/>
      <c r="B43" s="692"/>
      <c r="C43" s="693"/>
      <c r="D43" s="1118" t="s">
        <v>772</v>
      </c>
      <c r="E43" s="1119"/>
      <c r="F43" s="184"/>
      <c r="G43" s="184"/>
      <c r="H43" s="184"/>
      <c r="I43" s="184"/>
      <c r="J43" s="184"/>
      <c r="K43" s="184"/>
      <c r="L43" s="184"/>
    </row>
    <row r="44" spans="1:12" s="652" customFormat="1" ht="14.65" outlineLevel="2" thickBot="1" x14ac:dyDescent="0.4">
      <c r="A44" s="642"/>
      <c r="B44" s="694"/>
      <c r="C44" s="695"/>
      <c r="D44" s="690" t="s">
        <v>71</v>
      </c>
      <c r="E44" s="691" t="s">
        <v>71</v>
      </c>
      <c r="F44" s="187"/>
      <c r="G44" s="187"/>
      <c r="H44" s="187"/>
      <c r="I44" s="187"/>
      <c r="J44" s="187"/>
      <c r="K44" s="187"/>
      <c r="L44" s="187"/>
    </row>
    <row r="45" spans="1:12" s="187" customFormat="1" ht="13.5" customHeight="1" outlineLevel="2" x14ac:dyDescent="0.45">
      <c r="A45" s="642"/>
      <c r="B45" s="192" t="s">
        <v>147</v>
      </c>
      <c r="C45" s="200"/>
      <c r="D45" s="664">
        <f>D36*D27</f>
        <v>1079.3</v>
      </c>
      <c r="E45" s="665">
        <f>E36*E27</f>
        <v>1258.25</v>
      </c>
      <c r="F45" s="184"/>
      <c r="G45" s="1025">
        <v>1079.3</v>
      </c>
      <c r="H45" s="1026">
        <v>1258.25</v>
      </c>
      <c r="I45" s="184"/>
      <c r="J45" s="184"/>
      <c r="K45" s="184"/>
      <c r="L45" s="184"/>
    </row>
    <row r="46" spans="1:12" s="652" customFormat="1" ht="14.65" outlineLevel="2" thickBot="1" x14ac:dyDescent="0.5">
      <c r="A46" s="642"/>
      <c r="B46" s="201" t="s">
        <v>148</v>
      </c>
      <c r="C46" s="202"/>
      <c r="D46" s="666">
        <f>D37*D28</f>
        <v>2605.8000000000002</v>
      </c>
      <c r="E46" s="667">
        <f>E37*E28</f>
        <v>4257</v>
      </c>
      <c r="F46" s="187"/>
      <c r="G46" s="441">
        <v>2605.8000000000002</v>
      </c>
      <c r="H46" s="442">
        <v>4257</v>
      </c>
      <c r="I46" s="187"/>
      <c r="J46" s="187"/>
      <c r="K46" s="187"/>
      <c r="L46" s="187"/>
    </row>
    <row r="47" spans="1:12" ht="13.5" outlineLevel="1" x14ac:dyDescent="0.35">
      <c r="A47" s="642"/>
      <c r="B47" s="204"/>
      <c r="C47" s="204"/>
      <c r="D47" s="204"/>
      <c r="E47" s="205"/>
      <c r="F47" s="205"/>
      <c r="G47" s="205"/>
      <c r="H47" s="205"/>
      <c r="I47" s="205"/>
      <c r="J47" s="205"/>
      <c r="K47" s="205"/>
      <c r="L47" s="205"/>
    </row>
    <row r="48" spans="1:12" ht="36" customHeight="1" thickBot="1" x14ac:dyDescent="0.4">
      <c r="A48" s="642"/>
      <c r="B48" s="205"/>
      <c r="C48" s="205"/>
      <c r="D48" s="205"/>
      <c r="E48" s="205"/>
      <c r="F48" s="205"/>
      <c r="G48" s="205"/>
      <c r="H48" s="205"/>
      <c r="I48" s="205"/>
      <c r="J48" s="205"/>
      <c r="K48" s="205"/>
      <c r="L48" s="205"/>
    </row>
    <row r="49" spans="1:12" s="669" customFormat="1" ht="21.75" customHeight="1" thickBot="1" x14ac:dyDescent="0.35">
      <c r="A49" s="668"/>
      <c r="B49" s="426" t="s">
        <v>539</v>
      </c>
      <c r="C49" s="427"/>
      <c r="D49" s="427"/>
      <c r="E49" s="427"/>
      <c r="F49" s="427"/>
      <c r="G49" s="427"/>
      <c r="H49" s="427"/>
      <c r="I49" s="427"/>
      <c r="J49" s="428"/>
      <c r="K49" s="206"/>
    </row>
    <row r="50" spans="1:12" s="669" customFormat="1" ht="21.75" customHeight="1" outlineLevel="2" thickBot="1" x14ac:dyDescent="0.4">
      <c r="A50" s="642"/>
      <c r="B50" s="696"/>
      <c r="C50" s="697" t="s">
        <v>38</v>
      </c>
      <c r="D50" s="698" t="s">
        <v>71</v>
      </c>
      <c r="E50" s="699" t="s">
        <v>72</v>
      </c>
      <c r="F50" s="699" t="s">
        <v>73</v>
      </c>
      <c r="G50" s="699" t="s">
        <v>74</v>
      </c>
      <c r="H50" s="699" t="s">
        <v>82</v>
      </c>
      <c r="I50" s="700" t="s">
        <v>243</v>
      </c>
      <c r="J50" s="207" t="s">
        <v>153</v>
      </c>
      <c r="K50" s="206"/>
      <c r="L50" s="206"/>
    </row>
    <row r="51" spans="1:12" s="652" customFormat="1" ht="14.25" outlineLevel="2" x14ac:dyDescent="0.45">
      <c r="A51" s="642"/>
      <c r="B51" s="208" t="s">
        <v>154</v>
      </c>
      <c r="C51" s="209" t="s">
        <v>155</v>
      </c>
      <c r="D51" s="449">
        <v>157655030.40262899</v>
      </c>
      <c r="E51" s="437">
        <v>175968438.25887242</v>
      </c>
      <c r="F51" s="437">
        <v>196409154.74873576</v>
      </c>
      <c r="G51" s="437">
        <v>219224290.73537439</v>
      </c>
      <c r="H51" s="437">
        <v>244689661.79254588</v>
      </c>
      <c r="I51" s="670">
        <v>254784530.36443868</v>
      </c>
      <c r="J51" s="210"/>
      <c r="K51" s="187"/>
      <c r="L51" s="187"/>
    </row>
    <row r="52" spans="1:12" s="652" customFormat="1" ht="14.25" outlineLevel="2" x14ac:dyDescent="0.45">
      <c r="A52" s="642"/>
      <c r="B52" s="211" t="s">
        <v>156</v>
      </c>
      <c r="C52" s="212" t="s">
        <v>931</v>
      </c>
      <c r="D52" s="436">
        <v>157655030.40262899</v>
      </c>
      <c r="E52" s="315">
        <v>170976538.75743195</v>
      </c>
      <c r="F52" s="315">
        <v>185423685.69410494</v>
      </c>
      <c r="G52" s="315">
        <v>201091585.23301613</v>
      </c>
      <c r="H52" s="315">
        <v>218083388.32309714</v>
      </c>
      <c r="I52" s="671">
        <v>220638736.78384545</v>
      </c>
      <c r="J52" s="213"/>
      <c r="K52" s="187"/>
      <c r="L52" s="187"/>
    </row>
    <row r="53" spans="1:12" s="652" customFormat="1" ht="13.5" outlineLevel="2" x14ac:dyDescent="0.35">
      <c r="A53" s="642"/>
      <c r="B53" s="214"/>
      <c r="C53" s="215"/>
      <c r="D53" s="216"/>
      <c r="E53" s="217"/>
      <c r="F53" s="217"/>
      <c r="G53" s="217"/>
      <c r="H53" s="217"/>
      <c r="I53" s="218"/>
      <c r="J53" s="219"/>
      <c r="K53" s="187"/>
      <c r="L53" s="187"/>
    </row>
    <row r="54" spans="1:12" s="652" customFormat="1" ht="14.25" outlineLevel="2" x14ac:dyDescent="0.45">
      <c r="A54" s="642"/>
      <c r="B54" s="220" t="s">
        <v>157</v>
      </c>
      <c r="C54" s="221" t="s">
        <v>49</v>
      </c>
      <c r="D54" s="436">
        <v>1691806.3840000001</v>
      </c>
      <c r="E54" s="315">
        <v>1760247.8550328636</v>
      </c>
      <c r="F54" s="315">
        <v>1769749.6915981423</v>
      </c>
      <c r="G54" s="315">
        <v>1770927.7000309289</v>
      </c>
      <c r="H54" s="315">
        <v>1757965.6056208829</v>
      </c>
      <c r="I54" s="671">
        <v>1736526.0241426213</v>
      </c>
      <c r="J54" s="213"/>
      <c r="K54" s="187"/>
      <c r="L54" s="187"/>
    </row>
    <row r="55" spans="1:12" s="652" customFormat="1" ht="13.5" outlineLevel="2" x14ac:dyDescent="0.35">
      <c r="A55" s="642"/>
      <c r="B55" s="214"/>
      <c r="C55" s="215"/>
      <c r="D55" s="222"/>
      <c r="E55" s="223"/>
      <c r="F55" s="223"/>
      <c r="G55" s="223"/>
      <c r="H55" s="223"/>
      <c r="I55" s="224"/>
      <c r="J55" s="219"/>
      <c r="K55" s="187"/>
      <c r="L55" s="187"/>
    </row>
    <row r="56" spans="1:12" s="652" customFormat="1" ht="13.5" outlineLevel="2" x14ac:dyDescent="0.35">
      <c r="A56" s="642"/>
      <c r="B56" s="220" t="s">
        <v>158</v>
      </c>
      <c r="C56" s="221" t="s">
        <v>159</v>
      </c>
      <c r="D56" s="1036">
        <f t="shared" ref="D56:I56" si="0">+D51/D54</f>
        <v>93.187395374333207</v>
      </c>
      <c r="E56" s="1037">
        <f t="shared" si="0"/>
        <v>99.96798902821962</v>
      </c>
      <c r="F56" s="1038">
        <f t="shared" si="0"/>
        <v>110.98131881654508</v>
      </c>
      <c r="G56" s="1038">
        <f t="shared" si="0"/>
        <v>123.7906497998454</v>
      </c>
      <c r="H56" s="1038">
        <f t="shared" si="0"/>
        <v>139.18910643654246</v>
      </c>
      <c r="I56" s="1039">
        <f t="shared" si="0"/>
        <v>146.72082469379288</v>
      </c>
      <c r="J56" s="213"/>
      <c r="K56" s="187"/>
      <c r="L56" s="187"/>
    </row>
    <row r="57" spans="1:12" s="652" customFormat="1" ht="13.5" outlineLevel="2" x14ac:dyDescent="0.35">
      <c r="A57" s="642"/>
      <c r="B57" s="220" t="s">
        <v>160</v>
      </c>
      <c r="C57" s="212" t="str">
        <f>C52</f>
        <v>Real 2024</v>
      </c>
      <c r="D57" s="1036">
        <f t="shared" ref="D57:I57" si="1">+D52/D54</f>
        <v>93.187395374333207</v>
      </c>
      <c r="E57" s="1037">
        <f t="shared" si="1"/>
        <v>97.132081864823434</v>
      </c>
      <c r="F57" s="1038">
        <f t="shared" si="1"/>
        <v>104.77396129769134</v>
      </c>
      <c r="G57" s="1038">
        <f t="shared" si="1"/>
        <v>113.55154997547562</v>
      </c>
      <c r="H57" s="1038">
        <f t="shared" si="1"/>
        <v>124.05441131828849</v>
      </c>
      <c r="I57" s="1039">
        <f t="shared" si="1"/>
        <v>127.05754691628182</v>
      </c>
      <c r="J57" s="213"/>
      <c r="K57" s="187"/>
      <c r="L57" s="187"/>
    </row>
    <row r="58" spans="1:12" s="652" customFormat="1" ht="13.5" outlineLevel="2" x14ac:dyDescent="0.35">
      <c r="A58" s="642"/>
      <c r="B58" s="214"/>
      <c r="C58" s="215"/>
      <c r="D58" s="222"/>
      <c r="E58" s="223"/>
      <c r="F58" s="223"/>
      <c r="G58" s="223"/>
      <c r="H58" s="223"/>
      <c r="I58" s="224"/>
      <c r="J58" s="219"/>
      <c r="K58" s="187"/>
      <c r="L58" s="187"/>
    </row>
    <row r="59" spans="1:12" s="652" customFormat="1" ht="13.9" outlineLevel="2" x14ac:dyDescent="0.4">
      <c r="A59" s="642"/>
      <c r="B59" s="220" t="s">
        <v>161</v>
      </c>
      <c r="C59" s="221" t="s">
        <v>162</v>
      </c>
      <c r="D59" s="225"/>
      <c r="E59" s="226">
        <f t="shared" ref="E59:I60" si="2">+E56/D56-1</f>
        <v>7.2762991460903148E-2</v>
      </c>
      <c r="F59" s="226">
        <f t="shared" si="2"/>
        <v>0.11016856391115915</v>
      </c>
      <c r="G59" s="226">
        <f t="shared" si="2"/>
        <v>0.11541880309130637</v>
      </c>
      <c r="H59" s="226">
        <f t="shared" si="2"/>
        <v>0.12439111242726741</v>
      </c>
      <c r="I59" s="227">
        <f t="shared" si="2"/>
        <v>5.4111406058089617E-2</v>
      </c>
      <c r="J59" s="228">
        <f>(I56/D56)^(1/5)-1</f>
        <v>9.5032268644479112E-2</v>
      </c>
      <c r="K59" s="229"/>
      <c r="L59" s="187"/>
    </row>
    <row r="60" spans="1:12" s="652" customFormat="1" ht="14.25" outlineLevel="2" thickBot="1" x14ac:dyDescent="0.45">
      <c r="A60" s="642"/>
      <c r="B60" s="230" t="s">
        <v>163</v>
      </c>
      <c r="C60" s="231" t="str">
        <f>C52</f>
        <v>Real 2024</v>
      </c>
      <c r="D60" s="232"/>
      <c r="E60" s="233">
        <f t="shared" si="2"/>
        <v>4.2330687263491429E-2</v>
      </c>
      <c r="F60" s="233">
        <f t="shared" si="2"/>
        <v>7.8675132728061481E-2</v>
      </c>
      <c r="G60" s="233">
        <f t="shared" si="2"/>
        <v>8.3776432322194561E-2</v>
      </c>
      <c r="H60" s="233">
        <f t="shared" si="2"/>
        <v>9.2494213818140159E-2</v>
      </c>
      <c r="I60" s="234">
        <f t="shared" si="2"/>
        <v>2.4208212880783009E-2</v>
      </c>
      <c r="J60" s="235">
        <f>(I57/D57)^(1/5)-1</f>
        <v>6.3968226194628164E-2</v>
      </c>
      <c r="K60" s="229"/>
      <c r="L60" s="187"/>
    </row>
    <row r="61" spans="1:12" s="652" customFormat="1" ht="31.5" customHeight="1" x14ac:dyDescent="0.35">
      <c r="A61" s="642"/>
      <c r="B61" s="187"/>
      <c r="C61" s="187"/>
      <c r="D61" s="187"/>
      <c r="E61" s="187"/>
      <c r="F61" s="187"/>
      <c r="G61" s="187"/>
      <c r="H61" s="187"/>
      <c r="I61" s="187"/>
      <c r="J61" s="187"/>
      <c r="K61" s="187"/>
      <c r="L61" s="187"/>
    </row>
    <row r="62" spans="1:12" s="652" customFormat="1" ht="13.9" thickBot="1" x14ac:dyDescent="0.4">
      <c r="A62" s="642"/>
      <c r="B62" s="187"/>
      <c r="C62" s="187"/>
      <c r="D62" s="187"/>
      <c r="E62" s="187"/>
      <c r="F62" s="187"/>
      <c r="G62" s="187"/>
      <c r="H62" s="187"/>
      <c r="I62" s="187"/>
      <c r="J62" s="187"/>
      <c r="K62" s="187"/>
      <c r="L62" s="187"/>
    </row>
    <row r="63" spans="1:12" s="652" customFormat="1" ht="15.4" thickBot="1" x14ac:dyDescent="0.4">
      <c r="A63" s="642"/>
      <c r="B63" s="426" t="s">
        <v>540</v>
      </c>
      <c r="C63" s="427"/>
      <c r="D63" s="427"/>
      <c r="E63" s="427"/>
      <c r="F63" s="427"/>
      <c r="G63" s="427"/>
      <c r="H63" s="427"/>
      <c r="I63" s="427"/>
      <c r="J63" s="427"/>
      <c r="K63" s="427"/>
      <c r="L63" s="428"/>
    </row>
    <row r="64" spans="1:12" s="669" customFormat="1" ht="22.5" customHeight="1" outlineLevel="1" thickBot="1" x14ac:dyDescent="0.35">
      <c r="A64" s="668"/>
      <c r="B64" s="649" t="s">
        <v>147</v>
      </c>
      <c r="C64" s="650"/>
      <c r="D64" s="650"/>
      <c r="E64" s="650"/>
      <c r="F64" s="650"/>
      <c r="G64" s="650"/>
      <c r="H64" s="650"/>
      <c r="I64" s="650"/>
      <c r="J64" s="650"/>
      <c r="K64" s="650"/>
      <c r="L64" s="651"/>
    </row>
    <row r="65" spans="1:12" s="652" customFormat="1" ht="13.5" outlineLevel="2" x14ac:dyDescent="0.35">
      <c r="A65" s="642"/>
      <c r="B65" s="236"/>
      <c r="C65" s="236"/>
      <c r="D65" s="701" t="s">
        <v>71</v>
      </c>
      <c r="E65" s="702" t="s">
        <v>72</v>
      </c>
      <c r="F65" s="702" t="s">
        <v>73</v>
      </c>
      <c r="G65" s="702" t="s">
        <v>74</v>
      </c>
      <c r="H65" s="702" t="s">
        <v>82</v>
      </c>
      <c r="I65" s="702" t="s">
        <v>243</v>
      </c>
      <c r="J65" s="1126" t="s">
        <v>813</v>
      </c>
      <c r="K65" s="1127" t="s">
        <v>164</v>
      </c>
      <c r="L65" s="1129" t="s">
        <v>165</v>
      </c>
    </row>
    <row r="66" spans="1:12" s="652" customFormat="1" ht="13.9" outlineLevel="2" thickBot="1" x14ac:dyDescent="0.4">
      <c r="A66" s="642"/>
      <c r="B66"/>
      <c r="C66"/>
      <c r="D66" s="1122" t="s">
        <v>155</v>
      </c>
      <c r="E66" s="1123"/>
      <c r="F66" s="1123"/>
      <c r="G66" s="1123"/>
      <c r="H66" s="1123"/>
      <c r="I66" s="1123"/>
      <c r="J66" s="1123"/>
      <c r="K66" s="1128"/>
      <c r="L66" s="1130"/>
    </row>
    <row r="67" spans="1:12" s="652" customFormat="1" ht="13.5" outlineLevel="2" x14ac:dyDescent="0.35">
      <c r="A67" s="642"/>
      <c r="B67" s="237" t="s">
        <v>166</v>
      </c>
      <c r="C67" s="244"/>
      <c r="D67" s="672">
        <f>D45</f>
        <v>1079.3</v>
      </c>
      <c r="E67" s="673">
        <f>+D67*(1+E$59)</f>
        <v>1157.8330966837527</v>
      </c>
      <c r="F67" s="673">
        <f t="shared" ref="F67:I67" si="3">+E67*(1+F$59)</f>
        <v>1285.389906194212</v>
      </c>
      <c r="G67" s="673">
        <f t="shared" si="3"/>
        <v>1433.7480706727945</v>
      </c>
      <c r="H67" s="673">
        <f t="shared" si="3"/>
        <v>1612.0935881242317</v>
      </c>
      <c r="I67" s="673">
        <f t="shared" si="3"/>
        <v>1699.3262388748647</v>
      </c>
      <c r="J67" s="674">
        <f>+SUM(E67:I67)</f>
        <v>7188.3909005498554</v>
      </c>
      <c r="K67" s="674">
        <f>+AVERAGE(E67:I67)</f>
        <v>1437.678180109971</v>
      </c>
      <c r="L67" s="238"/>
    </row>
    <row r="68" spans="1:12" s="652" customFormat="1" ht="13.9" outlineLevel="2" x14ac:dyDescent="0.4">
      <c r="A68" s="642"/>
      <c r="B68" s="239" t="s">
        <v>167</v>
      </c>
      <c r="C68" s="245"/>
      <c r="D68" s="675"/>
      <c r="E68" s="676">
        <f>+E67-D67</f>
        <v>78.533096683752774</v>
      </c>
      <c r="F68" s="676">
        <f>+F67-E67</f>
        <v>127.55680951045929</v>
      </c>
      <c r="G68" s="676">
        <f>+G67-F67</f>
        <v>148.35816447858247</v>
      </c>
      <c r="H68" s="676">
        <f>+H67-G67</f>
        <v>178.34551745143722</v>
      </c>
      <c r="I68" s="676">
        <f>+I67-H67</f>
        <v>87.232650750632956</v>
      </c>
      <c r="J68" s="677">
        <f>+SUM(E68:I68)</f>
        <v>620.0262388748647</v>
      </c>
      <c r="K68" s="677">
        <f>+AVERAGE(E68:I68)</f>
        <v>124.00524777497294</v>
      </c>
      <c r="L68" s="240">
        <f>+K68/D27</f>
        <v>6.5489661106026664E-2</v>
      </c>
    </row>
    <row r="69" spans="1:12" s="652" customFormat="1" ht="13.9" outlineLevel="2" x14ac:dyDescent="0.35">
      <c r="A69"/>
      <c r="B69" s="241"/>
      <c r="C69" s="241"/>
      <c r="D69" s="1124" t="s">
        <v>814</v>
      </c>
      <c r="E69" s="1112"/>
      <c r="F69" s="1112"/>
      <c r="G69" s="1112"/>
      <c r="H69" s="1112"/>
      <c r="I69" s="1112"/>
      <c r="J69" s="703"/>
      <c r="K69" s="242"/>
      <c r="L69" s="243"/>
    </row>
    <row r="70" spans="1:12" s="652" customFormat="1" ht="13.5" outlineLevel="2" x14ac:dyDescent="0.35">
      <c r="A70" s="642"/>
      <c r="B70" s="246" t="s">
        <v>166</v>
      </c>
      <c r="C70" s="247"/>
      <c r="D70" s="672">
        <f>D45</f>
        <v>1079.3</v>
      </c>
      <c r="E70" s="673">
        <f>+D70*(1+E$60)</f>
        <v>1124.9875107634862</v>
      </c>
      <c r="F70" s="673">
        <f t="shared" ref="F70:I70" si="4">+E70*(1+F$60)</f>
        <v>1213.4960524902149</v>
      </c>
      <c r="G70" s="673">
        <f t="shared" si="4"/>
        <v>1315.1584224049116</v>
      </c>
      <c r="H70" s="673">
        <f t="shared" si="4"/>
        <v>1436.8029667315593</v>
      </c>
      <c r="I70" s="673">
        <f t="shared" si="4"/>
        <v>1471.5853988179374</v>
      </c>
      <c r="J70" s="674">
        <f>+SUM(E70:I70)</f>
        <v>6562.03035120811</v>
      </c>
      <c r="K70" s="674">
        <f>+AVERAGE(E70:I70)</f>
        <v>1312.406070241622</v>
      </c>
      <c r="L70" s="238"/>
    </row>
    <row r="71" spans="1:12" s="652" customFormat="1" ht="14.25" outlineLevel="2" thickBot="1" x14ac:dyDescent="0.45">
      <c r="A71" s="642"/>
      <c r="B71" s="678" t="s">
        <v>167</v>
      </c>
      <c r="C71" s="679"/>
      <c r="D71" s="680"/>
      <c r="E71" s="681">
        <f>+E70-D70</f>
        <v>45.687510763486216</v>
      </c>
      <c r="F71" s="681">
        <f t="shared" ref="F71:I71" si="5">+F70-E70</f>
        <v>88.508541726728708</v>
      </c>
      <c r="G71" s="681">
        <f t="shared" si="5"/>
        <v>101.66236991469668</v>
      </c>
      <c r="H71" s="681">
        <f t="shared" si="5"/>
        <v>121.64454432664775</v>
      </c>
      <c r="I71" s="681">
        <f t="shared" si="5"/>
        <v>34.782432086378094</v>
      </c>
      <c r="J71" s="682">
        <f>+SUM(E71:I71)</f>
        <v>392.28539881793745</v>
      </c>
      <c r="K71" s="682">
        <f>+AVERAGE(E71:I71)</f>
        <v>78.457079763587487</v>
      </c>
      <c r="L71" s="683">
        <f>+K71/D27</f>
        <v>4.143475907092084E-2</v>
      </c>
    </row>
    <row r="72" spans="1:12" s="652" customFormat="1" ht="31.5" customHeight="1" outlineLevel="1" thickBot="1" x14ac:dyDescent="0.4">
      <c r="A72" s="668"/>
      <c r="B72" s="187"/>
      <c r="C72" s="187"/>
      <c r="D72" s="229"/>
      <c r="E72" s="187"/>
      <c r="F72" s="187"/>
      <c r="G72" s="187"/>
      <c r="H72" s="187"/>
      <c r="I72" s="187"/>
      <c r="J72" s="187"/>
      <c r="K72" s="187"/>
      <c r="L72" s="187"/>
    </row>
    <row r="73" spans="1:12" s="669" customFormat="1" ht="22.5" customHeight="1" outlineLevel="1" thickBot="1" x14ac:dyDescent="0.35">
      <c r="A73" s="668"/>
      <c r="B73" s="649" t="s">
        <v>168</v>
      </c>
      <c r="C73" s="650"/>
      <c r="D73" s="650"/>
      <c r="E73" s="650"/>
      <c r="F73" s="650"/>
      <c r="G73" s="650"/>
      <c r="H73" s="650"/>
      <c r="I73" s="650"/>
      <c r="J73" s="650"/>
      <c r="K73" s="650"/>
      <c r="L73" s="651"/>
    </row>
    <row r="74" spans="1:12" s="652" customFormat="1" ht="15" customHeight="1" outlineLevel="2" x14ac:dyDescent="0.35">
      <c r="A74" s="642"/>
      <c r="B74" s="236"/>
      <c r="C74" s="236"/>
      <c r="D74" s="701" t="str">
        <f>D$65</f>
        <v>2023-24</v>
      </c>
      <c r="E74" s="702" t="str">
        <f t="shared" ref="E74:J75" si="6">E$65</f>
        <v>2024-25</v>
      </c>
      <c r="F74" s="702" t="str">
        <f t="shared" si="6"/>
        <v>2025-26</v>
      </c>
      <c r="G74" s="702" t="str">
        <f t="shared" si="6"/>
        <v>2026-27</v>
      </c>
      <c r="H74" s="702" t="str">
        <f t="shared" si="6"/>
        <v>2027-28</v>
      </c>
      <c r="I74" s="702" t="str">
        <f t="shared" si="6"/>
        <v>2028-29</v>
      </c>
      <c r="J74" s="1126" t="str">
        <f t="shared" si="6"/>
        <v>Total 
2021-22 to 2028-29</v>
      </c>
      <c r="K74" s="1127" t="s">
        <v>164</v>
      </c>
      <c r="L74" s="1129" t="s">
        <v>165</v>
      </c>
    </row>
    <row r="75" spans="1:12" s="652" customFormat="1" ht="13.9" outlineLevel="2" thickBot="1" x14ac:dyDescent="0.4">
      <c r="A75" s="642"/>
      <c r="B75"/>
      <c r="C75"/>
      <c r="D75" s="1122" t="s">
        <v>155</v>
      </c>
      <c r="E75" s="1123"/>
      <c r="F75" s="1123"/>
      <c r="G75" s="1123"/>
      <c r="H75" s="1123"/>
      <c r="I75" s="1123"/>
      <c r="J75" s="1123" t="str">
        <f t="shared" si="6"/>
        <v>Total 
2021-22 to 2028-29</v>
      </c>
      <c r="K75" s="1128"/>
      <c r="L75" s="1130"/>
    </row>
    <row r="76" spans="1:12" s="652" customFormat="1" ht="13.5" outlineLevel="2" x14ac:dyDescent="0.35">
      <c r="A76" s="642"/>
      <c r="B76" s="237" t="s">
        <v>166</v>
      </c>
      <c r="C76" s="244"/>
      <c r="D76" s="684">
        <f>D46</f>
        <v>2605.8000000000002</v>
      </c>
      <c r="E76" s="673">
        <f>+D76*(1+E$59)</f>
        <v>2795.4058031488216</v>
      </c>
      <c r="F76" s="673">
        <f t="shared" ref="F76" si="7">+E76*(1+F$59)</f>
        <v>3103.3716460306478</v>
      </c>
      <c r="G76" s="673">
        <f t="shared" ref="G76" si="8">+F76*(1+G$59)</f>
        <v>3461.5590869630023</v>
      </c>
      <c r="H76" s="673">
        <f t="shared" ref="H76" si="9">+G76*(1+H$59)</f>
        <v>3892.1462725230463</v>
      </c>
      <c r="I76" s="673">
        <f t="shared" ref="I76" si="10">+H76*(1+I$59)</f>
        <v>4102.7557799130209</v>
      </c>
      <c r="J76" s="674">
        <f>+SUM(E76:I76)</f>
        <v>17355.238588578541</v>
      </c>
      <c r="K76" s="674">
        <f>+AVERAGE(E76:I76)</f>
        <v>3471.0477177157081</v>
      </c>
      <c r="L76" s="238"/>
    </row>
    <row r="77" spans="1:12" s="652" customFormat="1" ht="13.9" outlineLevel="2" x14ac:dyDescent="0.4">
      <c r="A77" s="642"/>
      <c r="B77" s="239" t="s">
        <v>167</v>
      </c>
      <c r="C77" s="245"/>
      <c r="D77" s="685"/>
      <c r="E77" s="676">
        <f>+E76-D76</f>
        <v>189.60580314882145</v>
      </c>
      <c r="F77" s="676">
        <f>+F76-E76</f>
        <v>307.96584288182612</v>
      </c>
      <c r="G77" s="676">
        <f>+G76-F76</f>
        <v>358.18744093235455</v>
      </c>
      <c r="H77" s="676">
        <f>+H76-G76</f>
        <v>430.58718556004396</v>
      </c>
      <c r="I77" s="676">
        <f>+I76-H76</f>
        <v>210.60950738997462</v>
      </c>
      <c r="J77" s="677">
        <f>+SUM(E77:I77)</f>
        <v>1496.9557799130207</v>
      </c>
      <c r="K77" s="677">
        <f>+AVERAGE(E77:I77)</f>
        <v>299.39115598260412</v>
      </c>
      <c r="L77" s="240">
        <f>+K77/D28</f>
        <v>3.9064008379033462E-2</v>
      </c>
    </row>
    <row r="78" spans="1:12" s="652" customFormat="1" ht="13.9" outlineLevel="2" x14ac:dyDescent="0.35">
      <c r="A78" s="642"/>
      <c r="B78" s="241"/>
      <c r="C78" s="241"/>
      <c r="D78" s="1111" t="str">
        <f>D69</f>
        <v>$ real , June 2024</v>
      </c>
      <c r="E78" s="1112"/>
      <c r="F78" s="1112"/>
      <c r="G78" s="1112"/>
      <c r="H78" s="1112"/>
      <c r="I78" s="1112"/>
      <c r="J78" s="703"/>
      <c r="K78" s="242"/>
      <c r="L78" s="243"/>
    </row>
    <row r="79" spans="1:12" s="652" customFormat="1" ht="13.5" outlineLevel="2" x14ac:dyDescent="0.35">
      <c r="A79" s="642"/>
      <c r="B79" s="246" t="s">
        <v>166</v>
      </c>
      <c r="C79" s="247"/>
      <c r="D79" s="684">
        <f>D46</f>
        <v>2605.8000000000002</v>
      </c>
      <c r="E79" s="673">
        <f>+D79*(1+E$60)</f>
        <v>2716.105304871206</v>
      </c>
      <c r="F79" s="673">
        <f t="shared" ref="F79" si="11">+E79*(1+F$60)</f>
        <v>2929.7952502353401</v>
      </c>
      <c r="G79" s="673">
        <f t="shared" ref="G79" si="12">+F79*(1+G$60)</f>
        <v>3175.2430437345679</v>
      </c>
      <c r="H79" s="673">
        <f t="shared" ref="H79" si="13">+G79*(1+H$60)</f>
        <v>3468.9346527463154</v>
      </c>
      <c r="I79" s="673">
        <f t="shared" ref="I79" si="14">+H79*(1+I$60)</f>
        <v>3552.911361289523</v>
      </c>
      <c r="J79" s="674">
        <f>+SUM(E79:I79)</f>
        <v>15842.989612876952</v>
      </c>
      <c r="K79" s="674">
        <f>+AVERAGE(E79:I79)</f>
        <v>3168.5979225753904</v>
      </c>
      <c r="L79" s="238"/>
    </row>
    <row r="80" spans="1:12" s="652" customFormat="1" ht="14.25" outlineLevel="2" thickBot="1" x14ac:dyDescent="0.45">
      <c r="A80" s="642"/>
      <c r="B80" s="239" t="s">
        <v>167</v>
      </c>
      <c r="C80" s="245"/>
      <c r="D80" s="686"/>
      <c r="E80" s="681">
        <f>+E79-D79</f>
        <v>110.30530487120586</v>
      </c>
      <c r="F80" s="681">
        <f t="shared" ref="F80:I80" si="15">+F79-E79</f>
        <v>213.68994536413402</v>
      </c>
      <c r="G80" s="681">
        <f t="shared" si="15"/>
        <v>245.44779349922783</v>
      </c>
      <c r="H80" s="681">
        <f t="shared" si="15"/>
        <v>293.69160901174746</v>
      </c>
      <c r="I80" s="681">
        <f t="shared" si="15"/>
        <v>83.976708543207678</v>
      </c>
      <c r="J80" s="682">
        <f>+SUM(E80:I80)</f>
        <v>947.11136128952285</v>
      </c>
      <c r="K80" s="682">
        <f>+AVERAGE(E80:I80)</f>
        <v>189.42227225790458</v>
      </c>
      <c r="L80" s="683">
        <f>+K80/D28</f>
        <v>2.4715470323005435E-2</v>
      </c>
    </row>
    <row r="81" spans="2:2" ht="11.25" customHeight="1" x14ac:dyDescent="0.3"/>
    <row r="82" spans="2:2" s="46" customFormat="1" ht="15" x14ac:dyDescent="0.3">
      <c r="B82" s="46" t="s">
        <v>16</v>
      </c>
    </row>
  </sheetData>
  <mergeCells count="16">
    <mergeCell ref="J74:J75"/>
    <mergeCell ref="K74:K75"/>
    <mergeCell ref="L74:L75"/>
    <mergeCell ref="D75:I75"/>
    <mergeCell ref="J65:J66"/>
    <mergeCell ref="K65:K66"/>
    <mergeCell ref="L65:L66"/>
    <mergeCell ref="D78:I78"/>
    <mergeCell ref="B9:D9"/>
    <mergeCell ref="D16:E16"/>
    <mergeCell ref="D25:E25"/>
    <mergeCell ref="D34:E34"/>
    <mergeCell ref="D43:E43"/>
    <mergeCell ref="D66:I66"/>
    <mergeCell ref="D69:I69"/>
    <mergeCell ref="G41:H41"/>
  </mergeCells>
  <conditionalFormatting sqref="B3">
    <cfRule type="cellIs" dxfId="35" priority="28" operator="notEqual">
      <formula>"No Errors Found"</formula>
    </cfRule>
  </conditionalFormatting>
  <conditionalFormatting sqref="F51:F52">
    <cfRule type="expression" dxfId="34" priority="15">
      <formula>(dms_FRCPlength_Num)&lt;2</formula>
    </cfRule>
  </conditionalFormatting>
  <conditionalFormatting sqref="I51:I52">
    <cfRule type="expression" dxfId="33" priority="18">
      <formula>(dms_FRCPlength_Num)&lt;5</formula>
    </cfRule>
  </conditionalFormatting>
  <conditionalFormatting sqref="H51:H52">
    <cfRule type="expression" dxfId="32" priority="17">
      <formula>(dms_FRCPlength_Num)&lt;4</formula>
    </cfRule>
  </conditionalFormatting>
  <conditionalFormatting sqref="G51:G52">
    <cfRule type="expression" dxfId="31" priority="16">
      <formula>(dms_FRCPlength_Num)&lt;3</formula>
    </cfRule>
  </conditionalFormatting>
  <conditionalFormatting sqref="F54">
    <cfRule type="expression" dxfId="30" priority="11">
      <formula>(dms_FRCPlength_Num)&lt;2</formula>
    </cfRule>
  </conditionalFormatting>
  <conditionalFormatting sqref="I54">
    <cfRule type="expression" dxfId="29" priority="14">
      <formula>(dms_FRCPlength_Num)&lt;5</formula>
    </cfRule>
  </conditionalFormatting>
  <conditionalFormatting sqref="H54">
    <cfRule type="expression" dxfId="28" priority="13">
      <formula>(dms_FRCPlength_Num)&lt;4</formula>
    </cfRule>
  </conditionalFormatting>
  <conditionalFormatting sqref="G54">
    <cfRule type="expression" dxfId="27" priority="12">
      <formula>(dms_FRCPlength_Num)&lt;3</formula>
    </cfRule>
  </conditionalFormatting>
  <conditionalFormatting sqref="F56:F57">
    <cfRule type="expression" dxfId="26" priority="7">
      <formula>(dms_FRCPlength_Num)&lt;2</formula>
    </cfRule>
  </conditionalFormatting>
  <conditionalFormatting sqref="I56:I57">
    <cfRule type="expression" dxfId="25" priority="10">
      <formula>(dms_FRCPlength_Num)&lt;5</formula>
    </cfRule>
  </conditionalFormatting>
  <conditionalFormatting sqref="H56:H57">
    <cfRule type="expression" dxfId="24" priority="9">
      <formula>(dms_FRCPlength_Num)&lt;4</formula>
    </cfRule>
  </conditionalFormatting>
  <conditionalFormatting sqref="G56:G57">
    <cfRule type="expression" dxfId="23" priority="8">
      <formula>(dms_FRCPlength_Num)&lt;3</formula>
    </cfRule>
  </conditionalFormatting>
  <conditionalFormatting sqref="I68">
    <cfRule type="expression" dxfId="22" priority="6">
      <formula>(dms_FRCPlength_Num)&lt;5</formula>
    </cfRule>
  </conditionalFormatting>
  <conditionalFormatting sqref="H68">
    <cfRule type="expression" dxfId="21" priority="5">
      <formula>(dms_FRCPlength_Num)&lt;4</formula>
    </cfRule>
  </conditionalFormatting>
  <conditionalFormatting sqref="G68">
    <cfRule type="expression" dxfId="20" priority="4">
      <formula>(dms_FRCPlength_Num)&lt;3</formula>
    </cfRule>
  </conditionalFormatting>
  <conditionalFormatting sqref="I71">
    <cfRule type="expression" dxfId="19" priority="3">
      <formula>(dms_FRCPlength_Num)&lt;5</formula>
    </cfRule>
  </conditionalFormatting>
  <conditionalFormatting sqref="H71">
    <cfRule type="expression" dxfId="18" priority="2">
      <formula>(dms_FRCPlength_Num)&lt;4</formula>
    </cfRule>
  </conditionalFormatting>
  <conditionalFormatting sqref="G71">
    <cfRule type="expression" dxfId="17" priority="1">
      <formula>(dms_FRCPlength_Num)&lt;3</formula>
    </cfRule>
  </conditionalFormatting>
  <hyperlinks>
    <hyperlink ref="B2:E2" location="TOC!A1" display="TOC!A1" xr:uid="{AF48483D-5CB7-4661-9B61-EA17A1D78F8C}"/>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75BF-3FC8-41F9-B39C-BAD9317169CA}">
  <sheetPr codeName="Sheet44">
    <tabColor theme="4" tint="0.79998168889431442"/>
  </sheetPr>
  <dimension ref="A1:Z127"/>
  <sheetViews>
    <sheetView showGridLines="0" zoomScaleNormal="100" workbookViewId="0">
      <pane xSplit="1" ySplit="3" topLeftCell="B4" activePane="bottomRight" state="frozen"/>
      <selection activeCell="D11" sqref="D11"/>
      <selection pane="topRight" activeCell="D11" sqref="D11"/>
      <selection pane="bottomLeft" activeCell="D11" sqref="D11"/>
      <selection pane="bottomRight" activeCell="B4" sqref="B4"/>
    </sheetView>
  </sheetViews>
  <sheetFormatPr defaultColWidth="9.33203125" defaultRowHeight="10.15" x14ac:dyDescent="0.3"/>
  <cols>
    <col min="1" max="3" width="3.6640625" style="45" customWidth="1"/>
    <col min="4" max="4" width="62.83203125" style="45" customWidth="1"/>
    <col min="5" max="11" width="15.6640625" style="45" customWidth="1"/>
    <col min="12" max="27" width="10.6640625" style="45" customWidth="1"/>
    <col min="28" max="16384" width="9.33203125" style="45"/>
  </cols>
  <sheetData>
    <row r="1" spans="1:13" ht="18.75" x14ac:dyDescent="0.3">
      <c r="A1" s="41">
        <f>IF(SUM($A4:$A127)&gt;0,1,0)</f>
        <v>0</v>
      </c>
      <c r="B1" s="3" t="s">
        <v>223</v>
      </c>
    </row>
    <row r="2" spans="1:13" customFormat="1" x14ac:dyDescent="0.3">
      <c r="B2" s="34" t="str">
        <f>TOC!$B$1</f>
        <v>Table of contents</v>
      </c>
      <c r="C2" s="34"/>
      <c r="D2" s="34"/>
      <c r="E2" s="34"/>
    </row>
    <row r="3" spans="1:13" x14ac:dyDescent="0.3">
      <c r="B3" s="9" t="str">
        <f>Title_Msg</f>
        <v>No Errors Found</v>
      </c>
    </row>
    <row r="4" spans="1:13" s="46" customFormat="1" ht="15" x14ac:dyDescent="0.3">
      <c r="B4" s="46" t="s">
        <v>1114</v>
      </c>
    </row>
    <row r="5" spans="1:13" ht="4.5" customHeight="1" x14ac:dyDescent="0.3"/>
    <row r="6" spans="1:13" s="7" customFormat="1" ht="13.9" x14ac:dyDescent="0.3">
      <c r="C6" s="7" t="s">
        <v>1115</v>
      </c>
    </row>
    <row r="7" spans="1:13" ht="11.25" customHeight="1" x14ac:dyDescent="0.3"/>
    <row r="8" spans="1:13" ht="18.399999999999999" thickBot="1" x14ac:dyDescent="0.55000000000000004">
      <c r="D8" s="48" t="s">
        <v>212</v>
      </c>
      <c r="E8" s="49"/>
      <c r="F8" s="49"/>
      <c r="G8" s="49"/>
      <c r="H8" s="49"/>
      <c r="I8" s="49"/>
      <c r="J8" s="49"/>
      <c r="K8" s="49"/>
    </row>
    <row r="9" spans="1:13" ht="14.25" thickBot="1" x14ac:dyDescent="0.35">
      <c r="D9" s="102"/>
      <c r="E9" s="103"/>
      <c r="F9" s="103"/>
      <c r="G9" s="103"/>
      <c r="H9" s="103"/>
      <c r="I9" s="103"/>
      <c r="J9" s="103"/>
      <c r="K9" s="103"/>
    </row>
    <row r="10" spans="1:13" ht="13.5" thickBot="1" x14ac:dyDescent="0.35">
      <c r="D10"/>
      <c r="E10" s="1045" t="s">
        <v>213</v>
      </c>
      <c r="F10" s="1046"/>
      <c r="G10" s="1046"/>
      <c r="H10" s="1046"/>
      <c r="I10" s="1046"/>
      <c r="J10" s="1046"/>
      <c r="K10" s="1047"/>
    </row>
    <row r="11" spans="1:13" ht="13.5" thickBot="1" x14ac:dyDescent="0.35">
      <c r="D11"/>
      <c r="E11" s="417" t="str">
        <f>'WkB_1_2.1.1'!$E$10</f>
        <v>2022-23</v>
      </c>
      <c r="F11" s="418" t="str">
        <f>'WkB_1_2.1.1'!$F$10</f>
        <v>2023-24</v>
      </c>
      <c r="G11" s="419" t="str">
        <f>'WkB_1_2.1.1'!$G$10</f>
        <v>2024-25</v>
      </c>
      <c r="H11" s="420" t="str">
        <f>'WkB_1_2.1.1'!$H$10</f>
        <v>2025-26</v>
      </c>
      <c r="I11" s="420" t="str">
        <f>'WkB_1_2.1.1'!$I$10</f>
        <v>2026-27</v>
      </c>
      <c r="J11" s="420" t="str">
        <f>'WkB_1_2.1.1'!$J$10</f>
        <v>2027-28</v>
      </c>
      <c r="K11" s="421" t="str">
        <f>'WkB_1_2.1.1'!$K$10</f>
        <v>2028-29</v>
      </c>
    </row>
    <row r="12" spans="1:13" ht="14.25" x14ac:dyDescent="0.45">
      <c r="D12" s="346" t="s">
        <v>233</v>
      </c>
      <c r="E12" s="57">
        <v>1716.0625107318338</v>
      </c>
      <c r="F12" s="57">
        <v>1738.3249183438711</v>
      </c>
      <c r="G12" s="57">
        <v>1760.2478550328635</v>
      </c>
      <c r="H12" s="57">
        <v>1769.7496915981424</v>
      </c>
      <c r="I12" s="57">
        <v>1770.9277000309285</v>
      </c>
      <c r="J12" s="57">
        <v>1757.965605620883</v>
      </c>
      <c r="K12" s="99">
        <v>1736.5260241426213</v>
      </c>
      <c r="M12" s="394" t="s">
        <v>214</v>
      </c>
    </row>
    <row r="13" spans="1:13" ht="14.25" x14ac:dyDescent="0.45">
      <c r="D13" s="92" t="s">
        <v>234</v>
      </c>
      <c r="E13" s="57">
        <v>501.5</v>
      </c>
      <c r="F13" s="57">
        <v>501.5</v>
      </c>
      <c r="G13" s="57">
        <v>501.5</v>
      </c>
      <c r="H13" s="57">
        <v>501.5</v>
      </c>
      <c r="I13" s="57">
        <v>501.5</v>
      </c>
      <c r="J13" s="57">
        <v>501.5</v>
      </c>
      <c r="K13" s="99">
        <v>501.5</v>
      </c>
      <c r="M13" s="394" t="s">
        <v>216</v>
      </c>
    </row>
    <row r="14" spans="1:13" ht="14.25" x14ac:dyDescent="0.45">
      <c r="D14" s="93" t="s">
        <v>235</v>
      </c>
      <c r="E14" s="57">
        <v>84701.503372497158</v>
      </c>
      <c r="F14" s="57">
        <v>85327.493056526087</v>
      </c>
      <c r="G14" s="57">
        <v>83769.031312080697</v>
      </c>
      <c r="H14" s="57">
        <v>84348.348872110044</v>
      </c>
      <c r="I14" s="57">
        <v>84928.38474711412</v>
      </c>
      <c r="J14" s="57">
        <v>85509.158102163317</v>
      </c>
      <c r="K14" s="99">
        <v>86090.688621495385</v>
      </c>
      <c r="M14" s="394"/>
    </row>
    <row r="15" spans="1:13" ht="14.65" thickBot="1" x14ac:dyDescent="0.5">
      <c r="D15" s="393" t="s">
        <v>236</v>
      </c>
      <c r="E15" s="100">
        <v>7062.5342006044102</v>
      </c>
      <c r="F15" s="100">
        <v>7108.8332325931124</v>
      </c>
      <c r="G15" s="100">
        <v>7132.7431146751951</v>
      </c>
      <c r="H15" s="100">
        <v>7149.1676009684388</v>
      </c>
      <c r="I15" s="100">
        <v>7168.3139238874446</v>
      </c>
      <c r="J15" s="100">
        <v>7183.3276423109528</v>
      </c>
      <c r="K15" s="101">
        <v>7197.428406662546</v>
      </c>
      <c r="M15" s="394" t="s">
        <v>215</v>
      </c>
    </row>
    <row r="17" spans="1:13" s="7" customFormat="1" ht="13.9" x14ac:dyDescent="0.3">
      <c r="C17" s="7" t="s">
        <v>397</v>
      </c>
    </row>
    <row r="18" spans="1:13" ht="11.25" customHeight="1" x14ac:dyDescent="0.3"/>
    <row r="19" spans="1:13" ht="18.399999999999999" thickBot="1" x14ac:dyDescent="0.55000000000000004">
      <c r="D19" s="48" t="s">
        <v>212</v>
      </c>
      <c r="E19" s="49"/>
      <c r="F19" s="49"/>
      <c r="G19" s="49"/>
      <c r="H19" s="49"/>
      <c r="I19" s="49"/>
      <c r="J19" s="49"/>
      <c r="K19" s="49"/>
    </row>
    <row r="20" spans="1:13" ht="14.25" thickBot="1" x14ac:dyDescent="0.35">
      <c r="D20" s="102"/>
      <c r="E20" s="103"/>
      <c r="F20" s="103"/>
      <c r="G20" s="103"/>
      <c r="H20" s="103"/>
      <c r="I20" s="103"/>
      <c r="J20" s="103"/>
      <c r="K20" s="103"/>
    </row>
    <row r="21" spans="1:13" ht="13.5" thickBot="1" x14ac:dyDescent="0.35">
      <c r="D21"/>
      <c r="E21" s="1045" t="s">
        <v>213</v>
      </c>
      <c r="F21" s="1046"/>
      <c r="G21" s="1046"/>
      <c r="H21" s="1046"/>
      <c r="I21" s="1046"/>
      <c r="J21" s="1046"/>
      <c r="K21" s="1047"/>
    </row>
    <row r="22" spans="1:13" ht="13.5" thickBot="1" x14ac:dyDescent="0.35">
      <c r="D22"/>
      <c r="E22" s="417" t="str">
        <f>'WkB_1_2.1.1'!$E$10</f>
        <v>2022-23</v>
      </c>
      <c r="F22" s="418" t="str">
        <f>'WkB_1_2.1.1'!$F$10</f>
        <v>2023-24</v>
      </c>
      <c r="G22" s="419" t="str">
        <f>'WkB_1_2.1.1'!$G$10</f>
        <v>2024-25</v>
      </c>
      <c r="H22" s="420" t="str">
        <f>'WkB_1_2.1.1'!$H$10</f>
        <v>2025-26</v>
      </c>
      <c r="I22" s="420" t="str">
        <f>'WkB_1_2.1.1'!$I$10</f>
        <v>2026-27</v>
      </c>
      <c r="J22" s="420" t="str">
        <f>'WkB_1_2.1.1'!$J$10</f>
        <v>2027-28</v>
      </c>
      <c r="K22" s="421" t="str">
        <f>'WkB_1_2.1.1'!$K$10</f>
        <v>2028-29</v>
      </c>
    </row>
    <row r="23" spans="1:13" ht="14.25" x14ac:dyDescent="0.45">
      <c r="D23" s="346" t="str">
        <f>D12</f>
        <v>Energy throughput (GWh)</v>
      </c>
      <c r="E23" s="57">
        <v>1716.0625107318338</v>
      </c>
      <c r="F23" s="57">
        <v>1738.3249183438711</v>
      </c>
      <c r="G23" s="57">
        <v>1760.2478550328635</v>
      </c>
      <c r="H23" s="57">
        <v>1769.7496915981424</v>
      </c>
      <c r="I23" s="57">
        <v>1770.9277000309285</v>
      </c>
      <c r="J23" s="57">
        <v>1757.965605620883</v>
      </c>
      <c r="K23" s="99">
        <v>1736.5260241426213</v>
      </c>
    </row>
    <row r="24" spans="1:13" ht="14.25" x14ac:dyDescent="0.45">
      <c r="D24" s="92" t="s">
        <v>933</v>
      </c>
      <c r="E24" s="57">
        <v>349.9999892505557</v>
      </c>
      <c r="F24" s="57">
        <v>366.44614418435708</v>
      </c>
      <c r="G24" s="57">
        <v>376.88611942581161</v>
      </c>
      <c r="H24" s="57">
        <v>387.06128919682959</v>
      </c>
      <c r="I24" s="57">
        <v>394.89787883648046</v>
      </c>
      <c r="J24" s="57">
        <v>403.0768197551028</v>
      </c>
      <c r="K24" s="99">
        <v>409.87416061214424</v>
      </c>
    </row>
    <row r="25" spans="1:13" ht="14.25" x14ac:dyDescent="0.45">
      <c r="D25" s="93" t="str">
        <f t="shared" ref="D25:D26" si="0">D14</f>
        <v>Customer numbers (#)</v>
      </c>
      <c r="E25" s="57">
        <v>83325.272611429624</v>
      </c>
      <c r="F25" s="57">
        <v>83948.60470638267</v>
      </c>
      <c r="G25" s="57">
        <v>84567.097835486784</v>
      </c>
      <c r="H25" s="57">
        <v>85186.304286225262</v>
      </c>
      <c r="I25" s="57">
        <v>85806.243079074309</v>
      </c>
      <c r="J25" s="57">
        <v>86426.933749504664</v>
      </c>
      <c r="K25" s="99">
        <v>87048.396362102008</v>
      </c>
    </row>
    <row r="26" spans="1:13" ht="14.65" thickBot="1" x14ac:dyDescent="0.5">
      <c r="D26" s="393" t="str">
        <f t="shared" si="0"/>
        <v>Circuit Length (km)</v>
      </c>
      <c r="E26" s="100">
        <v>7062.5342006044102</v>
      </c>
      <c r="F26" s="100">
        <v>7108.8332325931133</v>
      </c>
      <c r="G26" s="100">
        <v>7132.7431146751951</v>
      </c>
      <c r="H26" s="100">
        <v>7149.1676009684388</v>
      </c>
      <c r="I26" s="100">
        <v>7168.3139238874446</v>
      </c>
      <c r="J26" s="100">
        <v>7183.3276423109528</v>
      </c>
      <c r="K26" s="101">
        <v>7197.428406662546</v>
      </c>
    </row>
    <row r="28" spans="1:13" s="7" customFormat="1" ht="13.9" x14ac:dyDescent="0.3">
      <c r="C28" s="7" t="s">
        <v>1116</v>
      </c>
    </row>
    <row r="30" spans="1:13" ht="12.75" x14ac:dyDescent="0.3">
      <c r="A30" s="41">
        <f>IF(SUM($E30:$K30)&lt;&gt;0,1,0)</f>
        <v>0</v>
      </c>
      <c r="D30" s="6" t="str">
        <f>D12</f>
        <v>Energy throughput (GWh)</v>
      </c>
      <c r="E30" s="65">
        <f>ROUND(E12-E23,2)</f>
        <v>0</v>
      </c>
      <c r="F30" s="65">
        <f>ROUND(F12-F23,2)</f>
        <v>0</v>
      </c>
      <c r="G30" s="65">
        <f t="shared" ref="G30:K30" si="1">ROUND(G12-G23,2)</f>
        <v>0</v>
      </c>
      <c r="H30" s="65">
        <f t="shared" si="1"/>
        <v>0</v>
      </c>
      <c r="I30" s="65">
        <f t="shared" si="1"/>
        <v>0</v>
      </c>
      <c r="J30" s="65">
        <f t="shared" si="1"/>
        <v>0</v>
      </c>
      <c r="K30" s="65">
        <f t="shared" si="1"/>
        <v>0</v>
      </c>
    </row>
    <row r="31" spans="1:13" ht="12.75" x14ac:dyDescent="0.3">
      <c r="A31" s="41">
        <f t="shared" ref="A31:A33" si="2">IF(SUM($E31:$K31)&lt;&gt;0,1,0)</f>
        <v>0</v>
      </c>
      <c r="D31" s="6" t="str">
        <f t="shared" ref="D31" si="3">D13</f>
        <v>Ratcheted Maximum Demand (MW)</v>
      </c>
      <c r="E31" s="65">
        <f>IF(E13&lt;E24,1,0)</f>
        <v>0</v>
      </c>
      <c r="F31" s="65">
        <f t="shared" ref="F31:K31" si="4">IF(F13&lt;F24,1,0)</f>
        <v>0</v>
      </c>
      <c r="G31" s="65">
        <f t="shared" si="4"/>
        <v>0</v>
      </c>
      <c r="H31" s="65">
        <f t="shared" si="4"/>
        <v>0</v>
      </c>
      <c r="I31" s="65">
        <f t="shared" si="4"/>
        <v>0</v>
      </c>
      <c r="J31" s="65">
        <f t="shared" si="4"/>
        <v>0</v>
      </c>
      <c r="K31" s="65">
        <f t="shared" si="4"/>
        <v>0</v>
      </c>
    </row>
    <row r="32" spans="1:13" ht="12.75" x14ac:dyDescent="0.3">
      <c r="A32" s="41">
        <f t="shared" si="2"/>
        <v>0</v>
      </c>
      <c r="D32" s="6" t="str">
        <f>D14</f>
        <v>Customer numbers (#)</v>
      </c>
      <c r="E32" s="1011"/>
      <c r="F32" s="1011"/>
      <c r="G32" s="1011"/>
      <c r="H32" s="1011"/>
      <c r="I32" s="1011"/>
      <c r="J32" s="1011"/>
      <c r="K32" s="1011"/>
      <c r="M32" s="394" t="s">
        <v>1006</v>
      </c>
    </row>
    <row r="33" spans="1:12" ht="12.75" x14ac:dyDescent="0.3">
      <c r="A33" s="41">
        <f t="shared" si="2"/>
        <v>0</v>
      </c>
      <c r="D33" s="6" t="str">
        <f>D15</f>
        <v>Circuit Length (km)</v>
      </c>
      <c r="E33" s="65">
        <f>ROUND(E15-E26,-1)</f>
        <v>0</v>
      </c>
      <c r="F33" s="65">
        <f>ROUND(F15-F26,-1)</f>
        <v>0</v>
      </c>
      <c r="G33" s="65">
        <f t="shared" ref="G33:K33" si="5">ROUND(G15-G26,-1)</f>
        <v>0</v>
      </c>
      <c r="H33" s="65">
        <f t="shared" si="5"/>
        <v>0</v>
      </c>
      <c r="I33" s="65">
        <f t="shared" si="5"/>
        <v>0</v>
      </c>
      <c r="J33" s="65">
        <f t="shared" si="5"/>
        <v>0</v>
      </c>
      <c r="K33" s="65">
        <f t="shared" si="5"/>
        <v>0</v>
      </c>
    </row>
    <row r="35" spans="1:12" s="46" customFormat="1" ht="15" x14ac:dyDescent="0.3">
      <c r="B35" s="46" t="s">
        <v>757</v>
      </c>
    </row>
    <row r="36" spans="1:12" x14ac:dyDescent="0.3">
      <c r="B36" s="401" t="s">
        <v>218</v>
      </c>
    </row>
    <row r="37" spans="1:12" ht="13.15" x14ac:dyDescent="0.3">
      <c r="B37" s="401"/>
      <c r="D37" s="402" t="s">
        <v>221</v>
      </c>
    </row>
    <row r="38" spans="1:12" ht="12.75" x14ac:dyDescent="0.3">
      <c r="D38" s="6" t="s">
        <v>219</v>
      </c>
      <c r="E38" s="61">
        <v>886.57289236690963</v>
      </c>
      <c r="F38" s="61">
        <v>973.01879460809334</v>
      </c>
      <c r="G38" s="61">
        <v>1823.1394669280503</v>
      </c>
      <c r="H38" s="61">
        <v>1943.9382349796001</v>
      </c>
      <c r="I38" s="61">
        <v>1876.2546464942229</v>
      </c>
      <c r="J38" s="61">
        <v>1628.3921840281544</v>
      </c>
      <c r="K38" s="61">
        <v>1646.995187687801</v>
      </c>
    </row>
    <row r="39" spans="1:12" ht="12.75" x14ac:dyDescent="0.3">
      <c r="D39" s="6" t="s">
        <v>220</v>
      </c>
      <c r="E39" s="61">
        <v>886.57289236690963</v>
      </c>
      <c r="F39" s="61">
        <v>973.01879460809334</v>
      </c>
      <c r="G39" s="61">
        <v>1823.1394669280503</v>
      </c>
      <c r="H39" s="61">
        <v>1943.9382349796001</v>
      </c>
      <c r="I39" s="61">
        <v>1876.2546464942229</v>
      </c>
      <c r="J39" s="61">
        <v>1628.3921840281544</v>
      </c>
      <c r="K39" s="61">
        <v>1646.995187687801</v>
      </c>
    </row>
    <row r="40" spans="1:12" ht="12.75" x14ac:dyDescent="0.3">
      <c r="A40" s="41">
        <f>IF(SUM($E40:$K40)&lt;&gt;0,1,0)</f>
        <v>0</v>
      </c>
      <c r="D40" s="6" t="s">
        <v>193</v>
      </c>
      <c r="E40" s="62">
        <f>IF(ROUND(E38-E39,1)=0,0,1)</f>
        <v>0</v>
      </c>
      <c r="F40" s="62">
        <f t="shared" ref="F40" si="6">IF(ROUND(F38-F39,1)=0,0,1)</f>
        <v>0</v>
      </c>
      <c r="G40" s="62">
        <f t="shared" ref="G40" si="7">IF(ROUND(G38-G39,1)=0,0,1)</f>
        <v>0</v>
      </c>
      <c r="H40" s="62">
        <f t="shared" ref="H40" si="8">IF(ROUND(H38-H39,1)=0,0,1)</f>
        <v>0</v>
      </c>
      <c r="I40" s="62">
        <f t="shared" ref="I40" si="9">IF(ROUND(I38-I39,1)=0,0,1)</f>
        <v>0</v>
      </c>
      <c r="J40" s="62">
        <f t="shared" ref="J40" si="10">IF(ROUND(J38-J39,1)=0,0,1)</f>
        <v>0</v>
      </c>
      <c r="K40" s="62">
        <f t="shared" ref="K40" si="11">IF(ROUND(K38-K39,1)=0,0,1)</f>
        <v>0</v>
      </c>
    </row>
    <row r="41" spans="1:12" x14ac:dyDescent="0.3">
      <c r="B41" s="401"/>
    </row>
    <row r="42" spans="1:12" ht="13.15" x14ac:dyDescent="0.3">
      <c r="B42" s="401"/>
      <c r="D42" s="402" t="s">
        <v>781</v>
      </c>
      <c r="L42" s="6" t="s">
        <v>782</v>
      </c>
    </row>
    <row r="43" spans="1:12" ht="12.75" x14ac:dyDescent="0.3">
      <c r="D43" s="6" t="s">
        <v>219</v>
      </c>
      <c r="E43" s="61">
        <v>5749.4299999999994</v>
      </c>
      <c r="F43" s="61">
        <v>5702.9299999999994</v>
      </c>
      <c r="G43" s="61">
        <v>5941.9299999999994</v>
      </c>
      <c r="H43" s="61">
        <v>5963.9299999999994</v>
      </c>
      <c r="I43" s="61">
        <v>5973.9299999999994</v>
      </c>
      <c r="J43" s="61">
        <v>5990.9299999999994</v>
      </c>
      <c r="K43" s="61">
        <v>6009.9299999999994</v>
      </c>
    </row>
    <row r="44" spans="1:12" ht="12.75" x14ac:dyDescent="0.3">
      <c r="D44" s="6" t="s">
        <v>220</v>
      </c>
      <c r="E44" s="61">
        <v>5749.4299999999994</v>
      </c>
      <c r="F44" s="61">
        <v>5702.9299999999994</v>
      </c>
      <c r="G44" s="61">
        <v>5941.9299999999994</v>
      </c>
      <c r="H44" s="61">
        <v>5963.9299999999994</v>
      </c>
      <c r="I44" s="61">
        <v>5973.9299999999994</v>
      </c>
      <c r="J44" s="61">
        <v>5990.9299999999994</v>
      </c>
      <c r="K44" s="61">
        <v>6009.9299999999994</v>
      </c>
    </row>
    <row r="45" spans="1:12" ht="12.75" x14ac:dyDescent="0.3">
      <c r="A45" s="41">
        <f>IF(SUM($E45:$K45)&lt;&gt;0,1,0)</f>
        <v>0</v>
      </c>
      <c r="D45" s="6" t="s">
        <v>193</v>
      </c>
      <c r="E45" s="62">
        <f>IF(ROUND(E43-E44,1)=0,0,1)</f>
        <v>0</v>
      </c>
      <c r="F45" s="62">
        <f t="shared" ref="F45:K45" si="12">IF(ROUND(F43-F44,1)=0,0,1)</f>
        <v>0</v>
      </c>
      <c r="G45" s="62">
        <f t="shared" si="12"/>
        <v>0</v>
      </c>
      <c r="H45" s="62">
        <f t="shared" si="12"/>
        <v>0</v>
      </c>
      <c r="I45" s="62">
        <f t="shared" si="12"/>
        <v>0</v>
      </c>
      <c r="J45" s="62">
        <f t="shared" si="12"/>
        <v>0</v>
      </c>
      <c r="K45" s="62">
        <f t="shared" si="12"/>
        <v>0</v>
      </c>
    </row>
    <row r="47" spans="1:12" ht="13.15" x14ac:dyDescent="0.3">
      <c r="D47" s="402" t="s">
        <v>767</v>
      </c>
    </row>
    <row r="48" spans="1:12" ht="12.75" x14ac:dyDescent="0.3">
      <c r="D48" s="6" t="s">
        <v>219</v>
      </c>
      <c r="E48" s="61">
        <v>0.53700000000000003</v>
      </c>
      <c r="F48" s="61">
        <v>0.54600000000000004</v>
      </c>
      <c r="G48" s="61">
        <v>0.54500000000000004</v>
      </c>
      <c r="H48" s="61">
        <v>0.54</v>
      </c>
      <c r="I48" s="61">
        <v>0.51700000000000002</v>
      </c>
      <c r="J48" s="61">
        <v>0.53700000000000003</v>
      </c>
      <c r="K48" s="61">
        <v>0.53700000000000003</v>
      </c>
    </row>
    <row r="49" spans="1:13" ht="12.75" x14ac:dyDescent="0.3">
      <c r="D49" s="6" t="s">
        <v>220</v>
      </c>
      <c r="E49" s="61">
        <v>0.53700000000000003</v>
      </c>
      <c r="F49" s="61">
        <v>0.54600000000000004</v>
      </c>
      <c r="G49" s="61">
        <v>0.54500000000000004</v>
      </c>
      <c r="H49" s="61">
        <v>0.54</v>
      </c>
      <c r="I49" s="61">
        <v>0.51700000000000002</v>
      </c>
      <c r="J49" s="61">
        <v>0.53700000000000003</v>
      </c>
      <c r="K49" s="61">
        <v>0.53700000000000003</v>
      </c>
    </row>
    <row r="50" spans="1:13" ht="12.75" x14ac:dyDescent="0.3">
      <c r="A50" s="41">
        <f>IF(SUM($E50:$K50)&lt;&gt;0,1,0)</f>
        <v>0</v>
      </c>
      <c r="D50" s="6" t="s">
        <v>193</v>
      </c>
      <c r="E50" s="62">
        <f>IF(ROUND(E48-E49,1)=0,0,1)</f>
        <v>0</v>
      </c>
      <c r="F50" s="62">
        <f t="shared" ref="F50" si="13">IF(ROUND(F48-F49,1)=0,0,1)</f>
        <v>0</v>
      </c>
      <c r="G50" s="62">
        <f t="shared" ref="G50" si="14">IF(ROUND(G48-G49,1)=0,0,1)</f>
        <v>0</v>
      </c>
      <c r="H50" s="62">
        <f t="shared" ref="H50" si="15">IF(ROUND(H48-H49,1)=0,0,1)</f>
        <v>0</v>
      </c>
      <c r="I50" s="62">
        <f t="shared" ref="I50" si="16">IF(ROUND(I48-I49,1)=0,0,1)</f>
        <v>0</v>
      </c>
      <c r="J50" s="62">
        <f t="shared" ref="J50" si="17">IF(ROUND(J48-J49,1)=0,0,1)</f>
        <v>0</v>
      </c>
      <c r="K50" s="62">
        <f t="shared" ref="K50" si="18">IF(ROUND(K48-K49,1)=0,0,1)</f>
        <v>0</v>
      </c>
    </row>
    <row r="52" spans="1:13" ht="13.15" x14ac:dyDescent="0.3">
      <c r="D52" s="402" t="s">
        <v>768</v>
      </c>
    </row>
    <row r="53" spans="1:13" ht="12.75" x14ac:dyDescent="0.3">
      <c r="D53" s="6" t="s">
        <v>219</v>
      </c>
      <c r="E53" s="61">
        <v>90707.425700000007</v>
      </c>
      <c r="F53" s="61">
        <v>7827</v>
      </c>
      <c r="G53" s="61">
        <v>7831</v>
      </c>
      <c r="H53" s="61">
        <v>7836</v>
      </c>
      <c r="I53" s="61">
        <v>7841</v>
      </c>
      <c r="J53" s="61">
        <v>7846</v>
      </c>
      <c r="K53" s="61">
        <v>7850</v>
      </c>
    </row>
    <row r="54" spans="1:13" ht="12.75" x14ac:dyDescent="0.3">
      <c r="D54" s="6" t="s">
        <v>220</v>
      </c>
      <c r="E54" s="61">
        <v>90707.425700000007</v>
      </c>
      <c r="F54" s="61">
        <v>7827</v>
      </c>
      <c r="G54" s="61">
        <v>7831</v>
      </c>
      <c r="H54" s="61">
        <v>7836</v>
      </c>
      <c r="I54" s="61">
        <v>7841</v>
      </c>
      <c r="J54" s="61">
        <v>7846</v>
      </c>
      <c r="K54" s="61">
        <v>7850</v>
      </c>
    </row>
    <row r="55" spans="1:13" ht="12.75" x14ac:dyDescent="0.3">
      <c r="A55" s="41">
        <f>IF(SUM($E55:$K55)&lt;&gt;0,1,0)</f>
        <v>0</v>
      </c>
      <c r="D55" s="6" t="s">
        <v>193</v>
      </c>
      <c r="E55" s="62">
        <f>IF(ROUND(E53-E54,1)=0,0,1)</f>
        <v>0</v>
      </c>
      <c r="F55" s="62">
        <f t="shared" ref="F55:K55" si="19">IF(ROUND(F53-F54,1)=0,0,1)</f>
        <v>0</v>
      </c>
      <c r="G55" s="62">
        <f t="shared" si="19"/>
        <v>0</v>
      </c>
      <c r="H55" s="62">
        <f t="shared" si="19"/>
        <v>0</v>
      </c>
      <c r="I55" s="62">
        <f t="shared" si="19"/>
        <v>0</v>
      </c>
      <c r="J55" s="62">
        <f t="shared" si="19"/>
        <v>0</v>
      </c>
      <c r="K55" s="62">
        <f t="shared" si="19"/>
        <v>0</v>
      </c>
    </row>
    <row r="57" spans="1:13" ht="13.15" x14ac:dyDescent="0.3">
      <c r="A57" s="41"/>
      <c r="D57" s="402" t="s">
        <v>765</v>
      </c>
      <c r="E57" s="62"/>
      <c r="F57" s="62"/>
      <c r="G57" s="62"/>
      <c r="H57" s="62"/>
      <c r="I57" s="62"/>
      <c r="J57" s="62"/>
      <c r="K57" s="62"/>
    </row>
    <row r="58" spans="1:13" ht="12.75" x14ac:dyDescent="0.3">
      <c r="D58" s="6" t="s">
        <v>219</v>
      </c>
      <c r="E58" s="61">
        <v>482.84580540499996</v>
      </c>
      <c r="F58" s="61">
        <v>456.02809284999989</v>
      </c>
      <c r="G58" s="61">
        <v>507.12045756600003</v>
      </c>
      <c r="H58" s="61">
        <v>519.96091522500012</v>
      </c>
      <c r="I58" s="61">
        <v>480.89884495700005</v>
      </c>
      <c r="J58" s="61">
        <v>489.37082322399999</v>
      </c>
      <c r="K58" s="61">
        <v>490.67582671100007</v>
      </c>
    </row>
    <row r="59" spans="1:13" ht="12.75" x14ac:dyDescent="0.3">
      <c r="D59" s="6" t="s">
        <v>220</v>
      </c>
      <c r="E59" s="61">
        <v>482.84580540499996</v>
      </c>
      <c r="F59" s="61">
        <v>456.02809284999989</v>
      </c>
      <c r="G59" s="61">
        <v>507.12045756600003</v>
      </c>
      <c r="H59" s="61">
        <v>519.96091522500012</v>
      </c>
      <c r="I59" s="61">
        <v>480.89884495700005</v>
      </c>
      <c r="J59" s="61">
        <v>489.37082322399999</v>
      </c>
      <c r="K59" s="61">
        <v>490.67582671100007</v>
      </c>
    </row>
    <row r="60" spans="1:13" ht="12.75" x14ac:dyDescent="0.3">
      <c r="A60" s="41">
        <f>IF(SUM($E60:$K60)&lt;&gt;0,1,0)</f>
        <v>0</v>
      </c>
      <c r="D60" s="6" t="s">
        <v>193</v>
      </c>
      <c r="E60" s="62">
        <f>IF(ROUND(E58-E59,1)=0,0,1)</f>
        <v>0</v>
      </c>
      <c r="F60" s="62">
        <f t="shared" ref="F60:K60" si="20">IF(ROUND(F58-F59,1)=0,0,1)</f>
        <v>0</v>
      </c>
      <c r="G60" s="62">
        <f t="shared" si="20"/>
        <v>0</v>
      </c>
      <c r="H60" s="62">
        <f t="shared" si="20"/>
        <v>0</v>
      </c>
      <c r="I60" s="62">
        <f t="shared" si="20"/>
        <v>0</v>
      </c>
      <c r="J60" s="62">
        <f t="shared" si="20"/>
        <v>0</v>
      </c>
      <c r="K60" s="62">
        <f t="shared" si="20"/>
        <v>0</v>
      </c>
    </row>
    <row r="62" spans="1:13" ht="13.15" x14ac:dyDescent="0.3">
      <c r="D62" s="402" t="s">
        <v>769</v>
      </c>
      <c r="L62" s="6" t="s">
        <v>784</v>
      </c>
    </row>
    <row r="63" spans="1:13" ht="12.75" x14ac:dyDescent="0.3">
      <c r="D63" s="6" t="s">
        <v>219</v>
      </c>
      <c r="E63" s="61">
        <v>0</v>
      </c>
      <c r="F63" s="61">
        <v>0</v>
      </c>
      <c r="G63" s="61">
        <v>3107</v>
      </c>
      <c r="H63" s="61">
        <v>3107</v>
      </c>
      <c r="I63" s="61">
        <v>3107</v>
      </c>
      <c r="J63" s="61">
        <v>3107</v>
      </c>
      <c r="K63" s="61">
        <v>3107</v>
      </c>
      <c r="L63" s="61">
        <v>0</v>
      </c>
      <c r="M63" s="61">
        <v>0</v>
      </c>
    </row>
    <row r="64" spans="1:13" ht="12.75" x14ac:dyDescent="0.3">
      <c r="D64" s="6" t="s">
        <v>220</v>
      </c>
      <c r="E64" s="61">
        <v>0</v>
      </c>
      <c r="F64" s="61">
        <v>0</v>
      </c>
      <c r="G64" s="61">
        <v>3107</v>
      </c>
      <c r="H64" s="61">
        <v>3107</v>
      </c>
      <c r="I64" s="61">
        <v>3107</v>
      </c>
      <c r="J64" s="61">
        <v>3107</v>
      </c>
      <c r="K64" s="61">
        <v>3107</v>
      </c>
      <c r="L64" s="61">
        <v>0</v>
      </c>
      <c r="M64" s="61">
        <v>0</v>
      </c>
    </row>
    <row r="65" spans="1:13" ht="12.75" x14ac:dyDescent="0.3">
      <c r="A65" s="41">
        <f>IF(SUM($E65:$N65)&lt;&gt;0,1,0)</f>
        <v>0</v>
      </c>
      <c r="D65" s="6" t="s">
        <v>193</v>
      </c>
      <c r="E65" s="62">
        <f>IF(ROUND(E63-E64,1)=0,0,1)</f>
        <v>0</v>
      </c>
      <c r="F65" s="62">
        <f t="shared" ref="F65" si="21">IF(ROUND(F63-F64,1)=0,0,1)</f>
        <v>0</v>
      </c>
      <c r="G65" s="62">
        <f t="shared" ref="G65" si="22">IF(ROUND(G63-G64,1)=0,0,1)</f>
        <v>0</v>
      </c>
      <c r="H65" s="62">
        <f t="shared" ref="H65" si="23">IF(ROUND(H63-H64,1)=0,0,1)</f>
        <v>0</v>
      </c>
      <c r="I65" s="62">
        <f t="shared" ref="I65" si="24">IF(ROUND(I63-I64,1)=0,0,1)</f>
        <v>0</v>
      </c>
      <c r="J65" s="62">
        <f t="shared" ref="J65" si="25">IF(ROUND(J63-J64,1)=0,0,1)</f>
        <v>0</v>
      </c>
      <c r="K65" s="62">
        <f t="shared" ref="K65" si="26">IF(ROUND(K63-K64,1)=0,0,1)</f>
        <v>0</v>
      </c>
      <c r="L65" s="62">
        <f t="shared" ref="L65" si="27">IF(ROUND(L63-L64,1)=0,0,1)</f>
        <v>0</v>
      </c>
      <c r="M65" s="62">
        <f t="shared" ref="M65" si="28">IF(ROUND(M63-M64,1)=0,0,1)</f>
        <v>0</v>
      </c>
    </row>
    <row r="67" spans="1:13" s="46" customFormat="1" ht="15" x14ac:dyDescent="0.3">
      <c r="B67" s="46" t="s">
        <v>756</v>
      </c>
    </row>
    <row r="69" spans="1:13" ht="13.15" x14ac:dyDescent="0.3">
      <c r="B69" s="401"/>
      <c r="D69" s="402" t="s">
        <v>399</v>
      </c>
    </row>
    <row r="70" spans="1:13" ht="12.75" x14ac:dyDescent="0.3">
      <c r="D70" s="6" t="s">
        <v>219</v>
      </c>
      <c r="E70" s="61">
        <v>484.11823001719881</v>
      </c>
      <c r="F70" s="61">
        <v>849.1182300171987</v>
      </c>
      <c r="G70" s="61">
        <v>1933.9102300171987</v>
      </c>
      <c r="H70" s="61">
        <v>1933.9102300171987</v>
      </c>
      <c r="I70" s="61">
        <v>1933.9102300171987</v>
      </c>
      <c r="J70" s="61">
        <v>1933.9102300171987</v>
      </c>
      <c r="K70" s="61">
        <v>1933.9102300171987</v>
      </c>
    </row>
    <row r="71" spans="1:13" ht="12.75" x14ac:dyDescent="0.3">
      <c r="D71" s="6" t="s">
        <v>220</v>
      </c>
      <c r="E71" s="61">
        <v>484.11823001719881</v>
      </c>
      <c r="F71" s="61">
        <v>849.1182300171987</v>
      </c>
      <c r="G71" s="61">
        <v>1933.9102300171987</v>
      </c>
      <c r="H71" s="61">
        <v>1933.9102300171987</v>
      </c>
      <c r="I71" s="61">
        <v>1933.9102300171987</v>
      </c>
      <c r="J71" s="61">
        <v>1933.9102300171987</v>
      </c>
      <c r="K71" s="61">
        <v>1933.9102300171987</v>
      </c>
    </row>
    <row r="72" spans="1:13" ht="12.75" x14ac:dyDescent="0.3">
      <c r="A72" s="41">
        <f>IF(SUM($E72:$K72)&lt;&gt;0,1,0)</f>
        <v>0</v>
      </c>
      <c r="D72" s="6" t="s">
        <v>193</v>
      </c>
      <c r="E72" s="62">
        <f>IF(ROUND(E70-E71,1)=0,0,1)</f>
        <v>0</v>
      </c>
      <c r="F72" s="62">
        <f t="shared" ref="F72:K72" si="29">IF(ROUND(F70-F71,1)=0,0,1)</f>
        <v>0</v>
      </c>
      <c r="G72" s="62">
        <f t="shared" si="29"/>
        <v>0</v>
      </c>
      <c r="H72" s="62">
        <f t="shared" si="29"/>
        <v>0</v>
      </c>
      <c r="I72" s="62">
        <f t="shared" si="29"/>
        <v>0</v>
      </c>
      <c r="J72" s="62">
        <f t="shared" si="29"/>
        <v>0</v>
      </c>
      <c r="K72" s="62">
        <f t="shared" si="29"/>
        <v>0</v>
      </c>
    </row>
    <row r="74" spans="1:13" ht="13.15" x14ac:dyDescent="0.3">
      <c r="B74" s="401"/>
      <c r="D74" s="402" t="s">
        <v>763</v>
      </c>
    </row>
    <row r="75" spans="1:13" ht="12.75" x14ac:dyDescent="0.3">
      <c r="D75" s="6" t="s">
        <v>219</v>
      </c>
      <c r="E75" s="61">
        <v>8282.6379644809731</v>
      </c>
      <c r="F75" s="61">
        <v>8219.3980845896585</v>
      </c>
      <c r="G75" s="61">
        <v>6786.3996018076859</v>
      </c>
      <c r="H75" s="61">
        <v>6970.7866450108977</v>
      </c>
      <c r="I75" s="61">
        <v>7108.8215472627608</v>
      </c>
      <c r="J75" s="61">
        <v>7215.0330423769701</v>
      </c>
      <c r="K75" s="61">
        <v>7301.0607061640339</v>
      </c>
    </row>
    <row r="76" spans="1:13" ht="12.75" x14ac:dyDescent="0.3">
      <c r="D76" s="6" t="s">
        <v>220</v>
      </c>
      <c r="E76" s="61">
        <v>8282.6379644809731</v>
      </c>
      <c r="F76" s="61">
        <v>8219.3980845896585</v>
      </c>
      <c r="G76" s="61">
        <v>6786.3996018076859</v>
      </c>
      <c r="H76" s="61">
        <v>6970.7866450108977</v>
      </c>
      <c r="I76" s="61">
        <v>7108.8215472627608</v>
      </c>
      <c r="J76" s="61">
        <v>7215.0330423769701</v>
      </c>
      <c r="K76" s="61">
        <v>7301.0607061640339</v>
      </c>
    </row>
    <row r="77" spans="1:13" ht="12.75" x14ac:dyDescent="0.3">
      <c r="A77" s="41">
        <f>IF(SUM($E77:$K77)&lt;&gt;0,1,0)</f>
        <v>0</v>
      </c>
      <c r="D77" s="6" t="s">
        <v>193</v>
      </c>
      <c r="E77" s="62">
        <f>IF(ROUND(E75-E76,1)=0,0,1)</f>
        <v>0</v>
      </c>
      <c r="F77" s="62">
        <f t="shared" ref="F77" si="30">IF(ROUND(F75-F76,1)=0,0,1)</f>
        <v>0</v>
      </c>
      <c r="G77" s="62">
        <f t="shared" ref="G77" si="31">IF(ROUND(G75-G76,1)=0,0,1)</f>
        <v>0</v>
      </c>
      <c r="H77" s="62">
        <f t="shared" ref="H77" si="32">IF(ROUND(H75-H76,1)=0,0,1)</f>
        <v>0</v>
      </c>
      <c r="I77" s="62">
        <f t="shared" ref="I77" si="33">IF(ROUND(I75-I76,1)=0,0,1)</f>
        <v>0</v>
      </c>
      <c r="J77" s="62">
        <f t="shared" ref="J77" si="34">IF(ROUND(J75-J76,1)=0,0,1)</f>
        <v>0</v>
      </c>
      <c r="K77" s="62">
        <f t="shared" ref="K77" si="35">IF(ROUND(K75-K76,1)=0,0,1)</f>
        <v>0</v>
      </c>
    </row>
    <row r="79" spans="1:13" ht="13.15" x14ac:dyDescent="0.3">
      <c r="B79" s="401"/>
      <c r="D79" s="402" t="s">
        <v>766</v>
      </c>
      <c r="L79" s="6" t="s">
        <v>783</v>
      </c>
    </row>
    <row r="80" spans="1:13" ht="12.75" x14ac:dyDescent="0.3">
      <c r="D80" s="6" t="s">
        <v>219</v>
      </c>
      <c r="E80" s="61">
        <v>4.7600000000000003E-2</v>
      </c>
      <c r="F80" s="61">
        <v>4.5999999999999999E-2</v>
      </c>
      <c r="G80" s="61">
        <v>4.4400000000000002E-2</v>
      </c>
      <c r="H80" s="61">
        <v>4.2900000000000001E-2</v>
      </c>
      <c r="I80" s="61">
        <v>4.2000000000000003E-2</v>
      </c>
      <c r="J80" s="61">
        <v>4.2000000000000003E-2</v>
      </c>
      <c r="K80" s="61">
        <v>4.2000000000000003E-2</v>
      </c>
    </row>
    <row r="81" spans="1:11" ht="12.75" x14ac:dyDescent="0.3">
      <c r="D81" s="6" t="s">
        <v>220</v>
      </c>
      <c r="E81" s="61">
        <v>4.7600000000000003E-2</v>
      </c>
      <c r="F81" s="61">
        <v>4.5999999999999999E-2</v>
      </c>
      <c r="G81" s="61">
        <v>4.4400000000000002E-2</v>
      </c>
      <c r="H81" s="61">
        <v>4.2900000000000001E-2</v>
      </c>
      <c r="I81" s="61">
        <v>4.2000000000000003E-2</v>
      </c>
      <c r="J81" s="61">
        <v>4.2000000000000003E-2</v>
      </c>
      <c r="K81" s="61">
        <v>4.2000000000000003E-2</v>
      </c>
    </row>
    <row r="82" spans="1:11" ht="12.75" x14ac:dyDescent="0.3">
      <c r="A82" s="41">
        <f>IF(SUM($E82:$K82)&lt;&gt;0,1,0)</f>
        <v>0</v>
      </c>
      <c r="D82" s="6" t="s">
        <v>193</v>
      </c>
      <c r="E82" s="62">
        <f>IF(ROUND(E80-E81,1)=0,0,1)</f>
        <v>0</v>
      </c>
      <c r="F82" s="62">
        <f t="shared" ref="F82" si="36">IF(ROUND(F80-F81,1)=0,0,1)</f>
        <v>0</v>
      </c>
      <c r="G82" s="62">
        <f t="shared" ref="G82" si="37">IF(ROUND(G80-G81,1)=0,0,1)</f>
        <v>0</v>
      </c>
      <c r="H82" s="62">
        <f t="shared" ref="H82" si="38">IF(ROUND(H80-H81,1)=0,0,1)</f>
        <v>0</v>
      </c>
      <c r="I82" s="62">
        <f t="shared" ref="I82" si="39">IF(ROUND(I80-I81,1)=0,0,1)</f>
        <v>0</v>
      </c>
      <c r="J82" s="62">
        <f t="shared" ref="J82" si="40">IF(ROUND(J80-J81,1)=0,0,1)</f>
        <v>0</v>
      </c>
      <c r="K82" s="62">
        <f t="shared" ref="K82" si="41">IF(ROUND(K80-K81,1)=0,0,1)</f>
        <v>0</v>
      </c>
    </row>
    <row r="83" spans="1:11" ht="12.75" x14ac:dyDescent="0.3">
      <c r="A83" s="41"/>
      <c r="D83" s="6"/>
      <c r="E83" s="62"/>
      <c r="F83" s="62"/>
      <c r="G83" s="62"/>
      <c r="H83" s="62"/>
      <c r="I83" s="62"/>
      <c r="J83" s="62"/>
      <c r="K83" s="62"/>
    </row>
    <row r="84" spans="1:11" ht="13.15" x14ac:dyDescent="0.3">
      <c r="A84" s="41"/>
      <c r="D84" s="402" t="s">
        <v>222</v>
      </c>
      <c r="E84" s="62"/>
      <c r="F84" s="62"/>
      <c r="G84" s="62"/>
      <c r="H84" s="62"/>
      <c r="I84" s="62"/>
      <c r="J84" s="62"/>
      <c r="K84" s="62"/>
    </row>
    <row r="85" spans="1:11" ht="12.75" x14ac:dyDescent="0.3">
      <c r="D85" s="6" t="s">
        <v>219</v>
      </c>
      <c r="E85" s="61">
        <v>7861.3510728837236</v>
      </c>
      <c r="F85" s="61">
        <v>8054.8191589195094</v>
      </c>
      <c r="G85" s="61">
        <v>8267.2520447496245</v>
      </c>
      <c r="H85" s="61">
        <v>8389.6102464615724</v>
      </c>
      <c r="I85" s="61">
        <v>8478.8354877615711</v>
      </c>
      <c r="J85" s="61">
        <v>7006.704931322477</v>
      </c>
      <c r="K85" s="61">
        <v>7035.9791849836201</v>
      </c>
    </row>
    <row r="86" spans="1:11" ht="12.75" x14ac:dyDescent="0.3">
      <c r="D86" s="6" t="s">
        <v>220</v>
      </c>
      <c r="E86" s="61">
        <v>7861.3510728837236</v>
      </c>
      <c r="F86" s="61">
        <v>8054.8191589195094</v>
      </c>
      <c r="G86" s="61">
        <v>8267.2520447496245</v>
      </c>
      <c r="H86" s="61">
        <v>8389.6102464615724</v>
      </c>
      <c r="I86" s="61">
        <v>8478.8354877615711</v>
      </c>
      <c r="J86" s="61">
        <v>7006.704931322477</v>
      </c>
      <c r="K86" s="61">
        <v>7035.9791849836201</v>
      </c>
    </row>
    <row r="87" spans="1:11" ht="12.75" x14ac:dyDescent="0.3">
      <c r="A87" s="41">
        <f>IF(SUM($E87:$K87)&lt;&gt;0,1,0)</f>
        <v>0</v>
      </c>
      <c r="D87" s="6" t="s">
        <v>193</v>
      </c>
      <c r="E87" s="62">
        <f>IF(ROUND(E85-E86,1)=0,0,1)</f>
        <v>0</v>
      </c>
      <c r="F87" s="62">
        <f t="shared" ref="F87" si="42">IF(ROUND(F85-F86,1)=0,0,1)</f>
        <v>0</v>
      </c>
      <c r="G87" s="62">
        <f t="shared" ref="G87" si="43">IF(ROUND(G85-G86,1)=0,0,1)</f>
        <v>0</v>
      </c>
      <c r="H87" s="62">
        <f t="shared" ref="H87" si="44">IF(ROUND(H85-H86,1)=0,0,1)</f>
        <v>0</v>
      </c>
      <c r="I87" s="62">
        <f t="shared" ref="I87" si="45">IF(ROUND(I85-I86,1)=0,0,1)</f>
        <v>0</v>
      </c>
      <c r="J87" s="62">
        <f t="shared" ref="J87" si="46">IF(ROUND(J85-J86,1)=0,0,1)</f>
        <v>0</v>
      </c>
      <c r="K87" s="62">
        <f t="shared" ref="K87" si="47">IF(ROUND(K85-K86,1)=0,0,1)</f>
        <v>0</v>
      </c>
    </row>
    <row r="89" spans="1:11" ht="13.15" x14ac:dyDescent="0.3">
      <c r="A89" s="41"/>
      <c r="D89" s="402" t="s">
        <v>786</v>
      </c>
      <c r="E89" s="62"/>
      <c r="F89" s="62"/>
      <c r="G89" s="62"/>
      <c r="H89" s="62"/>
      <c r="I89" s="62"/>
      <c r="J89" s="62"/>
      <c r="K89" s="62"/>
    </row>
    <row r="90" spans="1:11" ht="12.75" x14ac:dyDescent="0.3">
      <c r="D90" s="6" t="s">
        <v>219</v>
      </c>
      <c r="E90" s="61">
        <v>27057.322313463668</v>
      </c>
      <c r="F90" s="61">
        <v>13318.99944838404</v>
      </c>
      <c r="G90" s="61">
        <v>15640.588550783528</v>
      </c>
      <c r="H90" s="61">
        <v>18016.110416738316</v>
      </c>
      <c r="I90" s="61">
        <v>20460.579245663241</v>
      </c>
      <c r="J90" s="61">
        <v>22990.005165422961</v>
      </c>
      <c r="K90" s="61">
        <v>25625.395654058178</v>
      </c>
    </row>
    <row r="91" spans="1:11" ht="12.75" x14ac:dyDescent="0.3">
      <c r="D91" s="6" t="s">
        <v>220</v>
      </c>
      <c r="E91" s="61">
        <v>27057.322313463668</v>
      </c>
      <c r="F91" s="61">
        <v>13318.99944838404</v>
      </c>
      <c r="G91" s="61">
        <v>15640.588550783528</v>
      </c>
      <c r="H91" s="61">
        <v>18016.110416738316</v>
      </c>
      <c r="I91" s="61">
        <v>20460.579245663241</v>
      </c>
      <c r="J91" s="61">
        <v>22990.005165422961</v>
      </c>
      <c r="K91" s="61">
        <v>25625.395654058178</v>
      </c>
    </row>
    <row r="92" spans="1:11" ht="12.75" x14ac:dyDescent="0.3">
      <c r="A92" s="41">
        <f>IF(SUM($E92:$K92)&lt;&gt;0,1,0)</f>
        <v>0</v>
      </c>
      <c r="D92" s="6" t="s">
        <v>193</v>
      </c>
      <c r="E92" s="62">
        <f>IF(ROUND(E90-E91,1)=0,0,1)</f>
        <v>0</v>
      </c>
      <c r="F92" s="62">
        <f t="shared" ref="F92:K92" si="48">IF(ROUND(F90-F91,1)=0,0,1)</f>
        <v>0</v>
      </c>
      <c r="G92" s="62">
        <f t="shared" si="48"/>
        <v>0</v>
      </c>
      <c r="H92" s="62">
        <f t="shared" si="48"/>
        <v>0</v>
      </c>
      <c r="I92" s="62">
        <f t="shared" si="48"/>
        <v>0</v>
      </c>
      <c r="J92" s="62">
        <f t="shared" si="48"/>
        <v>0</v>
      </c>
      <c r="K92" s="62">
        <f t="shared" si="48"/>
        <v>0</v>
      </c>
    </row>
    <row r="94" spans="1:11" s="46" customFormat="1" ht="15" x14ac:dyDescent="0.3">
      <c r="B94" s="46" t="s">
        <v>758</v>
      </c>
    </row>
    <row r="96" spans="1:11" ht="13.15" x14ac:dyDescent="0.3">
      <c r="B96" s="401"/>
      <c r="D96" s="402" t="s">
        <v>187</v>
      </c>
    </row>
    <row r="97" spans="1:11" ht="12.75" x14ac:dyDescent="0.3">
      <c r="D97" s="6" t="s">
        <v>219</v>
      </c>
      <c r="E97" s="61">
        <v>2140.0637726858113</v>
      </c>
      <c r="F97" s="61">
        <v>2143.8496777293253</v>
      </c>
      <c r="G97" s="61">
        <v>2144.0877787577674</v>
      </c>
      <c r="H97" s="61">
        <v>2144.0877787577674</v>
      </c>
      <c r="I97" s="61">
        <v>2144.0877787577674</v>
      </c>
      <c r="J97" s="61">
        <v>2144.0877787577674</v>
      </c>
      <c r="K97" s="61">
        <v>2144.0877787577674</v>
      </c>
    </row>
    <row r="98" spans="1:11" ht="12.75" x14ac:dyDescent="0.3">
      <c r="D98" s="6" t="s">
        <v>220</v>
      </c>
      <c r="E98" s="61">
        <v>2140.0637726858113</v>
      </c>
      <c r="F98" s="61">
        <v>2143.8496777293253</v>
      </c>
      <c r="G98" s="61">
        <v>2144.0877787577674</v>
      </c>
      <c r="H98" s="61">
        <v>2144.0877787577674</v>
      </c>
      <c r="I98" s="61">
        <v>2144.0877787577674</v>
      </c>
      <c r="J98" s="61">
        <v>2144.0877787577674</v>
      </c>
      <c r="K98" s="61">
        <v>2144.0877787577674</v>
      </c>
    </row>
    <row r="99" spans="1:11" ht="12.75" x14ac:dyDescent="0.3">
      <c r="A99" s="41">
        <f>IF(SUM($E99:$K99)&lt;&gt;0,1,0)</f>
        <v>0</v>
      </c>
      <c r="D99" s="6" t="s">
        <v>193</v>
      </c>
      <c r="E99" s="62">
        <f>IF(ROUND(E97-E98,1)=0,0,1)</f>
        <v>0</v>
      </c>
      <c r="F99" s="62">
        <f t="shared" ref="F99" si="49">IF(ROUND(F97-F98,1)=0,0,1)</f>
        <v>0</v>
      </c>
      <c r="G99" s="62">
        <f t="shared" ref="G99" si="50">IF(ROUND(G97-G98,1)=0,0,1)</f>
        <v>0</v>
      </c>
      <c r="H99" s="62">
        <f t="shared" ref="H99" si="51">IF(ROUND(H97-H98,1)=0,0,1)</f>
        <v>0</v>
      </c>
      <c r="I99" s="62">
        <f t="shared" ref="I99" si="52">IF(ROUND(I97-I98,1)=0,0,1)</f>
        <v>0</v>
      </c>
      <c r="J99" s="62">
        <f t="shared" ref="J99" si="53">IF(ROUND(J97-J98,1)=0,0,1)</f>
        <v>0</v>
      </c>
      <c r="K99" s="62">
        <f t="shared" ref="K99" si="54">IF(ROUND(K97-K98,1)=0,0,1)</f>
        <v>0</v>
      </c>
    </row>
    <row r="101" spans="1:11" ht="13.15" x14ac:dyDescent="0.3">
      <c r="B101" s="401"/>
      <c r="D101" s="402" t="s">
        <v>116</v>
      </c>
    </row>
    <row r="102" spans="1:11" ht="12.75" x14ac:dyDescent="0.3">
      <c r="D102" s="6" t="s">
        <v>219</v>
      </c>
      <c r="E102" s="61">
        <v>52367.332732262774</v>
      </c>
      <c r="F102" s="61">
        <v>52367.332732262774</v>
      </c>
      <c r="G102" s="61">
        <v>52367.332732262774</v>
      </c>
      <c r="H102" s="61">
        <v>52367.332732262774</v>
      </c>
      <c r="I102" s="61">
        <v>52367.332732262774</v>
      </c>
      <c r="J102" s="61">
        <v>52367.332732262774</v>
      </c>
      <c r="K102" s="61">
        <v>52367.332732262774</v>
      </c>
    </row>
    <row r="103" spans="1:11" ht="12.75" x14ac:dyDescent="0.3">
      <c r="D103" s="6" t="s">
        <v>220</v>
      </c>
      <c r="E103" s="61">
        <v>52367.332732262774</v>
      </c>
      <c r="F103" s="61">
        <v>52367.332732262774</v>
      </c>
      <c r="G103" s="61">
        <v>52367.332732262774</v>
      </c>
      <c r="H103" s="61">
        <v>52367.332732262774</v>
      </c>
      <c r="I103" s="61">
        <v>52367.332732262774</v>
      </c>
      <c r="J103" s="61">
        <v>52367.332732262774</v>
      </c>
      <c r="K103" s="61">
        <v>52367.332732262774</v>
      </c>
    </row>
    <row r="104" spans="1:11" ht="12.75" x14ac:dyDescent="0.3">
      <c r="A104" s="41">
        <f>IF(SUM($E104:$K104)&lt;&gt;0,1,0)</f>
        <v>0</v>
      </c>
      <c r="D104" s="6" t="s">
        <v>193</v>
      </c>
      <c r="E104" s="62">
        <f>IF(ROUND(E102-E103,1)=0,0,1)</f>
        <v>0</v>
      </c>
      <c r="F104" s="62">
        <f t="shared" ref="F104" si="55">IF(ROUND(F102-F103,1)=0,0,1)</f>
        <v>0</v>
      </c>
      <c r="G104" s="62">
        <f t="shared" ref="G104" si="56">IF(ROUND(G102-G103,1)=0,0,1)</f>
        <v>0</v>
      </c>
      <c r="H104" s="62">
        <f t="shared" ref="H104" si="57">IF(ROUND(H102-H103,1)=0,0,1)</f>
        <v>0</v>
      </c>
      <c r="I104" s="62">
        <f t="shared" ref="I104" si="58">IF(ROUND(I102-I103,1)=0,0,1)</f>
        <v>0</v>
      </c>
      <c r="J104" s="62">
        <f t="shared" ref="J104" si="59">IF(ROUND(J102-J103,1)=0,0,1)</f>
        <v>0</v>
      </c>
      <c r="K104" s="62">
        <f t="shared" ref="K104" si="60">IF(ROUND(K102-K103,1)=0,0,1)</f>
        <v>0</v>
      </c>
    </row>
    <row r="106" spans="1:11" s="46" customFormat="1" ht="15" x14ac:dyDescent="0.3">
      <c r="B106" s="46" t="s">
        <v>761</v>
      </c>
    </row>
    <row r="108" spans="1:11" ht="13.15" x14ac:dyDescent="0.3">
      <c r="B108" s="401"/>
      <c r="D108" s="402" t="s">
        <v>762</v>
      </c>
    </row>
    <row r="109" spans="1:11" ht="12.75" x14ac:dyDescent="0.3">
      <c r="D109" s="6" t="s">
        <v>219</v>
      </c>
      <c r="E109" s="61">
        <v>3598.550624724563</v>
      </c>
      <c r="F109" s="61">
        <v>3662.9525484286023</v>
      </c>
      <c r="G109" s="61">
        <v>3727.509277587772</v>
      </c>
      <c r="H109" s="61">
        <v>3767.9641539715408</v>
      </c>
      <c r="I109" s="61">
        <v>3792.4074482605483</v>
      </c>
      <c r="J109" s="61">
        <v>3788.9749207476002</v>
      </c>
      <c r="K109" s="61">
        <v>3768.8327529912885</v>
      </c>
    </row>
    <row r="110" spans="1:11" ht="12.75" x14ac:dyDescent="0.3">
      <c r="D110" s="6" t="s">
        <v>220</v>
      </c>
      <c r="E110" s="61">
        <v>3598.550624724563</v>
      </c>
      <c r="F110" s="61">
        <v>3662.9525484286023</v>
      </c>
      <c r="G110" s="61">
        <v>3727.5092775877724</v>
      </c>
      <c r="H110" s="61">
        <v>3767.9641539715403</v>
      </c>
      <c r="I110" s="61">
        <v>3792.4074482605483</v>
      </c>
      <c r="J110" s="61">
        <v>3788.9749207476002</v>
      </c>
      <c r="K110" s="61">
        <v>3768.8327529912885</v>
      </c>
    </row>
    <row r="111" spans="1:11" ht="12.75" x14ac:dyDescent="0.3">
      <c r="A111" s="41">
        <f>IF(SUM($E111:$K111)&lt;&gt;0,1,0)</f>
        <v>0</v>
      </c>
      <c r="D111" s="6" t="s">
        <v>193</v>
      </c>
      <c r="E111" s="62">
        <f>IF(ROUND(E109-E110,1)=0,0,1)</f>
        <v>0</v>
      </c>
      <c r="F111" s="62">
        <f t="shared" ref="F111:K111" si="61">IF(ROUND(F109-F110,1)=0,0,1)</f>
        <v>0</v>
      </c>
      <c r="G111" s="62">
        <f t="shared" si="61"/>
        <v>0</v>
      </c>
      <c r="H111" s="62">
        <f t="shared" si="61"/>
        <v>0</v>
      </c>
      <c r="I111" s="62">
        <f t="shared" si="61"/>
        <v>0</v>
      </c>
      <c r="J111" s="62">
        <f t="shared" si="61"/>
        <v>0</v>
      </c>
      <c r="K111" s="62">
        <f t="shared" si="61"/>
        <v>0</v>
      </c>
    </row>
    <row r="113" spans="1:26" s="46" customFormat="1" ht="15" x14ac:dyDescent="0.3">
      <c r="B113" s="46" t="s">
        <v>770</v>
      </c>
    </row>
    <row r="115" spans="1:26" ht="13.15" x14ac:dyDescent="0.3">
      <c r="B115" s="401"/>
      <c r="D115" s="402" t="s">
        <v>771</v>
      </c>
    </row>
    <row r="116" spans="1:26" ht="12.75" x14ac:dyDescent="0.3">
      <c r="D116" s="6" t="s">
        <v>219</v>
      </c>
      <c r="G116" s="61">
        <v>31250</v>
      </c>
      <c r="H116" s="61">
        <v>31250</v>
      </c>
      <c r="I116" s="61">
        <v>31250</v>
      </c>
      <c r="J116" s="61">
        <v>31250</v>
      </c>
      <c r="K116" s="61">
        <v>31250</v>
      </c>
    </row>
    <row r="117" spans="1:26" ht="12.75" x14ac:dyDescent="0.3">
      <c r="D117" s="6" t="s">
        <v>220</v>
      </c>
      <c r="G117" s="61">
        <v>31250</v>
      </c>
      <c r="H117" s="61">
        <v>31250</v>
      </c>
      <c r="I117" s="61">
        <v>31250</v>
      </c>
      <c r="J117" s="61">
        <v>31250</v>
      </c>
      <c r="K117" s="61">
        <v>31250</v>
      </c>
    </row>
    <row r="118" spans="1:26" ht="12.75" x14ac:dyDescent="0.3">
      <c r="A118" s="41">
        <f>IF(SUM($E118:$K118)&lt;&gt;0,1,0)</f>
        <v>0</v>
      </c>
      <c r="D118" s="6" t="s">
        <v>193</v>
      </c>
      <c r="G118" s="62">
        <f t="shared" ref="G118:K118" si="62">IF(ROUND(G116-G117,1)=0,0,1)</f>
        <v>0</v>
      </c>
      <c r="H118" s="62">
        <f t="shared" si="62"/>
        <v>0</v>
      </c>
      <c r="I118" s="62">
        <f t="shared" si="62"/>
        <v>0</v>
      </c>
      <c r="J118" s="62">
        <f t="shared" si="62"/>
        <v>0</v>
      </c>
      <c r="K118" s="62">
        <f t="shared" si="62"/>
        <v>0</v>
      </c>
    </row>
    <row r="120" spans="1:26" s="46" customFormat="1" ht="15" x14ac:dyDescent="0.3">
      <c r="B120" s="46" t="s">
        <v>787</v>
      </c>
    </row>
    <row r="122" spans="1:26" ht="13.15" x14ac:dyDescent="0.3">
      <c r="D122" s="402" t="s">
        <v>788</v>
      </c>
    </row>
    <row r="123" spans="1:26" ht="12.75" x14ac:dyDescent="0.3">
      <c r="D123" s="6" t="s">
        <v>219</v>
      </c>
      <c r="G123" s="61">
        <v>351.55226353427832</v>
      </c>
      <c r="H123" s="61">
        <v>367.99948989665114</v>
      </c>
      <c r="I123" s="61">
        <v>378.5011814699003</v>
      </c>
      <c r="J123" s="61">
        <v>391.46657108308091</v>
      </c>
      <c r="K123" s="61">
        <v>402.65508373771189</v>
      </c>
      <c r="L123" s="61">
        <v>410.83509608490567</v>
      </c>
      <c r="M123" s="61">
        <v>417.63350837051854</v>
      </c>
      <c r="N123" s="61">
        <v>424.91430149318552</v>
      </c>
      <c r="O123" s="61">
        <v>432.42885379315135</v>
      </c>
      <c r="P123" s="61">
        <v>439.78139235164235</v>
      </c>
      <c r="Q123" s="61">
        <v>447.14406690355827</v>
      </c>
      <c r="R123" s="61">
        <v>454.50674145547418</v>
      </c>
      <c r="S123" s="61">
        <v>461.8694160073901</v>
      </c>
      <c r="T123" s="61">
        <v>469.23209055930602</v>
      </c>
      <c r="U123" s="61">
        <v>476.59476511122193</v>
      </c>
      <c r="V123" s="61">
        <v>483.95743966313785</v>
      </c>
      <c r="W123" s="61">
        <v>491.32011421505376</v>
      </c>
      <c r="X123" s="61">
        <v>498.68278876696974</v>
      </c>
      <c r="Y123" s="61">
        <v>506.04546331888565</v>
      </c>
      <c r="Z123" s="61">
        <v>513.40813787080151</v>
      </c>
    </row>
    <row r="124" spans="1:26" ht="12.75" x14ac:dyDescent="0.3">
      <c r="D124" s="6" t="s">
        <v>220</v>
      </c>
      <c r="G124" s="61">
        <v>351.55226353427832</v>
      </c>
      <c r="H124" s="61">
        <v>367.99948989665114</v>
      </c>
      <c r="I124" s="61">
        <v>378.5011814699003</v>
      </c>
      <c r="J124" s="61">
        <v>391.46657108308091</v>
      </c>
      <c r="K124" s="61">
        <v>402.65508373771189</v>
      </c>
      <c r="L124" s="61">
        <v>410.83509608490567</v>
      </c>
      <c r="M124" s="61">
        <v>417.63350837051854</v>
      </c>
      <c r="N124" s="61">
        <v>424.91430149318552</v>
      </c>
      <c r="O124" s="61">
        <v>432.42885379315135</v>
      </c>
      <c r="P124" s="61">
        <v>439.78139235164235</v>
      </c>
      <c r="Q124" s="61">
        <v>447.14406690355827</v>
      </c>
      <c r="R124" s="61">
        <v>454.50674145547418</v>
      </c>
      <c r="S124" s="61">
        <v>461.8694160073901</v>
      </c>
      <c r="T124" s="61">
        <v>469.23209055930602</v>
      </c>
      <c r="U124" s="61">
        <v>476.59476511122193</v>
      </c>
      <c r="V124" s="61">
        <v>483.95743966313785</v>
      </c>
      <c r="W124" s="61">
        <v>491.32011421505376</v>
      </c>
      <c r="X124" s="61">
        <v>498.68278876696974</v>
      </c>
      <c r="Y124" s="61">
        <v>506.04546331888565</v>
      </c>
      <c r="Z124" s="61">
        <v>513.40813787080151</v>
      </c>
    </row>
    <row r="125" spans="1:26" ht="12.75" x14ac:dyDescent="0.3">
      <c r="A125" s="41">
        <f>IF(SUM($E125:$Z125)&lt;&gt;0,1,0)</f>
        <v>0</v>
      </c>
      <c r="D125" s="6" t="s">
        <v>193</v>
      </c>
      <c r="G125" s="62">
        <f t="shared" ref="G125:Z125" si="63">IF(ROUND(G123-G124,1)=0,0,1)</f>
        <v>0</v>
      </c>
      <c r="H125" s="62">
        <f t="shared" si="63"/>
        <v>0</v>
      </c>
      <c r="I125" s="62">
        <f t="shared" si="63"/>
        <v>0</v>
      </c>
      <c r="J125" s="62">
        <f t="shared" si="63"/>
        <v>0</v>
      </c>
      <c r="K125" s="62">
        <f t="shared" si="63"/>
        <v>0</v>
      </c>
      <c r="L125" s="62">
        <f t="shared" si="63"/>
        <v>0</v>
      </c>
      <c r="M125" s="62">
        <f t="shared" si="63"/>
        <v>0</v>
      </c>
      <c r="N125" s="62">
        <f t="shared" si="63"/>
        <v>0</v>
      </c>
      <c r="O125" s="62">
        <f t="shared" si="63"/>
        <v>0</v>
      </c>
      <c r="P125" s="62">
        <f t="shared" si="63"/>
        <v>0</v>
      </c>
      <c r="Q125" s="62">
        <f t="shared" si="63"/>
        <v>0</v>
      </c>
      <c r="R125" s="62">
        <f t="shared" si="63"/>
        <v>0</v>
      </c>
      <c r="S125" s="62">
        <f t="shared" si="63"/>
        <v>0</v>
      </c>
      <c r="T125" s="62">
        <f t="shared" si="63"/>
        <v>0</v>
      </c>
      <c r="U125" s="62">
        <f t="shared" si="63"/>
        <v>0</v>
      </c>
      <c r="V125" s="62">
        <f t="shared" si="63"/>
        <v>0</v>
      </c>
      <c r="W125" s="62">
        <f t="shared" si="63"/>
        <v>0</v>
      </c>
      <c r="X125" s="62">
        <f t="shared" si="63"/>
        <v>0</v>
      </c>
      <c r="Y125" s="62">
        <f t="shared" si="63"/>
        <v>0</v>
      </c>
      <c r="Z125" s="62">
        <f t="shared" si="63"/>
        <v>0</v>
      </c>
    </row>
    <row r="127" spans="1:26" s="46" customFormat="1" ht="15" x14ac:dyDescent="0.3">
      <c r="B127" s="46" t="s">
        <v>16</v>
      </c>
    </row>
  </sheetData>
  <mergeCells count="2">
    <mergeCell ref="E10:K10"/>
    <mergeCell ref="E21:K21"/>
  </mergeCells>
  <conditionalFormatting sqref="B3">
    <cfRule type="cellIs" dxfId="16" priority="6" operator="notEqual">
      <formula>"No Errors Found"</formula>
    </cfRule>
  </conditionalFormatting>
  <conditionalFormatting sqref="K13:K15">
    <cfRule type="expression" dxfId="15" priority="4">
      <formula>(dms_FRCPlength_Num)&lt;5</formula>
    </cfRule>
  </conditionalFormatting>
  <conditionalFormatting sqref="K23:K26">
    <cfRule type="expression" dxfId="14" priority="3">
      <formula>(dms_FRCPlength_Num)&lt;5</formula>
    </cfRule>
  </conditionalFormatting>
  <conditionalFormatting sqref="K12">
    <cfRule type="expression" dxfId="13" priority="1">
      <formula>(dms_FRCPlength_Num)&lt;5</formula>
    </cfRule>
  </conditionalFormatting>
  <hyperlinks>
    <hyperlink ref="B2:E2" location="TOC!A1" display="TOC!A1" xr:uid="{37E8A1DB-EE08-4E6A-B52C-1DC4E03234D8}"/>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B1:AB71"/>
  <sheetViews>
    <sheetView showGridLines="0" zoomScaleNormal="100" workbookViewId="0">
      <pane xSplit="1" ySplit="4" topLeftCell="B5" activePane="bottomRight" state="frozen"/>
      <selection activeCell="B4" sqref="B4"/>
      <selection pane="topRight" activeCell="B4" sqref="B4"/>
      <selection pane="bottomLeft" activeCell="B4" sqref="B4"/>
      <selection pane="bottomRight" activeCell="B5" sqref="B5"/>
    </sheetView>
  </sheetViews>
  <sheetFormatPr defaultColWidth="9.33203125" defaultRowHeight="10.15" outlineLevelRow="1" x14ac:dyDescent="0.3"/>
  <cols>
    <col min="1" max="3" width="2.83203125" customWidth="1"/>
    <col min="4" max="4" width="34" customWidth="1"/>
    <col min="5" max="6" width="30.83203125" customWidth="1"/>
    <col min="7" max="9" width="10.83203125" customWidth="1"/>
    <col min="10" max="25" width="12.83203125" customWidth="1"/>
    <col min="26" max="32" width="10.83203125" customWidth="1"/>
  </cols>
  <sheetData>
    <row r="1" spans="2:25" ht="18.75" x14ac:dyDescent="0.3">
      <c r="B1" s="3" t="s">
        <v>1117</v>
      </c>
    </row>
    <row r="2" spans="2:25" x14ac:dyDescent="0.3">
      <c r="B2" s="9" t="str">
        <f>Title_Msg</f>
        <v>No Errors Found</v>
      </c>
    </row>
    <row r="3" spans="2:25" x14ac:dyDescent="0.3">
      <c r="B3" s="34" t="str">
        <f>TOC!B1</f>
        <v>Table of contents</v>
      </c>
      <c r="C3" s="34"/>
      <c r="D3" s="34"/>
      <c r="E3" s="34"/>
    </row>
    <row r="4" spans="2:25" ht="13.15" x14ac:dyDescent="0.3">
      <c r="B4" s="33" t="str">
        <f>Model_Name</f>
        <v>RIN Population Model - Power and Water Corporation</v>
      </c>
    </row>
    <row r="6" spans="2:25" s="2" customFormat="1" ht="15" x14ac:dyDescent="0.3">
      <c r="B6" s="2" t="s">
        <v>1118</v>
      </c>
    </row>
    <row r="7" spans="2:25" ht="6.75" customHeight="1" x14ac:dyDescent="0.3"/>
    <row r="8" spans="2:25" s="7" customFormat="1" ht="13.9" x14ac:dyDescent="0.3">
      <c r="C8" s="7" t="s">
        <v>1119</v>
      </c>
    </row>
    <row r="9" spans="2:25" x14ac:dyDescent="0.3">
      <c r="D9" s="1"/>
    </row>
    <row r="10" spans="2:25" ht="12.75" x14ac:dyDescent="0.3">
      <c r="D10" s="5" t="s">
        <v>27</v>
      </c>
      <c r="E10" s="1040">
        <v>41821</v>
      </c>
    </row>
    <row r="11" spans="2:25" ht="12.75" x14ac:dyDescent="0.3">
      <c r="D11" s="5" t="s">
        <v>28</v>
      </c>
      <c r="E11" s="8">
        <v>2021</v>
      </c>
      <c r="M11" s="14"/>
      <c r="N11" s="15"/>
      <c r="O11" s="15"/>
      <c r="P11" s="15"/>
    </row>
    <row r="12" spans="2:25" x14ac:dyDescent="0.3">
      <c r="M12" s="14"/>
      <c r="N12" s="15"/>
      <c r="O12" s="15"/>
      <c r="P12" s="15"/>
    </row>
    <row r="13" spans="2:25" s="7" customFormat="1" ht="13.9" x14ac:dyDescent="0.3">
      <c r="C13" s="7" t="s">
        <v>1120</v>
      </c>
    </row>
    <row r="14" spans="2:25" x14ac:dyDescent="0.3">
      <c r="M14" s="14"/>
      <c r="N14" s="15"/>
      <c r="O14" s="15"/>
      <c r="P14" s="15"/>
    </row>
    <row r="15" spans="2:25" ht="12.75" hidden="1" outlineLevel="1" x14ac:dyDescent="0.3">
      <c r="B15" s="5" t="s">
        <v>1121</v>
      </c>
      <c r="J15" s="43">
        <f>EOMONTH(J16,-Mths_In_Yr)+1</f>
        <v>41456</v>
      </c>
      <c r="K15" s="39">
        <f>IF(K17=1,Model_Start_Date,I16+1)</f>
        <v>41821</v>
      </c>
      <c r="L15" s="39">
        <f t="shared" ref="L15:T15" si="0">IF(L17=1,Model_Start_Date,K16+1)</f>
        <v>42186</v>
      </c>
      <c r="M15" s="39">
        <f t="shared" si="0"/>
        <v>42552</v>
      </c>
      <c r="N15" s="39">
        <f t="shared" si="0"/>
        <v>42917</v>
      </c>
      <c r="O15" s="39">
        <f t="shared" si="0"/>
        <v>43282</v>
      </c>
      <c r="P15" s="39">
        <f t="shared" si="0"/>
        <v>43647</v>
      </c>
      <c r="Q15" s="39">
        <f t="shared" si="0"/>
        <v>44013</v>
      </c>
      <c r="R15" s="39">
        <f t="shared" si="0"/>
        <v>44378</v>
      </c>
      <c r="S15" s="39">
        <f t="shared" si="0"/>
        <v>44743</v>
      </c>
      <c r="T15" s="39">
        <f t="shared" si="0"/>
        <v>45108</v>
      </c>
      <c r="U15" s="39">
        <f t="shared" ref="U15" si="1">IF(U17=1,Model_Start_Date,T16+1)</f>
        <v>45474</v>
      </c>
      <c r="V15" s="39">
        <f t="shared" ref="V15" si="2">IF(V17=1,Model_Start_Date,U16+1)</f>
        <v>45839</v>
      </c>
      <c r="W15" s="39">
        <f t="shared" ref="W15" si="3">IF(W17=1,Model_Start_Date,V16+1)</f>
        <v>46204</v>
      </c>
      <c r="X15" s="39">
        <f t="shared" ref="X15" si="4">IF(X17=1,Model_Start_Date,W16+1)</f>
        <v>46569</v>
      </c>
      <c r="Y15" s="39">
        <f t="shared" ref="Y15" si="5">IF(Y17=1,Model_Start_Date,X16+1)</f>
        <v>46935</v>
      </c>
    </row>
    <row r="16" spans="2:25" ht="12.75" hidden="1" outlineLevel="1" x14ac:dyDescent="0.3">
      <c r="B16" s="5" t="s">
        <v>1122</v>
      </c>
      <c r="J16" s="44">
        <f>K15-1</f>
        <v>41820</v>
      </c>
      <c r="K16" s="39">
        <f t="shared" ref="K16:T16" si="6">EOMONTH(K15,Mths_In_Yr-1)</f>
        <v>42185</v>
      </c>
      <c r="L16" s="39">
        <f t="shared" si="6"/>
        <v>42551</v>
      </c>
      <c r="M16" s="39">
        <f t="shared" si="6"/>
        <v>42916</v>
      </c>
      <c r="N16" s="39">
        <f t="shared" si="6"/>
        <v>43281</v>
      </c>
      <c r="O16" s="39">
        <f t="shared" si="6"/>
        <v>43646</v>
      </c>
      <c r="P16" s="39">
        <f t="shared" si="6"/>
        <v>44012</v>
      </c>
      <c r="Q16" s="39">
        <f t="shared" si="6"/>
        <v>44377</v>
      </c>
      <c r="R16" s="39">
        <f t="shared" si="6"/>
        <v>44742</v>
      </c>
      <c r="S16" s="39">
        <f t="shared" si="6"/>
        <v>45107</v>
      </c>
      <c r="T16" s="39">
        <f t="shared" si="6"/>
        <v>45473</v>
      </c>
      <c r="U16" s="39">
        <f t="shared" ref="U16:Y16" si="7">EOMONTH(U15,Mths_In_Yr-1)</f>
        <v>45838</v>
      </c>
      <c r="V16" s="39">
        <f t="shared" si="7"/>
        <v>46203</v>
      </c>
      <c r="W16" s="39">
        <f t="shared" si="7"/>
        <v>46568</v>
      </c>
      <c r="X16" s="39">
        <f t="shared" si="7"/>
        <v>46934</v>
      </c>
      <c r="Y16" s="39">
        <f t="shared" si="7"/>
        <v>47299</v>
      </c>
    </row>
    <row r="17" spans="2:28" ht="12.75" hidden="1" outlineLevel="1" x14ac:dyDescent="0.3">
      <c r="B17" s="5" t="s">
        <v>1123</v>
      </c>
      <c r="J17" s="17">
        <v>0</v>
      </c>
      <c r="K17" s="17">
        <f>N(J17)+1</f>
        <v>1</v>
      </c>
      <c r="L17" s="17">
        <f t="shared" ref="L17:T17" si="8">N(K17)+1</f>
        <v>2</v>
      </c>
      <c r="M17" s="17">
        <f t="shared" si="8"/>
        <v>3</v>
      </c>
      <c r="N17" s="17">
        <f t="shared" si="8"/>
        <v>4</v>
      </c>
      <c r="O17" s="17">
        <f t="shared" si="8"/>
        <v>5</v>
      </c>
      <c r="P17" s="17">
        <f t="shared" si="8"/>
        <v>6</v>
      </c>
      <c r="Q17" s="17">
        <f t="shared" si="8"/>
        <v>7</v>
      </c>
      <c r="R17" s="17">
        <f t="shared" si="8"/>
        <v>8</v>
      </c>
      <c r="S17" s="17">
        <f t="shared" si="8"/>
        <v>9</v>
      </c>
      <c r="T17" s="17">
        <f t="shared" si="8"/>
        <v>10</v>
      </c>
      <c r="U17" s="17">
        <f t="shared" ref="U17" si="9">N(T17)+1</f>
        <v>11</v>
      </c>
      <c r="V17" s="17">
        <f t="shared" ref="V17" si="10">N(U17)+1</f>
        <v>12</v>
      </c>
      <c r="W17" s="17">
        <f t="shared" ref="W17" si="11">N(V17)+1</f>
        <v>13</v>
      </c>
      <c r="X17" s="17">
        <f t="shared" ref="X17" si="12">N(W17)+1</f>
        <v>14</v>
      </c>
      <c r="Y17" s="17">
        <f t="shared" ref="Y17" si="13">N(X17)+1</f>
        <v>15</v>
      </c>
    </row>
    <row r="18" spans="2:28" ht="12.75" hidden="1" outlineLevel="1" x14ac:dyDescent="0.3">
      <c r="B18" s="5" t="s">
        <v>29</v>
      </c>
      <c r="J18" s="6">
        <f>YEAR(J16)</f>
        <v>2014</v>
      </c>
      <c r="K18" s="6">
        <f>YEAR(K16)</f>
        <v>2015</v>
      </c>
      <c r="L18" s="6">
        <f t="shared" ref="L18:T18" si="14">YEAR(L16)</f>
        <v>2016</v>
      </c>
      <c r="M18" s="6">
        <f t="shared" si="14"/>
        <v>2017</v>
      </c>
      <c r="N18" s="6">
        <f t="shared" si="14"/>
        <v>2018</v>
      </c>
      <c r="O18" s="6">
        <f t="shared" si="14"/>
        <v>2019</v>
      </c>
      <c r="P18" s="6">
        <f t="shared" si="14"/>
        <v>2020</v>
      </c>
      <c r="Q18" s="6">
        <f t="shared" si="14"/>
        <v>2021</v>
      </c>
      <c r="R18" s="6">
        <f t="shared" si="14"/>
        <v>2022</v>
      </c>
      <c r="S18" s="6">
        <f t="shared" si="14"/>
        <v>2023</v>
      </c>
      <c r="T18" s="6">
        <f t="shared" si="14"/>
        <v>2024</v>
      </c>
      <c r="U18" s="6">
        <f t="shared" ref="U18:Y18" si="15">YEAR(U16)</f>
        <v>2025</v>
      </c>
      <c r="V18" s="6">
        <f t="shared" si="15"/>
        <v>2026</v>
      </c>
      <c r="W18" s="6">
        <f t="shared" si="15"/>
        <v>2027</v>
      </c>
      <c r="X18" s="6">
        <f t="shared" si="15"/>
        <v>2028</v>
      </c>
      <c r="Y18" s="6">
        <f t="shared" si="15"/>
        <v>2029</v>
      </c>
    </row>
    <row r="19" spans="2:28" ht="12.75" hidden="1" outlineLevel="1" x14ac:dyDescent="0.3">
      <c r="B19" s="5" t="s">
        <v>1124</v>
      </c>
      <c r="J19" s="10" t="s">
        <v>30</v>
      </c>
      <c r="K19" s="10" t="s">
        <v>30</v>
      </c>
      <c r="L19" s="10" t="s">
        <v>30</v>
      </c>
      <c r="M19" s="10" t="s">
        <v>30</v>
      </c>
      <c r="N19" s="10" t="s">
        <v>30</v>
      </c>
      <c r="O19" s="10" t="s">
        <v>30</v>
      </c>
      <c r="P19" s="10" t="s">
        <v>30</v>
      </c>
      <c r="Q19" s="10" t="s">
        <v>30</v>
      </c>
      <c r="R19" s="10" t="s">
        <v>30</v>
      </c>
      <c r="S19" s="10" t="s">
        <v>54</v>
      </c>
      <c r="T19" s="10" t="s">
        <v>54</v>
      </c>
      <c r="U19" s="10" t="s">
        <v>31</v>
      </c>
      <c r="V19" s="10" t="s">
        <v>31</v>
      </c>
      <c r="W19" s="10" t="s">
        <v>31</v>
      </c>
      <c r="X19" s="10" t="s">
        <v>31</v>
      </c>
      <c r="Y19" s="10" t="s">
        <v>31</v>
      </c>
    </row>
    <row r="20" spans="2:28" ht="13.15" collapsed="1" x14ac:dyDescent="0.3">
      <c r="B20" s="4" t="s">
        <v>1125</v>
      </c>
      <c r="E20" s="11" t="s">
        <v>32</v>
      </c>
      <c r="F20" s="11" t="s">
        <v>33</v>
      </c>
      <c r="G20" s="11" t="s">
        <v>34</v>
      </c>
      <c r="H20" s="11" t="s">
        <v>35</v>
      </c>
      <c r="J20" s="40" t="str">
        <f>"FY"&amp;RIGHT(J18,2)</f>
        <v>FY14</v>
      </c>
      <c r="K20" s="40" t="str">
        <f t="shared" ref="K20:Y20" si="16">"FY"&amp;RIGHT(K18,2)</f>
        <v>FY15</v>
      </c>
      <c r="L20" s="40" t="str">
        <f t="shared" si="16"/>
        <v>FY16</v>
      </c>
      <c r="M20" s="40" t="str">
        <f t="shared" si="16"/>
        <v>FY17</v>
      </c>
      <c r="N20" s="40" t="str">
        <f t="shared" si="16"/>
        <v>FY18</v>
      </c>
      <c r="O20" s="40" t="str">
        <f t="shared" si="16"/>
        <v>FY19</v>
      </c>
      <c r="P20" s="40" t="str">
        <f t="shared" si="16"/>
        <v>FY20</v>
      </c>
      <c r="Q20" s="40" t="str">
        <f t="shared" si="16"/>
        <v>FY21</v>
      </c>
      <c r="R20" s="40" t="str">
        <f t="shared" si="16"/>
        <v>FY22</v>
      </c>
      <c r="S20" s="40" t="str">
        <f t="shared" si="16"/>
        <v>FY23</v>
      </c>
      <c r="T20" s="40" t="str">
        <f t="shared" si="16"/>
        <v>FY24</v>
      </c>
      <c r="U20" s="40" t="str">
        <f t="shared" si="16"/>
        <v>FY25</v>
      </c>
      <c r="V20" s="40" t="str">
        <f t="shared" si="16"/>
        <v>FY26</v>
      </c>
      <c r="W20" s="40" t="str">
        <f t="shared" si="16"/>
        <v>FY27</v>
      </c>
      <c r="X20" s="40" t="str">
        <f t="shared" si="16"/>
        <v>FY28</v>
      </c>
      <c r="Y20" s="40" t="str">
        <f t="shared" si="16"/>
        <v>FY29</v>
      </c>
      <c r="AA20" s="40" t="str">
        <f>K20&amp;"-"&amp;O20</f>
        <v>FY15-FY19</v>
      </c>
      <c r="AB20" s="40" t="str">
        <f>P20&amp;"-"&amp;T20</f>
        <v>FY20-FY24</v>
      </c>
    </row>
    <row r="21" spans="2:28" x14ac:dyDescent="0.3">
      <c r="M21" s="14"/>
      <c r="N21" s="15"/>
      <c r="O21" s="15"/>
      <c r="P21" s="15"/>
    </row>
    <row r="22" spans="2:28" s="2" customFormat="1" ht="15" x14ac:dyDescent="0.3">
      <c r="B22" s="2" t="s">
        <v>24</v>
      </c>
    </row>
    <row r="23" spans="2:28" x14ac:dyDescent="0.3">
      <c r="M23" s="14"/>
      <c r="N23" s="15"/>
      <c r="O23" s="15"/>
      <c r="P23" s="15"/>
    </row>
    <row r="24" spans="2:28" ht="13.15" x14ac:dyDescent="0.3">
      <c r="C24" s="4" t="s">
        <v>0</v>
      </c>
      <c r="E24" s="11" t="s">
        <v>1</v>
      </c>
    </row>
    <row r="25" spans="2:28" x14ac:dyDescent="0.3">
      <c r="E25" s="12"/>
    </row>
    <row r="26" spans="2:28" ht="12.75" x14ac:dyDescent="0.3">
      <c r="D26" s="8">
        <v>1</v>
      </c>
      <c r="E26" s="13" t="s">
        <v>2</v>
      </c>
    </row>
    <row r="27" spans="2:28" ht="12.75" x14ac:dyDescent="0.3">
      <c r="D27" s="8">
        <v>3</v>
      </c>
      <c r="E27" s="13" t="s">
        <v>3</v>
      </c>
    </row>
    <row r="28" spans="2:28" ht="12.75" x14ac:dyDescent="0.3">
      <c r="D28" s="8">
        <v>4</v>
      </c>
      <c r="E28" s="13" t="s">
        <v>17</v>
      </c>
    </row>
    <row r="29" spans="2:28" ht="12.75" x14ac:dyDescent="0.3">
      <c r="D29" s="8">
        <v>12</v>
      </c>
      <c r="E29" s="13" t="s">
        <v>4</v>
      </c>
    </row>
    <row r="30" spans="2:28" ht="12.75" x14ac:dyDescent="0.3">
      <c r="D30" s="8">
        <v>7</v>
      </c>
      <c r="E30" s="13" t="s">
        <v>11</v>
      </c>
    </row>
    <row r="31" spans="2:28" ht="12.75" x14ac:dyDescent="0.3">
      <c r="D31" s="8">
        <v>365</v>
      </c>
      <c r="E31" s="13" t="s">
        <v>25</v>
      </c>
    </row>
    <row r="32" spans="2:28" ht="12.75" x14ac:dyDescent="0.3">
      <c r="D32" s="8">
        <v>0.5</v>
      </c>
      <c r="E32" s="13" t="s">
        <v>7</v>
      </c>
    </row>
    <row r="33" spans="3:5" ht="12.75" x14ac:dyDescent="0.3">
      <c r="D33" s="8">
        <v>1000000</v>
      </c>
      <c r="E33" s="13" t="s">
        <v>53</v>
      </c>
    </row>
    <row r="34" spans="3:5" ht="12.75" x14ac:dyDescent="0.3">
      <c r="D34" s="8" t="s">
        <v>5</v>
      </c>
      <c r="E34" s="13" t="s">
        <v>5</v>
      </c>
    </row>
    <row r="35" spans="3:5" ht="12.75" x14ac:dyDescent="0.3">
      <c r="D35" s="8" t="s">
        <v>18</v>
      </c>
      <c r="E35" s="13" t="s">
        <v>19</v>
      </c>
    </row>
    <row r="36" spans="3:5" ht="12.75" x14ac:dyDescent="0.3">
      <c r="D36" s="8" t="s">
        <v>6</v>
      </c>
      <c r="E36" s="13" t="s">
        <v>6</v>
      </c>
    </row>
    <row r="37" spans="3:5" x14ac:dyDescent="0.3">
      <c r="E37" s="12"/>
    </row>
    <row r="38" spans="3:5" ht="13.15" x14ac:dyDescent="0.3">
      <c r="C38" s="4" t="s">
        <v>0</v>
      </c>
      <c r="E38" s="11" t="s">
        <v>1</v>
      </c>
    </row>
    <row r="39" spans="3:5" ht="12.75" x14ac:dyDescent="0.3">
      <c r="E39" s="13" t="s">
        <v>10</v>
      </c>
    </row>
    <row r="40" spans="3:5" ht="12.75" x14ac:dyDescent="0.3">
      <c r="D40" s="8" t="s">
        <v>8</v>
      </c>
      <c r="E40" s="13" t="s">
        <v>8</v>
      </c>
    </row>
    <row r="41" spans="3:5" ht="12.75" x14ac:dyDescent="0.3">
      <c r="D41" s="8" t="s">
        <v>9</v>
      </c>
      <c r="E41" s="13" t="s">
        <v>9</v>
      </c>
    </row>
    <row r="42" spans="3:5" x14ac:dyDescent="0.3">
      <c r="E42" s="12"/>
    </row>
    <row r="43" spans="3:5" ht="13.15" x14ac:dyDescent="0.3">
      <c r="C43" s="4" t="s">
        <v>38</v>
      </c>
      <c r="E43" s="11" t="s">
        <v>1</v>
      </c>
    </row>
    <row r="44" spans="3:5" ht="12.75" x14ac:dyDescent="0.3">
      <c r="E44" s="13" t="s">
        <v>46</v>
      </c>
    </row>
    <row r="45" spans="3:5" ht="12.75" x14ac:dyDescent="0.3">
      <c r="D45" s="8" t="s">
        <v>39</v>
      </c>
      <c r="E45" s="13" t="s">
        <v>39</v>
      </c>
    </row>
    <row r="46" spans="3:5" ht="12.75" x14ac:dyDescent="0.3">
      <c r="D46" s="8" t="s">
        <v>40</v>
      </c>
      <c r="E46" s="13" t="s">
        <v>40</v>
      </c>
    </row>
    <row r="47" spans="3:5" ht="12.75" x14ac:dyDescent="0.3">
      <c r="D47" s="8" t="s">
        <v>42</v>
      </c>
      <c r="E47" s="13" t="s">
        <v>44</v>
      </c>
    </row>
    <row r="48" spans="3:5" ht="12.75" x14ac:dyDescent="0.3">
      <c r="D48" s="8" t="s">
        <v>43</v>
      </c>
      <c r="E48" s="13" t="s">
        <v>45</v>
      </c>
    </row>
    <row r="49" spans="3:6" ht="12.75" x14ac:dyDescent="0.3">
      <c r="D49" s="8" t="s">
        <v>41</v>
      </c>
      <c r="E49" s="13" t="s">
        <v>41</v>
      </c>
    </row>
    <row r="50" spans="3:6" ht="12.75" x14ac:dyDescent="0.3">
      <c r="D50" s="8" t="s">
        <v>50</v>
      </c>
      <c r="E50" s="13" t="s">
        <v>50</v>
      </c>
    </row>
    <row r="51" spans="3:6" ht="12.75" x14ac:dyDescent="0.3">
      <c r="D51" s="8" t="s">
        <v>48</v>
      </c>
      <c r="E51" s="13" t="s">
        <v>48</v>
      </c>
    </row>
    <row r="52" spans="3:6" ht="12.75" x14ac:dyDescent="0.3">
      <c r="D52" s="8" t="s">
        <v>49</v>
      </c>
      <c r="E52" s="13" t="s">
        <v>49</v>
      </c>
    </row>
    <row r="53" spans="3:6" ht="12.75" x14ac:dyDescent="0.3">
      <c r="D53" s="8" t="s">
        <v>51</v>
      </c>
      <c r="E53" s="13" t="s">
        <v>52</v>
      </c>
    </row>
    <row r="54" spans="3:6" ht="12.75" x14ac:dyDescent="0.3">
      <c r="D54" s="8" t="str">
        <f>NA</f>
        <v>N/A</v>
      </c>
      <c r="E54" s="13" t="s">
        <v>47</v>
      </c>
    </row>
    <row r="55" spans="3:6" x14ac:dyDescent="0.3">
      <c r="E55" s="12"/>
    </row>
    <row r="56" spans="3:6" ht="13.15" x14ac:dyDescent="0.3">
      <c r="C56" s="4" t="s">
        <v>34</v>
      </c>
      <c r="E56" s="11" t="s">
        <v>1</v>
      </c>
    </row>
    <row r="57" spans="3:6" ht="12.75" x14ac:dyDescent="0.3">
      <c r="E57" s="13" t="s">
        <v>37</v>
      </c>
    </row>
    <row r="58" spans="3:6" ht="12.75" x14ac:dyDescent="0.3">
      <c r="D58" s="8" t="s">
        <v>914</v>
      </c>
      <c r="E58" s="13" t="s">
        <v>917</v>
      </c>
    </row>
    <row r="59" spans="3:6" ht="12.75" x14ac:dyDescent="0.3">
      <c r="D59" s="8" t="s">
        <v>915</v>
      </c>
      <c r="E59" s="13" t="s">
        <v>916</v>
      </c>
    </row>
    <row r="60" spans="3:6" ht="12.75" x14ac:dyDescent="0.3">
      <c r="D60" s="8" t="str">
        <f>NA</f>
        <v>N/A</v>
      </c>
      <c r="E60" s="13" t="s">
        <v>47</v>
      </c>
    </row>
    <row r="61" spans="3:6" ht="12.75" x14ac:dyDescent="0.3">
      <c r="D61" s="8" t="s">
        <v>36</v>
      </c>
      <c r="E61" s="13" t="s">
        <v>36</v>
      </c>
    </row>
    <row r="62" spans="3:6" x14ac:dyDescent="0.3">
      <c r="E62" s="12"/>
    </row>
    <row r="63" spans="3:6" ht="13.15" x14ac:dyDescent="0.3">
      <c r="C63" s="4" t="s">
        <v>35</v>
      </c>
      <c r="E63" s="11"/>
      <c r="F63" s="11" t="s">
        <v>1</v>
      </c>
    </row>
    <row r="64" spans="3:6" ht="12.75" x14ac:dyDescent="0.3">
      <c r="D64" s="13" t="s">
        <v>62</v>
      </c>
      <c r="E64" s="13" t="s">
        <v>61</v>
      </c>
    </row>
    <row r="65" spans="2:6" ht="12.75" x14ac:dyDescent="0.3">
      <c r="D65" s="8" t="s">
        <v>57</v>
      </c>
      <c r="E65" s="8">
        <v>0</v>
      </c>
      <c r="F65" s="13" t="s">
        <v>58</v>
      </c>
    </row>
    <row r="66" spans="2:6" ht="12.75" x14ac:dyDescent="0.3">
      <c r="D66" s="8" t="s">
        <v>56</v>
      </c>
      <c r="E66" s="8">
        <v>0.5</v>
      </c>
      <c r="F66" s="13" t="s">
        <v>59</v>
      </c>
    </row>
    <row r="67" spans="2:6" ht="12.75" x14ac:dyDescent="0.3">
      <c r="D67" s="8" t="s">
        <v>55</v>
      </c>
      <c r="E67" s="8">
        <v>1</v>
      </c>
      <c r="F67" s="13" t="s">
        <v>60</v>
      </c>
    </row>
    <row r="68" spans="2:6" ht="12.75" x14ac:dyDescent="0.3">
      <c r="D68" s="8" t="str">
        <f>NA</f>
        <v>N/A</v>
      </c>
      <c r="E68" s="8" t="str">
        <f>NA</f>
        <v>N/A</v>
      </c>
      <c r="F68" s="13"/>
    </row>
    <row r="69" spans="2:6" x14ac:dyDescent="0.3">
      <c r="E69" s="12"/>
    </row>
    <row r="71" spans="2:6" s="2" customFormat="1" ht="15" x14ac:dyDescent="0.3">
      <c r="B71" s="2" t="s">
        <v>16</v>
      </c>
    </row>
  </sheetData>
  <conditionalFormatting sqref="B2">
    <cfRule type="cellIs" dxfId="12" priority="1" operator="notEqual">
      <formula>"No Errors Found"</formula>
    </cfRule>
  </conditionalFormatting>
  <hyperlinks>
    <hyperlink ref="B3:E3" location="TOC!A1" display="TOC!A1" xr:uid="{00000000-0004-0000-0F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B1:H133"/>
  <sheetViews>
    <sheetView showGridLines="0" zoomScaleNormal="100" workbookViewId="0">
      <pane xSplit="1" ySplit="4" topLeftCell="B5" activePane="bottomRight" state="frozen"/>
      <selection activeCell="B4" sqref="B4"/>
      <selection pane="topRight" activeCell="B4" sqref="B4"/>
      <selection pane="bottomLeft" activeCell="B4" sqref="B4"/>
      <selection pane="bottomRight" activeCell="B5" sqref="B5"/>
    </sheetView>
  </sheetViews>
  <sheetFormatPr defaultRowHeight="10.15" x14ac:dyDescent="0.3"/>
  <cols>
    <col min="1" max="3" width="2.83203125" customWidth="1"/>
    <col min="4" max="4" width="100.1640625" customWidth="1"/>
    <col min="5" max="7" width="3.83203125" customWidth="1"/>
    <col min="8" max="8" width="15" bestFit="1" customWidth="1"/>
  </cols>
  <sheetData>
    <row r="1" spans="2:8" ht="18.75" x14ac:dyDescent="0.3">
      <c r="B1" s="3" t="s">
        <v>13</v>
      </c>
    </row>
    <row r="2" spans="2:8" x14ac:dyDescent="0.3">
      <c r="B2" s="9" t="str">
        <f>Title_Msg</f>
        <v>No Errors Found</v>
      </c>
    </row>
    <row r="3" spans="2:8" x14ac:dyDescent="0.3">
      <c r="B3" s="34" t="str">
        <f>TOC!$B$1</f>
        <v>Table of contents</v>
      </c>
      <c r="C3" s="34"/>
      <c r="D3" s="34"/>
      <c r="E3" s="34"/>
    </row>
    <row r="4" spans="2:8" ht="13.15" x14ac:dyDescent="0.3">
      <c r="B4" s="33" t="str">
        <f>Model_Name</f>
        <v>RIN Population Model - Power and Water Corporation</v>
      </c>
    </row>
    <row r="5" spans="2:8" x14ac:dyDescent="0.3">
      <c r="B5" s="9"/>
    </row>
    <row r="6" spans="2:8" s="2" customFormat="1" ht="15" x14ac:dyDescent="0.3">
      <c r="B6" s="2" t="s">
        <v>1048</v>
      </c>
    </row>
    <row r="7" spans="2:8" ht="4.1500000000000004" customHeight="1" x14ac:dyDescent="0.3">
      <c r="B7" s="16"/>
    </row>
    <row r="8" spans="2:8" ht="12.75" x14ac:dyDescent="0.3">
      <c r="D8" s="5" t="s">
        <v>1049</v>
      </c>
      <c r="H8" s="6" t="str">
        <f>IF(H131=0,"No Errors Found","Errors Found")</f>
        <v>No Errors Found</v>
      </c>
    </row>
    <row r="9" spans="2:8" ht="12.75" x14ac:dyDescent="0.3">
      <c r="D9" s="5" t="s">
        <v>1050</v>
      </c>
      <c r="H9" s="5"/>
    </row>
    <row r="10" spans="2:8" ht="12.75" x14ac:dyDescent="0.3">
      <c r="D10" s="5" t="s">
        <v>1051</v>
      </c>
      <c r="H10" s="19" t="str">
        <f>H8&amp;IF(H9="","",", " &amp;H9)</f>
        <v>No Errors Found</v>
      </c>
    </row>
    <row r="11" spans="2:8" ht="4.1500000000000004" customHeight="1" x14ac:dyDescent="0.3">
      <c r="B11" s="16"/>
    </row>
    <row r="12" spans="2:8" s="2" customFormat="1" ht="15" x14ac:dyDescent="0.3">
      <c r="B12" s="2" t="s">
        <v>1052</v>
      </c>
    </row>
    <row r="13" spans="2:8" ht="4.1500000000000004" customHeight="1" x14ac:dyDescent="0.3">
      <c r="B13" s="16"/>
    </row>
    <row r="14" spans="2:8" s="7" customFormat="1" ht="13.9" x14ac:dyDescent="0.3">
      <c r="C14" s="7" t="s">
        <v>1053</v>
      </c>
    </row>
    <row r="15" spans="2:8" ht="4.1500000000000004" customHeight="1" x14ac:dyDescent="0.3">
      <c r="B15" s="16"/>
    </row>
    <row r="16" spans="2:8" ht="13.15" x14ac:dyDescent="0.3">
      <c r="C16" s="4" t="s">
        <v>628</v>
      </c>
      <c r="H16" s="11" t="s">
        <v>627</v>
      </c>
    </row>
    <row r="17" spans="2:8" ht="4.1500000000000004" customHeight="1" x14ac:dyDescent="0.3">
      <c r="B17" s="16"/>
    </row>
    <row r="18" spans="2:8" ht="12.75" x14ac:dyDescent="0.3">
      <c r="D18" s="5" t="str">
        <f>Input_CPI!$B$1</f>
        <v>Input - Inflation</v>
      </c>
      <c r="H18" s="41">
        <f>Input_CPI!$A$1</f>
        <v>0</v>
      </c>
    </row>
    <row r="19" spans="2:8" ht="12.75" x14ac:dyDescent="0.3">
      <c r="D19" s="5" t="str">
        <f>Input_QS!$B$1</f>
        <v>Input - Quoted Services forecast</v>
      </c>
      <c r="H19" s="41">
        <f>Input_QS!$A$1</f>
        <v>0</v>
      </c>
    </row>
    <row r="20" spans="2:8" ht="12.75" x14ac:dyDescent="0.3">
      <c r="D20" s="5" t="str">
        <f>Input_FB!$B$1</f>
        <v>Input - Fee Based Services Forecast</v>
      </c>
      <c r="H20" s="41">
        <f>Input_FB!$A$1</f>
        <v>0</v>
      </c>
    </row>
    <row r="21" spans="2:8" ht="12.75" x14ac:dyDescent="0.3">
      <c r="D21" s="5" t="str">
        <f>WkB_1_CPI_Series!$B$1</f>
        <v>CPI Series</v>
      </c>
      <c r="H21" s="41">
        <f>WkB_1_CPI_Series!$A$1</f>
        <v>0</v>
      </c>
    </row>
    <row r="22" spans="2:8" ht="12.75" x14ac:dyDescent="0.3">
      <c r="D22" s="5" t="str">
        <f>'WkB_1_2.1.1'!$B$1</f>
        <v>2.1.1 - Standard Control Services - Capex</v>
      </c>
      <c r="H22" s="41">
        <f>'WkB_1_2.1.1'!$A$1</f>
        <v>0</v>
      </c>
    </row>
    <row r="23" spans="2:8" ht="12.75" x14ac:dyDescent="0.3">
      <c r="D23" s="5" t="str">
        <f>'WkB_1_2.1.2'!$B$1</f>
        <v>2.1.2 - Standard Control Services - Opex by category</v>
      </c>
      <c r="H23" s="41">
        <f>'WkB_1_2.1.2'!$A$1</f>
        <v>0</v>
      </c>
    </row>
    <row r="24" spans="2:8" ht="12.75" x14ac:dyDescent="0.3">
      <c r="D24" s="5" t="str">
        <f>'WkB_1_2.1.3'!$B$1</f>
        <v>2.1.3 - Alternative Control Services - Capex</v>
      </c>
      <c r="H24" s="41">
        <f>'WkB_1_2.1.3'!$A$1</f>
        <v>0</v>
      </c>
    </row>
    <row r="25" spans="2:8" ht="12.75" x14ac:dyDescent="0.3">
      <c r="D25" s="5" t="str">
        <f>'WkB_1_2.1.4'!$B$1</f>
        <v>2.1.4 - Alternative Control Services - Opex</v>
      </c>
      <c r="H25" s="41">
        <f>'WkB_1_2.1.4'!$A$1</f>
        <v>0</v>
      </c>
    </row>
    <row r="26" spans="2:8" ht="12.75" x14ac:dyDescent="0.3">
      <c r="D26" s="5" t="s">
        <v>624</v>
      </c>
      <c r="H26" s="797"/>
    </row>
    <row r="27" spans="2:8" ht="12.75" x14ac:dyDescent="0.3">
      <c r="D27" s="5" t="s">
        <v>626</v>
      </c>
      <c r="H27" s="797"/>
    </row>
    <row r="28" spans="2:8" ht="12.75" x14ac:dyDescent="0.3">
      <c r="D28" s="5" t="str">
        <f>'WkB_1_2.1.7'!$B$1</f>
        <v>2.1.7 - Standard Control Services - Capital contributions</v>
      </c>
      <c r="H28" s="41">
        <f>'WkB_1_2.1.7'!$A$1</f>
        <v>0</v>
      </c>
    </row>
    <row r="29" spans="2:8" ht="12.75" x14ac:dyDescent="0.3">
      <c r="D29" s="5" t="str">
        <f>'WkB_1_2.1.8'!$B$1</f>
        <v>2.1.8 - Standard Control Services - Capitalised overheads</v>
      </c>
      <c r="H29" s="41">
        <f>'WkB_1_2.1.8'!$A$1</f>
        <v>0</v>
      </c>
    </row>
    <row r="30" spans="2:8" ht="12.75" x14ac:dyDescent="0.3">
      <c r="D30" s="5" t="str">
        <f>'WkB_1_2.2.1'!$B$1</f>
        <v>2.2.1 - Replacement expenditure by asset category</v>
      </c>
      <c r="H30" s="41">
        <f>'WkB_1_2.2.1'!$A$1</f>
        <v>0</v>
      </c>
    </row>
    <row r="31" spans="2:8" ht="12.75" x14ac:dyDescent="0.3">
      <c r="D31" s="5" t="s">
        <v>600</v>
      </c>
      <c r="H31" s="41">
        <f>WkB_1_Reconciliation!$A$40</f>
        <v>0</v>
      </c>
    </row>
    <row r="32" spans="2:8" ht="12.75" x14ac:dyDescent="0.3">
      <c r="D32" s="5" t="s">
        <v>601</v>
      </c>
      <c r="H32" s="797"/>
    </row>
    <row r="33" spans="4:8" ht="12.75" x14ac:dyDescent="0.3">
      <c r="D33" s="5" t="s">
        <v>631</v>
      </c>
      <c r="H33" s="41">
        <f>WkB_1_Reconciliation!$A$72</f>
        <v>0</v>
      </c>
    </row>
    <row r="34" spans="4:8" ht="12.75" x14ac:dyDescent="0.3">
      <c r="D34" s="5" t="s">
        <v>632</v>
      </c>
      <c r="H34" s="797"/>
    </row>
    <row r="35" spans="4:8" ht="12.75" x14ac:dyDescent="0.3">
      <c r="D35" s="5" t="str">
        <f>'WkB_1_2.3.3'!$B$1</f>
        <v>2.3.3 - Augex Data - HV/LV feeders and distribution substations - Cost metrics</v>
      </c>
      <c r="H35" s="41">
        <f>'WkB_1_2.3.3'!$A$1</f>
        <v>0</v>
      </c>
    </row>
    <row r="36" spans="4:8" ht="12.75" x14ac:dyDescent="0.3">
      <c r="D36" s="5" t="str">
        <f>'WkB_1_2.3.4'!$B$1</f>
        <v>2.3.4 - Augex - Total expenditure</v>
      </c>
      <c r="H36" s="41">
        <f>'WkB_1_2.3.4'!$A$1</f>
        <v>0</v>
      </c>
    </row>
    <row r="37" spans="4:8" ht="12.75" x14ac:dyDescent="0.3">
      <c r="D37" s="5" t="str">
        <f>'WkB_1_2.3.5'!$B$1</f>
        <v>2.3.5 - Augex - By driver</v>
      </c>
      <c r="H37" s="41">
        <f>'WkB_1_2.3.5'!$A$1</f>
        <v>0</v>
      </c>
    </row>
    <row r="38" spans="4:8" ht="12.75" x14ac:dyDescent="0.3">
      <c r="D38" s="5" t="str">
        <f>'WkB_1_2.3.6'!$B$1</f>
        <v xml:space="preserve">2.3.6 - Augex - Greenfields driven </v>
      </c>
      <c r="H38" s="41">
        <f>'WkB_1_2.3.6'!$A$1</f>
        <v>0</v>
      </c>
    </row>
    <row r="39" spans="4:8" ht="12.75" x14ac:dyDescent="0.3">
      <c r="D39" s="5" t="str">
        <f>'WkB_1_2.5.1'!$B$1</f>
        <v>2.5.1 - Descriptor metrics - Expenditure - All services</v>
      </c>
      <c r="H39" s="41">
        <f>'WkB_1_2.5.1'!$A$1</f>
        <v>0</v>
      </c>
    </row>
    <row r="40" spans="4:8" ht="12.75" x14ac:dyDescent="0.3">
      <c r="D40" s="5" t="s">
        <v>630</v>
      </c>
      <c r="H40" s="797"/>
    </row>
    <row r="41" spans="4:8" ht="12.75" x14ac:dyDescent="0.3">
      <c r="D41" s="5" t="str">
        <f>'WkB_1_2.5.2a'!$B$1</f>
        <v>2.5.2 - Cost metrics by connection classification - Expenditure - All services</v>
      </c>
      <c r="H41" s="41">
        <f>'WkB_1_2.5.2a'!$A$1</f>
        <v>0</v>
      </c>
    </row>
    <row r="42" spans="4:8" ht="12.75" x14ac:dyDescent="0.3">
      <c r="D42" s="5" t="str">
        <f>'WkB_1_2.5.2b'!$B$1</f>
        <v>2.5.2 - Cost metrics by connection classification - Expenditure - Standard Control Services</v>
      </c>
      <c r="H42" s="41">
        <f>'WkB_1_2.5.2b'!$A$1</f>
        <v>0</v>
      </c>
    </row>
    <row r="43" spans="4:8" ht="12.75" x14ac:dyDescent="0.3">
      <c r="D43" s="5" t="str">
        <f>'WkB_1_2.5.2c'!$B$1</f>
        <v>2.5.2 - Cost metrics by connection classification - Expenditure - Standard Control Services - Capital contributions</v>
      </c>
      <c r="H43" s="41">
        <f>'WkB_1_2.5.2c'!$A$1</f>
        <v>0</v>
      </c>
    </row>
    <row r="44" spans="4:8" ht="12.75" x14ac:dyDescent="0.3">
      <c r="D44" s="5" t="str">
        <f>'WkB_1_2.5.3'!$B$1</f>
        <v>2.5.3 - Volumes by connection classification</v>
      </c>
      <c r="H44" s="41">
        <f>'WkB_1_2.5.3'!$A$1</f>
        <v>0</v>
      </c>
    </row>
    <row r="45" spans="4:8" ht="12.75" x14ac:dyDescent="0.3">
      <c r="D45" s="5" t="str">
        <f>'WkB_1_2.6.1'!$B$1&amp;" - Opex"</f>
        <v>2.6.1 - Non-Network expenditure - Opex</v>
      </c>
      <c r="H45" s="41">
        <f>'WkB_1_2.6.1'!$A$55</f>
        <v>0</v>
      </c>
    </row>
    <row r="46" spans="4:8" ht="12.75" x14ac:dyDescent="0.3">
      <c r="D46" s="5" t="str">
        <f>'WkB_1_2.6.1'!$B$1&amp;" - Capex"</f>
        <v>2.6.1 - Non-Network expenditure - Capex</v>
      </c>
      <c r="H46" s="41">
        <f>'WkB_1_2.6.1'!$A$60</f>
        <v>0</v>
      </c>
    </row>
    <row r="47" spans="4:8" ht="12.75" x14ac:dyDescent="0.3">
      <c r="D47" s="5" t="s">
        <v>634</v>
      </c>
      <c r="H47" s="41">
        <f>WkB_1_Reconciliation!$A$99</f>
        <v>0</v>
      </c>
    </row>
    <row r="48" spans="4:8" ht="12.75" x14ac:dyDescent="0.3">
      <c r="D48" s="5" t="s">
        <v>633</v>
      </c>
      <c r="H48" s="41">
        <f>WkB_1_Reconciliation!$A$104</f>
        <v>0</v>
      </c>
    </row>
    <row r="49" spans="4:8" ht="12.75" x14ac:dyDescent="0.3">
      <c r="D49" s="5" t="str">
        <f>'WkB_1_2.6.5'!$B$1</f>
        <v>2.6.5 - Information and communications technology - Capex - Recurrent and non recurrent</v>
      </c>
      <c r="H49" s="41">
        <f>'WkB_1_2.6.5'!$A$1</f>
        <v>0</v>
      </c>
    </row>
    <row r="50" spans="4:8" ht="12.75" x14ac:dyDescent="0.3">
      <c r="D50" s="5" t="s">
        <v>635</v>
      </c>
      <c r="H50" s="41">
        <f>WkB_1_2.10!$A$23</f>
        <v>0</v>
      </c>
    </row>
    <row r="51" spans="4:8" ht="12.75" x14ac:dyDescent="0.3">
      <c r="D51" s="5" t="s">
        <v>636</v>
      </c>
      <c r="H51" s="41">
        <f>WkB_1_2.10!$A$40</f>
        <v>0</v>
      </c>
    </row>
    <row r="52" spans="4:8" ht="12.75" x14ac:dyDescent="0.3">
      <c r="D52" s="5" t="str">
        <f>WkB_1_2.11!$B$1</f>
        <v>2.11.3 - Labour / Non-labour expenditure split - Standard Control Services</v>
      </c>
      <c r="H52" s="41">
        <f>WkB_1_2.11!$A$1</f>
        <v>0</v>
      </c>
    </row>
    <row r="53" spans="4:8" ht="12.75" x14ac:dyDescent="0.3">
      <c r="D53" s="5" t="str">
        <f>WkB_1_2.14!$B$1</f>
        <v>2.14.2 - Forecast capex and opex price changes</v>
      </c>
      <c r="H53" s="41">
        <f>WkB_1_2.14!$A$1</f>
        <v>0</v>
      </c>
    </row>
    <row r="54" spans="4:8" ht="12.75" x14ac:dyDescent="0.3">
      <c r="D54" s="5" t="str">
        <f>WkB_1_2.16!$B$1</f>
        <v>2.16.1 - Standard Control Services - Opex by driver</v>
      </c>
      <c r="H54" s="41">
        <f>WkB_1_2.16!$A$1</f>
        <v>0</v>
      </c>
    </row>
    <row r="55" spans="4:8" ht="12.75" x14ac:dyDescent="0.3">
      <c r="D55" s="5" t="s">
        <v>637</v>
      </c>
      <c r="H55" s="797"/>
    </row>
    <row r="56" spans="4:8" ht="12.75" x14ac:dyDescent="0.3">
      <c r="D56" s="5" t="s">
        <v>625</v>
      </c>
      <c r="H56" s="797"/>
    </row>
    <row r="57" spans="4:8" ht="12.75" x14ac:dyDescent="0.3">
      <c r="D57" s="5" t="s">
        <v>638</v>
      </c>
      <c r="H57" s="797"/>
    </row>
    <row r="58" spans="4:8" ht="12.75" x14ac:dyDescent="0.3">
      <c r="D58" s="5" t="str">
        <f>'WkB_1_2.17.1'!$B$1</f>
        <v xml:space="preserve">2.17.1 - Step changes for Standard Control Services - Forecast opex </v>
      </c>
      <c r="H58" s="41">
        <f>'WkB_1_2.17.1'!$A$1</f>
        <v>0</v>
      </c>
    </row>
    <row r="59" spans="4:8" ht="12.75" x14ac:dyDescent="0.3">
      <c r="D59" s="5" t="str">
        <f>'WkB_1_2.17.2'!$B$1</f>
        <v>2.17.2 - Step changes for Standard Control Services - Forecast capex</v>
      </c>
      <c r="H59" s="41">
        <f>'WkB_1_2.17.2'!$A$1</f>
        <v>0</v>
      </c>
    </row>
    <row r="60" spans="4:8" ht="12.75" x14ac:dyDescent="0.3">
      <c r="D60" s="5" t="s">
        <v>639</v>
      </c>
      <c r="H60" s="797"/>
    </row>
    <row r="61" spans="4:8" ht="12.75" x14ac:dyDescent="0.3">
      <c r="D61" s="5" t="s">
        <v>640</v>
      </c>
      <c r="H61" s="797"/>
    </row>
    <row r="62" spans="4:8" ht="12.75" x14ac:dyDescent="0.3">
      <c r="D62" s="5" t="str">
        <f>'WkB_1_2.17.5'!$B$1</f>
        <v>2.17.5 - Forecast category specific opex</v>
      </c>
      <c r="H62" s="41">
        <f>'WkB_1_2.17.5'!$A$1</f>
        <v>0</v>
      </c>
    </row>
    <row r="63" spans="4:8" ht="12.75" x14ac:dyDescent="0.3">
      <c r="D63" s="5" t="str">
        <f>'WkB_1_3.1.1'!$B$1</f>
        <v>3.1.1 - Revenue grouping by chargeable quantity</v>
      </c>
      <c r="H63" s="41">
        <f>'WkB_1_3.1.1'!$A$1</f>
        <v>0</v>
      </c>
    </row>
    <row r="64" spans="4:8" ht="12.75" x14ac:dyDescent="0.3">
      <c r="D64" s="5" t="str">
        <f>'WkB_1_3.1.2'!$B$1</f>
        <v>3.1.2 - Revenue grouping by customer type or class</v>
      </c>
      <c r="H64" s="41">
        <f>'WkB_1_3.1.2'!$A$1</f>
        <v>0</v>
      </c>
    </row>
    <row r="65" spans="4:8" ht="12.75" x14ac:dyDescent="0.3">
      <c r="D65" s="5" t="str">
        <f>'WkB_1_3.1.3'!$B$1</f>
        <v>3.1.3 - Revenue (penalties) allowed (deducted) through incentive schemes</v>
      </c>
      <c r="H65" s="41">
        <f>'WkB_1_3.1.3'!$A$1</f>
        <v>0</v>
      </c>
    </row>
    <row r="66" spans="4:8" ht="12.75" x14ac:dyDescent="0.3">
      <c r="D66" s="5" t="str">
        <f>'WkB_1_3.2.1'!$B$1</f>
        <v>3.2.1 - Opex categories</v>
      </c>
      <c r="H66" s="41">
        <f>'WkB_1_3.2.1'!$A$1</f>
        <v>0</v>
      </c>
    </row>
    <row r="67" spans="4:8" ht="12.75" x14ac:dyDescent="0.3">
      <c r="D67" s="5" t="str">
        <f>'WkB_1_3.2.2'!$B$1</f>
        <v>3.2.2 - Opex consistency</v>
      </c>
      <c r="H67" s="41">
        <f>'WkB_1_3.2.2'!$A$1</f>
        <v>0</v>
      </c>
    </row>
    <row r="68" spans="4:8" ht="12.75" x14ac:dyDescent="0.3">
      <c r="D68" s="5" t="s">
        <v>641</v>
      </c>
      <c r="H68" s="41">
        <f>WkB_1_3.3!$A$1</f>
        <v>0</v>
      </c>
    </row>
    <row r="69" spans="4:8" ht="12.75" x14ac:dyDescent="0.3">
      <c r="D69" s="5" t="s">
        <v>642</v>
      </c>
      <c r="H69" s="797"/>
    </row>
    <row r="70" spans="4:8" ht="12.75" x14ac:dyDescent="0.3">
      <c r="D70" s="5" t="s">
        <v>643</v>
      </c>
      <c r="H70" s="797"/>
    </row>
    <row r="71" spans="4:8" ht="12.75" x14ac:dyDescent="0.3">
      <c r="D71" s="5" t="s">
        <v>644</v>
      </c>
      <c r="H71" s="797"/>
    </row>
    <row r="72" spans="4:8" ht="12.75" x14ac:dyDescent="0.3">
      <c r="D72" s="5" t="s">
        <v>602</v>
      </c>
      <c r="H72" s="41">
        <f>WkB_1_Reconciliation!$A$111</f>
        <v>0</v>
      </c>
    </row>
    <row r="73" spans="4:8" ht="12.75" x14ac:dyDescent="0.3">
      <c r="D73" s="877" t="s">
        <v>603</v>
      </c>
      <c r="H73" s="41">
        <f>WkB_1_Reconciliation!$A$77</f>
        <v>0</v>
      </c>
    </row>
    <row r="74" spans="4:8" ht="12.75" x14ac:dyDescent="0.3">
      <c r="D74" s="5" t="s">
        <v>604</v>
      </c>
      <c r="H74" s="41">
        <f>WkB_1_Reconciliation!$A$45</f>
        <v>0</v>
      </c>
    </row>
    <row r="75" spans="4:8" ht="12.75" x14ac:dyDescent="0.3">
      <c r="D75" s="5" t="s">
        <v>605</v>
      </c>
      <c r="H75" s="797"/>
    </row>
    <row r="76" spans="4:8" ht="12.75" x14ac:dyDescent="0.3">
      <c r="D76" s="5" t="s">
        <v>606</v>
      </c>
      <c r="H76" s="41">
        <f>WkB_1_Reconciliation!$A$50</f>
        <v>0</v>
      </c>
    </row>
    <row r="77" spans="4:8" ht="12.75" x14ac:dyDescent="0.3">
      <c r="D77" s="5" t="s">
        <v>607</v>
      </c>
      <c r="H77" s="797"/>
    </row>
    <row r="78" spans="4:8" ht="12.75" x14ac:dyDescent="0.3">
      <c r="D78" s="5" t="s">
        <v>608</v>
      </c>
      <c r="H78" s="797"/>
    </row>
    <row r="79" spans="4:8" ht="12.75" x14ac:dyDescent="0.3">
      <c r="D79" s="5" t="s">
        <v>609</v>
      </c>
      <c r="H79" s="797"/>
    </row>
    <row r="80" spans="4:8" ht="12.75" x14ac:dyDescent="0.3">
      <c r="D80" s="5" t="s">
        <v>610</v>
      </c>
      <c r="H80" s="797"/>
    </row>
    <row r="81" spans="4:8" ht="12.75" x14ac:dyDescent="0.3">
      <c r="D81" s="5" t="s">
        <v>611</v>
      </c>
      <c r="H81" s="797"/>
    </row>
    <row r="82" spans="4:8" ht="12.75" x14ac:dyDescent="0.3">
      <c r="D82" s="5" t="s">
        <v>645</v>
      </c>
      <c r="H82" s="797"/>
    </row>
    <row r="83" spans="4:8" ht="12.75" x14ac:dyDescent="0.3">
      <c r="D83" s="5" t="s">
        <v>646</v>
      </c>
      <c r="H83" s="797"/>
    </row>
    <row r="84" spans="4:8" ht="12.75" x14ac:dyDescent="0.3">
      <c r="D84" s="5" t="s">
        <v>612</v>
      </c>
      <c r="H84" s="41">
        <f>WkB_1_Reconciliation!$A$87</f>
        <v>0</v>
      </c>
    </row>
    <row r="85" spans="4:8" ht="12.75" x14ac:dyDescent="0.3">
      <c r="D85" s="5" t="s">
        <v>613</v>
      </c>
      <c r="H85" s="797"/>
    </row>
    <row r="86" spans="4:8" ht="12.75" x14ac:dyDescent="0.3">
      <c r="D86" s="5" t="s">
        <v>621</v>
      </c>
      <c r="H86" s="41">
        <f>WkB_1_Reconciliation!$A$65</f>
        <v>0</v>
      </c>
    </row>
    <row r="87" spans="4:8" ht="12.75" x14ac:dyDescent="0.3">
      <c r="D87" s="5" t="s">
        <v>622</v>
      </c>
      <c r="H87" s="797"/>
    </row>
    <row r="88" spans="4:8" ht="12.75" x14ac:dyDescent="0.3">
      <c r="D88" s="5" t="s">
        <v>623</v>
      </c>
      <c r="H88" s="797"/>
    </row>
    <row r="89" spans="4:8" ht="12.75" x14ac:dyDescent="0.3">
      <c r="D89" s="5" t="s">
        <v>844</v>
      </c>
      <c r="H89" s="797"/>
    </row>
    <row r="90" spans="4:8" ht="12.75" x14ac:dyDescent="0.3">
      <c r="D90" s="5" t="s">
        <v>614</v>
      </c>
      <c r="H90" s="797"/>
    </row>
    <row r="91" spans="4:8" ht="12.75" x14ac:dyDescent="0.3">
      <c r="D91" s="5" t="s">
        <v>615</v>
      </c>
      <c r="H91" s="41">
        <f>WkB_1_Reconciliation!$A$118</f>
        <v>0</v>
      </c>
    </row>
    <row r="92" spans="4:8" ht="12.75" x14ac:dyDescent="0.3">
      <c r="D92" s="5" t="s">
        <v>616</v>
      </c>
      <c r="H92" s="797"/>
    </row>
    <row r="93" spans="4:8" ht="12.75" x14ac:dyDescent="0.3">
      <c r="D93" s="5" t="str">
        <f>WkB_1_7.2!$B$1</f>
        <v>7.2.1 - Proposed contingent projects for the forthcoming regulatory control period</v>
      </c>
      <c r="H93" s="41">
        <f>WkB_1_7.2!$A$1</f>
        <v>0</v>
      </c>
    </row>
    <row r="94" spans="4:8" ht="12.75" x14ac:dyDescent="0.3">
      <c r="D94" s="5" t="s">
        <v>617</v>
      </c>
      <c r="H94" s="797"/>
    </row>
    <row r="95" spans="4:8" ht="12.75" x14ac:dyDescent="0.3">
      <c r="D95" s="5" t="s">
        <v>647</v>
      </c>
      <c r="H95" s="41">
        <f>WkB_1_7.4!$A$1</f>
        <v>0</v>
      </c>
    </row>
    <row r="96" spans="4:8" ht="12.75" x14ac:dyDescent="0.3">
      <c r="D96" s="5" t="s">
        <v>648</v>
      </c>
      <c r="H96" s="797"/>
    </row>
    <row r="97" spans="2:8" ht="12.75" x14ac:dyDescent="0.3">
      <c r="D97" s="5" t="s">
        <v>618</v>
      </c>
      <c r="H97" s="41">
        <f>'WkB_1_7.7.1'!$A$1</f>
        <v>0</v>
      </c>
    </row>
    <row r="98" spans="2:8" ht="12.75" x14ac:dyDescent="0.3">
      <c r="D98" s="5" t="s">
        <v>619</v>
      </c>
      <c r="H98" s="41">
        <f>'WkB_1_7.7.2'!$A$1</f>
        <v>0</v>
      </c>
    </row>
    <row r="99" spans="2:8" ht="12.75" x14ac:dyDescent="0.3">
      <c r="D99" s="5" t="s">
        <v>620</v>
      </c>
      <c r="H99" s="41">
        <f>'WkB_1_7.7.3'!$A$1</f>
        <v>0</v>
      </c>
    </row>
    <row r="100" spans="2:8" ht="12.75" x14ac:dyDescent="0.3">
      <c r="D100" s="877" t="s">
        <v>673</v>
      </c>
      <c r="H100" s="41">
        <f>'WkB_1_7.8.1'!$A$1</f>
        <v>0</v>
      </c>
    </row>
    <row r="101" spans="2:8" ht="12.75" x14ac:dyDescent="0.3">
      <c r="D101" s="877" t="s">
        <v>674</v>
      </c>
      <c r="H101" s="41">
        <f>'WkB_1_7.8.2'!$A$1</f>
        <v>0</v>
      </c>
    </row>
    <row r="102" spans="2:8" ht="12.75" x14ac:dyDescent="0.3">
      <c r="D102" s="877" t="s">
        <v>675</v>
      </c>
      <c r="H102" s="41">
        <f>'WkB_1_7.8.3'!$A$1</f>
        <v>0</v>
      </c>
    </row>
    <row r="103" spans="2:8" ht="12.75" x14ac:dyDescent="0.3">
      <c r="D103" s="877" t="s">
        <v>676</v>
      </c>
      <c r="H103" s="797"/>
    </row>
    <row r="104" spans="2:8" ht="12.75" x14ac:dyDescent="0.3">
      <c r="D104" s="877" t="s">
        <v>677</v>
      </c>
      <c r="H104" s="797"/>
    </row>
    <row r="105" spans="2:8" ht="4.1500000000000004" customHeight="1" x14ac:dyDescent="0.3">
      <c r="B105" s="16"/>
    </row>
    <row r="106" spans="2:8" ht="13.15" x14ac:dyDescent="0.3">
      <c r="C106" s="4" t="s">
        <v>629</v>
      </c>
      <c r="D106" s="5"/>
      <c r="H106" s="41"/>
    </row>
    <row r="107" spans="2:8" ht="4.1500000000000004" customHeight="1" x14ac:dyDescent="0.3">
      <c r="B107" s="16"/>
    </row>
    <row r="108" spans="2:8" ht="12.75" x14ac:dyDescent="0.3">
      <c r="D108" s="5" t="s">
        <v>660</v>
      </c>
      <c r="H108" s="797"/>
    </row>
    <row r="109" spans="2:8" ht="12.75" x14ac:dyDescent="0.3">
      <c r="D109" s="5" t="s">
        <v>661</v>
      </c>
      <c r="H109" s="797"/>
    </row>
    <row r="110" spans="2:8" ht="12.75" x14ac:dyDescent="0.3">
      <c r="D110" s="5" t="s">
        <v>662</v>
      </c>
      <c r="H110" s="797"/>
    </row>
    <row r="111" spans="2:8" ht="12.75" x14ac:dyDescent="0.3">
      <c r="D111" s="5" t="s">
        <v>663</v>
      </c>
      <c r="H111" s="797"/>
    </row>
    <row r="112" spans="2:8" ht="12.75" x14ac:dyDescent="0.3">
      <c r="D112" s="5" t="s">
        <v>664</v>
      </c>
      <c r="H112" s="797"/>
    </row>
    <row r="113" spans="2:8" ht="12.75" x14ac:dyDescent="0.3">
      <c r="D113" s="5" t="s">
        <v>665</v>
      </c>
      <c r="H113" s="797"/>
    </row>
    <row r="114" spans="2:8" ht="12.75" x14ac:dyDescent="0.3">
      <c r="D114" s="5" t="s">
        <v>666</v>
      </c>
      <c r="H114" s="797"/>
    </row>
    <row r="115" spans="2:8" ht="12.75" x14ac:dyDescent="0.3">
      <c r="D115" s="5" t="s">
        <v>667</v>
      </c>
      <c r="H115" s="797"/>
    </row>
    <row r="116" spans="2:8" ht="12.75" x14ac:dyDescent="0.3">
      <c r="D116" s="5" t="s">
        <v>668</v>
      </c>
      <c r="H116" s="797"/>
    </row>
    <row r="117" spans="2:8" ht="12.75" x14ac:dyDescent="0.3">
      <c r="D117" s="5" t="s">
        <v>669</v>
      </c>
      <c r="H117" s="797"/>
    </row>
    <row r="118" spans="2:8" ht="12.75" x14ac:dyDescent="0.3">
      <c r="D118" s="5" t="s">
        <v>670</v>
      </c>
      <c r="H118" s="797"/>
    </row>
    <row r="119" spans="2:8" ht="12.75" x14ac:dyDescent="0.3">
      <c r="D119" s="5" t="s">
        <v>671</v>
      </c>
      <c r="H119" s="797"/>
    </row>
    <row r="120" spans="2:8" ht="12.75" x14ac:dyDescent="0.3">
      <c r="D120" s="5" t="str">
        <f>WkB_2_7.4!$B$1</f>
        <v>7.4 - Shared assets - Historical</v>
      </c>
      <c r="H120" s="41">
        <f>WkB_2_7.4!$A$1</f>
        <v>0</v>
      </c>
    </row>
    <row r="121" spans="2:8" ht="4.1500000000000004" customHeight="1" x14ac:dyDescent="0.3">
      <c r="B121" s="16"/>
    </row>
    <row r="122" spans="2:8" ht="13.15" x14ac:dyDescent="0.3">
      <c r="C122" s="4" t="s">
        <v>1056</v>
      </c>
      <c r="D122" s="5"/>
      <c r="H122" s="41"/>
    </row>
    <row r="123" spans="2:8" ht="4.1500000000000004" customHeight="1" x14ac:dyDescent="0.3">
      <c r="B123" s="16"/>
    </row>
    <row r="124" spans="2:8" ht="12.75" x14ac:dyDescent="0.3">
      <c r="D124" s="5" t="str">
        <f>'WkB_5_7.6.1'!$B$1</f>
        <v>7.6 - Indicative impact on distribution charges &amp; electricity bills</v>
      </c>
      <c r="H124" s="41">
        <f>'WkB_5_7.6.1'!$A$1</f>
        <v>0</v>
      </c>
    </row>
    <row r="125" spans="2:8" ht="4.1500000000000004" customHeight="1" x14ac:dyDescent="0.3">
      <c r="B125" s="16"/>
    </row>
    <row r="126" spans="2:8" ht="13.15" x14ac:dyDescent="0.3">
      <c r="C126" s="4" t="s">
        <v>1055</v>
      </c>
      <c r="D126" s="5"/>
      <c r="H126" s="41"/>
    </row>
    <row r="127" spans="2:8" ht="4.1500000000000004" customHeight="1" x14ac:dyDescent="0.3">
      <c r="B127" s="16"/>
    </row>
    <row r="128" spans="2:8" ht="12.75" x14ac:dyDescent="0.3">
      <c r="D128" s="5" t="str">
        <f>WkB_1_Reconciliation!$B$1</f>
        <v>Reconciliations</v>
      </c>
      <c r="H128" s="41">
        <f>WkB_1_Reconciliation!$A$1</f>
        <v>0</v>
      </c>
    </row>
    <row r="129" spans="2:8" ht="12.75" x14ac:dyDescent="0.3">
      <c r="D129" s="5" t="str">
        <f>Lookup!$B$1</f>
        <v>Model lookups</v>
      </c>
      <c r="H129" s="41">
        <f>Lookup!$A$1</f>
        <v>0</v>
      </c>
    </row>
    <row r="130" spans="2:8" ht="4.1500000000000004" customHeight="1" x14ac:dyDescent="0.3">
      <c r="B130" s="16"/>
    </row>
    <row r="131" spans="2:8" ht="13.15" x14ac:dyDescent="0.3">
      <c r="C131" s="4" t="s">
        <v>1054</v>
      </c>
      <c r="H131" s="18">
        <f>IF(SUM(H18:H129)=0,0,1)</f>
        <v>0</v>
      </c>
    </row>
    <row r="132" spans="2:8" ht="4.1500000000000004" customHeight="1" x14ac:dyDescent="0.3">
      <c r="B132" s="16"/>
    </row>
    <row r="133" spans="2:8" s="2" customFormat="1" ht="15" x14ac:dyDescent="0.3">
      <c r="B133" s="2" t="s">
        <v>16</v>
      </c>
    </row>
  </sheetData>
  <conditionalFormatting sqref="B7 B2 B5">
    <cfRule type="cellIs" dxfId="11" priority="500" operator="notEqual">
      <formula>"No Errors Found"</formula>
    </cfRule>
  </conditionalFormatting>
  <conditionalFormatting sqref="B11">
    <cfRule type="cellIs" dxfId="10" priority="497" operator="notEqual">
      <formula>"No Errors Found"</formula>
    </cfRule>
  </conditionalFormatting>
  <conditionalFormatting sqref="B13">
    <cfRule type="cellIs" dxfId="9" priority="496" operator="notEqual">
      <formula>"No Errors Found"</formula>
    </cfRule>
  </conditionalFormatting>
  <conditionalFormatting sqref="B15 B17">
    <cfRule type="cellIs" dxfId="8" priority="495" operator="notEqual">
      <formula>"No Errors Found"</formula>
    </cfRule>
  </conditionalFormatting>
  <conditionalFormatting sqref="B130">
    <cfRule type="cellIs" dxfId="7" priority="494" operator="notEqual">
      <formula>"No Errors Found"</formula>
    </cfRule>
  </conditionalFormatting>
  <conditionalFormatting sqref="B132">
    <cfRule type="cellIs" dxfId="6" priority="493" operator="notEqual">
      <formula>"No Errors Found"</formula>
    </cfRule>
  </conditionalFormatting>
  <conditionalFormatting sqref="B105">
    <cfRule type="cellIs" dxfId="5" priority="479" operator="notEqual">
      <formula>"No Errors Found"</formula>
    </cfRule>
  </conditionalFormatting>
  <conditionalFormatting sqref="B107">
    <cfRule type="cellIs" dxfId="4" priority="478" operator="notEqual">
      <formula>"No Errors Found"</formula>
    </cfRule>
  </conditionalFormatting>
  <conditionalFormatting sqref="B121">
    <cfRule type="cellIs" dxfId="3" priority="477" operator="notEqual">
      <formula>"No Errors Found"</formula>
    </cfRule>
  </conditionalFormatting>
  <conditionalFormatting sqref="B123">
    <cfRule type="cellIs" dxfId="2" priority="476" operator="notEqual">
      <formula>"No Errors Found"</formula>
    </cfRule>
  </conditionalFormatting>
  <conditionalFormatting sqref="B125">
    <cfRule type="cellIs" dxfId="1" priority="475" operator="notEqual">
      <formula>"No Errors Found"</formula>
    </cfRule>
  </conditionalFormatting>
  <conditionalFormatting sqref="B127">
    <cfRule type="cellIs" dxfId="0" priority="474" operator="notEqual">
      <formula>"No Errors Found"</formula>
    </cfRule>
  </conditionalFormatting>
  <hyperlinks>
    <hyperlink ref="B3:E3" location="TOC!A1" display="TOC!A1" xr:uid="{00000000-0004-0000-10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13386B98CA9D47B153354AC72DA840" ma:contentTypeVersion="10" ma:contentTypeDescription="Create a new document." ma:contentTypeScope="" ma:versionID="1d33a58b88525057e34c226c47740757">
  <xsd:schema xmlns:xsd="http://www.w3.org/2001/XMLSchema" xmlns:xs="http://www.w3.org/2001/XMLSchema" xmlns:p="http://schemas.microsoft.com/office/2006/metadata/properties" xmlns:ns2="2a09a3f0-ff30-4896-8eff-2a4081e1b291" targetNamespace="http://schemas.microsoft.com/office/2006/metadata/properties" ma:root="true" ma:fieldsID="d55c57b4e9d4cf2d55d57f36226ddeaf" ns2:_="">
    <xsd:import namespace="2a09a3f0-ff30-4896-8eff-2a4081e1b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9a3f0-ff30-4896-8eff-2a4081e1b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d5ad4c-798f-4112-b232-d6cf578bb7c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a09a3f0-ff30-4896-8eff-2a4081e1b2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2.xml><?xml version="1.0" encoding="utf-8"?>
<ds:datastoreItem xmlns:ds="http://schemas.openxmlformats.org/officeDocument/2006/customXml" ds:itemID="{1004CF6D-78E2-40DB-9C4C-D661E24FD093}"/>
</file>

<file path=customXml/itemProps3.xml><?xml version="1.0" encoding="utf-8"?>
<ds:datastoreItem xmlns:ds="http://schemas.openxmlformats.org/officeDocument/2006/customXml" ds:itemID="{0B25FF5E-CBBB-4DD9-8A69-984DC667F844}">
  <ds:schemaRefs>
    <ds:schemaRef ds:uri="http://schemas.microsoft.com/PowerBIAddIn"/>
  </ds:schemaRefs>
</ds:datastoreItem>
</file>

<file path=customXml/itemProps4.xml><?xml version="1.0" encoding="utf-8"?>
<ds:datastoreItem xmlns:ds="http://schemas.openxmlformats.org/officeDocument/2006/customXml" ds:itemID="{1997CDD1-FCE8-40FA-A22B-39998E6D97A8}">
  <ds:schemaRef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752ec5ed-7b81-412f-97a4-5912f575cd80"/>
    <ds:schemaRef ds:uri="http://schemas.microsoft.com/office/2006/metadata/properties"/>
    <ds:schemaRef ds:uri="http://purl.org/dc/terms/"/>
    <ds:schemaRef ds:uri="http://purl.org/dc/elements/1.1/"/>
    <ds:schemaRef ds:uri="2796d3f3-af2e-4cec-8db1-29f624cc0e1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50</vt:i4>
      </vt:variant>
      <vt:variant>
        <vt:lpstr>Named Ranges</vt:lpstr>
      </vt:variant>
      <vt:variant>
        <vt:i4>38</vt:i4>
      </vt:variant>
    </vt:vector>
  </HeadingPairs>
  <TitlesOfParts>
    <vt:vector size="88" baseType="lpstr">
      <vt:lpstr>Cover</vt:lpstr>
      <vt:lpstr>TOC</vt:lpstr>
      <vt:lpstr>Input_CPI</vt:lpstr>
      <vt:lpstr>Input_QS</vt:lpstr>
      <vt:lpstr>Input_FB</vt:lpstr>
      <vt:lpstr>WkB_1_CPI_Series</vt:lpstr>
      <vt:lpstr>WkB_1_2.1.1</vt:lpstr>
      <vt:lpstr>WkB_1_2.1.2</vt:lpstr>
      <vt:lpstr>WkB_1_2.1.3</vt:lpstr>
      <vt:lpstr>WkB_1_2.1.4</vt:lpstr>
      <vt:lpstr>WkB_1_2.1.7</vt:lpstr>
      <vt:lpstr>WkB_1_2.1.8</vt:lpstr>
      <vt:lpstr>WkB_1_2.2.1</vt:lpstr>
      <vt:lpstr>WkB_1_2.3.3</vt:lpstr>
      <vt:lpstr>WkB_1_2.3.4</vt:lpstr>
      <vt:lpstr>WkB_1_2.3.5</vt:lpstr>
      <vt:lpstr>WkB_1_2.3.6</vt:lpstr>
      <vt:lpstr>WkB_1_2.5.1</vt:lpstr>
      <vt:lpstr>WkB_1_2.5.2a</vt:lpstr>
      <vt:lpstr>WkB_1_2.5.2b</vt:lpstr>
      <vt:lpstr>WkB_1_2.5.2c</vt:lpstr>
      <vt:lpstr>WkB_1_2.5.3</vt:lpstr>
      <vt:lpstr>WkB_1_2.6.1</vt:lpstr>
      <vt:lpstr>WkB_1_2.6.5</vt:lpstr>
      <vt:lpstr>WkB_1_2.10</vt:lpstr>
      <vt:lpstr>WkB_1_2.11</vt:lpstr>
      <vt:lpstr>WkB_1_2.14</vt:lpstr>
      <vt:lpstr>WkB_1_2.16</vt:lpstr>
      <vt:lpstr>WkB_1_2.17.1</vt:lpstr>
      <vt:lpstr>WkB_1_2.17.2</vt:lpstr>
      <vt:lpstr>WkB_1_2.17.5</vt:lpstr>
      <vt:lpstr>WkB_1_3.1.1</vt:lpstr>
      <vt:lpstr>WkB_1_3.1.2</vt:lpstr>
      <vt:lpstr>WkB_1_3.1.3</vt:lpstr>
      <vt:lpstr>WkB_1_3.2.1</vt:lpstr>
      <vt:lpstr>WkB_1_3.2.2</vt:lpstr>
      <vt:lpstr>WkB_1_3.3</vt:lpstr>
      <vt:lpstr>WkB_1_7.2</vt:lpstr>
      <vt:lpstr>WkB_1_7.4</vt:lpstr>
      <vt:lpstr>WkB_1_7.7.1</vt:lpstr>
      <vt:lpstr>WkB_1_7.7.2</vt:lpstr>
      <vt:lpstr>WkB_1_7.7.3</vt:lpstr>
      <vt:lpstr>WkB_1_7.8.1</vt:lpstr>
      <vt:lpstr>WkB_1_7.8.2</vt:lpstr>
      <vt:lpstr>WkB_1_7.8.3</vt:lpstr>
      <vt:lpstr>WkB_2_7.4</vt:lpstr>
      <vt:lpstr>WkB_5_7.6.1</vt:lpstr>
      <vt:lpstr>WkB_1_Reconciliation</vt:lpstr>
      <vt:lpstr>Lookup</vt:lpstr>
      <vt:lpstr>Checks</vt:lpstr>
      <vt:lpstr>Base_Year</vt:lpstr>
      <vt:lpstr>Cash_Timing</vt:lpstr>
      <vt:lpstr>Days_In_Wk</vt:lpstr>
      <vt:lpstr>Days_In_Yr</vt:lpstr>
      <vt:lpstr>Dollars</vt:lpstr>
      <vt:lpstr>End_Period</vt:lpstr>
      <vt:lpstr>Error</vt:lpstr>
      <vt:lpstr>Factor</vt:lpstr>
      <vt:lpstr>GWh</vt:lpstr>
      <vt:lpstr>Half</vt:lpstr>
      <vt:lpstr>Index_Period</vt:lpstr>
      <vt:lpstr>Kilometres</vt:lpstr>
      <vt:lpstr>LU_Basis</vt:lpstr>
      <vt:lpstr>LU_Units</vt:lpstr>
      <vt:lpstr>Mid_Period</vt:lpstr>
      <vt:lpstr>Million</vt:lpstr>
      <vt:lpstr>Millions</vt:lpstr>
      <vt:lpstr>Model_Name</vt:lpstr>
      <vt:lpstr>Model_Start_Date</vt:lpstr>
      <vt:lpstr>Mths_In_Mth</vt:lpstr>
      <vt:lpstr>Mths_In_Qtr</vt:lpstr>
      <vt:lpstr>Mths_In_Yr</vt:lpstr>
      <vt:lpstr>MWh</vt:lpstr>
      <vt:lpstr>NA</vt:lpstr>
      <vt:lpstr>No</vt:lpstr>
      <vt:lpstr>Nominal</vt:lpstr>
      <vt:lpstr>Number</vt:lpstr>
      <vt:lpstr>Ok</vt:lpstr>
      <vt:lpstr>Percent</vt:lpstr>
      <vt:lpstr>Qtrs_In_Yr</vt:lpstr>
      <vt:lpstr>Real2019</vt:lpstr>
      <vt:lpstr>Real2024</vt:lpstr>
      <vt:lpstr>Start_Period</vt:lpstr>
      <vt:lpstr>Thousands</vt:lpstr>
      <vt:lpstr>Timing_Adj</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Henry Wu</dc:creator>
  <cp:lastModifiedBy>Eli Grace-Webb</cp:lastModifiedBy>
  <cp:lastPrinted>2017-09-21T03:25:38Z</cp:lastPrinted>
  <dcterms:created xsi:type="dcterms:W3CDTF">2012-02-19T06:14:59Z</dcterms:created>
  <dcterms:modified xsi:type="dcterms:W3CDTF">2023-01-28T11:38:10Z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0x010100A213386B98CA9D47B153354AC72DA840</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AuthorIds_UIVersion_1024">
    <vt:lpwstr>13</vt:lpwstr>
  </property>
  <property fmtid="{D5CDD505-2E9C-101B-9397-08002B2CF9AE}" pid="8" name="AuthorIds_UIVersion_2048">
    <vt:lpwstr>13</vt:lpwstr>
  </property>
  <property fmtid="{D5CDD505-2E9C-101B-9397-08002B2CF9AE}" pid="9" name="MediaServiceImageTags">
    <vt:lpwstr/>
  </property>
  <property fmtid="{D5CDD505-2E9C-101B-9397-08002B2CF9AE}" pid="10" name="Order">
    <vt:r8>1437800</vt:r8>
  </property>
  <property fmtid="{D5CDD505-2E9C-101B-9397-08002B2CF9AE}" pid="11" name="TriggerFlowInfo">
    <vt:lpwstr/>
  </property>
  <property fmtid="{D5CDD505-2E9C-101B-9397-08002B2CF9AE}" pid="12" name="_SourceUrl">
    <vt:lpwstr/>
  </property>
  <property fmtid="{D5CDD505-2E9C-101B-9397-08002B2CF9AE}" pid="13" name="_SharedFileIndex">
    <vt:lpwstr/>
  </property>
  <property fmtid="{D5CDD505-2E9C-101B-9397-08002B2CF9AE}" pid="14" name="_ExtendedDescription">
    <vt:lpwstr/>
  </property>
</Properties>
</file>